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edgars\OneDrive - Yorkshire Water Services\CWW21 WW COHORTING\USING REPORTED COLLAPSES ONLY\RESUBMISSION USING REPORTED COLLAPSES\"/>
    </mc:Choice>
  </mc:AlternateContent>
  <xr:revisionPtr revIDLastSave="0" documentId="13_ncr:1_{6FFB55AB-EA5D-41B0-8457-D703CE518243}" xr6:coauthVersionLast="47" xr6:coauthVersionMax="47" xr10:uidLastSave="{00000000-0000-0000-0000-000000000000}"/>
  <bookViews>
    <workbookView xWindow="-110" yWindow="-110" windowWidth="19420" windowHeight="10420" xr2:uid="{6FCA59B4-C974-4A58-9886-C38A40AECA8A}"/>
  </bookViews>
  <sheets>
    <sheet name="Cohorts" sheetId="1" r:id="rId1"/>
    <sheet name="Pareto analysis " sheetId="2" r:id="rId2"/>
    <sheet name="Plot length vs RM bursts" sheetId="5" r:id="rId3"/>
    <sheet name="RM threshold calcs for Ofwat" sheetId="3" r:id="rId4"/>
    <sheet name="lengths of zero burst RMs" sheetId="4" r:id="rId5"/>
    <sheet name="Length RM by CG" sheetId="6" r:id="rId6"/>
  </sheets>
  <externalReferences>
    <externalReference r:id="rId7"/>
  </externalReferences>
  <definedNames>
    <definedName name="_xlnm._FilterDatabase" localSheetId="0" hidden="1">Cohorts!$A$2:$R$44</definedName>
    <definedName name="_xlnm._FilterDatabase" localSheetId="4" hidden="1">'lengths of zero burst RMs'!$A$1:$J$20</definedName>
    <definedName name="_xlnm._FilterDatabase" localSheetId="1" hidden="1">'Pareto analysis '!$A$1:$C$18</definedName>
  </definedNames>
  <calcPr calcId="191028"/>
  <pivotCaches>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3" l="1"/>
  <c r="D2" i="3"/>
  <c r="B24" i="3"/>
  <c r="B23" i="3"/>
  <c r="B22" i="3"/>
  <c r="D5" i="3"/>
  <c r="D4" i="3"/>
  <c r="D3" i="3"/>
  <c r="C22" i="3" s="1"/>
  <c r="B12" i="3"/>
  <c r="B10" i="3"/>
  <c r="B24" i="4"/>
  <c r="B23" i="4"/>
  <c r="H21" i="4"/>
  <c r="B17" i="3"/>
  <c r="B11" i="3"/>
  <c r="F42" i="2"/>
  <c r="D42" i="2"/>
  <c r="F41" i="2"/>
  <c r="D41" i="2"/>
  <c r="F40" i="2"/>
  <c r="D40" i="2"/>
  <c r="F39" i="2"/>
  <c r="D39" i="2"/>
  <c r="F38" i="2"/>
  <c r="D38" i="2"/>
  <c r="F37" i="2"/>
  <c r="D37" i="2"/>
  <c r="F36" i="2"/>
  <c r="D36" i="2"/>
  <c r="F35" i="2"/>
  <c r="D35" i="2"/>
  <c r="F34" i="2"/>
  <c r="D34" i="2"/>
  <c r="F33" i="2"/>
  <c r="D33" i="2"/>
  <c r="F32" i="2"/>
  <c r="D32" i="2"/>
  <c r="F31" i="2"/>
  <c r="D31" i="2"/>
  <c r="F30" i="2"/>
  <c r="D30" i="2"/>
  <c r="F29" i="2"/>
  <c r="D29" i="2"/>
  <c r="F28" i="2"/>
  <c r="D28" i="2"/>
  <c r="F27" i="2"/>
  <c r="D27" i="2"/>
  <c r="F26" i="2"/>
  <c r="D26" i="2"/>
  <c r="F25" i="2"/>
  <c r="D25" i="2"/>
  <c r="F24" i="2"/>
  <c r="D24" i="2"/>
  <c r="F23" i="2"/>
  <c r="D23" i="2"/>
  <c r="F22" i="2"/>
  <c r="D22" i="2"/>
  <c r="F21" i="2"/>
  <c r="D21" i="2"/>
  <c r="F20" i="2"/>
  <c r="D20" i="2"/>
  <c r="F19" i="2"/>
  <c r="D19" i="2"/>
  <c r="F18" i="2"/>
  <c r="D18" i="2"/>
  <c r="F17" i="2"/>
  <c r="D17" i="2"/>
  <c r="F16" i="2"/>
  <c r="D16" i="2"/>
  <c r="F15" i="2"/>
  <c r="D15" i="2"/>
  <c r="F14" i="2"/>
  <c r="D14" i="2"/>
  <c r="F13" i="2"/>
  <c r="D13" i="2"/>
  <c r="F12" i="2"/>
  <c r="D12" i="2"/>
  <c r="F11" i="2"/>
  <c r="D11" i="2"/>
  <c r="F10" i="2"/>
  <c r="D10" i="2"/>
  <c r="F9" i="2"/>
  <c r="D9" i="2"/>
  <c r="F8" i="2"/>
  <c r="D8" i="2"/>
  <c r="F7" i="2"/>
  <c r="D7" i="2"/>
  <c r="F6" i="2"/>
  <c r="D6" i="2"/>
  <c r="F5" i="2"/>
  <c r="D5" i="2"/>
  <c r="F4" i="2"/>
  <c r="D4" i="2"/>
  <c r="F3" i="2"/>
  <c r="D3" i="2"/>
  <c r="F2" i="2"/>
  <c r="D2" i="2"/>
  <c r="K44" i="1"/>
  <c r="J43" i="1"/>
  <c r="L43" i="1" s="1"/>
  <c r="N43" i="1" s="1"/>
  <c r="J42" i="1"/>
  <c r="O42" i="1" s="1"/>
  <c r="P42" i="1" s="1"/>
  <c r="J41" i="1"/>
  <c r="O41" i="1" s="1"/>
  <c r="P41" i="1" s="1"/>
  <c r="J40" i="1"/>
  <c r="O40" i="1" s="1"/>
  <c r="P40" i="1" s="1"/>
  <c r="J39" i="1"/>
  <c r="L39" i="1" s="1"/>
  <c r="N39" i="1" s="1"/>
  <c r="J38" i="1"/>
  <c r="O38" i="1" s="1"/>
  <c r="P38" i="1" s="1"/>
  <c r="J37" i="1"/>
  <c r="O37" i="1" s="1"/>
  <c r="P37" i="1" s="1"/>
  <c r="J36" i="1"/>
  <c r="O36" i="1" s="1"/>
  <c r="P36" i="1" s="1"/>
  <c r="J35" i="1"/>
  <c r="L35" i="1" s="1"/>
  <c r="N35" i="1" s="1"/>
  <c r="J34" i="1"/>
  <c r="O34" i="1" s="1"/>
  <c r="P34" i="1" s="1"/>
  <c r="J33" i="1"/>
  <c r="O33" i="1" s="1"/>
  <c r="P33" i="1" s="1"/>
  <c r="J32" i="1"/>
  <c r="O32" i="1" s="1"/>
  <c r="P32" i="1" s="1"/>
  <c r="J31" i="1"/>
  <c r="L31" i="1" s="1"/>
  <c r="N31" i="1" s="1"/>
  <c r="J30" i="1"/>
  <c r="O30" i="1" s="1"/>
  <c r="P30" i="1" s="1"/>
  <c r="J29" i="1"/>
  <c r="O29" i="1" s="1"/>
  <c r="P29" i="1" s="1"/>
  <c r="J28" i="1"/>
  <c r="O28" i="1" s="1"/>
  <c r="P28" i="1" s="1"/>
  <c r="J27" i="1"/>
  <c r="L27" i="1" s="1"/>
  <c r="N27" i="1" s="1"/>
  <c r="J26" i="1"/>
  <c r="O26" i="1" s="1"/>
  <c r="P26" i="1" s="1"/>
  <c r="J25" i="1"/>
  <c r="O25" i="1" s="1"/>
  <c r="P25" i="1" s="1"/>
  <c r="J24" i="1"/>
  <c r="O24" i="1" s="1"/>
  <c r="P24" i="1" s="1"/>
  <c r="J23" i="1"/>
  <c r="L23" i="1" s="1"/>
  <c r="N23" i="1" s="1"/>
  <c r="J22" i="1"/>
  <c r="O22" i="1" s="1"/>
  <c r="P22" i="1" s="1"/>
  <c r="J21" i="1"/>
  <c r="O21" i="1" s="1"/>
  <c r="P21" i="1" s="1"/>
  <c r="J20" i="1"/>
  <c r="O20" i="1" s="1"/>
  <c r="P20" i="1" s="1"/>
  <c r="J19" i="1"/>
  <c r="L19" i="1" s="1"/>
  <c r="N19" i="1" s="1"/>
  <c r="J18" i="1"/>
  <c r="O18" i="1" s="1"/>
  <c r="P18" i="1" s="1"/>
  <c r="J17" i="1"/>
  <c r="O17" i="1" s="1"/>
  <c r="P17" i="1" s="1"/>
  <c r="J16" i="1"/>
  <c r="O16" i="1" s="1"/>
  <c r="P16" i="1" s="1"/>
  <c r="J15" i="1"/>
  <c r="L15" i="1" s="1"/>
  <c r="N15" i="1" s="1"/>
  <c r="J14" i="1"/>
  <c r="O14" i="1" s="1"/>
  <c r="P14" i="1" s="1"/>
  <c r="J13" i="1"/>
  <c r="O13" i="1" s="1"/>
  <c r="P13" i="1" s="1"/>
  <c r="J12" i="1"/>
  <c r="O12" i="1" s="1"/>
  <c r="P12" i="1" s="1"/>
  <c r="J11" i="1"/>
  <c r="L11" i="1" s="1"/>
  <c r="N11" i="1" s="1"/>
  <c r="J10" i="1"/>
  <c r="O10" i="1" s="1"/>
  <c r="P10" i="1" s="1"/>
  <c r="J9" i="1"/>
  <c r="O9" i="1" s="1"/>
  <c r="P9" i="1" s="1"/>
  <c r="J8" i="1"/>
  <c r="O8" i="1" s="1"/>
  <c r="P8" i="1" s="1"/>
  <c r="J7" i="1"/>
  <c r="L7" i="1" s="1"/>
  <c r="N7" i="1" s="1"/>
  <c r="J6" i="1"/>
  <c r="O6" i="1" s="1"/>
  <c r="P6" i="1" s="1"/>
  <c r="J5" i="1"/>
  <c r="O5" i="1" s="1"/>
  <c r="P5" i="1" s="1"/>
  <c r="J4" i="1"/>
  <c r="O4" i="1" s="1"/>
  <c r="P4" i="1" s="1"/>
  <c r="J3" i="1"/>
  <c r="L3" i="1" s="1"/>
  <c r="N3" i="1" s="1"/>
  <c r="C21" i="3" l="1"/>
  <c r="C24" i="3"/>
  <c r="C23" i="3"/>
  <c r="O3" i="1"/>
  <c r="P3" i="1" s="1"/>
  <c r="L6" i="1"/>
  <c r="N6" i="1" s="1"/>
  <c r="O7" i="1"/>
  <c r="P7" i="1" s="1"/>
  <c r="L10" i="1"/>
  <c r="N10" i="1" s="1"/>
  <c r="O11" i="1"/>
  <c r="P11" i="1" s="1"/>
  <c r="L14" i="1"/>
  <c r="N14" i="1" s="1"/>
  <c r="O15" i="1"/>
  <c r="P15" i="1" s="1"/>
  <c r="L18" i="1"/>
  <c r="N18" i="1" s="1"/>
  <c r="O19" i="1"/>
  <c r="P19" i="1" s="1"/>
  <c r="L22" i="1"/>
  <c r="N22" i="1" s="1"/>
  <c r="O23" i="1"/>
  <c r="P23" i="1" s="1"/>
  <c r="L26" i="1"/>
  <c r="N26" i="1" s="1"/>
  <c r="O27" i="1"/>
  <c r="P27" i="1" s="1"/>
  <c r="L30" i="1"/>
  <c r="N30" i="1" s="1"/>
  <c r="O31" i="1"/>
  <c r="P31" i="1" s="1"/>
  <c r="L34" i="1"/>
  <c r="N34" i="1" s="1"/>
  <c r="O35" i="1"/>
  <c r="P35" i="1" s="1"/>
  <c r="L38" i="1"/>
  <c r="N38" i="1" s="1"/>
  <c r="O39" i="1"/>
  <c r="P39" i="1" s="1"/>
  <c r="L42" i="1"/>
  <c r="N42" i="1" s="1"/>
  <c r="O43" i="1"/>
  <c r="P43" i="1" s="1"/>
  <c r="L5" i="1"/>
  <c r="N5" i="1" s="1"/>
  <c r="L9" i="1"/>
  <c r="N9" i="1" s="1"/>
  <c r="L13" i="1"/>
  <c r="N13" i="1" s="1"/>
  <c r="L17" i="1"/>
  <c r="N17" i="1" s="1"/>
  <c r="L21" i="1"/>
  <c r="N21" i="1" s="1"/>
  <c r="L25" i="1"/>
  <c r="N25" i="1" s="1"/>
  <c r="L29" i="1"/>
  <c r="N29" i="1" s="1"/>
  <c r="L33" i="1"/>
  <c r="N33" i="1" s="1"/>
  <c r="L37" i="1"/>
  <c r="N37" i="1" s="1"/>
  <c r="L41" i="1"/>
  <c r="N41" i="1" s="1"/>
  <c r="J44" i="1"/>
  <c r="L44" i="1" s="1"/>
  <c r="N44" i="1" s="1"/>
  <c r="L4" i="1"/>
  <c r="N4" i="1" s="1"/>
  <c r="L8" i="1"/>
  <c r="N8" i="1" s="1"/>
  <c r="L12" i="1"/>
  <c r="N12" i="1" s="1"/>
  <c r="L16" i="1"/>
  <c r="N16" i="1" s="1"/>
  <c r="L20" i="1"/>
  <c r="N20" i="1" s="1"/>
  <c r="L24" i="1"/>
  <c r="N24" i="1" s="1"/>
  <c r="L28" i="1"/>
  <c r="N28" i="1" s="1"/>
  <c r="L32" i="1"/>
  <c r="N32" i="1" s="1"/>
  <c r="L36" i="1"/>
  <c r="N36" i="1" s="1"/>
  <c r="L40" i="1"/>
  <c r="N40" i="1" s="1"/>
  <c r="Q13" i="1" l="1"/>
  <c r="Q28" i="1"/>
  <c r="Q12" i="1"/>
  <c r="Q27" i="1"/>
  <c r="Q42" i="1"/>
  <c r="Q21" i="1"/>
  <c r="Q20" i="1"/>
  <c r="Q8" i="1"/>
  <c r="Q39" i="1"/>
  <c r="Q23" i="1"/>
  <c r="Q7" i="1"/>
  <c r="Q34" i="1"/>
  <c r="Q41" i="1"/>
  <c r="Q9" i="1"/>
  <c r="Q5" i="1"/>
  <c r="Q17" i="1"/>
  <c r="Q29" i="1"/>
  <c r="Q35" i="1"/>
  <c r="Q19" i="1"/>
  <c r="Q3" i="1"/>
  <c r="Q26" i="1"/>
  <c r="Q33" i="1"/>
  <c r="Q32" i="1"/>
  <c r="Q30" i="1"/>
  <c r="Q38" i="1"/>
  <c r="Q40" i="1"/>
  <c r="Q43" i="1"/>
  <c r="Q11" i="1"/>
  <c r="Q10" i="1"/>
  <c r="Q37" i="1"/>
  <c r="Q4" i="1"/>
  <c r="Q31" i="1"/>
  <c r="Q15" i="1"/>
  <c r="Q36" i="1"/>
  <c r="Q18" i="1"/>
  <c r="Q25" i="1"/>
  <c r="Q24" i="1"/>
  <c r="Q6" i="1"/>
  <c r="Q22" i="1"/>
  <c r="Q14" i="1"/>
  <c r="Q16" i="1"/>
</calcChain>
</file>

<file path=xl/sharedStrings.xml><?xml version="1.0" encoding="utf-8"?>
<sst xmlns="http://schemas.openxmlformats.org/spreadsheetml/2006/main" count="458" uniqueCount="102">
  <si>
    <t>Primary</t>
  </si>
  <si>
    <t>Secondary</t>
  </si>
  <si>
    <t>cohort ref</t>
  </si>
  <si>
    <t xml:space="preserve">Material </t>
  </si>
  <si>
    <t>Diameter</t>
  </si>
  <si>
    <t xml:space="preserve">Install Yr Band </t>
  </si>
  <si>
    <t>Sec Install Yr Band</t>
  </si>
  <si>
    <t>Function</t>
  </si>
  <si>
    <t>Hotspot DAZ</t>
  </si>
  <si>
    <t>DAZ</t>
  </si>
  <si>
    <t>Total length (km)</t>
  </si>
  <si>
    <t>Total ave bursts per yr</t>
  </si>
  <si>
    <t>Nominal expected bursts</t>
  </si>
  <si>
    <t>Annual burst rate tolerance</t>
  </si>
  <si>
    <t>Tolerance</t>
  </si>
  <si>
    <t>Within tolerance</t>
  </si>
  <si>
    <t>Average annual bursts per 1000km</t>
  </si>
  <si>
    <t>Grade</t>
  </si>
  <si>
    <t>Rank</t>
  </si>
  <si>
    <t>If not within tolerance, state reasons:</t>
  </si>
  <si>
    <t>AC</t>
  </si>
  <si>
    <t>&lt;=320mm</t>
  </si>
  <si>
    <t>(1900-2010]</t>
  </si>
  <si>
    <t>Not used</t>
  </si>
  <si>
    <t>C</t>
  </si>
  <si>
    <t xml:space="preserve">   +/- 50%</t>
  </si>
  <si>
    <t>F</t>
  </si>
  <si>
    <t>Aggregation with the following cohort (ref 3) and splitting by Hotspot DAZ = Yes/No does not rectify the problem of cohorts 2 and 3 being outside of the lower and upper tolerance bounds, respectively.</t>
  </si>
  <si>
    <t>2011 onwards</t>
  </si>
  <si>
    <t xml:space="preserve">This cohort comprises four DAZs but all four bursts fall within the same DAZ. Splitting this DAZ out would not reduce the failure rate p.a and would introduce an additional cohort having a zero failure history.   </t>
  </si>
  <si>
    <t>&gt;320mm</t>
  </si>
  <si>
    <t>1901 onwards</t>
  </si>
  <si>
    <t>Cohort comprises all rising mains of this material, size and function.</t>
  </si>
  <si>
    <t>CI</t>
  </si>
  <si>
    <t>(1900-1980]</t>
  </si>
  <si>
    <t xml:space="preserve">Not used </t>
  </si>
  <si>
    <t>Yes</t>
  </si>
  <si>
    <t>206, 273, 301-02, 376, 434, 612</t>
  </si>
  <si>
    <t>711, 748, 752, 758, 756</t>
  </si>
  <si>
    <t>No</t>
  </si>
  <si>
    <t>(1900-1960]</t>
  </si>
  <si>
    <t>302, 323, 373, 375</t>
  </si>
  <si>
    <t>(1950-1960]</t>
  </si>
  <si>
    <t>401, 421, 738, 744</t>
  </si>
  <si>
    <t>(1960-1980]</t>
  </si>
  <si>
    <t>(1920-1980]</t>
  </si>
  <si>
    <t>Other</t>
  </si>
  <si>
    <t>S</t>
  </si>
  <si>
    <t>DI</t>
  </si>
  <si>
    <t>(1980-2000]</t>
  </si>
  <si>
    <t>2001 onwards</t>
  </si>
  <si>
    <t xml:space="preserve">Aggregating with the preceding cohort (ref 21) and ignoring Hotspot DAZ status would result in a cohort that is outside of the upper tolerance bound. </t>
  </si>
  <si>
    <t>PE</t>
  </si>
  <si>
    <t>(1900-2000]</t>
  </si>
  <si>
    <t>(2000-2010]</t>
  </si>
  <si>
    <t>206, 273, 301, 302, 350, 373, 434, 551, 553, 701, 752</t>
  </si>
  <si>
    <t xml:space="preserve">Aggregating with the preceding cohort (ref 27) would result in a cohort that is outside of the upper tolerance bound. </t>
  </si>
  <si>
    <t>PL</t>
  </si>
  <si>
    <t>1961 onwards</t>
  </si>
  <si>
    <t>(1960-2010]</t>
  </si>
  <si>
    <t>PVC</t>
  </si>
  <si>
    <t>(1940-1980]</t>
  </si>
  <si>
    <t>1981 onwards</t>
  </si>
  <si>
    <t>(1960-2000]</t>
  </si>
  <si>
    <t xml:space="preserve">   +/-10%</t>
  </si>
  <si>
    <t xml:space="preserve">Cohort </t>
  </si>
  <si>
    <t>Total ave annual bursts</t>
  </si>
  <si>
    <t>Cumulative ave annual bursts</t>
  </si>
  <si>
    <t>Total sewer length (km)</t>
  </si>
  <si>
    <t>Cumulative length (km)</t>
  </si>
  <si>
    <t xml:space="preserve">Legacy sewers </t>
  </si>
  <si>
    <t>No. collapses</t>
  </si>
  <si>
    <t>Ave distance between collapses</t>
  </si>
  <si>
    <t>factor</t>
  </si>
  <si>
    <t>CG1</t>
  </si>
  <si>
    <t>&lt;=12</t>
  </si>
  <si>
    <t>CG2</t>
  </si>
  <si>
    <t>&lt;=25</t>
  </si>
  <si>
    <t>CG3</t>
  </si>
  <si>
    <t>&lt;=50</t>
  </si>
  <si>
    <t>CG4</t>
  </si>
  <si>
    <t>&lt;=100</t>
  </si>
  <si>
    <t>CG5</t>
  </si>
  <si>
    <t xml:space="preserve">Total length legacy sewer (m) </t>
  </si>
  <si>
    <t>Ave no. collapses p.a.</t>
  </si>
  <si>
    <t>Ave no. collapses in 5 yrs</t>
  </si>
  <si>
    <t>Ave distance between collapses in 5 yr period (m)</t>
  </si>
  <si>
    <t>RMs</t>
  </si>
  <si>
    <t>Total length RMs (km)</t>
  </si>
  <si>
    <t>Total no. bursts (5 yrs)</t>
  </si>
  <si>
    <t xml:space="preserve">Ave distance between bursts in 5 yr period </t>
  </si>
  <si>
    <t>Ave distance between RM bursts</t>
  </si>
  <si>
    <t>No. collapses/1000km p.a/5 yr period</t>
  </si>
  <si>
    <t>CO</t>
  </si>
  <si>
    <t>&lt;=320</t>
  </si>
  <si>
    <t>1961-2010</t>
  </si>
  <si>
    <t>ST</t>
  </si>
  <si>
    <t>Total no. reportable collapses (5yrs)</t>
  </si>
  <si>
    <t>Row Labels</t>
  </si>
  <si>
    <t>(blank)</t>
  </si>
  <si>
    <t>Grand Total</t>
  </si>
  <si>
    <t>Sum of Total length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</si>
</sst>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theme="1"/>
      <name val="Calibri"/>
      <family val="2"/>
      <scheme val="minor"/>
    </font>
    <font>
      <sz val="9"/>
      <color theme="4"/>
      <name val="Arial"/>
      <family val="2"/>
    </font>
    <font>
      <sz val="9"/>
      <color rgb="FFFF0000"/>
      <name val="Arial"/>
      <family val="2"/>
    </font>
    <font>
      <sz val="9"/>
      <color theme="1"/>
      <name val="Arial"/>
      <family val="2"/>
    </font>
    <font>
      <sz val="11"/>
      <color theme="1"/>
      <name val="Arial"/>
      <family val="2"/>
    </font>
    <font>
      <sz val="9"/>
      <name val="Arial"/>
      <family val="2"/>
    </font>
    <font>
      <sz val="9"/>
      <color theme="3"/>
      <name val="Arial"/>
      <family val="2"/>
    </font>
  </fonts>
  <fills count="5">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42">
    <xf numFmtId="0" fontId="0" fillId="0" borderId="0" xfId="0"/>
    <xf numFmtId="0" fontId="1" fillId="2" borderId="1" xfId="0" applyFont="1" applyFill="1" applyBorder="1"/>
    <xf numFmtId="4" fontId="1" fillId="2" borderId="1" xfId="0" applyNumberFormat="1" applyFont="1" applyFill="1" applyBorder="1"/>
    <xf numFmtId="164" fontId="2" fillId="2" borderId="1" xfId="0" applyNumberFormat="1" applyFont="1" applyFill="1" applyBorder="1"/>
    <xf numFmtId="0" fontId="3" fillId="2" borderId="1" xfId="0" applyFont="1" applyFill="1" applyBorder="1"/>
    <xf numFmtId="0" fontId="3" fillId="0" borderId="0" xfId="0" applyFont="1"/>
    <xf numFmtId="4" fontId="1" fillId="2" borderId="1" xfId="0" applyNumberFormat="1" applyFont="1" applyFill="1" applyBorder="1" applyAlignment="1">
      <alignment wrapText="1"/>
    </xf>
    <xf numFmtId="164" fontId="1" fillId="2" borderId="1" xfId="0" applyNumberFormat="1" applyFont="1" applyFill="1" applyBorder="1"/>
    <xf numFmtId="0" fontId="1" fillId="2" borderId="1" xfId="0" applyFont="1" applyFill="1" applyBorder="1" applyAlignment="1">
      <alignment wrapText="1"/>
    </xf>
    <xf numFmtId="164" fontId="1" fillId="2" borderId="1" xfId="1" applyNumberFormat="1" applyFont="1" applyFill="1" applyBorder="1" applyAlignment="1">
      <alignment vertical="center" wrapText="1"/>
    </xf>
    <xf numFmtId="164" fontId="1" fillId="2" borderId="1" xfId="0" applyNumberFormat="1" applyFont="1" applyFill="1" applyBorder="1" applyAlignment="1">
      <alignment wrapText="1"/>
    </xf>
    <xf numFmtId="0" fontId="3" fillId="0" borderId="1" xfId="0" applyFont="1" applyBorder="1"/>
    <xf numFmtId="4" fontId="3" fillId="0" borderId="1" xfId="0" applyNumberFormat="1" applyFont="1" applyBorder="1"/>
    <xf numFmtId="0" fontId="5" fillId="0" borderId="1" xfId="0" applyFont="1" applyBorder="1"/>
    <xf numFmtId="164" fontId="3" fillId="0" borderId="1" xfId="0" applyNumberFormat="1" applyFont="1" applyBorder="1"/>
    <xf numFmtId="164" fontId="3" fillId="0" borderId="1" xfId="1" applyNumberFormat="1" applyFont="1" applyBorder="1" applyAlignment="1">
      <alignment horizontal="right" vertical="center"/>
    </xf>
    <xf numFmtId="0" fontId="3" fillId="0" borderId="1" xfId="1" applyFont="1" applyBorder="1" applyAlignment="1">
      <alignment vertical="center"/>
    </xf>
    <xf numFmtId="0" fontId="3" fillId="0" borderId="1" xfId="1" applyFont="1" applyBorder="1" applyAlignment="1">
      <alignment vertical="center" wrapText="1"/>
    </xf>
    <xf numFmtId="3" fontId="3" fillId="0" borderId="1" xfId="0" applyNumberFormat="1" applyFont="1" applyBorder="1"/>
    <xf numFmtId="2" fontId="5" fillId="0" borderId="1" xfId="0" applyNumberFormat="1" applyFont="1" applyBorder="1"/>
    <xf numFmtId="0" fontId="3" fillId="0" borderId="1" xfId="0" applyFont="1" applyBorder="1" applyAlignment="1">
      <alignment wrapText="1"/>
    </xf>
    <xf numFmtId="4" fontId="3" fillId="0" borderId="0" xfId="0" applyNumberFormat="1" applyFont="1"/>
    <xf numFmtId="164" fontId="1" fillId="0" borderId="0" xfId="0" applyNumberFormat="1" applyFont="1"/>
    <xf numFmtId="0" fontId="1" fillId="0" borderId="0" xfId="1" applyFont="1" applyAlignment="1">
      <alignment horizontal="center" vertical="center"/>
    </xf>
    <xf numFmtId="0" fontId="1" fillId="0" borderId="0" xfId="0" applyFont="1"/>
    <xf numFmtId="0" fontId="6" fillId="0" borderId="0" xfId="1" applyFont="1" applyAlignment="1">
      <alignment horizontal="center" vertical="center"/>
    </xf>
    <xf numFmtId="0" fontId="3" fillId="0" borderId="0" xfId="0" applyFont="1" applyAlignment="1">
      <alignment wrapText="1"/>
    </xf>
    <xf numFmtId="0" fontId="2" fillId="0" borderId="0" xfId="0" applyFont="1"/>
    <xf numFmtId="164" fontId="5" fillId="0" borderId="1" xfId="0" applyNumberFormat="1" applyFont="1" applyBorder="1" applyAlignment="1">
      <alignment wrapText="1"/>
    </xf>
    <xf numFmtId="2" fontId="5" fillId="0" borderId="1" xfId="0" applyNumberFormat="1" applyFont="1" applyBorder="1" applyAlignment="1">
      <alignment wrapText="1"/>
    </xf>
    <xf numFmtId="0" fontId="5" fillId="0" borderId="0" xfId="0" applyFont="1"/>
    <xf numFmtId="2" fontId="3" fillId="0" borderId="1" xfId="0" applyNumberFormat="1" applyFont="1" applyBorder="1"/>
    <xf numFmtId="164" fontId="3" fillId="0" borderId="0" xfId="0" applyNumberFormat="1" applyFont="1"/>
    <xf numFmtId="2" fontId="3" fillId="0" borderId="0" xfId="0" applyNumberFormat="1" applyFont="1"/>
    <xf numFmtId="0" fontId="0" fillId="0" borderId="1" xfId="0" applyBorder="1"/>
    <xf numFmtId="0" fontId="0" fillId="3" borderId="1" xfId="0" applyFill="1" applyBorder="1"/>
    <xf numFmtId="3" fontId="0" fillId="0" borderId="1" xfId="0" applyNumberFormat="1" applyBorder="1"/>
    <xf numFmtId="2" fontId="0" fillId="0" borderId="1" xfId="0" applyNumberFormat="1" applyBorder="1"/>
    <xf numFmtId="0" fontId="0" fillId="4" borderId="0" xfId="0" applyFill="1"/>
    <xf numFmtId="0" fontId="0" fillId="0" borderId="0" xfId="0" pivotButton="1"/>
    <xf numFmtId="0" fontId="0" fillId="0" borderId="0" xfId="0" applyAlignment="1">
      <alignment horizontal="left"/>
    </xf>
    <xf numFmtId="0" fontId="0" fillId="0" borderId="0" xfId="0" applyNumberFormat="1"/>
  </cellXfs>
  <cellStyles count="2">
    <cellStyle name="Normal" xfId="0" builtinId="0"/>
    <cellStyle name="Normal 3 6" xfId="1" xr:uid="{429699DF-1B84-41E3-9473-B83019226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chartsheet" Target="chartsheets/sheet1.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sharedStrings" Target="sharedStrings.xml"/><Relationship Id="rId5" Type="http://schemas.openxmlformats.org/officeDocument/2006/relationships/worksheet" Target="worksheets/sheet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3.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Cumulative Average Annual RM Bursts</a:t>
            </a:r>
            <a:r>
              <a:rPr lang="en-US" sz="2000" baseline="0"/>
              <a:t> vs Cumulative RM Length</a:t>
            </a:r>
            <a:r>
              <a:rPr lang="en-US" sz="2000"/>
              <a:t> (km)</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'[1]Pareto analysis '!$F$1</c:f>
              <c:strCache>
                <c:ptCount val="1"/>
                <c:pt idx="0">
                  <c:v>Cumulative length (km)</c:v>
                </c:pt>
              </c:strCache>
            </c:strRef>
          </c:tx>
          <c:spPr>
            <a:ln w="28575" cap="rnd">
              <a:solidFill>
                <a:schemeClr val="accent1"/>
              </a:solidFill>
              <a:round/>
            </a:ln>
            <a:effectLst/>
          </c:spPr>
          <c:marker>
            <c:symbol val="none"/>
          </c:marker>
          <c:xVal>
            <c:numRef>
              <c:f>'[1]Pareto analysis '!$F$2:$F$42</c:f>
              <c:numCache>
                <c:formatCode>General</c:formatCode>
                <c:ptCount val="41"/>
                <c:pt idx="0">
                  <c:v>0.13670462294388297</c:v>
                </c:pt>
                <c:pt idx="1">
                  <c:v>0.80404388698945273</c:v>
                </c:pt>
                <c:pt idx="2">
                  <c:v>2.6312784502875024</c:v>
                </c:pt>
                <c:pt idx="3">
                  <c:v>5.6593163475776045</c:v>
                </c:pt>
                <c:pt idx="4">
                  <c:v>8.9546385758383309</c:v>
                </c:pt>
                <c:pt idx="5">
                  <c:v>14.238773882139764</c:v>
                </c:pt>
                <c:pt idx="6">
                  <c:v>16.812248719654438</c:v>
                </c:pt>
                <c:pt idx="7">
                  <c:v>28.276178961925304</c:v>
                </c:pt>
                <c:pt idx="8">
                  <c:v>42.820732326672911</c:v>
                </c:pt>
                <c:pt idx="9">
                  <c:v>55.481960985024308</c:v>
                </c:pt>
                <c:pt idx="10">
                  <c:v>70.901891014244597</c:v>
                </c:pt>
                <c:pt idx="11">
                  <c:v>79.427203360726679</c:v>
                </c:pt>
                <c:pt idx="12">
                  <c:v>103.39616500017306</c:v>
                </c:pt>
                <c:pt idx="13">
                  <c:v>129.09703615572357</c:v>
                </c:pt>
                <c:pt idx="14">
                  <c:v>158.90483380543463</c:v>
                </c:pt>
                <c:pt idx="15">
                  <c:v>197.42367987449344</c:v>
                </c:pt>
                <c:pt idx="16">
                  <c:v>219.06307890277412</c:v>
                </c:pt>
                <c:pt idx="17">
                  <c:v>268.77002952283038</c:v>
                </c:pt>
                <c:pt idx="18">
                  <c:v>290.88435567886444</c:v>
                </c:pt>
                <c:pt idx="19">
                  <c:v>319.74207554916734</c:v>
                </c:pt>
                <c:pt idx="20">
                  <c:v>355.82676884847399</c:v>
                </c:pt>
                <c:pt idx="21">
                  <c:v>359.8055228436919</c:v>
                </c:pt>
                <c:pt idx="22">
                  <c:v>413.145184476569</c:v>
                </c:pt>
                <c:pt idx="23">
                  <c:v>495.09914848273314</c:v>
                </c:pt>
                <c:pt idx="24">
                  <c:v>531.87382194723386</c:v>
                </c:pt>
                <c:pt idx="25">
                  <c:v>559.83333443498782</c:v>
                </c:pt>
                <c:pt idx="26">
                  <c:v>616.49091291970467</c:v>
                </c:pt>
                <c:pt idx="27">
                  <c:v>654.27028512718061</c:v>
                </c:pt>
                <c:pt idx="28">
                  <c:v>732.15206294546408</c:v>
                </c:pt>
                <c:pt idx="29">
                  <c:v>814.09477894863585</c:v>
                </c:pt>
                <c:pt idx="30">
                  <c:v>865.44688074766827</c:v>
                </c:pt>
                <c:pt idx="31">
                  <c:v>943.27028695603985</c:v>
                </c:pt>
                <c:pt idx="32">
                  <c:v>949.44304720174068</c:v>
                </c:pt>
                <c:pt idx="33">
                  <c:v>999.88384928664425</c:v>
                </c:pt>
                <c:pt idx="34">
                  <c:v>1099.563338558735</c:v>
                </c:pt>
                <c:pt idx="35">
                  <c:v>1120.542336654021</c:v>
                </c:pt>
                <c:pt idx="36">
                  <c:v>1165.5127734798471</c:v>
                </c:pt>
                <c:pt idx="37">
                  <c:v>1270.9764339817355</c:v>
                </c:pt>
                <c:pt idx="38">
                  <c:v>1302.6149453042813</c:v>
                </c:pt>
                <c:pt idx="39">
                  <c:v>1312.4767527831152</c:v>
                </c:pt>
                <c:pt idx="40">
                  <c:v>1323.9953700000001</c:v>
                </c:pt>
              </c:numCache>
            </c:numRef>
          </c:xVal>
          <c:yVal>
            <c:numRef>
              <c:f>'[1]Pareto analysis '!$D$2:$D$42</c:f>
              <c:numCache>
                <c:formatCode>General</c:formatCode>
                <c:ptCount val="41"/>
                <c:pt idx="0">
                  <c:v>2</c:v>
                </c:pt>
                <c:pt idx="1">
                  <c:v>5.5</c:v>
                </c:pt>
                <c:pt idx="2">
                  <c:v>9.5</c:v>
                </c:pt>
                <c:pt idx="3">
                  <c:v>11.7</c:v>
                </c:pt>
                <c:pt idx="4">
                  <c:v>13.7</c:v>
                </c:pt>
                <c:pt idx="5">
                  <c:v>16.100000000000001</c:v>
                </c:pt>
                <c:pt idx="6">
                  <c:v>16.900000000000002</c:v>
                </c:pt>
                <c:pt idx="7">
                  <c:v>20.100000000000001</c:v>
                </c:pt>
                <c:pt idx="8">
                  <c:v>22.5</c:v>
                </c:pt>
                <c:pt idx="9">
                  <c:v>24.5</c:v>
                </c:pt>
                <c:pt idx="10">
                  <c:v>26.7</c:v>
                </c:pt>
                <c:pt idx="11">
                  <c:v>27.7</c:v>
                </c:pt>
                <c:pt idx="12">
                  <c:v>30.3</c:v>
                </c:pt>
                <c:pt idx="13">
                  <c:v>32.700000000000003</c:v>
                </c:pt>
                <c:pt idx="14">
                  <c:v>35.200000000000003</c:v>
                </c:pt>
                <c:pt idx="15">
                  <c:v>38.200000000000003</c:v>
                </c:pt>
                <c:pt idx="16">
                  <c:v>39.800000000000004</c:v>
                </c:pt>
                <c:pt idx="17">
                  <c:v>43.000000000000007</c:v>
                </c:pt>
                <c:pt idx="18">
                  <c:v>44.400000000000006</c:v>
                </c:pt>
                <c:pt idx="19">
                  <c:v>46.2</c:v>
                </c:pt>
                <c:pt idx="20">
                  <c:v>48.400000000000006</c:v>
                </c:pt>
                <c:pt idx="21">
                  <c:v>48.600000000000009</c:v>
                </c:pt>
                <c:pt idx="22">
                  <c:v>51.000000000000007</c:v>
                </c:pt>
                <c:pt idx="23">
                  <c:v>54.600000000000009</c:v>
                </c:pt>
                <c:pt idx="24">
                  <c:v>56.20000000000001</c:v>
                </c:pt>
                <c:pt idx="25">
                  <c:v>57.400000000000013</c:v>
                </c:pt>
                <c:pt idx="26">
                  <c:v>59.800000000000011</c:v>
                </c:pt>
                <c:pt idx="27">
                  <c:v>61.400000000000013</c:v>
                </c:pt>
                <c:pt idx="28">
                  <c:v>64.600000000000009</c:v>
                </c:pt>
                <c:pt idx="29">
                  <c:v>67.533333333333346</c:v>
                </c:pt>
                <c:pt idx="30">
                  <c:v>69.333333333333343</c:v>
                </c:pt>
                <c:pt idx="31">
                  <c:v>71.933333333333337</c:v>
                </c:pt>
                <c:pt idx="32">
                  <c:v>72.13333333333334</c:v>
                </c:pt>
                <c:pt idx="33">
                  <c:v>73.733333333333334</c:v>
                </c:pt>
                <c:pt idx="34">
                  <c:v>76.733333333333334</c:v>
                </c:pt>
                <c:pt idx="35">
                  <c:v>77.333333333333329</c:v>
                </c:pt>
                <c:pt idx="36">
                  <c:v>78.533333333333331</c:v>
                </c:pt>
                <c:pt idx="37">
                  <c:v>81.333333333333329</c:v>
                </c:pt>
                <c:pt idx="38">
                  <c:v>82.033333333333331</c:v>
                </c:pt>
                <c:pt idx="39">
                  <c:v>82.233333333333334</c:v>
                </c:pt>
                <c:pt idx="40">
                  <c:v>82.433333333333337</c:v>
                </c:pt>
              </c:numCache>
            </c:numRef>
          </c:yVal>
          <c:smooth val="1"/>
          <c:extLst>
            <c:ext xmlns:c16="http://schemas.microsoft.com/office/drawing/2014/chart" uri="{C3380CC4-5D6E-409C-BE32-E72D297353CC}">
              <c16:uniqueId val="{00000000-5E50-4926-A2D3-252A8AECD4C7}"/>
            </c:ext>
          </c:extLst>
        </c:ser>
        <c:dLbls>
          <c:showLegendKey val="0"/>
          <c:showVal val="0"/>
          <c:showCatName val="0"/>
          <c:showSerName val="0"/>
          <c:showPercent val="0"/>
          <c:showBubbleSize val="0"/>
        </c:dLbls>
        <c:axId val="30117184"/>
        <c:axId val="1115338624"/>
      </c:scatterChart>
      <c:valAx>
        <c:axId val="3011718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Cumulative length (km)</a:t>
                </a:r>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1115338624"/>
        <c:crosses val="autoZero"/>
        <c:crossBetween val="midCat"/>
      </c:valAx>
      <c:valAx>
        <c:axId val="1115338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Cumulative average annual bursts </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01171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7CA149B-3B52-425A-8B19-10E1AF6E0B68}">
  <sheetPr/>
  <sheetViews>
    <sheetView zoomScale="6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5984" cy="6068934"/>
    <xdr:graphicFrame macro="">
      <xdr:nvGraphicFramePr>
        <xdr:cNvPr id="2" name="Chart 1">
          <a:extLst>
            <a:ext uri="{FF2B5EF4-FFF2-40B4-BE49-F238E27FC236}">
              <a16:creationId xmlns:a16="http://schemas.microsoft.com/office/drawing/2014/main" id="{F7E3862E-032F-E5D4-A324-CB0CBEA5306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xdr:col>
      <xdr:colOff>349250</xdr:colOff>
      <xdr:row>9</xdr:row>
      <xdr:rowOff>50800</xdr:rowOff>
    </xdr:from>
    <xdr:to>
      <xdr:col>2</xdr:col>
      <xdr:colOff>1784350</xdr:colOff>
      <xdr:row>11</xdr:row>
      <xdr:rowOff>133350</xdr:rowOff>
    </xdr:to>
    <xdr:sp macro="" textlink="">
      <xdr:nvSpPr>
        <xdr:cNvPr id="2" name="TextBox 1">
          <a:extLst>
            <a:ext uri="{FF2B5EF4-FFF2-40B4-BE49-F238E27FC236}">
              <a16:creationId xmlns:a16="http://schemas.microsoft.com/office/drawing/2014/main" id="{33133E03-5DA0-4A19-AA1C-E2437BF5FF33}"/>
            </a:ext>
          </a:extLst>
        </xdr:cNvPr>
        <xdr:cNvSpPr txBox="1"/>
      </xdr:nvSpPr>
      <xdr:spPr>
        <a:xfrm>
          <a:off x="5295900" y="1708150"/>
          <a:ext cx="1435100" cy="450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Assume 23km between collapses</a:t>
          </a:r>
        </a:p>
      </xdr:txBody>
    </xdr:sp>
    <xdr:clientData/>
  </xdr:twoCellAnchor>
  <xdr:twoCellAnchor>
    <xdr:from>
      <xdr:col>2</xdr:col>
      <xdr:colOff>336550</xdr:colOff>
      <xdr:row>14</xdr:row>
      <xdr:rowOff>139700</xdr:rowOff>
    </xdr:from>
    <xdr:to>
      <xdr:col>2</xdr:col>
      <xdr:colOff>1885950</xdr:colOff>
      <xdr:row>17</xdr:row>
      <xdr:rowOff>63500</xdr:rowOff>
    </xdr:to>
    <xdr:sp macro="" textlink="">
      <xdr:nvSpPr>
        <xdr:cNvPr id="4" name="TextBox 3">
          <a:extLst>
            <a:ext uri="{FF2B5EF4-FFF2-40B4-BE49-F238E27FC236}">
              <a16:creationId xmlns:a16="http://schemas.microsoft.com/office/drawing/2014/main" id="{780815E8-817A-4747-A8AA-F1A8649BE103}"/>
            </a:ext>
          </a:extLst>
        </xdr:cNvPr>
        <xdr:cNvSpPr txBox="1"/>
      </xdr:nvSpPr>
      <xdr:spPr>
        <a:xfrm>
          <a:off x="5283200" y="2717800"/>
          <a:ext cx="1549400" cy="476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Assume</a:t>
          </a:r>
          <a:r>
            <a:rPr lang="en-GB" sz="1100" baseline="0"/>
            <a:t> 4km between bursts</a:t>
          </a:r>
          <a:endParaRPr lang="en-GB" sz="1100"/>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yorkshirewater.sharepoint.com/teams/BRITPR19/PR24/Waste%20Water%20Strategic%20Asset%20Mgt/PR24%20FBP%20submission%20tables%20WW%20draft/1.3%20CWW21/CWW21%20WW%20COHORTING/USING%20LATEST%20GUIDANCE/For%20Audit%2010%20Aug%202023/Rising%20Mains/RM%20OUTPUTS%20v2%2014%20Sept%202023.xlsx?0BDB8A67" TargetMode="External"/><Relationship Id="rId1" Type="http://schemas.openxmlformats.org/officeDocument/2006/relationships/externalLinkPath" Target="file:///\\0BDB8A67\RM%20OUTPUTS%20v2%2014%20Sep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6"/>
      <sheetName val="Sheet22"/>
      <sheetName val="rm_data_cohort_by_all"/>
      <sheetName val="Sheet23"/>
      <sheetName val="final cohorts"/>
      <sheetName val="final cohorts for Ofwat"/>
      <sheetName val="Pareto analysis "/>
      <sheetName val="Length x CG"/>
      <sheetName val="RM threshold calcs for Ofwat"/>
      <sheetName val="lengths of zero burst RMs"/>
      <sheetName val="Plot length vs RM bursts"/>
    </sheetNames>
    <sheetDataSet>
      <sheetData sheetId="0"/>
      <sheetData sheetId="1">
        <row r="4">
          <cell r="A4">
            <v>1</v>
          </cell>
          <cell r="B4">
            <v>1.7999999999999998</v>
          </cell>
        </row>
        <row r="5">
          <cell r="A5">
            <v>2</v>
          </cell>
          <cell r="B5">
            <v>1.2</v>
          </cell>
        </row>
        <row r="6">
          <cell r="A6">
            <v>3</v>
          </cell>
          <cell r="B6">
            <v>4</v>
          </cell>
        </row>
        <row r="7">
          <cell r="A7">
            <v>4</v>
          </cell>
          <cell r="B7">
            <v>3.2</v>
          </cell>
        </row>
        <row r="8">
          <cell r="A8">
            <v>5</v>
          </cell>
          <cell r="B8">
            <v>2</v>
          </cell>
        </row>
        <row r="9">
          <cell r="A9">
            <v>6</v>
          </cell>
          <cell r="B9">
            <v>2.2000000000000002</v>
          </cell>
        </row>
        <row r="10">
          <cell r="A10">
            <v>7</v>
          </cell>
          <cell r="B10">
            <v>3.2</v>
          </cell>
        </row>
        <row r="11">
          <cell r="A11">
            <v>8</v>
          </cell>
          <cell r="B11">
            <v>2.6</v>
          </cell>
        </row>
        <row r="12">
          <cell r="A12">
            <v>9</v>
          </cell>
          <cell r="B12">
            <v>2.4000000000000004</v>
          </cell>
        </row>
        <row r="13">
          <cell r="A13">
            <v>10</v>
          </cell>
          <cell r="B13">
            <v>3.0000000000000004</v>
          </cell>
        </row>
        <row r="14">
          <cell r="A14">
            <v>11</v>
          </cell>
          <cell r="B14">
            <v>1.6</v>
          </cell>
        </row>
        <row r="15">
          <cell r="A15">
            <v>12</v>
          </cell>
          <cell r="B15">
            <v>0.8</v>
          </cell>
        </row>
        <row r="16">
          <cell r="A16">
            <v>13</v>
          </cell>
          <cell r="B16">
            <v>2.2000000000000002</v>
          </cell>
        </row>
        <row r="17">
          <cell r="A17">
            <v>14</v>
          </cell>
          <cell r="B17">
            <v>0.2</v>
          </cell>
        </row>
        <row r="18">
          <cell r="A18">
            <v>15</v>
          </cell>
          <cell r="B18">
            <v>0.2</v>
          </cell>
        </row>
        <row r="19">
          <cell r="A19">
            <v>16</v>
          </cell>
          <cell r="B19">
            <v>2.2000000000000002</v>
          </cell>
        </row>
        <row r="20">
          <cell r="A20">
            <v>17</v>
          </cell>
          <cell r="B20">
            <v>1.5999999999999999</v>
          </cell>
        </row>
        <row r="21">
          <cell r="A21">
            <v>18</v>
          </cell>
          <cell r="B21">
            <v>2.5</v>
          </cell>
        </row>
        <row r="22">
          <cell r="A22">
            <v>19</v>
          </cell>
          <cell r="B22">
            <v>2.6</v>
          </cell>
        </row>
        <row r="23">
          <cell r="A23">
            <v>20</v>
          </cell>
          <cell r="B23">
            <v>0.2</v>
          </cell>
        </row>
        <row r="24">
          <cell r="A24">
            <v>21</v>
          </cell>
          <cell r="B24">
            <v>1</v>
          </cell>
        </row>
        <row r="25">
          <cell r="A25">
            <v>22</v>
          </cell>
          <cell r="B25">
            <v>2.9333333333333331</v>
          </cell>
        </row>
        <row r="26">
          <cell r="A26">
            <v>23</v>
          </cell>
          <cell r="B26">
            <v>0.7</v>
          </cell>
        </row>
        <row r="27">
          <cell r="A27">
            <v>24</v>
          </cell>
          <cell r="B27">
            <v>0.60000000000000009</v>
          </cell>
        </row>
        <row r="28">
          <cell r="A28">
            <v>25</v>
          </cell>
          <cell r="B28">
            <v>2.4000000000000004</v>
          </cell>
        </row>
        <row r="29">
          <cell r="A29">
            <v>26</v>
          </cell>
          <cell r="B29">
            <v>3.6000000000000005</v>
          </cell>
        </row>
        <row r="30">
          <cell r="A30">
            <v>27</v>
          </cell>
          <cell r="B30">
            <v>3.5</v>
          </cell>
        </row>
        <row r="31">
          <cell r="A31">
            <v>28</v>
          </cell>
          <cell r="B31">
            <v>1.2</v>
          </cell>
        </row>
        <row r="32">
          <cell r="A32">
            <v>29</v>
          </cell>
          <cell r="B32">
            <v>3.2000000000000006</v>
          </cell>
        </row>
        <row r="33">
          <cell r="A33">
            <v>30</v>
          </cell>
          <cell r="B33">
            <v>1.7999999999999998</v>
          </cell>
        </row>
        <row r="34">
          <cell r="A34">
            <v>31</v>
          </cell>
          <cell r="B34">
            <v>2.8000000000000003</v>
          </cell>
        </row>
        <row r="35">
          <cell r="A35">
            <v>32</v>
          </cell>
          <cell r="B35">
            <v>1.5999999999999999</v>
          </cell>
        </row>
        <row r="36">
          <cell r="A36">
            <v>33</v>
          </cell>
          <cell r="B36">
            <v>2</v>
          </cell>
        </row>
        <row r="37">
          <cell r="A37">
            <v>34</v>
          </cell>
          <cell r="B37">
            <v>2.4</v>
          </cell>
        </row>
        <row r="38">
          <cell r="A38">
            <v>35</v>
          </cell>
          <cell r="B38">
            <v>2.4000000000000004</v>
          </cell>
        </row>
        <row r="39">
          <cell r="A39">
            <v>36</v>
          </cell>
          <cell r="B39">
            <v>2</v>
          </cell>
        </row>
        <row r="40">
          <cell r="A40">
            <v>37</v>
          </cell>
          <cell r="B40">
            <v>1.4</v>
          </cell>
        </row>
        <row r="41">
          <cell r="A41">
            <v>38</v>
          </cell>
          <cell r="B41">
            <v>1.6</v>
          </cell>
        </row>
        <row r="42">
          <cell r="A42">
            <v>39</v>
          </cell>
          <cell r="B42">
            <v>2.4</v>
          </cell>
        </row>
        <row r="43">
          <cell r="A43">
            <v>40</v>
          </cell>
          <cell r="B43">
            <v>3</v>
          </cell>
        </row>
        <row r="44">
          <cell r="A44">
            <v>41</v>
          </cell>
          <cell r="B44">
            <v>0.2</v>
          </cell>
        </row>
      </sheetData>
      <sheetData sheetId="2"/>
      <sheetData sheetId="3"/>
      <sheetData sheetId="4"/>
      <sheetData sheetId="5"/>
      <sheetData sheetId="6">
        <row r="1">
          <cell r="F1" t="str">
            <v>Cumulative length (km)</v>
          </cell>
        </row>
        <row r="2">
          <cell r="D2">
            <v>2</v>
          </cell>
          <cell r="F2">
            <v>0.13670462294388297</v>
          </cell>
        </row>
        <row r="3">
          <cell r="D3">
            <v>5.5</v>
          </cell>
          <cell r="F3">
            <v>0.80404388698945273</v>
          </cell>
        </row>
        <row r="4">
          <cell r="D4">
            <v>9.5</v>
          </cell>
          <cell r="F4">
            <v>2.6312784502875024</v>
          </cell>
        </row>
        <row r="5">
          <cell r="D5">
            <v>11.7</v>
          </cell>
          <cell r="F5">
            <v>5.6593163475776045</v>
          </cell>
        </row>
        <row r="6">
          <cell r="D6">
            <v>13.7</v>
          </cell>
          <cell r="F6">
            <v>8.9546385758383309</v>
          </cell>
        </row>
        <row r="7">
          <cell r="D7">
            <v>16.100000000000001</v>
          </cell>
          <cell r="F7">
            <v>14.238773882139764</v>
          </cell>
        </row>
        <row r="8">
          <cell r="D8">
            <v>16.900000000000002</v>
          </cell>
          <cell r="F8">
            <v>16.812248719654438</v>
          </cell>
        </row>
        <row r="9">
          <cell r="D9">
            <v>20.100000000000001</v>
          </cell>
          <cell r="F9">
            <v>28.276178961925304</v>
          </cell>
        </row>
        <row r="10">
          <cell r="D10">
            <v>22.5</v>
          </cell>
          <cell r="F10">
            <v>42.820732326672911</v>
          </cell>
        </row>
        <row r="11">
          <cell r="D11">
            <v>24.5</v>
          </cell>
          <cell r="F11">
            <v>55.481960985024308</v>
          </cell>
        </row>
        <row r="12">
          <cell r="D12">
            <v>26.7</v>
          </cell>
          <cell r="F12">
            <v>70.901891014244597</v>
          </cell>
        </row>
        <row r="13">
          <cell r="D13">
            <v>27.7</v>
          </cell>
          <cell r="F13">
            <v>79.427203360726679</v>
          </cell>
        </row>
        <row r="14">
          <cell r="D14">
            <v>30.3</v>
          </cell>
          <cell r="F14">
            <v>103.39616500017306</v>
          </cell>
        </row>
        <row r="15">
          <cell r="D15">
            <v>32.700000000000003</v>
          </cell>
          <cell r="F15">
            <v>129.09703615572357</v>
          </cell>
        </row>
        <row r="16">
          <cell r="D16">
            <v>35.200000000000003</v>
          </cell>
          <cell r="F16">
            <v>158.90483380543463</v>
          </cell>
        </row>
        <row r="17">
          <cell r="D17">
            <v>38.200000000000003</v>
          </cell>
          <cell r="F17">
            <v>197.42367987449344</v>
          </cell>
        </row>
        <row r="18">
          <cell r="D18">
            <v>39.800000000000004</v>
          </cell>
          <cell r="F18">
            <v>219.06307890277412</v>
          </cell>
        </row>
        <row r="19">
          <cell r="D19">
            <v>43.000000000000007</v>
          </cell>
          <cell r="F19">
            <v>268.77002952283038</v>
          </cell>
        </row>
        <row r="20">
          <cell r="D20">
            <v>44.400000000000006</v>
          </cell>
          <cell r="F20">
            <v>290.88435567886444</v>
          </cell>
        </row>
        <row r="21">
          <cell r="D21">
            <v>46.2</v>
          </cell>
          <cell r="F21">
            <v>319.74207554916734</v>
          </cell>
        </row>
        <row r="22">
          <cell r="D22">
            <v>48.400000000000006</v>
          </cell>
          <cell r="F22">
            <v>355.82676884847399</v>
          </cell>
        </row>
        <row r="23">
          <cell r="D23">
            <v>48.600000000000009</v>
          </cell>
          <cell r="F23">
            <v>359.8055228436919</v>
          </cell>
        </row>
        <row r="24">
          <cell r="D24">
            <v>51.000000000000007</v>
          </cell>
          <cell r="F24">
            <v>413.145184476569</v>
          </cell>
        </row>
        <row r="25">
          <cell r="D25">
            <v>54.600000000000009</v>
          </cell>
          <cell r="F25">
            <v>495.09914848273314</v>
          </cell>
        </row>
        <row r="26">
          <cell r="D26">
            <v>56.20000000000001</v>
          </cell>
          <cell r="F26">
            <v>531.87382194723386</v>
          </cell>
        </row>
        <row r="27">
          <cell r="D27">
            <v>57.400000000000013</v>
          </cell>
          <cell r="F27">
            <v>559.83333443498782</v>
          </cell>
        </row>
        <row r="28">
          <cell r="D28">
            <v>59.800000000000011</v>
          </cell>
          <cell r="F28">
            <v>616.49091291970467</v>
          </cell>
        </row>
        <row r="29">
          <cell r="D29">
            <v>61.400000000000013</v>
          </cell>
          <cell r="F29">
            <v>654.27028512718061</v>
          </cell>
        </row>
        <row r="30">
          <cell r="D30">
            <v>64.600000000000009</v>
          </cell>
          <cell r="F30">
            <v>732.15206294546408</v>
          </cell>
        </row>
        <row r="31">
          <cell r="D31">
            <v>67.533333333333346</v>
          </cell>
          <cell r="F31">
            <v>814.09477894863585</v>
          </cell>
        </row>
        <row r="32">
          <cell r="D32">
            <v>69.333333333333343</v>
          </cell>
          <cell r="F32">
            <v>865.44688074766827</v>
          </cell>
        </row>
        <row r="33">
          <cell r="D33">
            <v>71.933333333333337</v>
          </cell>
          <cell r="F33">
            <v>943.27028695603985</v>
          </cell>
        </row>
        <row r="34">
          <cell r="D34">
            <v>72.13333333333334</v>
          </cell>
          <cell r="F34">
            <v>949.44304720174068</v>
          </cell>
        </row>
        <row r="35">
          <cell r="D35">
            <v>73.733333333333334</v>
          </cell>
          <cell r="F35">
            <v>999.88384928664425</v>
          </cell>
        </row>
        <row r="36">
          <cell r="D36">
            <v>76.733333333333334</v>
          </cell>
          <cell r="F36">
            <v>1099.563338558735</v>
          </cell>
        </row>
        <row r="37">
          <cell r="D37">
            <v>77.333333333333329</v>
          </cell>
          <cell r="F37">
            <v>1120.542336654021</v>
          </cell>
        </row>
        <row r="38">
          <cell r="D38">
            <v>78.533333333333331</v>
          </cell>
          <cell r="F38">
            <v>1165.5127734798471</v>
          </cell>
        </row>
        <row r="39">
          <cell r="D39">
            <v>81.333333333333329</v>
          </cell>
          <cell r="F39">
            <v>1270.9764339817355</v>
          </cell>
        </row>
        <row r="40">
          <cell r="D40">
            <v>82.033333333333331</v>
          </cell>
          <cell r="F40">
            <v>1302.6149453042813</v>
          </cell>
        </row>
        <row r="41">
          <cell r="D41">
            <v>82.233333333333334</v>
          </cell>
          <cell r="F41">
            <v>1312.4767527831152</v>
          </cell>
        </row>
        <row r="42">
          <cell r="D42">
            <v>82.433333333333337</v>
          </cell>
          <cell r="F42">
            <v>1323.9953700000001</v>
          </cell>
        </row>
      </sheetData>
      <sheetData sheetId="7"/>
      <sheetData sheetId="8"/>
      <sheetData sheetId="9"/>
      <sheetData sheetId="1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m LEDGAR" refreshedDate="45515.693675347226" createdVersion="8" refreshedVersion="8" minRefreshableVersion="3" recordCount="43" xr:uid="{8CAFF411-6E1A-4600-948B-35BE32CB06BF}">
  <cacheSource type="worksheet">
    <worksheetSource ref="A2:R1048576" sheet="Cohorts"/>
  </cacheSource>
  <cacheFields count="18">
    <cacheField name="cohort ref" numFmtId="0">
      <sharedItems containsString="0" containsBlank="1" containsNumber="1" containsInteger="1" minValue="1" maxValue="41"/>
    </cacheField>
    <cacheField name="Material " numFmtId="0">
      <sharedItems containsBlank="1"/>
    </cacheField>
    <cacheField name="Diameter" numFmtId="0">
      <sharedItems containsBlank="1"/>
    </cacheField>
    <cacheField name="Install Yr Band " numFmtId="0">
      <sharedItems containsBlank="1"/>
    </cacheField>
    <cacheField name="Sec Install Yr Band" numFmtId="0">
      <sharedItems containsBlank="1"/>
    </cacheField>
    <cacheField name="Function" numFmtId="0">
      <sharedItems containsBlank="1"/>
    </cacheField>
    <cacheField name="Hotspot DAZ" numFmtId="0">
      <sharedItems containsBlank="1"/>
    </cacheField>
    <cacheField name="DAZ" numFmtId="0">
      <sharedItems containsBlank="1" containsMixedTypes="1" containsNumber="1" containsInteger="1" minValue="251" maxValue="251"/>
    </cacheField>
    <cacheField name="Total length (km)" numFmtId="4">
      <sharedItems containsString="0" containsBlank="1" containsNumber="1" minValue="0.13670462294388297" maxValue="105.46366050188847"/>
    </cacheField>
    <cacheField name="Total ave bursts per yr" numFmtId="0">
      <sharedItems containsString="0" containsBlank="1" containsNumber="1" minValue="0.2" maxValue="82.433333333333366"/>
    </cacheField>
    <cacheField name="Nominal expected bursts" numFmtId="0">
      <sharedItems containsString="0" containsBlank="1" containsNumber="1" minValue="1" maxValue="89"/>
    </cacheField>
    <cacheField name="Annual burst rate tolerance" numFmtId="0">
      <sharedItems containsString="0" containsBlank="1" containsNumber="1" minValue="-2.2000000000000002" maxValue="0.92"/>
    </cacheField>
    <cacheField name="Tolerance" numFmtId="0">
      <sharedItems containsBlank="1"/>
    </cacheField>
    <cacheField name="Within tolerance" numFmtId="0">
      <sharedItems containsBlank="1"/>
    </cacheField>
    <cacheField name="Average annual bursts per 1000km" numFmtId="0">
      <sharedItems containsString="0" containsBlank="1" containsNumber="1" minValue="17.363195271983066" maxValue="14630.083145183735"/>
    </cacheField>
    <cacheField name="Grade" numFmtId="0">
      <sharedItems containsString="0" containsBlank="1" containsNumber="1" containsInteger="1" minValue="1" maxValue="5" count="6">
        <n v="1"/>
        <n v="5"/>
        <n v="3"/>
        <n v="2"/>
        <n v="4"/>
        <m/>
      </sharedItems>
    </cacheField>
    <cacheField name="Rank" numFmtId="0">
      <sharedItems containsString="0" containsBlank="1" containsNumber="1" containsInteger="1" minValue="1" maxValue="41"/>
    </cacheField>
    <cacheField name="If not within tolerance, state reason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n v="1"/>
    <s v="AC"/>
    <s v="&lt;=320mm"/>
    <s v="(1900-2010]"/>
    <s v="Not used"/>
    <s v="C"/>
    <s v="Not used"/>
    <s v="Not used"/>
    <n v="28.857719870302883"/>
    <n v="1.7999999999999998"/>
    <n v="2.5"/>
    <n v="0.28000000000000003"/>
    <s v="   +/- 50%"/>
    <s v="Yes"/>
    <n v="62.374990404295843"/>
    <x v="0"/>
    <n v="20"/>
    <m/>
  </r>
  <r>
    <n v="2"/>
    <s v="AC"/>
    <s v="&lt;=320mm"/>
    <s v="(1900-2010]"/>
    <s v="Not used"/>
    <s v="F"/>
    <s v="Not used"/>
    <s v="Not used"/>
    <n v="44.970436825825935"/>
    <n v="1.2"/>
    <n v="2.5"/>
    <n v="0.52"/>
    <s v="   +/- 50%"/>
    <s v="No"/>
    <n v="26.684197101480134"/>
    <x v="0"/>
    <n v="37"/>
    <s v="Aggregation with the following cohort (ref 3) and splitting by Hotspot DAZ = Yes/No does not rectify the problem of cohorts 2 and 3 being outside of the lower and upper tolerance bounds, respectively."/>
  </r>
  <r>
    <n v="3"/>
    <s v="AC"/>
    <s v="&lt;=320mm"/>
    <s v="2011 onwards"/>
    <s v="Not used"/>
    <s v="F"/>
    <s v="Not used"/>
    <s v="Not used"/>
    <n v="1.8272345632980498"/>
    <n v="4"/>
    <n v="2.5"/>
    <n v="-0.60000000000000009"/>
    <s v="   +/- 50%"/>
    <s v="No"/>
    <n v="2189.1004473887783"/>
    <x v="1"/>
    <n v="3"/>
    <s v="This cohort comprises four DAZs but all four bursts fall within the same DAZ. Splitting this DAZ out would not reduce the failure rate p.a and would introduce an additional cohort having a zero failure history.   "/>
  </r>
  <r>
    <n v="4"/>
    <s v="AC"/>
    <s v="&gt;320mm"/>
    <s v="1901 onwards"/>
    <s v="Not used"/>
    <s v="C"/>
    <s v="Not used"/>
    <s v="Not used"/>
    <n v="11.463930242270868"/>
    <n v="3.2"/>
    <n v="1"/>
    <n v="-2.2000000000000002"/>
    <s v="   +/- 50%"/>
    <s v="No"/>
    <n v="279.13638101186825"/>
    <x v="2"/>
    <n v="8"/>
    <s v="Cohort comprises all rising mains of this material, size and function."/>
  </r>
  <r>
    <n v="5"/>
    <s v="CI"/>
    <s v="&lt;=320mm"/>
    <s v="(1900-1980]"/>
    <s v="Not used "/>
    <s v="C"/>
    <s v="Yes"/>
    <s v="206, 273, 301-02, 376, 434, 612"/>
    <n v="3.295322228260726"/>
    <n v="2"/>
    <n v="2.5"/>
    <n v="0.19999999999999996"/>
    <s v="   +/- 50%"/>
    <s v="Yes"/>
    <n v="606.92092046355106"/>
    <x v="1"/>
    <n v="5"/>
    <m/>
  </r>
  <r>
    <n v="6"/>
    <s v="CI"/>
    <s v="&lt;=320mm"/>
    <s v="(1900-1980]"/>
    <s v="Not used"/>
    <s v="C"/>
    <s v="Yes"/>
    <s v="711, 748, 752, 758, 756"/>
    <n v="3.0280378972901021"/>
    <n v="2.2000000000000002"/>
    <n v="2.5"/>
    <n v="0.11999999999999988"/>
    <s v="   +/- 50%"/>
    <s v="Yes"/>
    <n v="726.54308652109603"/>
    <x v="1"/>
    <n v="4"/>
    <m/>
  </r>
  <r>
    <n v="7"/>
    <s v="CI"/>
    <s v="&lt;=320mm"/>
    <s v="(1900-1980]"/>
    <s v="Not used"/>
    <s v="C"/>
    <s v="No"/>
    <s v="Not used"/>
    <n v="49.706950620056247"/>
    <n v="3.2"/>
    <n v="2.5"/>
    <n v="-0.28000000000000003"/>
    <s v="   +/- 50%"/>
    <s v="Yes"/>
    <n v="64.377314642770159"/>
    <x v="0"/>
    <n v="18"/>
    <m/>
  </r>
  <r>
    <n v="8"/>
    <s v="CI"/>
    <s v="&lt;=320mm"/>
    <s v="(1900-1980]"/>
    <s v="(1900-1960]"/>
    <s v="F"/>
    <s v="Yes"/>
    <s v="302, 323, 373, 375"/>
    <n v="23.968961639446377"/>
    <n v="2.6"/>
    <n v="2.5"/>
    <n v="-4.0000000000000036E-2"/>
    <s v="   +/- 50%"/>
    <s v="Yes"/>
    <n v="108.4736184700262"/>
    <x v="3"/>
    <n v="13"/>
    <m/>
  </r>
  <r>
    <n v="9"/>
    <s v="CI"/>
    <s v="&lt;=320mm"/>
    <s v="(1900-1980]"/>
    <s v="(1950-1960]"/>
    <s v="F"/>
    <s v="Yes"/>
    <s v="401, 421, 738, 744"/>
    <n v="5.284135306301434"/>
    <n v="2.4000000000000004"/>
    <n v="2.5"/>
    <n v="3.9999999999999813E-2"/>
    <s v="   +/- 50%"/>
    <s v="Yes"/>
    <n v="454.18973226101036"/>
    <x v="4"/>
    <n v="6"/>
    <m/>
  </r>
  <r>
    <n v="10"/>
    <s v="CI"/>
    <s v="&lt;=320mm"/>
    <s v="(1900-1980]"/>
    <s v="(1950-1960]"/>
    <s v="F"/>
    <s v="No"/>
    <s v="Not used"/>
    <n v="38.518846069058803"/>
    <n v="3.0000000000000004"/>
    <n v="2.5"/>
    <n v="-0.20000000000000018"/>
    <s v="   +/- 50%"/>
    <s v="Yes"/>
    <n v="77.883953081601348"/>
    <x v="3"/>
    <n v="16"/>
    <m/>
  </r>
  <r>
    <n v="11"/>
    <s v="CI"/>
    <s v="&lt;=320mm"/>
    <s v="(1900-1980]"/>
    <s v="(1960-1980]"/>
    <s v="F"/>
    <s v="Not used"/>
    <s v="Not used"/>
    <n v="37.779372207475951"/>
    <n v="1.6"/>
    <n v="2.5"/>
    <n v="0.36"/>
    <s v="   +/- 50%"/>
    <s v="Yes"/>
    <n v="42.351153725190407"/>
    <x v="0"/>
    <n v="28"/>
    <m/>
  </r>
  <r>
    <n v="12"/>
    <s v="CI"/>
    <s v="&lt;=320mm"/>
    <s v="(1900-1980]"/>
    <s v="(1920-1980]"/>
    <s v="Other"/>
    <s v="Not used"/>
    <s v="Not used"/>
    <n v="2.5734748375146728"/>
    <n v="0.8"/>
    <n v="2.5"/>
    <n v="0.67999999999999994"/>
    <s v="   +/- 50%"/>
    <s v="No"/>
    <n v="310.86373503173559"/>
    <x v="4"/>
    <n v="7"/>
    <s v="Cohort comprises all rising mains of this material, size and function."/>
  </r>
  <r>
    <n v="13"/>
    <s v="CI"/>
    <s v="&gt;320mm"/>
    <s v="(1900-1980]"/>
    <s v="Not used"/>
    <s v="C"/>
    <s v="Not used"/>
    <s v="Not used"/>
    <n v="36.084693299306657"/>
    <n v="2.2000000000000002"/>
    <n v="1"/>
    <n v="-1.2000000000000002"/>
    <s v="   +/- 50%"/>
    <s v="No"/>
    <n v="60.967679058596062"/>
    <x v="0"/>
    <n v="21"/>
    <s v="Cohort comprises all rising mains of this material, size and function."/>
  </r>
  <r>
    <n v="14"/>
    <s v="CI"/>
    <s v="&gt;320mm"/>
    <s v="(1900-1980]"/>
    <s v="Not used"/>
    <s v="F"/>
    <s v="Not used"/>
    <s v="Not used"/>
    <n v="11.518617216884978"/>
    <n v="0.2"/>
    <n v="1"/>
    <n v="0.8"/>
    <s v="   +/- 50%"/>
    <s v="No"/>
    <n v="17.363195271983066"/>
    <x v="0"/>
    <n v="41"/>
    <s v="Cohort comprises all rising mains of this material, size and function."/>
  </r>
  <r>
    <n v="15"/>
    <s v="CI"/>
    <s v="&gt;320mm"/>
    <s v="(1900-1980]"/>
    <s v="Not used"/>
    <s v="S"/>
    <s v="Not used"/>
    <s v="Not used"/>
    <n v="3.9787539952179287"/>
    <n v="0.2"/>
    <n v="1"/>
    <n v="0.8"/>
    <s v="   +/- 50%"/>
    <s v="No"/>
    <n v="50.266993194447394"/>
    <x v="0"/>
    <n v="22"/>
    <s v="Cohort comprises all rising mains of this material, size and function."/>
  </r>
  <r>
    <n v="16"/>
    <s v="DI"/>
    <s v="&lt;=320mm"/>
    <s v="1901 onwards"/>
    <s v="(1900-1980]"/>
    <s v="C"/>
    <s v="Not used"/>
    <s v="Not used"/>
    <n v="15.419930029220295"/>
    <n v="2.2000000000000002"/>
    <n v="2.5"/>
    <n v="0.11999999999999988"/>
    <s v="   +/- 50%"/>
    <s v="Yes"/>
    <n v="142.67250213399592"/>
    <x v="3"/>
    <n v="11"/>
    <m/>
  </r>
  <r>
    <n v="17"/>
    <s v="DI"/>
    <s v="&lt;=320mm"/>
    <s v="1901 onwards"/>
    <s v="(1980-2000]"/>
    <s v="C"/>
    <s v="Not used"/>
    <s v="Not used"/>
    <n v="21.639399028280668"/>
    <n v="1.5999999999999999"/>
    <n v="2.5"/>
    <n v="0.3600000000000001"/>
    <s v="   +/- 50%"/>
    <s v="Yes"/>
    <n v="73.939206810177581"/>
    <x v="3"/>
    <n v="17"/>
    <m/>
  </r>
  <r>
    <n v="18"/>
    <s v="DI"/>
    <s v="&lt;=320mm"/>
    <s v="1901 onwards"/>
    <s v="2001 onwards"/>
    <s v="C"/>
    <s v="Not used"/>
    <s v="Not used"/>
    <n v="29.80779764971107"/>
    <n v="2.5"/>
    <n v="2.5"/>
    <n v="0"/>
    <s v="   +/- 50%"/>
    <s v="Yes"/>
    <n v="83.870671338384938"/>
    <x v="3"/>
    <n v="15"/>
    <m/>
  </r>
  <r>
    <n v="19"/>
    <s v="DI"/>
    <s v="&lt;=320mm"/>
    <s v="1901 onwards"/>
    <s v="Not used"/>
    <s v="F"/>
    <s v="Not used"/>
    <s v="Not used"/>
    <n v="77.823406208371622"/>
    <n v="2.6"/>
    <n v="2.5"/>
    <n v="-4.0000000000000036E-2"/>
    <s v="   +/- 50%"/>
    <s v="Yes"/>
    <n v="33.408972013362131"/>
    <x v="0"/>
    <n v="32"/>
    <m/>
  </r>
  <r>
    <n v="20"/>
    <s v="DI"/>
    <s v="&lt;=320mm"/>
    <s v="1901 onwards"/>
    <s v="Not used"/>
    <s v="Other"/>
    <s v="Not used"/>
    <s v="Not used"/>
    <n v="6.1727602457008537"/>
    <n v="0.2"/>
    <n v="2.5"/>
    <n v="0.92"/>
    <s v="   +/- 50%"/>
    <s v="No"/>
    <n v="32.400416027707237"/>
    <x v="0"/>
    <n v="33"/>
    <s v="Cohort comprises all rising mains of this material, size and function."/>
  </r>
  <r>
    <n v="21"/>
    <s v="DI"/>
    <s v="&gt;320mm"/>
    <s v="1901 onwards"/>
    <s v="Not used"/>
    <s v="C"/>
    <s v="Yes"/>
    <s v="Not used"/>
    <n v="8.5253123464820781"/>
    <n v="1"/>
    <n v="1"/>
    <n v="0"/>
    <s v="   +/- 50%"/>
    <s v="Yes"/>
    <n v="117.29775512713553"/>
    <x v="3"/>
    <n v="12"/>
    <m/>
  </r>
  <r>
    <n v="22"/>
    <s v="DI"/>
    <s v="&gt;320mm"/>
    <s v="1901 onwards"/>
    <s v="Not used"/>
    <s v="C"/>
    <s v="No"/>
    <s v="Not used"/>
    <n v="81.942716003171711"/>
    <n v="2.9333333333333331"/>
    <n v="1"/>
    <n v="-1.9333333333333331"/>
    <s v="   +/- 50%"/>
    <s v="No"/>
    <n v="35.797365237683778"/>
    <x v="0"/>
    <n v="30"/>
    <s v="Aggregating with the preceding cohort (ref 21) and ignoring Hotspot DAZ status would result in a cohort that is outside of the upper tolerance bound. "/>
  </r>
  <r>
    <n v="23"/>
    <s v="DI"/>
    <s v="&gt;320mm"/>
    <s v="1901 onwards"/>
    <s v="Not used"/>
    <s v="F"/>
    <s v="Not used"/>
    <s v="Not used"/>
    <n v="31.638511322545863"/>
    <n v="0.7"/>
    <n v="1"/>
    <n v="0.30000000000000004"/>
    <s v="   +/- 50%"/>
    <s v="Yes"/>
    <n v="22.124934794298433"/>
    <x v="0"/>
    <n v="39"/>
    <m/>
  </r>
  <r>
    <n v="24"/>
    <s v="DI"/>
    <s v="&gt;320mm"/>
    <s v="1901 onwards"/>
    <s v="Not used"/>
    <s v="Other"/>
    <s v="Not used"/>
    <s v="Not used"/>
    <n v="20.978998095285945"/>
    <n v="0.60000000000000009"/>
    <n v="1"/>
    <n v="0.39999999999999991"/>
    <s v="   +/- 50%"/>
    <s v="Yes"/>
    <n v="28.600031196667214"/>
    <x v="0"/>
    <n v="36"/>
    <m/>
  </r>
  <r>
    <n v="25"/>
    <s v="PE"/>
    <s v="&lt;=320mm"/>
    <s v="(1900-2000]"/>
    <s v="Not used"/>
    <s v="C"/>
    <s v="Not used"/>
    <s v="Not used"/>
    <n v="56.657578484716801"/>
    <n v="2.4000000000000004"/>
    <n v="2.5"/>
    <n v="3.9999999999999813E-2"/>
    <s v="   +/- 50%"/>
    <s v="Yes"/>
    <n v="42.359734817247663"/>
    <x v="0"/>
    <n v="27"/>
    <m/>
  </r>
  <r>
    <n v="26"/>
    <s v="PE"/>
    <s v="&lt;=320mm"/>
    <s v="(2000-2010]"/>
    <s v="Not used"/>
    <s v="C"/>
    <s v="Not used"/>
    <s v="Not used"/>
    <n v="81.953964006164142"/>
    <n v="3.6000000000000005"/>
    <n v="2.5"/>
    <n v="-0.44000000000000017"/>
    <s v="   +/- 50%"/>
    <s v="Yes"/>
    <n v="43.927100338053542"/>
    <x v="0"/>
    <n v="24"/>
    <m/>
  </r>
  <r>
    <n v="27"/>
    <s v="PE"/>
    <s v="&lt;=320mm"/>
    <s v="2011 onwards"/>
    <s v="Not used"/>
    <s v="C"/>
    <s v="Yes"/>
    <n v="251"/>
    <n v="0.66733926404556976"/>
    <n v="3.5"/>
    <n v="2.5"/>
    <n v="-0.39999999999999991"/>
    <s v="   +/- 50%"/>
    <s v="Yes"/>
    <n v="5244.7086340794112"/>
    <x v="1"/>
    <n v="2"/>
    <m/>
  </r>
  <r>
    <n v="28"/>
    <s v="PE"/>
    <s v="&lt;=320mm"/>
    <s v="2011 onwards"/>
    <s v="Not used"/>
    <s v="C"/>
    <s v="Not used"/>
    <s v="206, 273, 301, 302, 350, 373, 434, 551, 553, 701, 752"/>
    <n v="27.959512487753944"/>
    <n v="1.2"/>
    <n v="2.5"/>
    <n v="0.52"/>
    <s v="   +/- 50%"/>
    <s v="No"/>
    <n v="42.919203277438797"/>
    <x v="0"/>
    <n v="26"/>
    <s v="Aggregating with the preceding cohort (ref 27) would result in a cohort that is outside of the upper tolerance bound. "/>
  </r>
  <r>
    <n v="29"/>
    <s v="PE"/>
    <s v="&lt;=320mm"/>
    <s v="(1900-1980]"/>
    <s v="Not used"/>
    <s v="F"/>
    <s v="Not used"/>
    <s v="Not used"/>
    <n v="77.881777818283496"/>
    <n v="3.2000000000000006"/>
    <n v="2.5"/>
    <n v="-0.28000000000000025"/>
    <s v="   +/- 50%"/>
    <s v="Yes"/>
    <n v="41.087916707119263"/>
    <x v="0"/>
    <n v="29"/>
    <m/>
  </r>
  <r>
    <n v="30"/>
    <s v="PE"/>
    <s v="&lt;=320mm"/>
    <s v="(1980-2000]"/>
    <s v="Not used"/>
    <s v="F"/>
    <s v="Not used"/>
    <s v="Not used"/>
    <n v="51.352101799032368"/>
    <n v="1.7999999999999998"/>
    <n v="2.5"/>
    <n v="0.28000000000000003"/>
    <s v="   +/- 50%"/>
    <s v="Yes"/>
    <n v="35.052119327936005"/>
    <x v="0"/>
    <n v="31"/>
    <m/>
  </r>
  <r>
    <n v="31"/>
    <s v="PE"/>
    <s v="&lt;=320mm"/>
    <s v="(2000-2010]"/>
    <s v="Not used"/>
    <s v="F"/>
    <s v="Not used"/>
    <s v="Not used"/>
    <n v="105.46366050188847"/>
    <n v="2.8000000000000003"/>
    <n v="2.5"/>
    <n v="-0.12000000000000011"/>
    <s v="   +/- 50%"/>
    <s v="Yes"/>
    <n v="26.549429316933885"/>
    <x v="0"/>
    <n v="38"/>
    <m/>
  </r>
  <r>
    <n v="32"/>
    <s v="PE"/>
    <s v="&lt;=320mm"/>
    <s v="2011 onwards"/>
    <s v="Not used"/>
    <s v="F"/>
    <s v="Not used"/>
    <s v="Not used"/>
    <n v="50.440802084903581"/>
    <n v="1.5999999999999999"/>
    <n v="2.5"/>
    <n v="0.3600000000000001"/>
    <s v="   +/- 50%"/>
    <s v="Yes"/>
    <n v="31.720352053617788"/>
    <x v="0"/>
    <n v="34"/>
    <m/>
  </r>
  <r>
    <n v="33"/>
    <s v="PE"/>
    <s v="&lt;=320mm"/>
    <s v="1901 onwards"/>
    <s v="Not used"/>
    <s v="Other"/>
    <s v="Not used"/>
    <s v="Not used"/>
    <n v="12.661228658351396"/>
    <n v="2"/>
    <n v="2.5"/>
    <n v="0.19999999999999996"/>
    <s v="   +/- 50%"/>
    <s v="Yes"/>
    <n v="157.96255276384983"/>
    <x v="2"/>
    <n v="10"/>
    <m/>
  </r>
  <r>
    <n v="34"/>
    <s v="PL"/>
    <s v="&lt;=320mm"/>
    <s v="1961 onwards"/>
    <s v="Not used"/>
    <s v="C"/>
    <s v="Not used"/>
    <s v="Not used"/>
    <n v="14.544553364747607"/>
    <n v="2.4"/>
    <n v="2.5"/>
    <n v="4.0000000000000036E-2"/>
    <s v="   +/- 50%"/>
    <s v="Yes"/>
    <n v="165.01022340204719"/>
    <x v="2"/>
    <n v="9"/>
    <m/>
  </r>
  <r>
    <n v="35"/>
    <s v="PL"/>
    <s v="&lt;=320mm"/>
    <s v="(1960-2010]"/>
    <s v="Not used"/>
    <s v="F"/>
    <s v="Not used"/>
    <s v="Not used"/>
    <n v="25.700871155550516"/>
    <n v="2.4000000000000004"/>
    <n v="2.5"/>
    <n v="3.9999999999999813E-2"/>
    <s v="   +/- 50%"/>
    <s v="Yes"/>
    <n v="93.382048626849041"/>
    <x v="3"/>
    <n v="14"/>
    <m/>
  </r>
  <r>
    <n v="36"/>
    <s v="PL"/>
    <s v="&lt;=320mm"/>
    <s v="2011 onwards"/>
    <s v="Not used"/>
    <s v="F"/>
    <s v="Not used"/>
    <s v="Not used"/>
    <n v="0.13670462294388297"/>
    <n v="2"/>
    <n v="2.5"/>
    <n v="0.19999999999999996"/>
    <s v="   +/- 50%"/>
    <s v="Yes"/>
    <n v="14630.083145183735"/>
    <x v="1"/>
    <n v="1"/>
    <m/>
  </r>
  <r>
    <n v="37"/>
    <s v="PVC"/>
    <s v="&lt;=320mm"/>
    <s v="(1940-1980]"/>
    <s v="Not used"/>
    <s v="C"/>
    <s v="Not used"/>
    <s v="Not used"/>
    <n v="22.11432615603406"/>
    <n v="1.4"/>
    <n v="2.5"/>
    <n v="0.44000000000000006"/>
    <s v="   +/- 50%"/>
    <s v="Yes"/>
    <n v="63.307377765973634"/>
    <x v="0"/>
    <n v="19"/>
    <m/>
  </r>
  <r>
    <n v="38"/>
    <s v="PVC"/>
    <s v="&lt;=320mm"/>
    <s v="1981 onwards"/>
    <s v="Not used"/>
    <s v="C"/>
    <s v="Not used"/>
    <s v="Not used"/>
    <n v="36.774673464500758"/>
    <n v="1.6"/>
    <n v="2.5"/>
    <n v="0.36"/>
    <s v="   +/- 50%"/>
    <s v="Yes"/>
    <n v="43.50820413251278"/>
    <x v="0"/>
    <n v="25"/>
    <m/>
  </r>
  <r>
    <n v="39"/>
    <s v="PVC"/>
    <s v="&lt;=320mm"/>
    <s v="(1940-1980]"/>
    <s v="Not used"/>
    <s v="F"/>
    <s v="Not used"/>
    <s v="Not used"/>
    <n v="53.33966163287711"/>
    <n v="2.4"/>
    <n v="2.5"/>
    <n v="4.0000000000000036E-2"/>
    <s v="   +/- 50%"/>
    <s v="Yes"/>
    <n v="44.994661130746763"/>
    <x v="0"/>
    <n v="23"/>
    <m/>
  </r>
  <r>
    <n v="40"/>
    <s v="PVC"/>
    <s v="&lt;=320mm"/>
    <s v="1981 onwards"/>
    <s v="Not used"/>
    <s v="F"/>
    <s v="Not used"/>
    <s v="Not used"/>
    <n v="99.67948927209072"/>
    <n v="3"/>
    <n v="2.5"/>
    <n v="-0.19999999999999996"/>
    <s v="   +/- 50%"/>
    <s v="Yes"/>
    <n v="30.096462390683321"/>
    <x v="0"/>
    <n v="35"/>
    <m/>
  </r>
  <r>
    <n v="41"/>
    <s v="PVC"/>
    <s v="&gt;320mm"/>
    <s v="(1960-2000]"/>
    <s v="Not used"/>
    <s v="C"/>
    <s v="Not used"/>
    <s v="Not used"/>
    <n v="9.8618074788339438"/>
    <n v="0.2"/>
    <n v="1"/>
    <n v="0.8"/>
    <s v="   +/- 50%"/>
    <s v="No"/>
    <n v="20.280257998267874"/>
    <x v="0"/>
    <n v="40"/>
    <s v="Cohort comprises all rising mains of this material, size and function."/>
  </r>
  <r>
    <m/>
    <m/>
    <m/>
    <m/>
    <m/>
    <m/>
    <m/>
    <m/>
    <m/>
    <n v="82.433333333333366"/>
    <n v="89"/>
    <n v="7.3782771535580216E-2"/>
    <s v="   +/-10%"/>
    <s v="Yes"/>
    <m/>
    <x v="5"/>
    <m/>
    <m/>
  </r>
  <r>
    <m/>
    <m/>
    <m/>
    <m/>
    <m/>
    <m/>
    <m/>
    <m/>
    <m/>
    <m/>
    <m/>
    <m/>
    <m/>
    <m/>
    <m/>
    <x v="5"/>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2B15082-517A-4EEC-B73E-E48C9AE3EC8F}"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0" firstHeaderRow="1" firstDataRow="1" firstDataCol="1"/>
  <pivotFields count="18">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axis="axisRow" showAll="0">
      <items count="7">
        <item x="0"/>
        <item x="3"/>
        <item x="2"/>
        <item x="4"/>
        <item x="1"/>
        <item x="5"/>
        <item t="default"/>
      </items>
    </pivotField>
    <pivotField showAll="0"/>
    <pivotField showAll="0"/>
  </pivotFields>
  <rowFields count="1">
    <field x="15"/>
  </rowFields>
  <rowItems count="7">
    <i>
      <x/>
    </i>
    <i>
      <x v="1"/>
    </i>
    <i>
      <x v="2"/>
    </i>
    <i>
      <x v="3"/>
    </i>
    <i>
      <x v="4"/>
    </i>
    <i>
      <x v="5"/>
    </i>
    <i t="grand">
      <x/>
    </i>
  </rowItems>
  <colItems count="1">
    <i/>
  </colItems>
  <dataFields count="1">
    <dataField name="Sum of Total length (km)"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2BA09-FE2D-49F9-BCF9-21B9DB2C21BF}">
  <dimension ref="A1:R44"/>
  <sheetViews>
    <sheetView tabSelected="1" topLeftCell="H1" workbookViewId="0">
      <selection activeCell="H2" sqref="A2:XFD2"/>
    </sheetView>
  </sheetViews>
  <sheetFormatPr defaultColWidth="8.7265625" defaultRowHeight="11.5" x14ac:dyDescent="0.25"/>
  <cols>
    <col min="1" max="2" width="8.7265625" style="5"/>
    <col min="3" max="3" width="9.1796875" style="5" bestFit="1" customWidth="1"/>
    <col min="4" max="4" width="12.54296875" style="5" bestFit="1" customWidth="1"/>
    <col min="5" max="5" width="14.7265625" style="5" bestFit="1" customWidth="1"/>
    <col min="6" max="6" width="8.26953125" style="5" bestFit="1" customWidth="1"/>
    <col min="7" max="7" width="10.1796875" style="5" bestFit="1" customWidth="1"/>
    <col min="8" max="8" width="24.453125" style="5" bestFit="1" customWidth="1"/>
    <col min="9" max="9" width="16.453125" style="21" customWidth="1"/>
    <col min="10" max="10" width="17.453125" style="27" bestFit="1" customWidth="1"/>
    <col min="11" max="13" width="8.7265625" style="5"/>
    <col min="14" max="14" width="12.54296875" style="5" bestFit="1" customWidth="1"/>
    <col min="15" max="17" width="8.7265625" style="5"/>
    <col min="18" max="18" width="48.1796875" style="26" customWidth="1"/>
    <col min="19" max="16384" width="8.7265625" style="5"/>
  </cols>
  <sheetData>
    <row r="1" spans="1:18" x14ac:dyDescent="0.25">
      <c r="A1" s="1"/>
      <c r="B1" s="1" t="s">
        <v>0</v>
      </c>
      <c r="C1" s="1" t="s">
        <v>0</v>
      </c>
      <c r="D1" s="1" t="s">
        <v>0</v>
      </c>
      <c r="E1" s="1" t="s">
        <v>1</v>
      </c>
      <c r="F1" s="1" t="s">
        <v>0</v>
      </c>
      <c r="G1" s="1" t="s">
        <v>1</v>
      </c>
      <c r="H1" s="1" t="s">
        <v>1</v>
      </c>
      <c r="I1" s="2"/>
      <c r="J1" s="3"/>
      <c r="K1" s="4"/>
      <c r="L1" s="4"/>
      <c r="M1" s="4"/>
      <c r="N1" s="4"/>
      <c r="O1" s="4"/>
      <c r="P1" s="4"/>
      <c r="Q1" s="4"/>
      <c r="R1" s="4"/>
    </row>
    <row r="2" spans="1:18" ht="46" x14ac:dyDescent="0.25">
      <c r="A2" s="1" t="s">
        <v>2</v>
      </c>
      <c r="B2" s="1" t="s">
        <v>3</v>
      </c>
      <c r="C2" s="1" t="s">
        <v>4</v>
      </c>
      <c r="D2" s="1" t="s">
        <v>5</v>
      </c>
      <c r="E2" s="1" t="s">
        <v>6</v>
      </c>
      <c r="F2" s="1" t="s">
        <v>7</v>
      </c>
      <c r="G2" s="1" t="s">
        <v>8</v>
      </c>
      <c r="H2" s="1" t="s">
        <v>9</v>
      </c>
      <c r="I2" s="6" t="s">
        <v>10</v>
      </c>
      <c r="J2" s="7" t="s">
        <v>11</v>
      </c>
      <c r="K2" s="8" t="s">
        <v>12</v>
      </c>
      <c r="L2" s="8" t="s">
        <v>13</v>
      </c>
      <c r="M2" s="9" t="s">
        <v>14</v>
      </c>
      <c r="N2" s="1" t="s">
        <v>15</v>
      </c>
      <c r="O2" s="10" t="s">
        <v>16</v>
      </c>
      <c r="P2" s="1" t="s">
        <v>17</v>
      </c>
      <c r="Q2" s="1" t="s">
        <v>18</v>
      </c>
      <c r="R2" s="8" t="s">
        <v>19</v>
      </c>
    </row>
    <row r="3" spans="1:18" x14ac:dyDescent="0.25">
      <c r="A3" s="11">
        <v>1</v>
      </c>
      <c r="B3" s="11" t="s">
        <v>20</v>
      </c>
      <c r="C3" s="11" t="s">
        <v>21</v>
      </c>
      <c r="D3" s="11" t="s">
        <v>22</v>
      </c>
      <c r="E3" s="11" t="s">
        <v>23</v>
      </c>
      <c r="F3" s="11" t="s">
        <v>24</v>
      </c>
      <c r="G3" s="11" t="s">
        <v>23</v>
      </c>
      <c r="H3" s="11" t="s">
        <v>23</v>
      </c>
      <c r="I3" s="12">
        <v>28.857719870302883</v>
      </c>
      <c r="J3" s="13">
        <f>VLOOKUP(A3,[1]Sheet22!$A$4:$B$44,2,FALSE)</f>
        <v>1.7999999999999998</v>
      </c>
      <c r="K3" s="11">
        <v>2.5</v>
      </c>
      <c r="L3" s="14">
        <f>SUM(1-(J3/K3))</f>
        <v>0.28000000000000003</v>
      </c>
      <c r="M3" s="11" t="s">
        <v>25</v>
      </c>
      <c r="N3" s="11" t="str">
        <f>IF(AND(L3&lt;0.5,L3&gt;-0.5),"Yes","No")</f>
        <v>Yes</v>
      </c>
      <c r="O3" s="15">
        <f>SUM(J3/(I3/1000))</f>
        <v>62.374990404295843</v>
      </c>
      <c r="P3" s="16">
        <f>IF(O3&lt;=71.875,1,IF(O3&lt;143.75,2,IF(O3&lt;287.5,3,IF(O3&lt;575,4,5))))</f>
        <v>1</v>
      </c>
      <c r="Q3" s="11">
        <f>RANK(O3,O$3:O$43)</f>
        <v>20</v>
      </c>
      <c r="R3" s="17"/>
    </row>
    <row r="4" spans="1:18" ht="46" x14ac:dyDescent="0.25">
      <c r="A4" s="11">
        <v>2</v>
      </c>
      <c r="B4" s="11" t="s">
        <v>20</v>
      </c>
      <c r="C4" s="11" t="s">
        <v>21</v>
      </c>
      <c r="D4" s="11" t="s">
        <v>22</v>
      </c>
      <c r="E4" s="11" t="s">
        <v>23</v>
      </c>
      <c r="F4" s="11" t="s">
        <v>26</v>
      </c>
      <c r="G4" s="11" t="s">
        <v>23</v>
      </c>
      <c r="H4" s="11" t="s">
        <v>23</v>
      </c>
      <c r="I4" s="12">
        <v>44.970436825825935</v>
      </c>
      <c r="J4" s="13">
        <f>VLOOKUP(A4,[1]Sheet22!$A$4:$B$44,2,FALSE)</f>
        <v>1.2</v>
      </c>
      <c r="K4" s="11">
        <v>2.5</v>
      </c>
      <c r="L4" s="14">
        <f t="shared" ref="L4:L43" si="0">SUM(1-(J4/K4))</f>
        <v>0.52</v>
      </c>
      <c r="M4" s="11" t="s">
        <v>25</v>
      </c>
      <c r="N4" s="11" t="str">
        <f t="shared" ref="N4:N43" si="1">IF(AND(L4&lt;0.5,L4&gt;-0.5),"Yes","No")</f>
        <v>No</v>
      </c>
      <c r="O4" s="15">
        <f t="shared" ref="O4:O43" si="2">SUM(J4/(I4/1000))</f>
        <v>26.684197101480134</v>
      </c>
      <c r="P4" s="16">
        <f t="shared" ref="P4:P43" si="3">IF(O4&lt;=71.875,1,IF(O4&lt;143.75,2,IF(O4&lt;287.5,3,IF(O4&lt;575,4,5))))</f>
        <v>1</v>
      </c>
      <c r="Q4" s="11">
        <f t="shared" ref="Q4:Q43" si="4">RANK(O4,O$3:O$43)</f>
        <v>37</v>
      </c>
      <c r="R4" s="17" t="s">
        <v>27</v>
      </c>
    </row>
    <row r="5" spans="1:18" ht="46" x14ac:dyDescent="0.25">
      <c r="A5" s="11">
        <v>3</v>
      </c>
      <c r="B5" s="11" t="s">
        <v>20</v>
      </c>
      <c r="C5" s="11" t="s">
        <v>21</v>
      </c>
      <c r="D5" s="11" t="s">
        <v>28</v>
      </c>
      <c r="E5" s="11" t="s">
        <v>23</v>
      </c>
      <c r="F5" s="11" t="s">
        <v>26</v>
      </c>
      <c r="G5" s="11" t="s">
        <v>23</v>
      </c>
      <c r="H5" s="11" t="s">
        <v>23</v>
      </c>
      <c r="I5" s="12">
        <v>1.8272345632980498</v>
      </c>
      <c r="J5" s="13">
        <f>VLOOKUP(A5,[1]Sheet22!$A$4:$B$44,2,FALSE)</f>
        <v>4</v>
      </c>
      <c r="K5" s="11">
        <v>2.5</v>
      </c>
      <c r="L5" s="14">
        <f t="shared" si="0"/>
        <v>-0.60000000000000009</v>
      </c>
      <c r="M5" s="11" t="s">
        <v>25</v>
      </c>
      <c r="N5" s="11" t="str">
        <f t="shared" si="1"/>
        <v>No</v>
      </c>
      <c r="O5" s="15">
        <f t="shared" si="2"/>
        <v>2189.1004473887783</v>
      </c>
      <c r="P5" s="16">
        <f t="shared" si="3"/>
        <v>5</v>
      </c>
      <c r="Q5" s="11">
        <f t="shared" si="4"/>
        <v>3</v>
      </c>
      <c r="R5" s="17" t="s">
        <v>29</v>
      </c>
    </row>
    <row r="6" spans="1:18" ht="23" x14ac:dyDescent="0.25">
      <c r="A6" s="11">
        <v>4</v>
      </c>
      <c r="B6" s="11" t="s">
        <v>20</v>
      </c>
      <c r="C6" s="11" t="s">
        <v>30</v>
      </c>
      <c r="D6" s="11" t="s">
        <v>31</v>
      </c>
      <c r="E6" s="11" t="s">
        <v>23</v>
      </c>
      <c r="F6" s="11" t="s">
        <v>24</v>
      </c>
      <c r="G6" s="11" t="s">
        <v>23</v>
      </c>
      <c r="H6" s="11" t="s">
        <v>23</v>
      </c>
      <c r="I6" s="12">
        <v>11.463930242270868</v>
      </c>
      <c r="J6" s="13">
        <f>VLOOKUP(A6,[1]Sheet22!$A$4:$B$44,2,FALSE)</f>
        <v>3.2</v>
      </c>
      <c r="K6" s="18">
        <v>1</v>
      </c>
      <c r="L6" s="14">
        <f t="shared" si="0"/>
        <v>-2.2000000000000002</v>
      </c>
      <c r="M6" s="11" t="s">
        <v>25</v>
      </c>
      <c r="N6" s="11" t="str">
        <f t="shared" si="1"/>
        <v>No</v>
      </c>
      <c r="O6" s="15">
        <f t="shared" si="2"/>
        <v>279.13638101186825</v>
      </c>
      <c r="P6" s="16">
        <f t="shared" si="3"/>
        <v>3</v>
      </c>
      <c r="Q6" s="11">
        <f t="shared" si="4"/>
        <v>8</v>
      </c>
      <c r="R6" s="17" t="s">
        <v>32</v>
      </c>
    </row>
    <row r="7" spans="1:18" x14ac:dyDescent="0.25">
      <c r="A7" s="11">
        <v>5</v>
      </c>
      <c r="B7" s="11" t="s">
        <v>33</v>
      </c>
      <c r="C7" s="11" t="s">
        <v>21</v>
      </c>
      <c r="D7" s="11" t="s">
        <v>34</v>
      </c>
      <c r="E7" s="11" t="s">
        <v>35</v>
      </c>
      <c r="F7" s="11" t="s">
        <v>24</v>
      </c>
      <c r="G7" s="11" t="s">
        <v>36</v>
      </c>
      <c r="H7" s="11" t="s">
        <v>37</v>
      </c>
      <c r="I7" s="12">
        <v>3.295322228260726</v>
      </c>
      <c r="J7" s="13">
        <f>VLOOKUP(A7,[1]Sheet22!$A$4:$B$44,2,FALSE)</f>
        <v>2</v>
      </c>
      <c r="K7" s="11">
        <v>2.5</v>
      </c>
      <c r="L7" s="14">
        <f t="shared" si="0"/>
        <v>0.19999999999999996</v>
      </c>
      <c r="M7" s="11" t="s">
        <v>25</v>
      </c>
      <c r="N7" s="11" t="str">
        <f t="shared" si="1"/>
        <v>Yes</v>
      </c>
      <c r="O7" s="15">
        <f t="shared" si="2"/>
        <v>606.92092046355106</v>
      </c>
      <c r="P7" s="16">
        <f t="shared" si="3"/>
        <v>5</v>
      </c>
      <c r="Q7" s="11">
        <f t="shared" si="4"/>
        <v>5</v>
      </c>
      <c r="R7" s="17"/>
    </row>
    <row r="8" spans="1:18" x14ac:dyDescent="0.25">
      <c r="A8" s="11">
        <v>6</v>
      </c>
      <c r="B8" s="11" t="s">
        <v>33</v>
      </c>
      <c r="C8" s="11" t="s">
        <v>21</v>
      </c>
      <c r="D8" s="11" t="s">
        <v>34</v>
      </c>
      <c r="E8" s="11" t="s">
        <v>23</v>
      </c>
      <c r="F8" s="11" t="s">
        <v>24</v>
      </c>
      <c r="G8" s="11" t="s">
        <v>36</v>
      </c>
      <c r="H8" s="11" t="s">
        <v>38</v>
      </c>
      <c r="I8" s="12">
        <v>3.0280378972901021</v>
      </c>
      <c r="J8" s="13">
        <f>VLOOKUP(A8,[1]Sheet22!$A$4:$B$44,2,FALSE)</f>
        <v>2.2000000000000002</v>
      </c>
      <c r="K8" s="11">
        <v>2.5</v>
      </c>
      <c r="L8" s="14">
        <f t="shared" si="0"/>
        <v>0.11999999999999988</v>
      </c>
      <c r="M8" s="11" t="s">
        <v>25</v>
      </c>
      <c r="N8" s="11" t="str">
        <f t="shared" si="1"/>
        <v>Yes</v>
      </c>
      <c r="O8" s="15">
        <f t="shared" si="2"/>
        <v>726.54308652109603</v>
      </c>
      <c r="P8" s="16">
        <f t="shared" si="3"/>
        <v>5</v>
      </c>
      <c r="Q8" s="11">
        <f t="shared" si="4"/>
        <v>4</v>
      </c>
      <c r="R8" s="17"/>
    </row>
    <row r="9" spans="1:18" x14ac:dyDescent="0.25">
      <c r="A9" s="11">
        <v>7</v>
      </c>
      <c r="B9" s="11" t="s">
        <v>33</v>
      </c>
      <c r="C9" s="11" t="s">
        <v>21</v>
      </c>
      <c r="D9" s="11" t="s">
        <v>34</v>
      </c>
      <c r="E9" s="11" t="s">
        <v>23</v>
      </c>
      <c r="F9" s="11" t="s">
        <v>24</v>
      </c>
      <c r="G9" s="11" t="s">
        <v>39</v>
      </c>
      <c r="H9" s="11" t="s">
        <v>23</v>
      </c>
      <c r="I9" s="12">
        <v>49.706950620056247</v>
      </c>
      <c r="J9" s="13">
        <f>VLOOKUP(A9,[1]Sheet22!$A$4:$B$44,2,FALSE)</f>
        <v>3.2</v>
      </c>
      <c r="K9" s="11">
        <v>2.5</v>
      </c>
      <c r="L9" s="14">
        <f t="shared" si="0"/>
        <v>-0.28000000000000003</v>
      </c>
      <c r="M9" s="11" t="s">
        <v>25</v>
      </c>
      <c r="N9" s="11" t="str">
        <f t="shared" si="1"/>
        <v>Yes</v>
      </c>
      <c r="O9" s="15">
        <f t="shared" si="2"/>
        <v>64.377314642770159</v>
      </c>
      <c r="P9" s="16">
        <f t="shared" si="3"/>
        <v>1</v>
      </c>
      <c r="Q9" s="11">
        <f t="shared" si="4"/>
        <v>18</v>
      </c>
      <c r="R9" s="17"/>
    </row>
    <row r="10" spans="1:18" x14ac:dyDescent="0.25">
      <c r="A10" s="11">
        <v>8</v>
      </c>
      <c r="B10" s="11" t="s">
        <v>33</v>
      </c>
      <c r="C10" s="11" t="s">
        <v>21</v>
      </c>
      <c r="D10" s="11" t="s">
        <v>34</v>
      </c>
      <c r="E10" s="11" t="s">
        <v>40</v>
      </c>
      <c r="F10" s="11" t="s">
        <v>26</v>
      </c>
      <c r="G10" s="11" t="s">
        <v>36</v>
      </c>
      <c r="H10" s="11" t="s">
        <v>41</v>
      </c>
      <c r="I10" s="12">
        <v>23.968961639446377</v>
      </c>
      <c r="J10" s="13">
        <f>VLOOKUP(A10,[1]Sheet22!$A$4:$B$44,2,FALSE)</f>
        <v>2.6</v>
      </c>
      <c r="K10" s="11">
        <v>2.5</v>
      </c>
      <c r="L10" s="14">
        <f t="shared" si="0"/>
        <v>-4.0000000000000036E-2</v>
      </c>
      <c r="M10" s="11" t="s">
        <v>25</v>
      </c>
      <c r="N10" s="11" t="str">
        <f t="shared" si="1"/>
        <v>Yes</v>
      </c>
      <c r="O10" s="15">
        <f t="shared" si="2"/>
        <v>108.4736184700262</v>
      </c>
      <c r="P10" s="16">
        <f t="shared" si="3"/>
        <v>2</v>
      </c>
      <c r="Q10" s="11">
        <f t="shared" si="4"/>
        <v>13</v>
      </c>
      <c r="R10" s="17"/>
    </row>
    <row r="11" spans="1:18" x14ac:dyDescent="0.25">
      <c r="A11" s="11">
        <v>9</v>
      </c>
      <c r="B11" s="11" t="s">
        <v>33</v>
      </c>
      <c r="C11" s="11" t="s">
        <v>21</v>
      </c>
      <c r="D11" s="11" t="s">
        <v>34</v>
      </c>
      <c r="E11" s="11" t="s">
        <v>42</v>
      </c>
      <c r="F11" s="11" t="s">
        <v>26</v>
      </c>
      <c r="G11" s="11" t="s">
        <v>36</v>
      </c>
      <c r="H11" s="11" t="s">
        <v>43</v>
      </c>
      <c r="I11" s="12">
        <v>5.284135306301434</v>
      </c>
      <c r="J11" s="13">
        <f>VLOOKUP(A11,[1]Sheet22!$A$4:$B$44,2,FALSE)</f>
        <v>2.4000000000000004</v>
      </c>
      <c r="K11" s="11">
        <v>2.5</v>
      </c>
      <c r="L11" s="14">
        <f t="shared" si="0"/>
        <v>3.9999999999999813E-2</v>
      </c>
      <c r="M11" s="11" t="s">
        <v>25</v>
      </c>
      <c r="N11" s="11" t="str">
        <f t="shared" si="1"/>
        <v>Yes</v>
      </c>
      <c r="O11" s="15">
        <f t="shared" si="2"/>
        <v>454.18973226101036</v>
      </c>
      <c r="P11" s="16">
        <f t="shared" si="3"/>
        <v>4</v>
      </c>
      <c r="Q11" s="11">
        <f t="shared" si="4"/>
        <v>6</v>
      </c>
      <c r="R11" s="17"/>
    </row>
    <row r="12" spans="1:18" x14ac:dyDescent="0.25">
      <c r="A12" s="11">
        <v>10</v>
      </c>
      <c r="B12" s="11" t="s">
        <v>33</v>
      </c>
      <c r="C12" s="11" t="s">
        <v>21</v>
      </c>
      <c r="D12" s="11" t="s">
        <v>34</v>
      </c>
      <c r="E12" s="11" t="s">
        <v>42</v>
      </c>
      <c r="F12" s="11" t="s">
        <v>26</v>
      </c>
      <c r="G12" s="11" t="s">
        <v>39</v>
      </c>
      <c r="H12" s="11" t="s">
        <v>23</v>
      </c>
      <c r="I12" s="12">
        <v>38.518846069058803</v>
      </c>
      <c r="J12" s="13">
        <f>VLOOKUP(A12,[1]Sheet22!$A$4:$B$44,2,FALSE)</f>
        <v>3.0000000000000004</v>
      </c>
      <c r="K12" s="11">
        <v>2.5</v>
      </c>
      <c r="L12" s="14">
        <f t="shared" si="0"/>
        <v>-0.20000000000000018</v>
      </c>
      <c r="M12" s="11" t="s">
        <v>25</v>
      </c>
      <c r="N12" s="11" t="str">
        <f t="shared" si="1"/>
        <v>Yes</v>
      </c>
      <c r="O12" s="15">
        <f t="shared" si="2"/>
        <v>77.883953081601348</v>
      </c>
      <c r="P12" s="16">
        <f t="shared" si="3"/>
        <v>2</v>
      </c>
      <c r="Q12" s="11">
        <f t="shared" si="4"/>
        <v>16</v>
      </c>
      <c r="R12" s="17"/>
    </row>
    <row r="13" spans="1:18" x14ac:dyDescent="0.25">
      <c r="A13" s="11">
        <v>11</v>
      </c>
      <c r="B13" s="11" t="s">
        <v>33</v>
      </c>
      <c r="C13" s="11" t="s">
        <v>21</v>
      </c>
      <c r="D13" s="11" t="s">
        <v>34</v>
      </c>
      <c r="E13" s="11" t="s">
        <v>44</v>
      </c>
      <c r="F13" s="11" t="s">
        <v>26</v>
      </c>
      <c r="G13" s="11" t="s">
        <v>23</v>
      </c>
      <c r="H13" s="11" t="s">
        <v>23</v>
      </c>
      <c r="I13" s="12">
        <v>37.779372207475951</v>
      </c>
      <c r="J13" s="13">
        <f>VLOOKUP(A13,[1]Sheet22!$A$4:$B$44,2,FALSE)</f>
        <v>1.6</v>
      </c>
      <c r="K13" s="11">
        <v>2.5</v>
      </c>
      <c r="L13" s="14">
        <f t="shared" si="0"/>
        <v>0.36</v>
      </c>
      <c r="M13" s="11" t="s">
        <v>25</v>
      </c>
      <c r="N13" s="11" t="str">
        <f t="shared" si="1"/>
        <v>Yes</v>
      </c>
      <c r="O13" s="15">
        <f t="shared" si="2"/>
        <v>42.351153725190407</v>
      </c>
      <c r="P13" s="16">
        <f t="shared" si="3"/>
        <v>1</v>
      </c>
      <c r="Q13" s="11">
        <f t="shared" si="4"/>
        <v>28</v>
      </c>
      <c r="R13" s="17"/>
    </row>
    <row r="14" spans="1:18" ht="23" x14ac:dyDescent="0.25">
      <c r="A14" s="11">
        <v>12</v>
      </c>
      <c r="B14" s="11" t="s">
        <v>33</v>
      </c>
      <c r="C14" s="11" t="s">
        <v>21</v>
      </c>
      <c r="D14" s="11" t="s">
        <v>34</v>
      </c>
      <c r="E14" s="11" t="s">
        <v>45</v>
      </c>
      <c r="F14" s="11" t="s">
        <v>46</v>
      </c>
      <c r="G14" s="11" t="s">
        <v>23</v>
      </c>
      <c r="H14" s="11" t="s">
        <v>23</v>
      </c>
      <c r="I14" s="12">
        <v>2.5734748375146728</v>
      </c>
      <c r="J14" s="13">
        <f>VLOOKUP(A14,[1]Sheet22!$A$4:$B$44,2,FALSE)</f>
        <v>0.8</v>
      </c>
      <c r="K14" s="11">
        <v>2.5</v>
      </c>
      <c r="L14" s="14">
        <f t="shared" si="0"/>
        <v>0.67999999999999994</v>
      </c>
      <c r="M14" s="11" t="s">
        <v>25</v>
      </c>
      <c r="N14" s="11" t="str">
        <f t="shared" si="1"/>
        <v>No</v>
      </c>
      <c r="O14" s="15">
        <f t="shared" si="2"/>
        <v>310.86373503173559</v>
      </c>
      <c r="P14" s="16">
        <f t="shared" si="3"/>
        <v>4</v>
      </c>
      <c r="Q14" s="11">
        <f t="shared" si="4"/>
        <v>7</v>
      </c>
      <c r="R14" s="17" t="s">
        <v>32</v>
      </c>
    </row>
    <row r="15" spans="1:18" ht="23" x14ac:dyDescent="0.25">
      <c r="A15" s="11">
        <v>13</v>
      </c>
      <c r="B15" s="11" t="s">
        <v>33</v>
      </c>
      <c r="C15" s="11" t="s">
        <v>30</v>
      </c>
      <c r="D15" s="11" t="s">
        <v>34</v>
      </c>
      <c r="E15" s="11" t="s">
        <v>23</v>
      </c>
      <c r="F15" s="11" t="s">
        <v>24</v>
      </c>
      <c r="G15" s="11" t="s">
        <v>23</v>
      </c>
      <c r="H15" s="11" t="s">
        <v>23</v>
      </c>
      <c r="I15" s="12">
        <v>36.084693299306657</v>
      </c>
      <c r="J15" s="13">
        <f>VLOOKUP(A15,[1]Sheet22!$A$4:$B$44,2,FALSE)</f>
        <v>2.2000000000000002</v>
      </c>
      <c r="K15" s="11">
        <v>1</v>
      </c>
      <c r="L15" s="14">
        <f t="shared" si="0"/>
        <v>-1.2000000000000002</v>
      </c>
      <c r="M15" s="11" t="s">
        <v>25</v>
      </c>
      <c r="N15" s="11" t="str">
        <f t="shared" si="1"/>
        <v>No</v>
      </c>
      <c r="O15" s="15">
        <f t="shared" si="2"/>
        <v>60.967679058596062</v>
      </c>
      <c r="P15" s="16">
        <f t="shared" si="3"/>
        <v>1</v>
      </c>
      <c r="Q15" s="11">
        <f t="shared" si="4"/>
        <v>21</v>
      </c>
      <c r="R15" s="17" t="s">
        <v>32</v>
      </c>
    </row>
    <row r="16" spans="1:18" ht="23" x14ac:dyDescent="0.25">
      <c r="A16" s="11">
        <v>14</v>
      </c>
      <c r="B16" s="11" t="s">
        <v>33</v>
      </c>
      <c r="C16" s="11" t="s">
        <v>30</v>
      </c>
      <c r="D16" s="11" t="s">
        <v>34</v>
      </c>
      <c r="E16" s="11" t="s">
        <v>23</v>
      </c>
      <c r="F16" s="11" t="s">
        <v>26</v>
      </c>
      <c r="G16" s="11" t="s">
        <v>23</v>
      </c>
      <c r="H16" s="11" t="s">
        <v>23</v>
      </c>
      <c r="I16" s="12">
        <v>11.518617216884978</v>
      </c>
      <c r="J16" s="13">
        <f>VLOOKUP(A16,[1]Sheet22!$A$4:$B$44,2,FALSE)</f>
        <v>0.2</v>
      </c>
      <c r="K16" s="11">
        <v>1</v>
      </c>
      <c r="L16" s="14">
        <f t="shared" si="0"/>
        <v>0.8</v>
      </c>
      <c r="M16" s="11" t="s">
        <v>25</v>
      </c>
      <c r="N16" s="11" t="str">
        <f t="shared" si="1"/>
        <v>No</v>
      </c>
      <c r="O16" s="15">
        <f t="shared" si="2"/>
        <v>17.363195271983066</v>
      </c>
      <c r="P16" s="16">
        <f t="shared" si="3"/>
        <v>1</v>
      </c>
      <c r="Q16" s="11">
        <f t="shared" si="4"/>
        <v>41</v>
      </c>
      <c r="R16" s="17" t="s">
        <v>32</v>
      </c>
    </row>
    <row r="17" spans="1:18" ht="23" x14ac:dyDescent="0.25">
      <c r="A17" s="11">
        <v>15</v>
      </c>
      <c r="B17" s="11" t="s">
        <v>33</v>
      </c>
      <c r="C17" s="11" t="s">
        <v>30</v>
      </c>
      <c r="D17" s="11" t="s">
        <v>34</v>
      </c>
      <c r="E17" s="11" t="s">
        <v>23</v>
      </c>
      <c r="F17" s="11" t="s">
        <v>47</v>
      </c>
      <c r="G17" s="11" t="s">
        <v>23</v>
      </c>
      <c r="H17" s="11" t="s">
        <v>23</v>
      </c>
      <c r="I17" s="12">
        <v>3.9787539952179287</v>
      </c>
      <c r="J17" s="13">
        <f>VLOOKUP(A17,[1]Sheet22!$A$4:$B$44,2,FALSE)</f>
        <v>0.2</v>
      </c>
      <c r="K17" s="11">
        <v>1</v>
      </c>
      <c r="L17" s="14">
        <f t="shared" si="0"/>
        <v>0.8</v>
      </c>
      <c r="M17" s="11" t="s">
        <v>25</v>
      </c>
      <c r="N17" s="11" t="str">
        <f t="shared" si="1"/>
        <v>No</v>
      </c>
      <c r="O17" s="15">
        <f t="shared" si="2"/>
        <v>50.266993194447394</v>
      </c>
      <c r="P17" s="16">
        <f t="shared" si="3"/>
        <v>1</v>
      </c>
      <c r="Q17" s="11">
        <f t="shared" si="4"/>
        <v>22</v>
      </c>
      <c r="R17" s="17" t="s">
        <v>32</v>
      </c>
    </row>
    <row r="18" spans="1:18" x14ac:dyDescent="0.25">
      <c r="A18" s="11">
        <v>16</v>
      </c>
      <c r="B18" s="11" t="s">
        <v>48</v>
      </c>
      <c r="C18" s="11" t="s">
        <v>21</v>
      </c>
      <c r="D18" s="11" t="s">
        <v>31</v>
      </c>
      <c r="E18" s="11" t="s">
        <v>34</v>
      </c>
      <c r="F18" s="11" t="s">
        <v>24</v>
      </c>
      <c r="G18" s="11" t="s">
        <v>23</v>
      </c>
      <c r="H18" s="11" t="s">
        <v>23</v>
      </c>
      <c r="I18" s="12">
        <v>15.419930029220295</v>
      </c>
      <c r="J18" s="13">
        <f>VLOOKUP(A18,[1]Sheet22!$A$4:$B$44,2,FALSE)</f>
        <v>2.2000000000000002</v>
      </c>
      <c r="K18" s="11">
        <v>2.5</v>
      </c>
      <c r="L18" s="14">
        <f t="shared" si="0"/>
        <v>0.11999999999999988</v>
      </c>
      <c r="M18" s="11" t="s">
        <v>25</v>
      </c>
      <c r="N18" s="11" t="str">
        <f t="shared" si="1"/>
        <v>Yes</v>
      </c>
      <c r="O18" s="15">
        <f t="shared" si="2"/>
        <v>142.67250213399592</v>
      </c>
      <c r="P18" s="16">
        <f t="shared" si="3"/>
        <v>2</v>
      </c>
      <c r="Q18" s="11">
        <f t="shared" si="4"/>
        <v>11</v>
      </c>
      <c r="R18" s="17"/>
    </row>
    <row r="19" spans="1:18" x14ac:dyDescent="0.25">
      <c r="A19" s="11">
        <v>17</v>
      </c>
      <c r="B19" s="11" t="s">
        <v>48</v>
      </c>
      <c r="C19" s="11" t="s">
        <v>21</v>
      </c>
      <c r="D19" s="11" t="s">
        <v>31</v>
      </c>
      <c r="E19" s="11" t="s">
        <v>49</v>
      </c>
      <c r="F19" s="11" t="s">
        <v>24</v>
      </c>
      <c r="G19" s="11" t="s">
        <v>23</v>
      </c>
      <c r="H19" s="11" t="s">
        <v>23</v>
      </c>
      <c r="I19" s="12">
        <v>21.639399028280668</v>
      </c>
      <c r="J19" s="13">
        <f>VLOOKUP(A19,[1]Sheet22!$A$4:$B$44,2,FALSE)</f>
        <v>1.5999999999999999</v>
      </c>
      <c r="K19" s="11">
        <v>2.5</v>
      </c>
      <c r="L19" s="14">
        <f t="shared" si="0"/>
        <v>0.3600000000000001</v>
      </c>
      <c r="M19" s="11" t="s">
        <v>25</v>
      </c>
      <c r="N19" s="11" t="str">
        <f t="shared" si="1"/>
        <v>Yes</v>
      </c>
      <c r="O19" s="15">
        <f t="shared" si="2"/>
        <v>73.939206810177581</v>
      </c>
      <c r="P19" s="16">
        <f t="shared" si="3"/>
        <v>2</v>
      </c>
      <c r="Q19" s="11">
        <f t="shared" si="4"/>
        <v>17</v>
      </c>
      <c r="R19" s="17"/>
    </row>
    <row r="20" spans="1:18" x14ac:dyDescent="0.25">
      <c r="A20" s="11">
        <v>18</v>
      </c>
      <c r="B20" s="11" t="s">
        <v>48</v>
      </c>
      <c r="C20" s="11" t="s">
        <v>21</v>
      </c>
      <c r="D20" s="11" t="s">
        <v>31</v>
      </c>
      <c r="E20" s="11" t="s">
        <v>50</v>
      </c>
      <c r="F20" s="11" t="s">
        <v>24</v>
      </c>
      <c r="G20" s="11" t="s">
        <v>23</v>
      </c>
      <c r="H20" s="11" t="s">
        <v>23</v>
      </c>
      <c r="I20" s="12">
        <v>29.80779764971107</v>
      </c>
      <c r="J20" s="13">
        <f>VLOOKUP(A20,[1]Sheet22!$A$4:$B$44,2,FALSE)</f>
        <v>2.5</v>
      </c>
      <c r="K20" s="11">
        <v>2.5</v>
      </c>
      <c r="L20" s="14">
        <f t="shared" si="0"/>
        <v>0</v>
      </c>
      <c r="M20" s="11" t="s">
        <v>25</v>
      </c>
      <c r="N20" s="11" t="str">
        <f t="shared" si="1"/>
        <v>Yes</v>
      </c>
      <c r="O20" s="15">
        <f t="shared" si="2"/>
        <v>83.870671338384938</v>
      </c>
      <c r="P20" s="16">
        <f t="shared" si="3"/>
        <v>2</v>
      </c>
      <c r="Q20" s="11">
        <f t="shared" si="4"/>
        <v>15</v>
      </c>
      <c r="R20" s="17"/>
    </row>
    <row r="21" spans="1:18" x14ac:dyDescent="0.25">
      <c r="A21" s="11">
        <v>19</v>
      </c>
      <c r="B21" s="11" t="s">
        <v>48</v>
      </c>
      <c r="C21" s="11" t="s">
        <v>21</v>
      </c>
      <c r="D21" s="11" t="s">
        <v>31</v>
      </c>
      <c r="E21" s="11" t="s">
        <v>23</v>
      </c>
      <c r="F21" s="11" t="s">
        <v>26</v>
      </c>
      <c r="G21" s="11" t="s">
        <v>23</v>
      </c>
      <c r="H21" s="11" t="s">
        <v>23</v>
      </c>
      <c r="I21" s="12">
        <v>77.823406208371622</v>
      </c>
      <c r="J21" s="13">
        <f>VLOOKUP(A21,[1]Sheet22!$A$4:$B$44,2,FALSE)</f>
        <v>2.6</v>
      </c>
      <c r="K21" s="11">
        <v>2.5</v>
      </c>
      <c r="L21" s="14">
        <f t="shared" si="0"/>
        <v>-4.0000000000000036E-2</v>
      </c>
      <c r="M21" s="11" t="s">
        <v>25</v>
      </c>
      <c r="N21" s="11" t="str">
        <f t="shared" si="1"/>
        <v>Yes</v>
      </c>
      <c r="O21" s="15">
        <f t="shared" si="2"/>
        <v>33.408972013362131</v>
      </c>
      <c r="P21" s="16">
        <f t="shared" si="3"/>
        <v>1</v>
      </c>
      <c r="Q21" s="11">
        <f t="shared" si="4"/>
        <v>32</v>
      </c>
      <c r="R21" s="17"/>
    </row>
    <row r="22" spans="1:18" ht="23" x14ac:dyDescent="0.25">
      <c r="A22" s="11">
        <v>20</v>
      </c>
      <c r="B22" s="11" t="s">
        <v>48</v>
      </c>
      <c r="C22" s="11" t="s">
        <v>21</v>
      </c>
      <c r="D22" s="11" t="s">
        <v>31</v>
      </c>
      <c r="E22" s="11" t="s">
        <v>23</v>
      </c>
      <c r="F22" s="11" t="s">
        <v>46</v>
      </c>
      <c r="G22" s="11" t="s">
        <v>23</v>
      </c>
      <c r="H22" s="11" t="s">
        <v>23</v>
      </c>
      <c r="I22" s="12">
        <v>6.1727602457008537</v>
      </c>
      <c r="J22" s="13">
        <f>VLOOKUP(A22,[1]Sheet22!$A$4:$B$44,2,FALSE)</f>
        <v>0.2</v>
      </c>
      <c r="K22" s="11">
        <v>2.5</v>
      </c>
      <c r="L22" s="14">
        <f t="shared" si="0"/>
        <v>0.92</v>
      </c>
      <c r="M22" s="11" t="s">
        <v>25</v>
      </c>
      <c r="N22" s="11" t="str">
        <f t="shared" si="1"/>
        <v>No</v>
      </c>
      <c r="O22" s="15">
        <f t="shared" si="2"/>
        <v>32.400416027707237</v>
      </c>
      <c r="P22" s="16">
        <f t="shared" si="3"/>
        <v>1</v>
      </c>
      <c r="Q22" s="11">
        <f t="shared" si="4"/>
        <v>33</v>
      </c>
      <c r="R22" s="17" t="s">
        <v>32</v>
      </c>
    </row>
    <row r="23" spans="1:18" x14ac:dyDescent="0.25">
      <c r="A23" s="11">
        <v>21</v>
      </c>
      <c r="B23" s="11" t="s">
        <v>48</v>
      </c>
      <c r="C23" s="11" t="s">
        <v>30</v>
      </c>
      <c r="D23" s="11" t="s">
        <v>31</v>
      </c>
      <c r="E23" s="11" t="s">
        <v>23</v>
      </c>
      <c r="F23" s="11" t="s">
        <v>24</v>
      </c>
      <c r="G23" s="11" t="s">
        <v>36</v>
      </c>
      <c r="H23" s="11" t="s">
        <v>23</v>
      </c>
      <c r="I23" s="12">
        <v>8.5253123464820781</v>
      </c>
      <c r="J23" s="13">
        <f>VLOOKUP(A23,[1]Sheet22!$A$4:$B$44,2,FALSE)</f>
        <v>1</v>
      </c>
      <c r="K23" s="11">
        <v>1</v>
      </c>
      <c r="L23" s="14">
        <f t="shared" si="0"/>
        <v>0</v>
      </c>
      <c r="M23" s="11" t="s">
        <v>25</v>
      </c>
      <c r="N23" s="11" t="str">
        <f t="shared" si="1"/>
        <v>Yes</v>
      </c>
      <c r="O23" s="15">
        <f t="shared" si="2"/>
        <v>117.29775512713553</v>
      </c>
      <c r="P23" s="16">
        <f t="shared" si="3"/>
        <v>2</v>
      </c>
      <c r="Q23" s="11">
        <f t="shared" si="4"/>
        <v>12</v>
      </c>
      <c r="R23" s="17"/>
    </row>
    <row r="24" spans="1:18" ht="34.5" x14ac:dyDescent="0.25">
      <c r="A24" s="11">
        <v>22</v>
      </c>
      <c r="B24" s="11" t="s">
        <v>48</v>
      </c>
      <c r="C24" s="11" t="s">
        <v>30</v>
      </c>
      <c r="D24" s="11" t="s">
        <v>31</v>
      </c>
      <c r="E24" s="11" t="s">
        <v>23</v>
      </c>
      <c r="F24" s="11" t="s">
        <v>24</v>
      </c>
      <c r="G24" s="11" t="s">
        <v>39</v>
      </c>
      <c r="H24" s="11" t="s">
        <v>23</v>
      </c>
      <c r="I24" s="12">
        <v>81.942716003171711</v>
      </c>
      <c r="J24" s="19">
        <f>VLOOKUP(A24,[1]Sheet22!$A$4:$B$44,2,FALSE)</f>
        <v>2.9333333333333331</v>
      </c>
      <c r="K24" s="11">
        <v>1</v>
      </c>
      <c r="L24" s="14">
        <f t="shared" si="0"/>
        <v>-1.9333333333333331</v>
      </c>
      <c r="M24" s="11" t="s">
        <v>25</v>
      </c>
      <c r="N24" s="11" t="str">
        <f t="shared" si="1"/>
        <v>No</v>
      </c>
      <c r="O24" s="15">
        <f t="shared" si="2"/>
        <v>35.797365237683778</v>
      </c>
      <c r="P24" s="16">
        <f t="shared" si="3"/>
        <v>1</v>
      </c>
      <c r="Q24" s="11">
        <f t="shared" si="4"/>
        <v>30</v>
      </c>
      <c r="R24" s="17" t="s">
        <v>51</v>
      </c>
    </row>
    <row r="25" spans="1:18" x14ac:dyDescent="0.25">
      <c r="A25" s="11">
        <v>23</v>
      </c>
      <c r="B25" s="11" t="s">
        <v>48</v>
      </c>
      <c r="C25" s="11" t="s">
        <v>30</v>
      </c>
      <c r="D25" s="11" t="s">
        <v>31</v>
      </c>
      <c r="E25" s="11" t="s">
        <v>23</v>
      </c>
      <c r="F25" s="11" t="s">
        <v>26</v>
      </c>
      <c r="G25" s="11" t="s">
        <v>23</v>
      </c>
      <c r="H25" s="11" t="s">
        <v>23</v>
      </c>
      <c r="I25" s="12">
        <v>31.638511322545863</v>
      </c>
      <c r="J25" s="13">
        <f>VLOOKUP(A25,[1]Sheet22!$A$4:$B$44,2,FALSE)</f>
        <v>0.7</v>
      </c>
      <c r="K25" s="11">
        <v>1</v>
      </c>
      <c r="L25" s="14">
        <f t="shared" si="0"/>
        <v>0.30000000000000004</v>
      </c>
      <c r="M25" s="11" t="s">
        <v>25</v>
      </c>
      <c r="N25" s="11" t="str">
        <f t="shared" si="1"/>
        <v>Yes</v>
      </c>
      <c r="O25" s="15">
        <f t="shared" si="2"/>
        <v>22.124934794298433</v>
      </c>
      <c r="P25" s="16">
        <f t="shared" si="3"/>
        <v>1</v>
      </c>
      <c r="Q25" s="11">
        <f t="shared" si="4"/>
        <v>39</v>
      </c>
      <c r="R25" s="17"/>
    </row>
    <row r="26" spans="1:18" x14ac:dyDescent="0.25">
      <c r="A26" s="11">
        <v>24</v>
      </c>
      <c r="B26" s="11" t="s">
        <v>48</v>
      </c>
      <c r="C26" s="11" t="s">
        <v>30</v>
      </c>
      <c r="D26" s="11" t="s">
        <v>31</v>
      </c>
      <c r="E26" s="11" t="s">
        <v>23</v>
      </c>
      <c r="F26" s="11" t="s">
        <v>46</v>
      </c>
      <c r="G26" s="11" t="s">
        <v>23</v>
      </c>
      <c r="H26" s="11" t="s">
        <v>23</v>
      </c>
      <c r="I26" s="12">
        <v>20.978998095285945</v>
      </c>
      <c r="J26" s="13">
        <f>VLOOKUP(A26,[1]Sheet22!$A$4:$B$44,2,FALSE)</f>
        <v>0.60000000000000009</v>
      </c>
      <c r="K26" s="11">
        <v>1</v>
      </c>
      <c r="L26" s="14">
        <f t="shared" si="0"/>
        <v>0.39999999999999991</v>
      </c>
      <c r="M26" s="11" t="s">
        <v>25</v>
      </c>
      <c r="N26" s="11" t="str">
        <f t="shared" si="1"/>
        <v>Yes</v>
      </c>
      <c r="O26" s="15">
        <f t="shared" si="2"/>
        <v>28.600031196667214</v>
      </c>
      <c r="P26" s="16">
        <f t="shared" si="3"/>
        <v>1</v>
      </c>
      <c r="Q26" s="11">
        <f t="shared" si="4"/>
        <v>36</v>
      </c>
      <c r="R26" s="17"/>
    </row>
    <row r="27" spans="1:18" x14ac:dyDescent="0.25">
      <c r="A27" s="11">
        <v>25</v>
      </c>
      <c r="B27" s="11" t="s">
        <v>52</v>
      </c>
      <c r="C27" s="11" t="s">
        <v>21</v>
      </c>
      <c r="D27" s="11" t="s">
        <v>53</v>
      </c>
      <c r="E27" s="11" t="s">
        <v>23</v>
      </c>
      <c r="F27" s="11" t="s">
        <v>24</v>
      </c>
      <c r="G27" s="11" t="s">
        <v>23</v>
      </c>
      <c r="H27" s="11" t="s">
        <v>23</v>
      </c>
      <c r="I27" s="12">
        <v>56.657578484716801</v>
      </c>
      <c r="J27" s="13">
        <f>VLOOKUP(A27,[1]Sheet22!$A$4:$B$44,2,FALSE)</f>
        <v>2.4000000000000004</v>
      </c>
      <c r="K27" s="11">
        <v>2.5</v>
      </c>
      <c r="L27" s="14">
        <f t="shared" si="0"/>
        <v>3.9999999999999813E-2</v>
      </c>
      <c r="M27" s="11" t="s">
        <v>25</v>
      </c>
      <c r="N27" s="11" t="str">
        <f t="shared" si="1"/>
        <v>Yes</v>
      </c>
      <c r="O27" s="15">
        <f t="shared" si="2"/>
        <v>42.359734817247663</v>
      </c>
      <c r="P27" s="16">
        <f t="shared" si="3"/>
        <v>1</v>
      </c>
      <c r="Q27" s="11">
        <f t="shared" si="4"/>
        <v>27</v>
      </c>
      <c r="R27" s="17"/>
    </row>
    <row r="28" spans="1:18" x14ac:dyDescent="0.25">
      <c r="A28" s="11">
        <v>26</v>
      </c>
      <c r="B28" s="11" t="s">
        <v>52</v>
      </c>
      <c r="C28" s="11" t="s">
        <v>21</v>
      </c>
      <c r="D28" s="11" t="s">
        <v>54</v>
      </c>
      <c r="E28" s="11" t="s">
        <v>23</v>
      </c>
      <c r="F28" s="11" t="s">
        <v>24</v>
      </c>
      <c r="G28" s="11" t="s">
        <v>23</v>
      </c>
      <c r="H28" s="11" t="s">
        <v>23</v>
      </c>
      <c r="I28" s="12">
        <v>81.953964006164142</v>
      </c>
      <c r="J28" s="13">
        <f>VLOOKUP(A28,[1]Sheet22!$A$4:$B$44,2,FALSE)</f>
        <v>3.6000000000000005</v>
      </c>
      <c r="K28" s="11">
        <v>2.5</v>
      </c>
      <c r="L28" s="14">
        <f t="shared" si="0"/>
        <v>-0.44000000000000017</v>
      </c>
      <c r="M28" s="11" t="s">
        <v>25</v>
      </c>
      <c r="N28" s="11" t="str">
        <f t="shared" si="1"/>
        <v>Yes</v>
      </c>
      <c r="O28" s="15">
        <f t="shared" si="2"/>
        <v>43.927100338053542</v>
      </c>
      <c r="P28" s="16">
        <f t="shared" si="3"/>
        <v>1</v>
      </c>
      <c r="Q28" s="11">
        <f t="shared" si="4"/>
        <v>24</v>
      </c>
      <c r="R28" s="17"/>
    </row>
    <row r="29" spans="1:18" x14ac:dyDescent="0.25">
      <c r="A29" s="11">
        <v>27</v>
      </c>
      <c r="B29" s="11" t="s">
        <v>52</v>
      </c>
      <c r="C29" s="11" t="s">
        <v>21</v>
      </c>
      <c r="D29" s="11" t="s">
        <v>28</v>
      </c>
      <c r="E29" s="11" t="s">
        <v>23</v>
      </c>
      <c r="F29" s="11" t="s">
        <v>24</v>
      </c>
      <c r="G29" s="11" t="s">
        <v>36</v>
      </c>
      <c r="H29" s="11">
        <v>251</v>
      </c>
      <c r="I29" s="12">
        <v>0.66733926404556976</v>
      </c>
      <c r="J29" s="13">
        <f>VLOOKUP(A29,[1]Sheet22!$A$4:$B$44,2,FALSE)</f>
        <v>3.5</v>
      </c>
      <c r="K29" s="11">
        <v>2.5</v>
      </c>
      <c r="L29" s="14">
        <f t="shared" si="0"/>
        <v>-0.39999999999999991</v>
      </c>
      <c r="M29" s="11" t="s">
        <v>25</v>
      </c>
      <c r="N29" s="11" t="str">
        <f t="shared" si="1"/>
        <v>Yes</v>
      </c>
      <c r="O29" s="15">
        <f t="shared" si="2"/>
        <v>5244.7086340794112</v>
      </c>
      <c r="P29" s="16">
        <f t="shared" si="3"/>
        <v>5</v>
      </c>
      <c r="Q29" s="11">
        <f t="shared" si="4"/>
        <v>2</v>
      </c>
      <c r="R29" s="17"/>
    </row>
    <row r="30" spans="1:18" ht="45.65" customHeight="1" x14ac:dyDescent="0.25">
      <c r="A30" s="11">
        <v>28</v>
      </c>
      <c r="B30" s="11" t="s">
        <v>52</v>
      </c>
      <c r="C30" s="11" t="s">
        <v>21</v>
      </c>
      <c r="D30" s="11" t="s">
        <v>28</v>
      </c>
      <c r="E30" s="11" t="s">
        <v>23</v>
      </c>
      <c r="F30" s="11" t="s">
        <v>24</v>
      </c>
      <c r="G30" s="11" t="s">
        <v>23</v>
      </c>
      <c r="H30" s="20" t="s">
        <v>55</v>
      </c>
      <c r="I30" s="12">
        <v>27.959512487753944</v>
      </c>
      <c r="J30" s="13">
        <f>VLOOKUP(A30,[1]Sheet22!$A$4:$B$44,2,FALSE)</f>
        <v>1.2</v>
      </c>
      <c r="K30" s="11">
        <v>2.5</v>
      </c>
      <c r="L30" s="14">
        <f t="shared" si="0"/>
        <v>0.52</v>
      </c>
      <c r="M30" s="11" t="s">
        <v>25</v>
      </c>
      <c r="N30" s="11" t="str">
        <f t="shared" si="1"/>
        <v>No</v>
      </c>
      <c r="O30" s="15">
        <f t="shared" si="2"/>
        <v>42.919203277438797</v>
      </c>
      <c r="P30" s="16">
        <f t="shared" si="3"/>
        <v>1</v>
      </c>
      <c r="Q30" s="11">
        <f t="shared" si="4"/>
        <v>26</v>
      </c>
      <c r="R30" s="17" t="s">
        <v>56</v>
      </c>
    </row>
    <row r="31" spans="1:18" x14ac:dyDescent="0.25">
      <c r="A31" s="11">
        <v>29</v>
      </c>
      <c r="B31" s="11" t="s">
        <v>52</v>
      </c>
      <c r="C31" s="11" t="s">
        <v>21</v>
      </c>
      <c r="D31" s="11" t="s">
        <v>34</v>
      </c>
      <c r="E31" s="11" t="s">
        <v>23</v>
      </c>
      <c r="F31" s="11" t="s">
        <v>26</v>
      </c>
      <c r="G31" s="11" t="s">
        <v>23</v>
      </c>
      <c r="H31" s="11" t="s">
        <v>23</v>
      </c>
      <c r="I31" s="12">
        <v>77.881777818283496</v>
      </c>
      <c r="J31" s="13">
        <f>VLOOKUP(A31,[1]Sheet22!$A$4:$B$44,2,FALSE)</f>
        <v>3.2000000000000006</v>
      </c>
      <c r="K31" s="11">
        <v>2.5</v>
      </c>
      <c r="L31" s="14">
        <f t="shared" si="0"/>
        <v>-0.28000000000000025</v>
      </c>
      <c r="M31" s="11" t="s">
        <v>25</v>
      </c>
      <c r="N31" s="11" t="str">
        <f t="shared" si="1"/>
        <v>Yes</v>
      </c>
      <c r="O31" s="15">
        <f t="shared" si="2"/>
        <v>41.087916707119263</v>
      </c>
      <c r="P31" s="16">
        <f t="shared" si="3"/>
        <v>1</v>
      </c>
      <c r="Q31" s="11">
        <f t="shared" si="4"/>
        <v>29</v>
      </c>
      <c r="R31" s="17"/>
    </row>
    <row r="32" spans="1:18" x14ac:dyDescent="0.25">
      <c r="A32" s="11">
        <v>30</v>
      </c>
      <c r="B32" s="11" t="s">
        <v>52</v>
      </c>
      <c r="C32" s="11" t="s">
        <v>21</v>
      </c>
      <c r="D32" s="11" t="s">
        <v>49</v>
      </c>
      <c r="E32" s="11" t="s">
        <v>23</v>
      </c>
      <c r="F32" s="11" t="s">
        <v>26</v>
      </c>
      <c r="G32" s="11" t="s">
        <v>23</v>
      </c>
      <c r="H32" s="11" t="s">
        <v>23</v>
      </c>
      <c r="I32" s="12">
        <v>51.352101799032368</v>
      </c>
      <c r="J32" s="13">
        <f>VLOOKUP(A32,[1]Sheet22!$A$4:$B$44,2,FALSE)</f>
        <v>1.7999999999999998</v>
      </c>
      <c r="K32" s="11">
        <v>2.5</v>
      </c>
      <c r="L32" s="14">
        <f t="shared" si="0"/>
        <v>0.28000000000000003</v>
      </c>
      <c r="M32" s="11" t="s">
        <v>25</v>
      </c>
      <c r="N32" s="11" t="str">
        <f t="shared" si="1"/>
        <v>Yes</v>
      </c>
      <c r="O32" s="15">
        <f t="shared" si="2"/>
        <v>35.052119327936005</v>
      </c>
      <c r="P32" s="16">
        <f t="shared" si="3"/>
        <v>1</v>
      </c>
      <c r="Q32" s="11">
        <f t="shared" si="4"/>
        <v>31</v>
      </c>
      <c r="R32" s="17"/>
    </row>
    <row r="33" spans="1:18" x14ac:dyDescent="0.25">
      <c r="A33" s="11">
        <v>31</v>
      </c>
      <c r="B33" s="11" t="s">
        <v>52</v>
      </c>
      <c r="C33" s="11" t="s">
        <v>21</v>
      </c>
      <c r="D33" s="11" t="s">
        <v>54</v>
      </c>
      <c r="E33" s="11" t="s">
        <v>23</v>
      </c>
      <c r="F33" s="11" t="s">
        <v>26</v>
      </c>
      <c r="G33" s="11" t="s">
        <v>23</v>
      </c>
      <c r="H33" s="11" t="s">
        <v>23</v>
      </c>
      <c r="I33" s="12">
        <v>105.46366050188847</v>
      </c>
      <c r="J33" s="13">
        <f>VLOOKUP(A33,[1]Sheet22!$A$4:$B$44,2,FALSE)</f>
        <v>2.8000000000000003</v>
      </c>
      <c r="K33" s="11">
        <v>2.5</v>
      </c>
      <c r="L33" s="14">
        <f t="shared" si="0"/>
        <v>-0.12000000000000011</v>
      </c>
      <c r="M33" s="11" t="s">
        <v>25</v>
      </c>
      <c r="N33" s="11" t="str">
        <f t="shared" si="1"/>
        <v>Yes</v>
      </c>
      <c r="O33" s="15">
        <f t="shared" si="2"/>
        <v>26.549429316933885</v>
      </c>
      <c r="P33" s="16">
        <f t="shared" si="3"/>
        <v>1</v>
      </c>
      <c r="Q33" s="11">
        <f t="shared" si="4"/>
        <v>38</v>
      </c>
      <c r="R33" s="17"/>
    </row>
    <row r="34" spans="1:18" x14ac:dyDescent="0.25">
      <c r="A34" s="11">
        <v>32</v>
      </c>
      <c r="B34" s="11" t="s">
        <v>52</v>
      </c>
      <c r="C34" s="11" t="s">
        <v>21</v>
      </c>
      <c r="D34" s="11" t="s">
        <v>28</v>
      </c>
      <c r="E34" s="11" t="s">
        <v>23</v>
      </c>
      <c r="F34" s="11" t="s">
        <v>26</v>
      </c>
      <c r="G34" s="11" t="s">
        <v>23</v>
      </c>
      <c r="H34" s="11" t="s">
        <v>23</v>
      </c>
      <c r="I34" s="12">
        <v>50.440802084903581</v>
      </c>
      <c r="J34" s="13">
        <f>VLOOKUP(A34,[1]Sheet22!$A$4:$B$44,2,FALSE)</f>
        <v>1.5999999999999999</v>
      </c>
      <c r="K34" s="11">
        <v>2.5</v>
      </c>
      <c r="L34" s="14">
        <f t="shared" si="0"/>
        <v>0.3600000000000001</v>
      </c>
      <c r="M34" s="11" t="s">
        <v>25</v>
      </c>
      <c r="N34" s="11" t="str">
        <f t="shared" si="1"/>
        <v>Yes</v>
      </c>
      <c r="O34" s="15">
        <f t="shared" si="2"/>
        <v>31.720352053617788</v>
      </c>
      <c r="P34" s="16">
        <f t="shared" si="3"/>
        <v>1</v>
      </c>
      <c r="Q34" s="11">
        <f t="shared" si="4"/>
        <v>34</v>
      </c>
      <c r="R34" s="17"/>
    </row>
    <row r="35" spans="1:18" x14ac:dyDescent="0.25">
      <c r="A35" s="11">
        <v>33</v>
      </c>
      <c r="B35" s="11" t="s">
        <v>52</v>
      </c>
      <c r="C35" s="11" t="s">
        <v>21</v>
      </c>
      <c r="D35" s="11" t="s">
        <v>31</v>
      </c>
      <c r="E35" s="11" t="s">
        <v>23</v>
      </c>
      <c r="F35" s="11" t="s">
        <v>46</v>
      </c>
      <c r="G35" s="11" t="s">
        <v>23</v>
      </c>
      <c r="H35" s="11" t="s">
        <v>23</v>
      </c>
      <c r="I35" s="12">
        <v>12.661228658351396</v>
      </c>
      <c r="J35" s="13">
        <f>VLOOKUP(A35,[1]Sheet22!$A$4:$B$44,2,FALSE)</f>
        <v>2</v>
      </c>
      <c r="K35" s="11">
        <v>2.5</v>
      </c>
      <c r="L35" s="14">
        <f t="shared" si="0"/>
        <v>0.19999999999999996</v>
      </c>
      <c r="M35" s="11" t="s">
        <v>25</v>
      </c>
      <c r="N35" s="11" t="str">
        <f t="shared" si="1"/>
        <v>Yes</v>
      </c>
      <c r="O35" s="15">
        <f t="shared" si="2"/>
        <v>157.96255276384983</v>
      </c>
      <c r="P35" s="16">
        <f t="shared" si="3"/>
        <v>3</v>
      </c>
      <c r="Q35" s="11">
        <f t="shared" si="4"/>
        <v>10</v>
      </c>
      <c r="R35" s="17"/>
    </row>
    <row r="36" spans="1:18" x14ac:dyDescent="0.25">
      <c r="A36" s="11">
        <v>34</v>
      </c>
      <c r="B36" s="11" t="s">
        <v>57</v>
      </c>
      <c r="C36" s="11" t="s">
        <v>21</v>
      </c>
      <c r="D36" s="11" t="s">
        <v>58</v>
      </c>
      <c r="E36" s="11" t="s">
        <v>23</v>
      </c>
      <c r="F36" s="11" t="s">
        <v>24</v>
      </c>
      <c r="G36" s="11" t="s">
        <v>23</v>
      </c>
      <c r="H36" s="11" t="s">
        <v>23</v>
      </c>
      <c r="I36" s="12">
        <v>14.544553364747607</v>
      </c>
      <c r="J36" s="13">
        <f>VLOOKUP(A36,[1]Sheet22!$A$4:$B$44,2,FALSE)</f>
        <v>2.4</v>
      </c>
      <c r="K36" s="11">
        <v>2.5</v>
      </c>
      <c r="L36" s="14">
        <f t="shared" si="0"/>
        <v>4.0000000000000036E-2</v>
      </c>
      <c r="M36" s="11" t="s">
        <v>25</v>
      </c>
      <c r="N36" s="11" t="str">
        <f t="shared" si="1"/>
        <v>Yes</v>
      </c>
      <c r="O36" s="15">
        <f t="shared" si="2"/>
        <v>165.01022340204719</v>
      </c>
      <c r="P36" s="16">
        <f t="shared" si="3"/>
        <v>3</v>
      </c>
      <c r="Q36" s="11">
        <f t="shared" si="4"/>
        <v>9</v>
      </c>
      <c r="R36" s="17"/>
    </row>
    <row r="37" spans="1:18" x14ac:dyDescent="0.25">
      <c r="A37" s="11">
        <v>35</v>
      </c>
      <c r="B37" s="11" t="s">
        <v>57</v>
      </c>
      <c r="C37" s="11" t="s">
        <v>21</v>
      </c>
      <c r="D37" s="11" t="s">
        <v>59</v>
      </c>
      <c r="E37" s="11" t="s">
        <v>23</v>
      </c>
      <c r="F37" s="11" t="s">
        <v>26</v>
      </c>
      <c r="G37" s="11" t="s">
        <v>23</v>
      </c>
      <c r="H37" s="11" t="s">
        <v>23</v>
      </c>
      <c r="I37" s="12">
        <v>25.700871155550516</v>
      </c>
      <c r="J37" s="13">
        <f>VLOOKUP(A37,[1]Sheet22!$A$4:$B$44,2,FALSE)</f>
        <v>2.4000000000000004</v>
      </c>
      <c r="K37" s="11">
        <v>2.5</v>
      </c>
      <c r="L37" s="14">
        <f t="shared" si="0"/>
        <v>3.9999999999999813E-2</v>
      </c>
      <c r="M37" s="11" t="s">
        <v>25</v>
      </c>
      <c r="N37" s="11" t="str">
        <f t="shared" si="1"/>
        <v>Yes</v>
      </c>
      <c r="O37" s="15">
        <f t="shared" si="2"/>
        <v>93.382048626849041</v>
      </c>
      <c r="P37" s="16">
        <f t="shared" si="3"/>
        <v>2</v>
      </c>
      <c r="Q37" s="11">
        <f t="shared" si="4"/>
        <v>14</v>
      </c>
      <c r="R37" s="17"/>
    </row>
    <row r="38" spans="1:18" x14ac:dyDescent="0.25">
      <c r="A38" s="11">
        <v>36</v>
      </c>
      <c r="B38" s="11" t="s">
        <v>57</v>
      </c>
      <c r="C38" s="11" t="s">
        <v>21</v>
      </c>
      <c r="D38" s="11" t="s">
        <v>28</v>
      </c>
      <c r="E38" s="11" t="s">
        <v>23</v>
      </c>
      <c r="F38" s="11" t="s">
        <v>26</v>
      </c>
      <c r="G38" s="11" t="s">
        <v>23</v>
      </c>
      <c r="H38" s="11" t="s">
        <v>23</v>
      </c>
      <c r="I38" s="12">
        <v>0.13670462294388297</v>
      </c>
      <c r="J38" s="13">
        <f>VLOOKUP(A38,[1]Sheet22!$A$4:$B$44,2,FALSE)</f>
        <v>2</v>
      </c>
      <c r="K38" s="11">
        <v>2.5</v>
      </c>
      <c r="L38" s="14">
        <f t="shared" si="0"/>
        <v>0.19999999999999996</v>
      </c>
      <c r="M38" s="11" t="s">
        <v>25</v>
      </c>
      <c r="N38" s="11" t="str">
        <f t="shared" si="1"/>
        <v>Yes</v>
      </c>
      <c r="O38" s="15">
        <f t="shared" si="2"/>
        <v>14630.083145183735</v>
      </c>
      <c r="P38" s="16">
        <f t="shared" si="3"/>
        <v>5</v>
      </c>
      <c r="Q38" s="11">
        <f t="shared" si="4"/>
        <v>1</v>
      </c>
      <c r="R38" s="17"/>
    </row>
    <row r="39" spans="1:18" x14ac:dyDescent="0.25">
      <c r="A39" s="11">
        <v>37</v>
      </c>
      <c r="B39" s="11" t="s">
        <v>60</v>
      </c>
      <c r="C39" s="11" t="s">
        <v>21</v>
      </c>
      <c r="D39" s="11" t="s">
        <v>61</v>
      </c>
      <c r="E39" s="11" t="s">
        <v>23</v>
      </c>
      <c r="F39" s="11" t="s">
        <v>24</v>
      </c>
      <c r="G39" s="11" t="s">
        <v>23</v>
      </c>
      <c r="H39" s="11" t="s">
        <v>23</v>
      </c>
      <c r="I39" s="12">
        <v>22.11432615603406</v>
      </c>
      <c r="J39" s="13">
        <f>VLOOKUP(A39,[1]Sheet22!$A$4:$B$44,2,FALSE)</f>
        <v>1.4</v>
      </c>
      <c r="K39" s="11">
        <v>2.5</v>
      </c>
      <c r="L39" s="14">
        <f t="shared" si="0"/>
        <v>0.44000000000000006</v>
      </c>
      <c r="M39" s="11" t="s">
        <v>25</v>
      </c>
      <c r="N39" s="11" t="str">
        <f t="shared" si="1"/>
        <v>Yes</v>
      </c>
      <c r="O39" s="15">
        <f t="shared" si="2"/>
        <v>63.307377765973634</v>
      </c>
      <c r="P39" s="16">
        <f t="shared" si="3"/>
        <v>1</v>
      </c>
      <c r="Q39" s="11">
        <f t="shared" si="4"/>
        <v>19</v>
      </c>
      <c r="R39" s="17"/>
    </row>
    <row r="40" spans="1:18" x14ac:dyDescent="0.25">
      <c r="A40" s="11">
        <v>38</v>
      </c>
      <c r="B40" s="11" t="s">
        <v>60</v>
      </c>
      <c r="C40" s="11" t="s">
        <v>21</v>
      </c>
      <c r="D40" s="11" t="s">
        <v>62</v>
      </c>
      <c r="E40" s="11" t="s">
        <v>23</v>
      </c>
      <c r="F40" s="11" t="s">
        <v>24</v>
      </c>
      <c r="G40" s="11" t="s">
        <v>23</v>
      </c>
      <c r="H40" s="11" t="s">
        <v>23</v>
      </c>
      <c r="I40" s="12">
        <v>36.774673464500758</v>
      </c>
      <c r="J40" s="13">
        <f>VLOOKUP(A40,[1]Sheet22!$A$4:$B$44,2,FALSE)</f>
        <v>1.6</v>
      </c>
      <c r="K40" s="11">
        <v>2.5</v>
      </c>
      <c r="L40" s="14">
        <f t="shared" si="0"/>
        <v>0.36</v>
      </c>
      <c r="M40" s="11" t="s">
        <v>25</v>
      </c>
      <c r="N40" s="11" t="str">
        <f t="shared" si="1"/>
        <v>Yes</v>
      </c>
      <c r="O40" s="15">
        <f t="shared" si="2"/>
        <v>43.50820413251278</v>
      </c>
      <c r="P40" s="16">
        <f t="shared" si="3"/>
        <v>1</v>
      </c>
      <c r="Q40" s="11">
        <f t="shared" si="4"/>
        <v>25</v>
      </c>
      <c r="R40" s="17"/>
    </row>
    <row r="41" spans="1:18" x14ac:dyDescent="0.25">
      <c r="A41" s="11">
        <v>39</v>
      </c>
      <c r="B41" s="11" t="s">
        <v>60</v>
      </c>
      <c r="C41" s="11" t="s">
        <v>21</v>
      </c>
      <c r="D41" s="11" t="s">
        <v>61</v>
      </c>
      <c r="E41" s="11" t="s">
        <v>23</v>
      </c>
      <c r="F41" s="11" t="s">
        <v>26</v>
      </c>
      <c r="G41" s="11" t="s">
        <v>23</v>
      </c>
      <c r="H41" s="11" t="s">
        <v>23</v>
      </c>
      <c r="I41" s="12">
        <v>53.33966163287711</v>
      </c>
      <c r="J41" s="13">
        <f>VLOOKUP(A41,[1]Sheet22!$A$4:$B$44,2,FALSE)</f>
        <v>2.4</v>
      </c>
      <c r="K41" s="11">
        <v>2.5</v>
      </c>
      <c r="L41" s="14">
        <f t="shared" si="0"/>
        <v>4.0000000000000036E-2</v>
      </c>
      <c r="M41" s="11" t="s">
        <v>25</v>
      </c>
      <c r="N41" s="11" t="str">
        <f t="shared" si="1"/>
        <v>Yes</v>
      </c>
      <c r="O41" s="15">
        <f t="shared" si="2"/>
        <v>44.994661130746763</v>
      </c>
      <c r="P41" s="16">
        <f t="shared" si="3"/>
        <v>1</v>
      </c>
      <c r="Q41" s="11">
        <f t="shared" si="4"/>
        <v>23</v>
      </c>
      <c r="R41" s="17"/>
    </row>
    <row r="42" spans="1:18" x14ac:dyDescent="0.25">
      <c r="A42" s="11">
        <v>40</v>
      </c>
      <c r="B42" s="11" t="s">
        <v>60</v>
      </c>
      <c r="C42" s="11" t="s">
        <v>21</v>
      </c>
      <c r="D42" s="11" t="s">
        <v>62</v>
      </c>
      <c r="E42" s="11" t="s">
        <v>23</v>
      </c>
      <c r="F42" s="11" t="s">
        <v>26</v>
      </c>
      <c r="G42" s="11" t="s">
        <v>23</v>
      </c>
      <c r="H42" s="11" t="s">
        <v>23</v>
      </c>
      <c r="I42" s="12">
        <v>99.67948927209072</v>
      </c>
      <c r="J42" s="13">
        <f>VLOOKUP(A42,[1]Sheet22!$A$4:$B$44,2,FALSE)</f>
        <v>3</v>
      </c>
      <c r="K42" s="11">
        <v>2.5</v>
      </c>
      <c r="L42" s="14">
        <f t="shared" si="0"/>
        <v>-0.19999999999999996</v>
      </c>
      <c r="M42" s="11" t="s">
        <v>25</v>
      </c>
      <c r="N42" s="11" t="str">
        <f t="shared" si="1"/>
        <v>Yes</v>
      </c>
      <c r="O42" s="15">
        <f t="shared" si="2"/>
        <v>30.096462390683321</v>
      </c>
      <c r="P42" s="16">
        <f t="shared" si="3"/>
        <v>1</v>
      </c>
      <c r="Q42" s="11">
        <f t="shared" si="4"/>
        <v>35</v>
      </c>
      <c r="R42" s="17"/>
    </row>
    <row r="43" spans="1:18" ht="23" x14ac:dyDescent="0.25">
      <c r="A43" s="11">
        <v>41</v>
      </c>
      <c r="B43" s="11" t="s">
        <v>60</v>
      </c>
      <c r="C43" s="11" t="s">
        <v>30</v>
      </c>
      <c r="D43" s="11" t="s">
        <v>63</v>
      </c>
      <c r="E43" s="11" t="s">
        <v>23</v>
      </c>
      <c r="F43" s="11" t="s">
        <v>24</v>
      </c>
      <c r="G43" s="11" t="s">
        <v>23</v>
      </c>
      <c r="H43" s="11" t="s">
        <v>23</v>
      </c>
      <c r="I43" s="12">
        <v>9.8618074788339438</v>
      </c>
      <c r="J43" s="13">
        <f>VLOOKUP(A43,[1]Sheet22!$A$4:$B$44,2,FALSE)</f>
        <v>0.2</v>
      </c>
      <c r="K43" s="11">
        <v>1</v>
      </c>
      <c r="L43" s="14">
        <f t="shared" si="0"/>
        <v>0.8</v>
      </c>
      <c r="M43" s="11" t="s">
        <v>25</v>
      </c>
      <c r="N43" s="11" t="str">
        <f t="shared" si="1"/>
        <v>No</v>
      </c>
      <c r="O43" s="15">
        <f t="shared" si="2"/>
        <v>20.280257998267874</v>
      </c>
      <c r="P43" s="16">
        <f t="shared" si="3"/>
        <v>1</v>
      </c>
      <c r="Q43" s="11">
        <f t="shared" si="4"/>
        <v>40</v>
      </c>
      <c r="R43" s="17" t="s">
        <v>32</v>
      </c>
    </row>
    <row r="44" spans="1:18" x14ac:dyDescent="0.25">
      <c r="J44" s="22">
        <f>SUM(J3:J43)</f>
        <v>82.433333333333366</v>
      </c>
      <c r="K44" s="22">
        <f>SUM(K3:K43)</f>
        <v>89</v>
      </c>
      <c r="L44" s="23">
        <f>1-(J44/K44)</f>
        <v>7.3782771535580216E-2</v>
      </c>
      <c r="M44" s="24" t="s">
        <v>64</v>
      </c>
      <c r="N44" s="25" t="str">
        <f>IF(AND(L44&lt;0.1,L44&gt;-0.1),"Yes","No")</f>
        <v>Yes</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0C6A-BB28-49FD-8FAC-925A6278529C}">
  <dimension ref="A1:F42"/>
  <sheetViews>
    <sheetView workbookViewId="0">
      <selection activeCell="C2" sqref="C2"/>
    </sheetView>
  </sheetViews>
  <sheetFormatPr defaultColWidth="8.7265625" defaultRowHeight="11.5" x14ac:dyDescent="0.25"/>
  <cols>
    <col min="1" max="2" width="12.81640625" style="5" customWidth="1"/>
    <col min="3" max="3" width="24.26953125" style="32" customWidth="1"/>
    <col min="4" max="4" width="23.1796875" style="33" customWidth="1"/>
    <col min="5" max="5" width="18.1796875" style="33" bestFit="1" customWidth="1"/>
    <col min="6" max="6" width="25.453125" style="33" customWidth="1"/>
    <col min="7" max="16384" width="8.7265625" style="5"/>
  </cols>
  <sheetData>
    <row r="1" spans="1:6" s="30" customFormat="1" x14ac:dyDescent="0.25">
      <c r="A1" s="13" t="s">
        <v>65</v>
      </c>
      <c r="B1" s="13" t="s">
        <v>18</v>
      </c>
      <c r="C1" s="28" t="s">
        <v>66</v>
      </c>
      <c r="D1" s="29" t="s">
        <v>67</v>
      </c>
      <c r="E1" s="19" t="s">
        <v>68</v>
      </c>
      <c r="F1" s="29" t="s">
        <v>69</v>
      </c>
    </row>
    <row r="2" spans="1:6" x14ac:dyDescent="0.25">
      <c r="A2" s="11">
        <v>36</v>
      </c>
      <c r="B2" s="11">
        <v>1</v>
      </c>
      <c r="C2" s="31">
        <v>2</v>
      </c>
      <c r="D2" s="31">
        <f>SUM($C$2:C2)</f>
        <v>2</v>
      </c>
      <c r="E2" s="31">
        <v>0.13670462294388297</v>
      </c>
      <c r="F2" s="31">
        <f>SUM($E$2:E2)</f>
        <v>0.13670462294388297</v>
      </c>
    </row>
    <row r="3" spans="1:6" x14ac:dyDescent="0.25">
      <c r="A3" s="11">
        <v>27</v>
      </c>
      <c r="B3" s="11">
        <v>2</v>
      </c>
      <c r="C3" s="31">
        <v>3.5</v>
      </c>
      <c r="D3" s="31">
        <f>SUM($C$2:C3)</f>
        <v>5.5</v>
      </c>
      <c r="E3" s="31">
        <v>0.66733926404556976</v>
      </c>
      <c r="F3" s="31">
        <f>SUM($E$2:E3)</f>
        <v>0.80404388698945273</v>
      </c>
    </row>
    <row r="4" spans="1:6" x14ac:dyDescent="0.25">
      <c r="A4" s="11">
        <v>3</v>
      </c>
      <c r="B4" s="11">
        <v>3</v>
      </c>
      <c r="C4" s="31">
        <v>4</v>
      </c>
      <c r="D4" s="31">
        <f>SUM($C$2:C4)</f>
        <v>9.5</v>
      </c>
      <c r="E4" s="31">
        <v>1.8272345632980498</v>
      </c>
      <c r="F4" s="31">
        <f>SUM($E$2:E4)</f>
        <v>2.6312784502875024</v>
      </c>
    </row>
    <row r="5" spans="1:6" x14ac:dyDescent="0.25">
      <c r="A5" s="11">
        <v>6</v>
      </c>
      <c r="B5" s="11">
        <v>4</v>
      </c>
      <c r="C5" s="31">
        <v>2.2000000000000002</v>
      </c>
      <c r="D5" s="31">
        <f>SUM($C$2:C5)</f>
        <v>11.7</v>
      </c>
      <c r="E5" s="31">
        <v>3.0280378972901021</v>
      </c>
      <c r="F5" s="31">
        <f>SUM($E$2:E5)</f>
        <v>5.6593163475776045</v>
      </c>
    </row>
    <row r="6" spans="1:6" x14ac:dyDescent="0.25">
      <c r="A6" s="11">
        <v>5</v>
      </c>
      <c r="B6" s="11">
        <v>5</v>
      </c>
      <c r="C6" s="31">
        <v>2</v>
      </c>
      <c r="D6" s="31">
        <f>SUM($C$2:C6)</f>
        <v>13.7</v>
      </c>
      <c r="E6" s="31">
        <v>3.295322228260726</v>
      </c>
      <c r="F6" s="31">
        <f>SUM($E$2:E6)</f>
        <v>8.9546385758383309</v>
      </c>
    </row>
    <row r="7" spans="1:6" x14ac:dyDescent="0.25">
      <c r="A7" s="11">
        <v>9</v>
      </c>
      <c r="B7" s="11">
        <v>6</v>
      </c>
      <c r="C7" s="31">
        <v>2.4000000000000004</v>
      </c>
      <c r="D7" s="31">
        <f>SUM($C$2:C7)</f>
        <v>16.100000000000001</v>
      </c>
      <c r="E7" s="31">
        <v>5.284135306301434</v>
      </c>
      <c r="F7" s="31">
        <f>SUM($E$2:E7)</f>
        <v>14.238773882139764</v>
      </c>
    </row>
    <row r="8" spans="1:6" x14ac:dyDescent="0.25">
      <c r="A8" s="11">
        <v>12</v>
      </c>
      <c r="B8" s="11">
        <v>7</v>
      </c>
      <c r="C8" s="31">
        <v>0.8</v>
      </c>
      <c r="D8" s="31">
        <f>SUM($C$2:C8)</f>
        <v>16.900000000000002</v>
      </c>
      <c r="E8" s="31">
        <v>2.5734748375146728</v>
      </c>
      <c r="F8" s="31">
        <f>SUM($E$2:E8)</f>
        <v>16.812248719654438</v>
      </c>
    </row>
    <row r="9" spans="1:6" x14ac:dyDescent="0.25">
      <c r="A9" s="11">
        <v>4</v>
      </c>
      <c r="B9" s="11">
        <v>8</v>
      </c>
      <c r="C9" s="31">
        <v>3.2</v>
      </c>
      <c r="D9" s="31">
        <f>SUM($C$2:C9)</f>
        <v>20.100000000000001</v>
      </c>
      <c r="E9" s="31">
        <v>11.463930242270868</v>
      </c>
      <c r="F9" s="31">
        <f>SUM($E$2:E9)</f>
        <v>28.276178961925304</v>
      </c>
    </row>
    <row r="10" spans="1:6" x14ac:dyDescent="0.25">
      <c r="A10" s="11">
        <v>34</v>
      </c>
      <c r="B10" s="11">
        <v>9</v>
      </c>
      <c r="C10" s="31">
        <v>2.4</v>
      </c>
      <c r="D10" s="31">
        <f>SUM($C$2:C10)</f>
        <v>22.5</v>
      </c>
      <c r="E10" s="31">
        <v>14.544553364747607</v>
      </c>
      <c r="F10" s="31">
        <f>SUM($E$2:E10)</f>
        <v>42.820732326672911</v>
      </c>
    </row>
    <row r="11" spans="1:6" x14ac:dyDescent="0.25">
      <c r="A11" s="11">
        <v>33</v>
      </c>
      <c r="B11" s="11">
        <v>10</v>
      </c>
      <c r="C11" s="31">
        <v>2</v>
      </c>
      <c r="D11" s="31">
        <f>SUM($C$2:C11)</f>
        <v>24.5</v>
      </c>
      <c r="E11" s="31">
        <v>12.661228658351396</v>
      </c>
      <c r="F11" s="31">
        <f>SUM($E$2:E11)</f>
        <v>55.481960985024308</v>
      </c>
    </row>
    <row r="12" spans="1:6" x14ac:dyDescent="0.25">
      <c r="A12" s="11">
        <v>16</v>
      </c>
      <c r="B12" s="11">
        <v>11</v>
      </c>
      <c r="C12" s="31">
        <v>2.2000000000000002</v>
      </c>
      <c r="D12" s="31">
        <f>SUM($C$2:C12)</f>
        <v>26.7</v>
      </c>
      <c r="E12" s="31">
        <v>15.419930029220295</v>
      </c>
      <c r="F12" s="31">
        <f>SUM($E$2:E12)</f>
        <v>70.901891014244597</v>
      </c>
    </row>
    <row r="13" spans="1:6" x14ac:dyDescent="0.25">
      <c r="A13" s="11">
        <v>21</v>
      </c>
      <c r="B13" s="11">
        <v>12</v>
      </c>
      <c r="C13" s="31">
        <v>1</v>
      </c>
      <c r="D13" s="31">
        <f>SUM($C$2:C13)</f>
        <v>27.7</v>
      </c>
      <c r="E13" s="31">
        <v>8.5253123464820781</v>
      </c>
      <c r="F13" s="31">
        <f>SUM($E$2:E13)</f>
        <v>79.427203360726679</v>
      </c>
    </row>
    <row r="14" spans="1:6" x14ac:dyDescent="0.25">
      <c r="A14" s="11">
        <v>8</v>
      </c>
      <c r="B14" s="11">
        <v>13</v>
      </c>
      <c r="C14" s="31">
        <v>2.6</v>
      </c>
      <c r="D14" s="31">
        <f>SUM($C$2:C14)</f>
        <v>30.3</v>
      </c>
      <c r="E14" s="31">
        <v>23.968961639446377</v>
      </c>
      <c r="F14" s="31">
        <f>SUM($E$2:E14)</f>
        <v>103.39616500017306</v>
      </c>
    </row>
    <row r="15" spans="1:6" x14ac:dyDescent="0.25">
      <c r="A15" s="11">
        <v>35</v>
      </c>
      <c r="B15" s="11">
        <v>14</v>
      </c>
      <c r="C15" s="31">
        <v>2.4000000000000004</v>
      </c>
      <c r="D15" s="31">
        <f>SUM($C$2:C15)</f>
        <v>32.700000000000003</v>
      </c>
      <c r="E15" s="31">
        <v>25.700871155550516</v>
      </c>
      <c r="F15" s="31">
        <f>SUM($E$2:E15)</f>
        <v>129.09703615572357</v>
      </c>
    </row>
    <row r="16" spans="1:6" x14ac:dyDescent="0.25">
      <c r="A16" s="11">
        <v>18</v>
      </c>
      <c r="B16" s="11">
        <v>15</v>
      </c>
      <c r="C16" s="31">
        <v>2.5</v>
      </c>
      <c r="D16" s="31">
        <f>SUM($C$2:C16)</f>
        <v>35.200000000000003</v>
      </c>
      <c r="E16" s="31">
        <v>29.80779764971107</v>
      </c>
      <c r="F16" s="31">
        <f>SUM($E$2:E16)</f>
        <v>158.90483380543463</v>
      </c>
    </row>
    <row r="17" spans="1:6" x14ac:dyDescent="0.25">
      <c r="A17" s="11">
        <v>10</v>
      </c>
      <c r="B17" s="11">
        <v>16</v>
      </c>
      <c r="C17" s="31">
        <v>3.0000000000000004</v>
      </c>
      <c r="D17" s="31">
        <f>SUM($C$2:C17)</f>
        <v>38.200000000000003</v>
      </c>
      <c r="E17" s="31">
        <v>38.518846069058803</v>
      </c>
      <c r="F17" s="31">
        <f>SUM($E$2:E17)</f>
        <v>197.42367987449344</v>
      </c>
    </row>
    <row r="18" spans="1:6" x14ac:dyDescent="0.25">
      <c r="A18" s="11">
        <v>17</v>
      </c>
      <c r="B18" s="11">
        <v>17</v>
      </c>
      <c r="C18" s="31">
        <v>1.5999999999999999</v>
      </c>
      <c r="D18" s="31">
        <f>SUM($C$2:C18)</f>
        <v>39.800000000000004</v>
      </c>
      <c r="E18" s="31">
        <v>21.639399028280668</v>
      </c>
      <c r="F18" s="31">
        <f>SUM($E$2:E18)</f>
        <v>219.06307890277412</v>
      </c>
    </row>
    <row r="19" spans="1:6" x14ac:dyDescent="0.25">
      <c r="A19" s="11">
        <v>7</v>
      </c>
      <c r="B19" s="11">
        <v>18</v>
      </c>
      <c r="C19" s="31">
        <v>3.2</v>
      </c>
      <c r="D19" s="31">
        <f>SUM($C$2:C19)</f>
        <v>43.000000000000007</v>
      </c>
      <c r="E19" s="31">
        <v>49.706950620056247</v>
      </c>
      <c r="F19" s="31">
        <f>SUM($E$2:E19)</f>
        <v>268.77002952283038</v>
      </c>
    </row>
    <row r="20" spans="1:6" x14ac:dyDescent="0.25">
      <c r="A20" s="11">
        <v>37</v>
      </c>
      <c r="B20" s="11">
        <v>19</v>
      </c>
      <c r="C20" s="31">
        <v>1.4</v>
      </c>
      <c r="D20" s="31">
        <f>SUM($C$2:C20)</f>
        <v>44.400000000000006</v>
      </c>
      <c r="E20" s="31">
        <v>22.11432615603406</v>
      </c>
      <c r="F20" s="31">
        <f>SUM($E$2:E20)</f>
        <v>290.88435567886444</v>
      </c>
    </row>
    <row r="21" spans="1:6" x14ac:dyDescent="0.25">
      <c r="A21" s="11">
        <v>1</v>
      </c>
      <c r="B21" s="11">
        <v>20</v>
      </c>
      <c r="C21" s="31">
        <v>1.7999999999999998</v>
      </c>
      <c r="D21" s="31">
        <f>SUM($C$2:C21)</f>
        <v>46.2</v>
      </c>
      <c r="E21" s="31">
        <v>28.857719870302883</v>
      </c>
      <c r="F21" s="31">
        <f>SUM($E$2:E21)</f>
        <v>319.74207554916734</v>
      </c>
    </row>
    <row r="22" spans="1:6" x14ac:dyDescent="0.25">
      <c r="A22" s="11">
        <v>13</v>
      </c>
      <c r="B22" s="11">
        <v>21</v>
      </c>
      <c r="C22" s="31">
        <v>2.2000000000000002</v>
      </c>
      <c r="D22" s="31">
        <f>SUM($C$2:C22)</f>
        <v>48.400000000000006</v>
      </c>
      <c r="E22" s="31">
        <v>36.084693299306657</v>
      </c>
      <c r="F22" s="31">
        <f>SUM($E$2:E22)</f>
        <v>355.82676884847399</v>
      </c>
    </row>
    <row r="23" spans="1:6" x14ac:dyDescent="0.25">
      <c r="A23" s="11">
        <v>15</v>
      </c>
      <c r="B23" s="11">
        <v>22</v>
      </c>
      <c r="C23" s="31">
        <v>0.2</v>
      </c>
      <c r="D23" s="31">
        <f>SUM($C$2:C23)</f>
        <v>48.600000000000009</v>
      </c>
      <c r="E23" s="31">
        <v>3.9787539952179287</v>
      </c>
      <c r="F23" s="31">
        <f>SUM($E$2:E23)</f>
        <v>359.8055228436919</v>
      </c>
    </row>
    <row r="24" spans="1:6" x14ac:dyDescent="0.25">
      <c r="A24" s="11">
        <v>39</v>
      </c>
      <c r="B24" s="11">
        <v>23</v>
      </c>
      <c r="C24" s="31">
        <v>2.4</v>
      </c>
      <c r="D24" s="31">
        <f>SUM($C$2:C24)</f>
        <v>51.000000000000007</v>
      </c>
      <c r="E24" s="31">
        <v>53.33966163287711</v>
      </c>
      <c r="F24" s="31">
        <f>SUM($E$2:E24)</f>
        <v>413.145184476569</v>
      </c>
    </row>
    <row r="25" spans="1:6" x14ac:dyDescent="0.25">
      <c r="A25" s="11">
        <v>26</v>
      </c>
      <c r="B25" s="11">
        <v>24</v>
      </c>
      <c r="C25" s="31">
        <v>3.6000000000000005</v>
      </c>
      <c r="D25" s="31">
        <f>SUM($C$2:C25)</f>
        <v>54.600000000000009</v>
      </c>
      <c r="E25" s="31">
        <v>81.953964006164142</v>
      </c>
      <c r="F25" s="31">
        <f>SUM($E$2:E25)</f>
        <v>495.09914848273314</v>
      </c>
    </row>
    <row r="26" spans="1:6" x14ac:dyDescent="0.25">
      <c r="A26" s="11">
        <v>38</v>
      </c>
      <c r="B26" s="11">
        <v>25</v>
      </c>
      <c r="C26" s="31">
        <v>1.6</v>
      </c>
      <c r="D26" s="31">
        <f>SUM($C$2:C26)</f>
        <v>56.20000000000001</v>
      </c>
      <c r="E26" s="31">
        <v>36.774673464500758</v>
      </c>
      <c r="F26" s="31">
        <f>SUM($E$2:E26)</f>
        <v>531.87382194723386</v>
      </c>
    </row>
    <row r="27" spans="1:6" x14ac:dyDescent="0.25">
      <c r="A27" s="11">
        <v>28</v>
      </c>
      <c r="B27" s="11">
        <v>26</v>
      </c>
      <c r="C27" s="31">
        <v>1.2</v>
      </c>
      <c r="D27" s="31">
        <f>SUM($C$2:C27)</f>
        <v>57.400000000000013</v>
      </c>
      <c r="E27" s="31">
        <v>27.959512487753944</v>
      </c>
      <c r="F27" s="31">
        <f>SUM($E$2:E27)</f>
        <v>559.83333443498782</v>
      </c>
    </row>
    <row r="28" spans="1:6" x14ac:dyDescent="0.25">
      <c r="A28" s="11">
        <v>25</v>
      </c>
      <c r="B28" s="11">
        <v>27</v>
      </c>
      <c r="C28" s="31">
        <v>2.4000000000000004</v>
      </c>
      <c r="D28" s="31">
        <f>SUM($C$2:C28)</f>
        <v>59.800000000000011</v>
      </c>
      <c r="E28" s="31">
        <v>56.657578484716801</v>
      </c>
      <c r="F28" s="31">
        <f>SUM($E$2:E28)</f>
        <v>616.49091291970467</v>
      </c>
    </row>
    <row r="29" spans="1:6" x14ac:dyDescent="0.25">
      <c r="A29" s="11">
        <v>11</v>
      </c>
      <c r="B29" s="11">
        <v>28</v>
      </c>
      <c r="C29" s="31">
        <v>1.6</v>
      </c>
      <c r="D29" s="31">
        <f>SUM($C$2:C29)</f>
        <v>61.400000000000013</v>
      </c>
      <c r="E29" s="31">
        <v>37.779372207475951</v>
      </c>
      <c r="F29" s="31">
        <f>SUM($E$2:E29)</f>
        <v>654.27028512718061</v>
      </c>
    </row>
    <row r="30" spans="1:6" x14ac:dyDescent="0.25">
      <c r="A30" s="11">
        <v>29</v>
      </c>
      <c r="B30" s="11">
        <v>29</v>
      </c>
      <c r="C30" s="31">
        <v>3.2000000000000006</v>
      </c>
      <c r="D30" s="31">
        <f>SUM($C$2:C30)</f>
        <v>64.600000000000009</v>
      </c>
      <c r="E30" s="31">
        <v>77.881777818283496</v>
      </c>
      <c r="F30" s="31">
        <f>SUM($E$2:E30)</f>
        <v>732.15206294546408</v>
      </c>
    </row>
    <row r="31" spans="1:6" x14ac:dyDescent="0.25">
      <c r="A31" s="11">
        <v>22</v>
      </c>
      <c r="B31" s="11">
        <v>30</v>
      </c>
      <c r="C31" s="31">
        <v>2.9333333333333331</v>
      </c>
      <c r="D31" s="31">
        <f>SUM($C$2:C31)</f>
        <v>67.533333333333346</v>
      </c>
      <c r="E31" s="31">
        <v>81.942716003171711</v>
      </c>
      <c r="F31" s="31">
        <f>SUM($E$2:E31)</f>
        <v>814.09477894863585</v>
      </c>
    </row>
    <row r="32" spans="1:6" x14ac:dyDescent="0.25">
      <c r="A32" s="11">
        <v>30</v>
      </c>
      <c r="B32" s="11">
        <v>31</v>
      </c>
      <c r="C32" s="31">
        <v>1.7999999999999998</v>
      </c>
      <c r="D32" s="31">
        <f>SUM($C$2:C32)</f>
        <v>69.333333333333343</v>
      </c>
      <c r="E32" s="31">
        <v>51.352101799032368</v>
      </c>
      <c r="F32" s="31">
        <f>SUM($E$2:E32)</f>
        <v>865.44688074766827</v>
      </c>
    </row>
    <row r="33" spans="1:6" x14ac:dyDescent="0.25">
      <c r="A33" s="11">
        <v>19</v>
      </c>
      <c r="B33" s="11">
        <v>32</v>
      </c>
      <c r="C33" s="31">
        <v>2.6</v>
      </c>
      <c r="D33" s="31">
        <f>SUM($C$2:C33)</f>
        <v>71.933333333333337</v>
      </c>
      <c r="E33" s="31">
        <v>77.823406208371622</v>
      </c>
      <c r="F33" s="31">
        <f>SUM($E$2:E33)</f>
        <v>943.27028695603985</v>
      </c>
    </row>
    <row r="34" spans="1:6" x14ac:dyDescent="0.25">
      <c r="A34" s="11">
        <v>20</v>
      </c>
      <c r="B34" s="11">
        <v>33</v>
      </c>
      <c r="C34" s="31">
        <v>0.2</v>
      </c>
      <c r="D34" s="31">
        <f>SUM($C$2:C34)</f>
        <v>72.13333333333334</v>
      </c>
      <c r="E34" s="31">
        <v>6.1727602457008537</v>
      </c>
      <c r="F34" s="31">
        <f>SUM($E$2:E34)</f>
        <v>949.44304720174068</v>
      </c>
    </row>
    <row r="35" spans="1:6" x14ac:dyDescent="0.25">
      <c r="A35" s="11">
        <v>32</v>
      </c>
      <c r="B35" s="11">
        <v>34</v>
      </c>
      <c r="C35" s="31">
        <v>1.5999999999999999</v>
      </c>
      <c r="D35" s="31">
        <f>SUM($C$2:C35)</f>
        <v>73.733333333333334</v>
      </c>
      <c r="E35" s="31">
        <v>50.440802084903581</v>
      </c>
      <c r="F35" s="31">
        <f>SUM($E$2:E35)</f>
        <v>999.88384928664425</v>
      </c>
    </row>
    <row r="36" spans="1:6" x14ac:dyDescent="0.25">
      <c r="A36" s="11">
        <v>40</v>
      </c>
      <c r="B36" s="11">
        <v>35</v>
      </c>
      <c r="C36" s="31">
        <v>3</v>
      </c>
      <c r="D36" s="31">
        <f>SUM($C$2:C36)</f>
        <v>76.733333333333334</v>
      </c>
      <c r="E36" s="31">
        <v>99.67948927209072</v>
      </c>
      <c r="F36" s="31">
        <f>SUM($E$2:E36)</f>
        <v>1099.563338558735</v>
      </c>
    </row>
    <row r="37" spans="1:6" x14ac:dyDescent="0.25">
      <c r="A37" s="11">
        <v>24</v>
      </c>
      <c r="B37" s="11">
        <v>36</v>
      </c>
      <c r="C37" s="31">
        <v>0.60000000000000009</v>
      </c>
      <c r="D37" s="31">
        <f>SUM($C$2:C37)</f>
        <v>77.333333333333329</v>
      </c>
      <c r="E37" s="31">
        <v>20.978998095285945</v>
      </c>
      <c r="F37" s="31">
        <f>SUM($E$2:E37)</f>
        <v>1120.542336654021</v>
      </c>
    </row>
    <row r="38" spans="1:6" x14ac:dyDescent="0.25">
      <c r="A38" s="11">
        <v>2</v>
      </c>
      <c r="B38" s="11">
        <v>37</v>
      </c>
      <c r="C38" s="31">
        <v>1.2</v>
      </c>
      <c r="D38" s="31">
        <f>SUM($C$2:C38)</f>
        <v>78.533333333333331</v>
      </c>
      <c r="E38" s="31">
        <v>44.970436825825935</v>
      </c>
      <c r="F38" s="31">
        <f>SUM($E$2:E38)</f>
        <v>1165.5127734798471</v>
      </c>
    </row>
    <row r="39" spans="1:6" x14ac:dyDescent="0.25">
      <c r="A39" s="11">
        <v>31</v>
      </c>
      <c r="B39" s="11">
        <v>38</v>
      </c>
      <c r="C39" s="31">
        <v>2.8000000000000003</v>
      </c>
      <c r="D39" s="31">
        <f>SUM($C$2:C39)</f>
        <v>81.333333333333329</v>
      </c>
      <c r="E39" s="31">
        <v>105.46366050188847</v>
      </c>
      <c r="F39" s="31">
        <f>SUM($E$2:E39)</f>
        <v>1270.9764339817355</v>
      </c>
    </row>
    <row r="40" spans="1:6" x14ac:dyDescent="0.25">
      <c r="A40" s="11">
        <v>23</v>
      </c>
      <c r="B40" s="11">
        <v>39</v>
      </c>
      <c r="C40" s="31">
        <v>0.7</v>
      </c>
      <c r="D40" s="31">
        <f>SUM($C$2:C40)</f>
        <v>82.033333333333331</v>
      </c>
      <c r="E40" s="31">
        <v>31.638511322545863</v>
      </c>
      <c r="F40" s="31">
        <f>SUM($E$2:E40)</f>
        <v>1302.6149453042813</v>
      </c>
    </row>
    <row r="41" spans="1:6" x14ac:dyDescent="0.25">
      <c r="A41" s="11">
        <v>41</v>
      </c>
      <c r="B41" s="11">
        <v>40</v>
      </c>
      <c r="C41" s="31">
        <v>0.2</v>
      </c>
      <c r="D41" s="31">
        <f>SUM($C$2:C41)</f>
        <v>82.233333333333334</v>
      </c>
      <c r="E41" s="31">
        <v>9.8618074788339438</v>
      </c>
      <c r="F41" s="31">
        <f>SUM($E$2:E41)</f>
        <v>1312.4767527831152</v>
      </c>
    </row>
    <row r="42" spans="1:6" x14ac:dyDescent="0.25">
      <c r="A42" s="11">
        <v>14</v>
      </c>
      <c r="B42" s="11">
        <v>41</v>
      </c>
      <c r="C42" s="31">
        <v>0.2</v>
      </c>
      <c r="D42" s="31">
        <f>SUM($C$2:C42)</f>
        <v>82.433333333333337</v>
      </c>
      <c r="E42" s="31">
        <v>11.518617216884978</v>
      </c>
      <c r="F42" s="31">
        <f>SUM($E$2:E42)</f>
        <v>1323.9953700000001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221A-66E0-4FE5-9F82-AC8A8C55CD4B}">
  <dimension ref="A1:D25"/>
  <sheetViews>
    <sheetView topLeftCell="A7" workbookViewId="0">
      <selection activeCell="C21" sqref="C21"/>
    </sheetView>
  </sheetViews>
  <sheetFormatPr defaultRowHeight="14.5" x14ac:dyDescent="0.35"/>
  <cols>
    <col min="1" max="1" width="42.54296875" bestFit="1" customWidth="1"/>
    <col min="2" max="2" width="28.26953125" bestFit="1" customWidth="1"/>
    <col min="3" max="3" width="32.453125" bestFit="1" customWidth="1"/>
    <col min="5" max="5" width="14.26953125" customWidth="1"/>
    <col min="7" max="7" width="12.453125" bestFit="1" customWidth="1"/>
    <col min="8" max="8" width="20.1796875" bestFit="1" customWidth="1"/>
  </cols>
  <sheetData>
    <row r="1" spans="1:4" x14ac:dyDescent="0.35">
      <c r="A1" s="34" t="s">
        <v>70</v>
      </c>
      <c r="B1" s="34" t="s">
        <v>71</v>
      </c>
      <c r="C1" s="34" t="s">
        <v>72</v>
      </c>
      <c r="D1" s="35" t="s">
        <v>73</v>
      </c>
    </row>
    <row r="2" spans="1:4" x14ac:dyDescent="0.35">
      <c r="A2" s="34" t="s">
        <v>74</v>
      </c>
      <c r="B2" s="34" t="s">
        <v>75</v>
      </c>
      <c r="C2" s="34">
        <v>16</v>
      </c>
      <c r="D2" s="35">
        <f>SUM(C2/23)</f>
        <v>0.69565217391304346</v>
      </c>
    </row>
    <row r="3" spans="1:4" x14ac:dyDescent="0.35">
      <c r="A3" s="34" t="s">
        <v>76</v>
      </c>
      <c r="B3" s="34" t="s">
        <v>77</v>
      </c>
      <c r="C3" s="34">
        <v>8</v>
      </c>
      <c r="D3" s="35">
        <f>SUM(C3/23)</f>
        <v>0.34782608695652173</v>
      </c>
    </row>
    <row r="4" spans="1:4" x14ac:dyDescent="0.35">
      <c r="A4" s="34" t="s">
        <v>78</v>
      </c>
      <c r="B4" s="34" t="s">
        <v>79</v>
      </c>
      <c r="C4" s="34">
        <v>4</v>
      </c>
      <c r="D4" s="35">
        <f>SUM(C4/23)</f>
        <v>0.17391304347826086</v>
      </c>
    </row>
    <row r="5" spans="1:4" x14ac:dyDescent="0.35">
      <c r="A5" s="34" t="s">
        <v>80</v>
      </c>
      <c r="B5" s="34" t="s">
        <v>81</v>
      </c>
      <c r="C5" s="34">
        <v>2</v>
      </c>
      <c r="D5" s="35">
        <f>SUM(C5/23)</f>
        <v>8.6956521739130432E-2</v>
      </c>
    </row>
    <row r="6" spans="1:4" x14ac:dyDescent="0.35">
      <c r="A6" s="34" t="s">
        <v>82</v>
      </c>
      <c r="B6" s="34"/>
      <c r="C6" s="34"/>
      <c r="D6" s="34"/>
    </row>
    <row r="8" spans="1:4" x14ac:dyDescent="0.35">
      <c r="A8" s="34" t="s">
        <v>83</v>
      </c>
      <c r="B8" s="34">
        <v>29395368</v>
      </c>
    </row>
    <row r="9" spans="1:4" x14ac:dyDescent="0.35">
      <c r="A9" s="34" t="s">
        <v>97</v>
      </c>
      <c r="B9" s="34">
        <v>1282</v>
      </c>
    </row>
    <row r="10" spans="1:4" x14ac:dyDescent="0.35">
      <c r="A10" s="34" t="s">
        <v>84</v>
      </c>
      <c r="B10" s="34">
        <f>(B9/5)</f>
        <v>256.39999999999998</v>
      </c>
    </row>
    <row r="11" spans="1:4" x14ac:dyDescent="0.35">
      <c r="A11" s="34" t="s">
        <v>85</v>
      </c>
      <c r="B11" s="34">
        <f>SUM(B10*5)</f>
        <v>1282</v>
      </c>
    </row>
    <row r="12" spans="1:4" x14ac:dyDescent="0.35">
      <c r="A12" s="34" t="s">
        <v>86</v>
      </c>
      <c r="B12" s="34">
        <f>(B8/B11)</f>
        <v>22929.304212168488</v>
      </c>
    </row>
    <row r="14" spans="1:4" x14ac:dyDescent="0.35">
      <c r="A14" s="34" t="s">
        <v>87</v>
      </c>
      <c r="B14" s="34"/>
    </row>
    <row r="15" spans="1:4" x14ac:dyDescent="0.35">
      <c r="A15" s="34" t="s">
        <v>88</v>
      </c>
      <c r="B15" s="36">
        <v>1323955.3700000001</v>
      </c>
    </row>
    <row r="16" spans="1:4" x14ac:dyDescent="0.35">
      <c r="A16" s="34" t="s">
        <v>89</v>
      </c>
      <c r="B16" s="34">
        <v>328</v>
      </c>
    </row>
    <row r="17" spans="1:3" x14ac:dyDescent="0.35">
      <c r="A17" s="34" t="s">
        <v>90</v>
      </c>
      <c r="B17" s="34">
        <f>(B15/B16)</f>
        <v>4036.4492987804883</v>
      </c>
    </row>
    <row r="20" spans="1:3" x14ac:dyDescent="0.35">
      <c r="A20" s="34"/>
      <c r="B20" s="34" t="s">
        <v>91</v>
      </c>
      <c r="C20" s="34" t="s">
        <v>92</v>
      </c>
    </row>
    <row r="21" spans="1:3" x14ac:dyDescent="0.35">
      <c r="A21" s="34" t="s">
        <v>74</v>
      </c>
      <c r="B21" s="37">
        <f>SUM(D2*4)</f>
        <v>2.7826086956521738</v>
      </c>
      <c r="C21" s="34">
        <f>(1000/(5*B21))</f>
        <v>71.875</v>
      </c>
    </row>
    <row r="22" spans="1:3" x14ac:dyDescent="0.35">
      <c r="A22" s="34" t="s">
        <v>76</v>
      </c>
      <c r="B22" s="37">
        <f>SUM(D3*4)</f>
        <v>1.3913043478260869</v>
      </c>
      <c r="C22" s="34">
        <f t="shared" ref="C22:C24" si="0">(1000/(5*B22))</f>
        <v>143.75</v>
      </c>
    </row>
    <row r="23" spans="1:3" x14ac:dyDescent="0.35">
      <c r="A23" s="34" t="s">
        <v>78</v>
      </c>
      <c r="B23" s="37">
        <f>SUM(D4*4)</f>
        <v>0.69565217391304346</v>
      </c>
      <c r="C23" s="34">
        <f t="shared" si="0"/>
        <v>287.5</v>
      </c>
    </row>
    <row r="24" spans="1:3" x14ac:dyDescent="0.35">
      <c r="A24" s="34" t="s">
        <v>80</v>
      </c>
      <c r="B24" s="37">
        <f>SUM(D5*4)</f>
        <v>0.34782608695652173</v>
      </c>
      <c r="C24" s="34">
        <f t="shared" si="0"/>
        <v>575</v>
      </c>
    </row>
    <row r="25" spans="1:3" x14ac:dyDescent="0.35">
      <c r="A25" s="34" t="s">
        <v>82</v>
      </c>
      <c r="B25" s="34"/>
      <c r="C25" s="3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FBD9C-C49C-4DE2-8821-1FE6BE99EC61}">
  <dimension ref="A2:J24"/>
  <sheetViews>
    <sheetView workbookViewId="0">
      <selection activeCell="A2" sqref="A2:A20"/>
    </sheetView>
  </sheetViews>
  <sheetFormatPr defaultRowHeight="14.5" x14ac:dyDescent="0.35"/>
  <cols>
    <col min="3" max="3" width="12.54296875" bestFit="1" customWidth="1"/>
  </cols>
  <sheetData>
    <row r="2" spans="1:10" x14ac:dyDescent="0.35">
      <c r="A2" t="s">
        <v>20</v>
      </c>
      <c r="B2" t="s">
        <v>21</v>
      </c>
      <c r="E2" t="s">
        <v>46</v>
      </c>
      <c r="H2">
        <v>533.69000000000005</v>
      </c>
      <c r="I2">
        <v>0</v>
      </c>
      <c r="J2">
        <v>1</v>
      </c>
    </row>
    <row r="3" spans="1:10" x14ac:dyDescent="0.35">
      <c r="A3" t="s">
        <v>33</v>
      </c>
      <c r="B3" t="s">
        <v>21</v>
      </c>
      <c r="E3" t="s">
        <v>47</v>
      </c>
      <c r="H3">
        <v>404.59</v>
      </c>
      <c r="I3">
        <v>0</v>
      </c>
      <c r="J3">
        <v>1</v>
      </c>
    </row>
    <row r="4" spans="1:10" x14ac:dyDescent="0.35">
      <c r="A4" t="s">
        <v>33</v>
      </c>
      <c r="B4" t="s">
        <v>30</v>
      </c>
      <c r="E4" t="s">
        <v>46</v>
      </c>
      <c r="H4">
        <v>532.55999999999995</v>
      </c>
      <c r="I4">
        <v>0</v>
      </c>
      <c r="J4">
        <v>1</v>
      </c>
    </row>
    <row r="5" spans="1:10" x14ac:dyDescent="0.35">
      <c r="A5" s="38" t="s">
        <v>93</v>
      </c>
      <c r="B5" s="38" t="s">
        <v>21</v>
      </c>
      <c r="C5" s="38"/>
      <c r="D5" s="38"/>
      <c r="E5" s="38"/>
      <c r="F5" s="38"/>
      <c r="G5" s="38"/>
      <c r="H5" s="38">
        <v>1067.8900000000001</v>
      </c>
      <c r="I5" s="38">
        <v>0</v>
      </c>
      <c r="J5" s="38"/>
    </row>
    <row r="6" spans="1:10" x14ac:dyDescent="0.35">
      <c r="A6" s="38" t="s">
        <v>93</v>
      </c>
      <c r="B6" s="38" t="s">
        <v>30</v>
      </c>
      <c r="C6" s="38"/>
      <c r="D6" s="38"/>
      <c r="E6" s="38"/>
      <c r="F6" s="38"/>
      <c r="G6" s="38"/>
      <c r="H6" s="38">
        <v>3468.38</v>
      </c>
      <c r="I6" s="38">
        <v>0</v>
      </c>
      <c r="J6" s="38"/>
    </row>
    <row r="7" spans="1:10" x14ac:dyDescent="0.35">
      <c r="A7" t="s">
        <v>48</v>
      </c>
      <c r="B7" t="s">
        <v>21</v>
      </c>
      <c r="E7" t="s">
        <v>47</v>
      </c>
      <c r="H7">
        <v>1990.4</v>
      </c>
      <c r="I7">
        <v>0</v>
      </c>
      <c r="J7">
        <v>1</v>
      </c>
    </row>
    <row r="8" spans="1:10" x14ac:dyDescent="0.35">
      <c r="A8" t="s">
        <v>48</v>
      </c>
      <c r="B8" t="s">
        <v>30</v>
      </c>
      <c r="E8" t="s">
        <v>47</v>
      </c>
      <c r="H8">
        <v>1199.92</v>
      </c>
      <c r="I8">
        <v>0</v>
      </c>
      <c r="J8">
        <v>1</v>
      </c>
    </row>
    <row r="9" spans="1:10" x14ac:dyDescent="0.35">
      <c r="A9" s="38" t="s">
        <v>52</v>
      </c>
      <c r="B9" s="38" t="s">
        <v>30</v>
      </c>
      <c r="C9" s="38"/>
      <c r="D9" s="38"/>
      <c r="E9" s="38"/>
      <c r="F9" s="38"/>
      <c r="G9" s="38"/>
      <c r="H9" s="38">
        <v>22957.31</v>
      </c>
      <c r="I9" s="38">
        <v>0</v>
      </c>
      <c r="J9" s="38"/>
    </row>
    <row r="10" spans="1:10" x14ac:dyDescent="0.35">
      <c r="A10" t="s">
        <v>52</v>
      </c>
      <c r="B10" t="s">
        <v>94</v>
      </c>
      <c r="E10" t="s">
        <v>47</v>
      </c>
      <c r="H10">
        <v>9508.86</v>
      </c>
      <c r="I10">
        <v>0</v>
      </c>
      <c r="J10">
        <v>1</v>
      </c>
    </row>
    <row r="11" spans="1:10" x14ac:dyDescent="0.35">
      <c r="A11" s="38" t="s">
        <v>57</v>
      </c>
      <c r="B11" s="38" t="s">
        <v>30</v>
      </c>
      <c r="C11" s="38"/>
      <c r="D11" s="38"/>
      <c r="E11" s="38"/>
      <c r="F11" s="38"/>
      <c r="G11" s="38"/>
      <c r="H11" s="38">
        <v>6944.45</v>
      </c>
      <c r="I11" s="38">
        <v>0</v>
      </c>
      <c r="J11" s="38"/>
    </row>
    <row r="12" spans="1:10" x14ac:dyDescent="0.35">
      <c r="A12" t="s">
        <v>57</v>
      </c>
      <c r="B12" t="s">
        <v>21</v>
      </c>
      <c r="C12" t="s">
        <v>95</v>
      </c>
      <c r="E12" t="s">
        <v>46</v>
      </c>
      <c r="H12">
        <v>731.54</v>
      </c>
      <c r="I12">
        <v>0</v>
      </c>
      <c r="J12">
        <v>1</v>
      </c>
    </row>
    <row r="13" spans="1:10" x14ac:dyDescent="0.35">
      <c r="A13" t="s">
        <v>57</v>
      </c>
      <c r="B13" t="s">
        <v>21</v>
      </c>
      <c r="E13" t="s">
        <v>47</v>
      </c>
      <c r="H13">
        <v>201.98</v>
      </c>
      <c r="I13">
        <v>0</v>
      </c>
      <c r="J13" s="38">
        <v>1</v>
      </c>
    </row>
    <row r="14" spans="1:10" x14ac:dyDescent="0.35">
      <c r="A14" t="s">
        <v>60</v>
      </c>
      <c r="B14" t="s">
        <v>21</v>
      </c>
      <c r="C14" t="s">
        <v>58</v>
      </c>
      <c r="E14" t="s">
        <v>47</v>
      </c>
      <c r="H14">
        <v>3608.69</v>
      </c>
      <c r="I14">
        <v>0</v>
      </c>
      <c r="J14">
        <v>1</v>
      </c>
    </row>
    <row r="15" spans="1:10" x14ac:dyDescent="0.35">
      <c r="A15" t="s">
        <v>60</v>
      </c>
      <c r="B15" t="s">
        <v>21</v>
      </c>
      <c r="E15" t="s">
        <v>46</v>
      </c>
      <c r="H15">
        <v>3189.42</v>
      </c>
      <c r="I15">
        <v>0</v>
      </c>
      <c r="J15" s="38">
        <v>1</v>
      </c>
    </row>
    <row r="16" spans="1:10" x14ac:dyDescent="0.35">
      <c r="A16" t="s">
        <v>60</v>
      </c>
      <c r="B16" t="s">
        <v>30</v>
      </c>
      <c r="E16" t="s">
        <v>26</v>
      </c>
      <c r="H16">
        <v>1290.98</v>
      </c>
      <c r="I16">
        <v>0</v>
      </c>
      <c r="J16">
        <v>1</v>
      </c>
    </row>
    <row r="17" spans="1:10" x14ac:dyDescent="0.35">
      <c r="A17" t="s">
        <v>60</v>
      </c>
      <c r="B17" t="s">
        <v>30</v>
      </c>
      <c r="E17" t="s">
        <v>47</v>
      </c>
      <c r="H17">
        <v>903.8</v>
      </c>
      <c r="I17">
        <v>0</v>
      </c>
      <c r="J17" s="38">
        <v>1</v>
      </c>
    </row>
    <row r="18" spans="1:10" x14ac:dyDescent="0.35">
      <c r="A18" t="s">
        <v>60</v>
      </c>
      <c r="B18" t="s">
        <v>30</v>
      </c>
      <c r="E18" t="s">
        <v>46</v>
      </c>
      <c r="H18">
        <v>1159.0899999999999</v>
      </c>
      <c r="I18">
        <v>0</v>
      </c>
      <c r="J18">
        <v>1</v>
      </c>
    </row>
    <row r="19" spans="1:10" x14ac:dyDescent="0.35">
      <c r="A19" s="38" t="s">
        <v>96</v>
      </c>
      <c r="B19" s="38" t="s">
        <v>21</v>
      </c>
      <c r="C19" s="38"/>
      <c r="D19" s="38"/>
      <c r="E19" s="38"/>
      <c r="F19" s="38"/>
      <c r="G19" s="38"/>
      <c r="H19" s="38">
        <v>6543.6</v>
      </c>
      <c r="I19" s="38">
        <v>0</v>
      </c>
      <c r="J19" s="38"/>
    </row>
    <row r="20" spans="1:10" x14ac:dyDescent="0.35">
      <c r="A20" s="38" t="s">
        <v>96</v>
      </c>
      <c r="B20" s="38" t="s">
        <v>30</v>
      </c>
      <c r="C20" s="38"/>
      <c r="D20" s="38"/>
      <c r="E20" s="38"/>
      <c r="F20" s="38"/>
      <c r="G20" s="38"/>
      <c r="H20" s="38">
        <v>405.36</v>
      </c>
      <c r="I20" s="38">
        <v>0</v>
      </c>
      <c r="J20" s="38"/>
    </row>
    <row r="21" spans="1:10" x14ac:dyDescent="0.35">
      <c r="H21">
        <f>SUM(H2:H20)</f>
        <v>66642.510000000009</v>
      </c>
    </row>
    <row r="23" spans="1:10" x14ac:dyDescent="0.35">
      <c r="A23" s="38" t="s">
        <v>21</v>
      </c>
      <c r="B23" s="38">
        <f>SUM(H5,H19)</f>
        <v>7611.4900000000007</v>
      </c>
    </row>
    <row r="24" spans="1:10" x14ac:dyDescent="0.35">
      <c r="A24" s="38" t="s">
        <v>30</v>
      </c>
      <c r="B24" s="38">
        <f>SUM(H6,H9,H11,H20)</f>
        <v>33775.5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A6B28-8FB6-40B4-A0AB-62913BCAE761}">
  <dimension ref="A3:B10"/>
  <sheetViews>
    <sheetView workbookViewId="0">
      <selection activeCell="B4" sqref="B4"/>
    </sheetView>
  </sheetViews>
  <sheetFormatPr defaultRowHeight="14.5" x14ac:dyDescent="0.35"/>
  <cols>
    <col min="1" max="1" width="12.36328125" bestFit="1" customWidth="1"/>
    <col min="2" max="2" width="21.7265625" bestFit="1" customWidth="1"/>
  </cols>
  <sheetData>
    <row r="3" spans="1:2" x14ac:dyDescent="0.35">
      <c r="A3" s="39" t="s">
        <v>98</v>
      </c>
      <c r="B3" t="s">
        <v>101</v>
      </c>
    </row>
    <row r="4" spans="1:2" x14ac:dyDescent="0.35">
      <c r="A4" s="40">
        <v>1</v>
      </c>
      <c r="B4" s="41">
        <v>1104.932291097226</v>
      </c>
    </row>
    <row r="5" spans="1:2" x14ac:dyDescent="0.35">
      <c r="A5" s="40">
        <v>2</v>
      </c>
      <c r="B5" s="41">
        <v>163.58111791774979</v>
      </c>
    </row>
    <row r="6" spans="1:2" x14ac:dyDescent="0.35">
      <c r="A6" s="40">
        <v>3</v>
      </c>
      <c r="B6" s="41">
        <v>38.669712265369867</v>
      </c>
    </row>
    <row r="7" spans="1:2" x14ac:dyDescent="0.35">
      <c r="A7" s="40">
        <v>4</v>
      </c>
      <c r="B7" s="41">
        <v>7.8576101438161068</v>
      </c>
    </row>
    <row r="8" spans="1:2" x14ac:dyDescent="0.35">
      <c r="A8" s="40">
        <v>5</v>
      </c>
      <c r="B8" s="41">
        <v>8.9546385758383291</v>
      </c>
    </row>
    <row r="9" spans="1:2" x14ac:dyDescent="0.35">
      <c r="A9" s="40" t="s">
        <v>99</v>
      </c>
      <c r="B9" s="41"/>
    </row>
    <row r="10" spans="1:2" x14ac:dyDescent="0.35">
      <c r="A10" s="40" t="s">
        <v>100</v>
      </c>
      <c r="B10" s="41">
        <v>1323.9953700000003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239560c-101f-4e94-bfcb-0868444b4b4c">
      <UserInfo>
        <DisplayName/>
        <AccountId xsi:nil="true"/>
        <AccountType/>
      </UserInfo>
    </SharedWithUsers>
    <lcf76f155ced4ddcb4097134ff3c332f xmlns="ef22275f-35fb-485d-ad3c-99bdaf43b80e">
      <Terms xmlns="http://schemas.microsoft.com/office/infopath/2007/PartnerControls"/>
    </lcf76f155ced4ddcb4097134ff3c332f>
    <FullCompanyName xmlns="ef22275f-35fb-485d-ad3c-99bdaf43b80e" xsi:nil="true"/>
    <TaxCatchAll xmlns="2239560c-101f-4e94-bfcb-0868444b4b4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09B42353160D459A9B6188FC294679" ma:contentTypeVersion="14" ma:contentTypeDescription="Create a new document." ma:contentTypeScope="" ma:versionID="d8f203cb9af82a017495986884e3ca6f">
  <xsd:schema xmlns:xsd="http://www.w3.org/2001/XMLSchema" xmlns:xs="http://www.w3.org/2001/XMLSchema" xmlns:p="http://schemas.microsoft.com/office/2006/metadata/properties" xmlns:ns2="ef22275f-35fb-485d-ad3c-99bdaf43b80e" xmlns:ns3="2239560c-101f-4e94-bfcb-0868444b4b4c" targetNamespace="http://schemas.microsoft.com/office/2006/metadata/properties" ma:root="true" ma:fieldsID="8ff86435b62705854b0af023a8455b18" ns2:_="" ns3:_="">
    <xsd:import namespace="ef22275f-35fb-485d-ad3c-99bdaf43b80e"/>
    <xsd:import namespace="2239560c-101f-4e94-bfcb-0868444b4b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FullCompanyNam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2275f-35fb-485d-ad3c-99bdaf43b8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FullCompanyName" ma:index="14" nillable="true" ma:displayName="Full Company Name" ma:format="Dropdown" ma:internalName="FullCompanyName">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f278e36-c164-4658-892f-8adefa22e7b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39560c-101f-4e94-bfcb-0868444b4b4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f7b6698-e801-42e7-885c-a4ff4440942f}" ma:internalName="TaxCatchAll" ma:showField="CatchAllData" ma:web="2239560c-101f-4e94-bfcb-0868444b4b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998968-6A5F-4D6E-9A82-A6EB0818B08B}">
  <ds:schemaRefs>
    <ds:schemaRef ds:uri="http://schemas.microsoft.com/sharepoint/v3/contenttype/forms"/>
  </ds:schemaRefs>
</ds:datastoreItem>
</file>

<file path=customXml/itemProps2.xml><?xml version="1.0" encoding="utf-8"?>
<ds:datastoreItem xmlns:ds="http://schemas.openxmlformats.org/officeDocument/2006/customXml" ds:itemID="{23A4EA2A-CFB1-4AFB-8830-379076985060}">
  <ds:schemaRefs>
    <ds:schemaRef ds:uri="http://schemas.microsoft.com/office/2006/metadata/properties"/>
    <ds:schemaRef ds:uri="http://schemas.microsoft.com/office/infopath/2007/PartnerControls"/>
    <ds:schemaRef ds:uri="00e26bc0-ef4d-47d5-873a-ec0d411eda64"/>
    <ds:schemaRef ds:uri="b3fd7a20-76bb-4495-865c-9e8dd220de2f"/>
  </ds:schemaRefs>
</ds:datastoreItem>
</file>

<file path=customXml/itemProps3.xml><?xml version="1.0" encoding="utf-8"?>
<ds:datastoreItem xmlns:ds="http://schemas.openxmlformats.org/officeDocument/2006/customXml" ds:itemID="{98F5A4B4-B401-4CDC-B382-B8CA4D5376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1</vt:i4>
      </vt:variant>
    </vt:vector>
  </HeadingPairs>
  <TitlesOfParts>
    <vt:vector size="6" baseType="lpstr">
      <vt:lpstr>Cohorts</vt:lpstr>
      <vt:lpstr>Pareto analysis </vt:lpstr>
      <vt:lpstr>RM threshold calcs for Ofwat</vt:lpstr>
      <vt:lpstr>lengths of zero burst RMs</vt:lpstr>
      <vt:lpstr>Length RM by CG</vt:lpstr>
      <vt:lpstr>Plot length vs RM bursts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 LEDGAR</dc:creator>
  <cp:keywords/>
  <dc:description/>
  <cp:lastModifiedBy>Sam LEDGAR</cp:lastModifiedBy>
  <cp:revision/>
  <dcterms:created xsi:type="dcterms:W3CDTF">2023-09-20T15:05:13Z</dcterms:created>
  <dcterms:modified xsi:type="dcterms:W3CDTF">2024-08-12T06:35:48Z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4dfc70-0289-4bbf-a1df-2e48919102f8_Enabled">
    <vt:lpwstr>true</vt:lpwstr>
  </property>
  <property fmtid="{D5CDD505-2E9C-101B-9397-08002B2CF9AE}" pid="3" name="MSIP_Label_d04dfc70-0289-4bbf-a1df-2e48919102f8_SetDate">
    <vt:lpwstr>2023-09-20T15:08:09Z</vt:lpwstr>
  </property>
  <property fmtid="{D5CDD505-2E9C-101B-9397-08002B2CF9AE}" pid="4" name="MSIP_Label_d04dfc70-0289-4bbf-a1df-2e48919102f8_Method">
    <vt:lpwstr>Standard</vt:lpwstr>
  </property>
  <property fmtid="{D5CDD505-2E9C-101B-9397-08002B2CF9AE}" pid="5" name="MSIP_Label_d04dfc70-0289-4bbf-a1df-2e48919102f8_Name">
    <vt:lpwstr>Private2</vt:lpwstr>
  </property>
  <property fmtid="{D5CDD505-2E9C-101B-9397-08002B2CF9AE}" pid="6" name="MSIP_Label_d04dfc70-0289-4bbf-a1df-2e48919102f8_SiteId">
    <vt:lpwstr>92ebd22d-0a9c-4516-a68f-ba966853a8f3</vt:lpwstr>
  </property>
  <property fmtid="{D5CDD505-2E9C-101B-9397-08002B2CF9AE}" pid="7" name="MSIP_Label_d04dfc70-0289-4bbf-a1df-2e48919102f8_ActionId">
    <vt:lpwstr>46388e5c-6613-41a2-81f7-c2917bb5533a</vt:lpwstr>
  </property>
  <property fmtid="{D5CDD505-2E9C-101B-9397-08002B2CF9AE}" pid="8" name="MSIP_Label_d04dfc70-0289-4bbf-a1df-2e48919102f8_ContentBits">
    <vt:lpwstr>0</vt:lpwstr>
  </property>
  <property fmtid="{D5CDD505-2E9C-101B-9397-08002B2CF9AE}" pid="9" name="ContentTypeId">
    <vt:lpwstr>0x0101008A09B42353160D459A9B6188FC294679</vt:lpwstr>
  </property>
  <property fmtid="{D5CDD505-2E9C-101B-9397-08002B2CF9AE}" pid="10" name="Order">
    <vt:r8>158300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MediaServiceImageTags">
    <vt:lpwstr/>
  </property>
</Properties>
</file>