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/>
  <xr:revisionPtr revIDLastSave="0" documentId="8_{C7CB1A35-F878-47D8-9DDD-BF32E58F2353}" xr6:coauthVersionLast="36" xr6:coauthVersionMax="36" xr10:uidLastSave="{00000000-0000-0000-0000-000000000000}"/>
  <bookViews>
    <workbookView xWindow="0" yWindow="0" windowWidth="19155" windowHeight="6795" xr2:uid="{00000000-000D-0000-FFFF-FFFF00000000}"/>
  </bookViews>
  <sheets>
    <sheet name="F_Inputs" sheetId="14" r:id="rId1"/>
    <sheet name="Inputs" sheetId="4" r:id="rId2"/>
    <sheet name="Calcs" sheetId="5" r:id="rId3"/>
    <sheet name="Totex menu adjustments" sheetId="8" r:id="rId4"/>
    <sheet name="F_Outputs" sheetId="15" r:id="rId5"/>
    <sheet name="RPI" sheetId="7" r:id="rId6"/>
    <sheet name="Timeline" sheetId="6" r:id="rId7"/>
  </sheets>
  <externalReferences>
    <externalReference r:id="rId8"/>
    <externalReference r:id="rId9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a">'[1]94 Cost Base'!$B$5:$AM$31</definedName>
    <definedName name="Actual.Exclusions.Sewerage">Inputs!$L$66:$P$70</definedName>
    <definedName name="Actual.Exclusions.Water">Inputs!$L$60:$P$64</definedName>
    <definedName name="Actual.PDRC.Sewerage">Inputs!$L$68:$P$68</definedName>
    <definedName name="Actual.PDRC.Water">Inputs!$L$62:$P$62</definedName>
    <definedName name="Actual.Totex.Sewerage">Inputs!$L$53:$P$53</definedName>
    <definedName name="Actual.Totex.Water">Inputs!$L$52:$P$52</definedName>
    <definedName name="Add.Income.1stOrder">Inputs!$H$120</definedName>
    <definedName name="Add.Income.2ndOrder">Inputs!$H$121</definedName>
    <definedName name="Add.Income.Constant">Inputs!$H$119</definedName>
    <definedName name="AddInc.Coeff.Sewerage">Calcs!$G$70</definedName>
    <definedName name="AddInc.Coeff.Water">Calcs!$G$65</definedName>
    <definedName name="All.Totex.Sewerage">Inputs!$L$47:$P$47</definedName>
    <definedName name="All.Totex.Water">Inputs!$L$46:$P$46</definedName>
    <definedName name="AllExp.Coeff.Sewerage">Calcs!$G$69</definedName>
    <definedName name="AllExp.Coeff.Water">Calcs!$G$64</definedName>
    <definedName name="Allowed.Exp.Constant">Inputs!$H$117</definedName>
    <definedName name="Allowed.Exp.Slope">Inputs!$H$118</definedName>
    <definedName name="Allowed.totex.final.memu.sewerage">Calcs!$L$149:$P$149</definedName>
    <definedName name="Allowed.totex.final.menu.water">Calcs!$L$148:$P$148</definedName>
    <definedName name="AMP.Years">Timeline!$I$3:$U$3</definedName>
    <definedName name="Baseline.Totex.Sewerage">Inputs!$L$41:$P$41</definedName>
    <definedName name="Baseline.Totex.Water">Inputs!$L$40:$P$40</definedName>
    <definedName name="Baseyear">Inputs!$I$3</definedName>
    <definedName name="BR.IDoK.Water">Inputs!$L$140:$P$140</definedName>
    <definedName name="Calendar.Years">Timeline!$I$5:$U$5</definedName>
    <definedName name="Check.Master">#REF!</definedName>
    <definedName name="Choice.BP">Inputs!$H$100</definedName>
    <definedName name="Company.Baseline">Inputs!$H$104</definedName>
    <definedName name="Company.Slope">Inputs!$H$105</definedName>
    <definedName name="CompanyEnhanced">Inputs!$H$13</definedName>
    <definedName name="CompanyForecase.Int">Inputs!$H$109</definedName>
    <definedName name="CompanyName">Inputs!$H$11</definedName>
    <definedName name="CompanyType">Inputs!$H$12</definedName>
    <definedName name="CostBase94">'[2]94 Cost Base'!$B$5:$AM$31</definedName>
    <definedName name="CostBase98">'[2]98 Cost Base'!$B$5:$AM$31</definedName>
    <definedName name="Eff.Inc.Constant">Inputs!$H$115</definedName>
    <definedName name="Eff.Inc.Slope">Inputs!$H$116</definedName>
    <definedName name="EffInc.Coeff.Sewerage">Calcs!$G$68</definedName>
    <definedName name="EffInc.Coeff.Water">Calcs!$G$63</definedName>
    <definedName name="Enhanced.Baseline">Inputs!$H$86</definedName>
    <definedName name="Enhanced.Flag">Inputs!$K$13</definedName>
    <definedName name="EPMWorkbookOptions_1" hidden="1">"jE4AAB|LCAAAAAAABADtvQdgHEmWJSYvbcp7f0r1StfgdKEIgGATJNiQQBDswYjN5pLsHWlHIymrKoHKZVZlXWYWQMztnbz33nvvvffee||997o7nU4n99//P1xmZAFs9s5K2smeIYCqyB8/fnwfPyIe/x7vFmV6mddNUS0/|2h3vPNRmi|n1axYXnz20bo939799KPf4|g3Th5/t6rfTqrq7Zerlpo2Kb23bB69a4rPPpq37erR3btXV1fjq3v"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"57Xer|u2kqt6SkLZMRtO6/0XY/mrGs|YafrmS8f0/12cinoxOAAA="</definedName>
    <definedName name="EPMWorkbookOptions_2" hidden="1">"jqr64u7ezs3v39/7i|evpPF9k28WyabPlNP/IvjW7|a2PqNc0fXxSLZf5FH2|qU7WdZ0v258s8iv|Mvj6adZm|il9/iJb5NKb7anNF6t1XXBXXzV5/bLOz3OCN83HhNBHR7//s5df/P5PXp68|O7uzu//PX1psprOLnfH06peja|vxm/zcpY9ur|zc7Bzt8lW|Pru93//7/1ep8|fHtPPZ8US46TfzrOyyb//|C7wcFgdr1ZlMc08Ct4aOwMjhO"</definedName>
    <definedName name="EPMWorkbookOptions_3" hidden="1">"J9rIM|Uhw6XQuxHP3Su4NffbuYzfLl02KRLxtGdLipQ7IJ2lCr1/PqysI4qcqqPmrrNaEV|WLTqzyKyJu90emLxBBt/q59ll1WddESXjwT8nLvu1u8/6yom9ZDIP59B5DFcphAt23lt/tqWfyidc4jPz45|fKrF28e3419uQmGUJzE|v7O7r2DXQ9AbC743S/rWV4f7Ty|K79EoTerMrt|WVervG6vj7L84eThw/2H27PJ5N72/v3dg|3J|YNsO"</definedName>
    <definedName name="EPMWorkbookOptions_4" hidden="1">"/t0dm/y8N79vb3zGXoO34oAfp417eu8JAnPZ1/kiwkpqkizkCmjDaiJvO|R6XtKxO|Pv/fy|NXpizff3qVfvzh|9ZoEt9d6AOq3i7zO6un82jVNSSs|WhblZx|BbT7qyI/3bmTubvfu47s3jfcbJsjuzsMf0aRLk/0fkaRLkt2dH9GkQ5OdnQe7O/z8f500j|/eRh17FuVn0/q9eXr65vjs|dc3gDs7|wc7O7e3f7vvYf927396/zyfnG/f/3S2"</definedName>
    <definedName name="EPMWorkbookOptions_5" hidden="1">"v72/d/5w||B|nm/vZPne/mzyYP/B5N7/O|yfkjFk22e//8nzL3/ErX6zW7Ua4NaT4zenn3/56vf52rx67979|/v7|7fn1b334NX/j/hqhoghp758fvzi/|uM|s1S5PjkzVfHz39EE58m9OnTr7744vf5EVUCLf/lq9OT49dvfkQVnyrf/fLV73X24vP/PyiW/xdZwC|/eHn84usbwE/JhT44eHB7A3jvPQzg/oOH9/bO9z/dnjyY7JKztvNge/L"</definedName>
    <definedName name="EPMWorkbookOptions_6" hidden="1">"pw3vbs4dkBncPsizL/19hAIWGjlv3oNl2dnfu/38|sPjGSMLKnv36H5HEI8mrnf3/H4Sf3xhJRHDu/YgkXcH5/wNJ/t9j9J4evzl|/erkaxs9ylB8|um9e||Roth/D6v3/5EUhRKxE|M8f/77H3/19OzN2dP/r7PrN02Xsxcvv/p569FHifLq9PUb8vR/xCk|UV4fv/z9n395/PT/60T5f4|2//zVl1|9fP31lf17r8fefw9l//|REEdo2PFKfv"</definedName>
    <definedName name="EPMWorkbookOptions_7" hidden="1">"|f3zHOEE1|Pgc5MZq8|PL3149/RJSAUf7/4NR/0zTZ|/8BTf7fY/rOXjx7fvzm7MsXP0Tr9|l7WL//j4Q6lowhv3751Zs3X736/3wy|pumyvOnv/|PKBOjjP3493/z5Zv/768E/r9JzVFoffLVK6L0yddfynh/VffgPVTd/0cc/YCUxLP0v8|fvPz/Oqt|g9R4fvIjYlhikGtvP/j/OFX|36TN3px8|UPUYgfvocWy/OHk4cP9h9uzyeTe9v793"</definedName>
    <definedName name="EPMWorkbookOptions_8" hidden="1">"YPtCemv7ezT2b3Jw3v39/bO/9|hxYiE/cw0fXz6ir74/zirfoNUOfv9X3z54vT/6wT5f4/svnz15bOzNydE3lenP0QRfvj/PxH2KdmXZP/bn7d5pWESvXz5|z/96osv/j9vlH8WKPP/C4X3s0CXl78/rWrvvPx5uxh3I2nO/j|/ePv/HjP56vRzEkP694doI3d3/v9nJC0d|xbSffX/ca79hmnz8tXpyfHLs//X599|6IT5EbdEiPL/A4r8v0fr"</definedName>
    <definedName name="EPMWorkbookOptions_9" hidden="1">"vzn74ocZFO3u/v9P4YOEIYc||332iC7j/1|sKHzDVNkfv9y5/yOadGjyI06Jyc/LnYc/oklPeu79f50m/|8xfl|cHr/|ipJVP0wDuPf/PwNoyPh9Xn/6fd78vM1XhIR4efrq7MunZ/|fX5v8BuX1Fo0CbOKNHt89Xq3KYpq1BMd|HnxqmhO0arkkxOmzp1mb8cf|h2|q7uAfv8rP67yZf7n8cpUvj86zsskf3w0/5HYnZZ7VAPrl8nV2mZuW3Y|"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40709.5221990741</definedName>
    <definedName name="EV__LOCKEDCVW__FINANCE" hidden="1">"PROFIT,F_CLO,PLAN2015CUT2,INPUT,C01050,C_C01050,All_InterCo,FY2015.TOTAL,YTD,"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F" hidden="1">{"bal",#N/A,FALSE,"working papers";"income",#N/A,FALSE,"working papers"}</definedName>
    <definedName name="FD.AddInc.Coeff.Sewerage">Calcs!$G$58</definedName>
    <definedName name="FD.AddInc.Coeff.Water">Calcs!$G$53</definedName>
    <definedName name="FD.AllExp.Coeff.Sewerage">Calcs!$G$57</definedName>
    <definedName name="FD.AllExp.Coeff.Water">Calcs!$G$52</definedName>
    <definedName name="FD.EffInc.Coeff.Sewerage">Calcs!$G$56</definedName>
    <definedName name="FD.EffInc.Coeff.Water">Calcs!$G$51</definedName>
    <definedName name="FD.Menu.Choice.Sewerage">Inputs!$H$23</definedName>
    <definedName name="FD.Menu.Choice.Water">Inputs!$H$22</definedName>
    <definedName name="FD.PDRC.Sewerage">Inputs!$L$27:$P$27</definedName>
    <definedName name="FD.PDRC.Water">Inputs!$L$26:$P$26</definedName>
    <definedName name="fdraf" hidden="1">{"bal",#N/A,FALSE,"working papers";"income",#N/A,FALSE,"working papers"}</definedName>
    <definedName name="Fdraft" hidden="1">{"bal",#N/A,FALSE,"working papers";"income",#N/A,FALSE,"working papers"}</definedName>
    <definedName name="Indexation.Average">RPI!$I$49:$U$49</definedName>
    <definedName name="Indexation.Average.Override">RPI!$I$48:$U$48</definedName>
    <definedName name="Indexation.Check">RPI!$I$26:$U$26</definedName>
    <definedName name="Indexation.November">RPI!$I$45:$U$45</definedName>
    <definedName name="Indexation.November.Override">RPI!$I$44:$U$44</definedName>
    <definedName name="Inflation.Yearly.Average">RPI!$I$51:$U$51</definedName>
    <definedName name="IP.logging.Adj.TTT">Inputs!$L$147:$P$147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80019595006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41366.3748958333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B.AddInc">Calcs!$G$46</definedName>
    <definedName name="LB.AllExp">Calcs!$G$45</definedName>
    <definedName name="LB.Chosen">Inputs!$H$97</definedName>
    <definedName name="LB.EffInc">Calcs!$G$44</definedName>
    <definedName name="LB.Enhanced">Inputs!$H$93</definedName>
    <definedName name="LB.NonEnhanced">Inputs!$H$94</definedName>
    <definedName name="LegacyDep.Sewerage">Inputs!$L$79:$P$79</definedName>
    <definedName name="LegacyDep.Water">Inputs!$L$76:$P$76</definedName>
    <definedName name="Logging.TTT.Land">Inputs!$L$72:$P$72</definedName>
    <definedName name="Logging.TTT.scopeswaps">Inputs!$L$71:$P$71</definedName>
    <definedName name="Menu.Choice.Sewerage">Inputs!$H$33</definedName>
    <definedName name="Menu.Choice.Water">Inputs!$H$32</definedName>
    <definedName name="Menu.Totex">Calcs!$L$32:$P$32</definedName>
    <definedName name="Menu.Totex.Sewerage">Calcs!$L$31:$P$31</definedName>
    <definedName name="Menu.Totex.Water">Calcs!$L$30:$P$30</definedName>
    <definedName name="MEWarning" hidden="1">1</definedName>
    <definedName name="NonEnhanced.Baseline">Inputs!$H$87</definedName>
    <definedName name="OfwatBaseline.Int">Inputs!$H$108</definedName>
    <definedName name="OpexInputs">"Input!$T$2:$AF$2"</definedName>
    <definedName name="Outturn.BP">Inputs!$H$101</definedName>
    <definedName name="PAYG.Sewerage">Inputs!$L$126:$P$126</definedName>
    <definedName name="PAYG.Water">Inputs!$L$125:$P$125</definedName>
    <definedName name="_xlnm.Print_Area" localSheetId="2">Calcs!$A$1:$AM$333</definedName>
    <definedName name="_xlnm.Print_Area" localSheetId="0">F_Inputs!$A$1:$P$45</definedName>
    <definedName name="_xlnm.Print_Area" localSheetId="4">F_Outputs!$A$1:$G$9</definedName>
    <definedName name="_xlnm.Print_Area" localSheetId="1">Inputs!$A$1:$AA$165</definedName>
    <definedName name="_xlnm.Print_Area" localSheetId="5">RPI!$A$1:$IY$59</definedName>
    <definedName name="_xlnm.Print_Area" localSheetId="6">Timeline!$A$1:$V$11</definedName>
    <definedName name="_xlnm.Print_Area" localSheetId="3">'Totex menu adjustments'!$A$1:$X$51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1</definedName>
    <definedName name="SAPBEXsysID" hidden="1">"BWB"</definedName>
    <definedName name="SAPBEXwbID" hidden="1">"49ZLUKBQR0WG29D9LLI3IBIIT"</definedName>
    <definedName name="Total.Adj.Sewerage">Calcs!$P$175</definedName>
    <definedName name="Total.Adj.Water">Calcs!$P$174</definedName>
    <definedName name="Totex.Adj.Sewerage">Calcs!$L$167:$P$167</definedName>
    <definedName name="Totex.Adj.Water">Calcs!$L$166:$P$166</definedName>
    <definedName name="TransitionExp.Sewerage">Inputs!$K$78</definedName>
    <definedName name="TransitionExp.Water">Inputs!$K$75</definedName>
    <definedName name="UB.AddInc">Calcs!$G$41</definedName>
    <definedName name="UB.AllExp">Calcs!$G$40</definedName>
    <definedName name="UB.Chosen">Inputs!$H$96</definedName>
    <definedName name="UB.EffInc">Calcs!$G$39</definedName>
    <definedName name="UB.Enhanced">Inputs!$H$90</definedName>
    <definedName name="UB.NonEnhanced">Inputs!$H$91</definedName>
    <definedName name="WACC">Inputs!$H$15</definedName>
    <definedName name="WeightedPAYG.Sewerage">Calcs!$G$193</definedName>
    <definedName name="WeightedPAYG.Water">Calcs!$G$192</definedName>
    <definedName name="WoC.Flag">Inputs!$K$12</definedName>
    <definedName name="wrn.papersdraft" hidden="1">{"bal",#N/A,FALSE,"working papers";"income",#N/A,FALSE,"working papers"}</definedName>
    <definedName name="wrn.wpapers." hidden="1">{"bal",#N/A,FALSE,"working papers";"income",#N/A,FALSE,"working papers"}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" i="14" l="1"/>
  <c r="H33" i="4" l="1"/>
  <c r="H32" i="4"/>
  <c r="H23" i="4"/>
  <c r="H22" i="4"/>
  <c r="H13" i="4"/>
  <c r="H15" i="4" s="1"/>
  <c r="H12" i="4"/>
  <c r="I12" i="7" l="1"/>
  <c r="I13" i="7"/>
  <c r="I14" i="7"/>
  <c r="I15" i="7"/>
  <c r="I16" i="7"/>
  <c r="I17" i="7"/>
  <c r="I18" i="7"/>
  <c r="I19" i="7"/>
  <c r="I20" i="7"/>
  <c r="I21" i="7"/>
  <c r="I22" i="7"/>
  <c r="J12" i="7"/>
  <c r="K12" i="7"/>
  <c r="L12" i="7"/>
  <c r="M12" i="7"/>
  <c r="N12" i="7"/>
  <c r="O12" i="7"/>
  <c r="P12" i="7"/>
  <c r="Q12" i="7"/>
  <c r="J13" i="7"/>
  <c r="K13" i="7"/>
  <c r="L13" i="7"/>
  <c r="M13" i="7"/>
  <c r="N13" i="7"/>
  <c r="O13" i="7"/>
  <c r="P13" i="7"/>
  <c r="Q13" i="7"/>
  <c r="J14" i="7"/>
  <c r="K14" i="7"/>
  <c r="L14" i="7"/>
  <c r="M14" i="7"/>
  <c r="N14" i="7"/>
  <c r="O14" i="7"/>
  <c r="P14" i="7"/>
  <c r="Q14" i="7"/>
  <c r="J15" i="7"/>
  <c r="K15" i="7"/>
  <c r="L15" i="7"/>
  <c r="M15" i="7"/>
  <c r="N15" i="7"/>
  <c r="O15" i="7"/>
  <c r="P15" i="7"/>
  <c r="Q15" i="7"/>
  <c r="J16" i="7"/>
  <c r="K16" i="7"/>
  <c r="L16" i="7"/>
  <c r="M16" i="7"/>
  <c r="N16" i="7"/>
  <c r="O16" i="7"/>
  <c r="P16" i="7"/>
  <c r="Q16" i="7"/>
  <c r="J17" i="7"/>
  <c r="K17" i="7"/>
  <c r="L17" i="7"/>
  <c r="M17" i="7"/>
  <c r="N17" i="7"/>
  <c r="O17" i="7"/>
  <c r="P17" i="7"/>
  <c r="Q17" i="7"/>
  <c r="J18" i="7"/>
  <c r="K18" i="7"/>
  <c r="L18" i="7"/>
  <c r="M18" i="7"/>
  <c r="N18" i="7"/>
  <c r="O18" i="7"/>
  <c r="P18" i="7"/>
  <c r="Q18" i="7"/>
  <c r="J19" i="7"/>
  <c r="K19" i="7"/>
  <c r="L19" i="7"/>
  <c r="M19" i="7"/>
  <c r="N19" i="7"/>
  <c r="O19" i="7"/>
  <c r="P19" i="7"/>
  <c r="Q19" i="7"/>
  <c r="J20" i="7"/>
  <c r="K20" i="7"/>
  <c r="L20" i="7"/>
  <c r="M20" i="7"/>
  <c r="N20" i="7"/>
  <c r="O20" i="7"/>
  <c r="P20" i="7"/>
  <c r="Q20" i="7"/>
  <c r="J21" i="7"/>
  <c r="K21" i="7"/>
  <c r="L21" i="7"/>
  <c r="M21" i="7"/>
  <c r="N21" i="7"/>
  <c r="O21" i="7"/>
  <c r="P21" i="7"/>
  <c r="Q21" i="7"/>
  <c r="J22" i="7"/>
  <c r="K22" i="7"/>
  <c r="L22" i="7"/>
  <c r="M22" i="7"/>
  <c r="N22" i="7"/>
  <c r="O22" i="7"/>
  <c r="P22" i="7"/>
  <c r="Q22" i="7"/>
  <c r="Q11" i="7"/>
  <c r="P11" i="7"/>
  <c r="O11" i="7"/>
  <c r="N11" i="7"/>
  <c r="M11" i="7"/>
  <c r="L11" i="7"/>
  <c r="K11" i="7"/>
  <c r="J11" i="7"/>
  <c r="I11" i="7"/>
  <c r="H18" i="7"/>
  <c r="K78" i="4" l="1"/>
  <c r="K75" i="4"/>
  <c r="M125" i="4" l="1"/>
  <c r="N125" i="4"/>
  <c r="O125" i="4"/>
  <c r="P125" i="4"/>
  <c r="M126" i="4"/>
  <c r="N126" i="4"/>
  <c r="O126" i="4"/>
  <c r="P126" i="4"/>
  <c r="L126" i="4"/>
  <c r="L125" i="4"/>
  <c r="P64" i="4" l="1"/>
  <c r="O64" i="4"/>
  <c r="N64" i="4"/>
  <c r="M64" i="4"/>
  <c r="P72" i="4"/>
  <c r="O72" i="4"/>
  <c r="N72" i="4"/>
  <c r="M72" i="4"/>
  <c r="P71" i="4"/>
  <c r="O71" i="4"/>
  <c r="N71" i="4"/>
  <c r="M71" i="4"/>
  <c r="P70" i="4"/>
  <c r="O70" i="4"/>
  <c r="N70" i="4"/>
  <c r="M70" i="4"/>
  <c r="L72" i="4"/>
  <c r="L71" i="4"/>
  <c r="L70" i="4"/>
  <c r="L64" i="4"/>
  <c r="P69" i="4" l="1"/>
  <c r="O69" i="4"/>
  <c r="N69" i="4"/>
  <c r="M69" i="4"/>
  <c r="L69" i="4"/>
  <c r="P68" i="4"/>
  <c r="O68" i="4"/>
  <c r="N68" i="4"/>
  <c r="M68" i="4"/>
  <c r="L68" i="4"/>
  <c r="P67" i="4"/>
  <c r="O67" i="4"/>
  <c r="N67" i="4"/>
  <c r="M67" i="4"/>
  <c r="L67" i="4"/>
  <c r="P66" i="4"/>
  <c r="O66" i="4"/>
  <c r="N66" i="4"/>
  <c r="M66" i="4"/>
  <c r="L66" i="4"/>
  <c r="P63" i="4"/>
  <c r="O63" i="4"/>
  <c r="N63" i="4"/>
  <c r="M63" i="4"/>
  <c r="L63" i="4"/>
  <c r="P62" i="4"/>
  <c r="O62" i="4"/>
  <c r="N62" i="4"/>
  <c r="M62" i="4"/>
  <c r="L62" i="4"/>
  <c r="P61" i="4"/>
  <c r="O61" i="4"/>
  <c r="N61" i="4"/>
  <c r="M61" i="4"/>
  <c r="L61" i="4"/>
  <c r="P60" i="4"/>
  <c r="O60" i="4"/>
  <c r="N60" i="4"/>
  <c r="M60" i="4"/>
  <c r="L60" i="4"/>
  <c r="P53" i="4"/>
  <c r="N53" i="4"/>
  <c r="M53" i="4"/>
  <c r="L53" i="4"/>
  <c r="P52" i="4"/>
  <c r="N52" i="4"/>
  <c r="M52" i="4"/>
  <c r="L52" i="4"/>
  <c r="P47" i="4"/>
  <c r="O47" i="4"/>
  <c r="N47" i="4"/>
  <c r="M47" i="4"/>
  <c r="L47" i="4"/>
  <c r="P46" i="4"/>
  <c r="O46" i="4"/>
  <c r="N46" i="4"/>
  <c r="M46" i="4"/>
  <c r="L46" i="4"/>
  <c r="P41" i="4"/>
  <c r="O41" i="4"/>
  <c r="N41" i="4"/>
  <c r="M41" i="4"/>
  <c r="L41" i="4"/>
  <c r="P40" i="4"/>
  <c r="O40" i="4"/>
  <c r="N40" i="4"/>
  <c r="M40" i="4"/>
  <c r="L40" i="4"/>
  <c r="P27" i="4" l="1"/>
  <c r="O27" i="4"/>
  <c r="N27" i="4"/>
  <c r="M27" i="4"/>
  <c r="L27" i="4"/>
  <c r="P26" i="4"/>
  <c r="O26" i="4"/>
  <c r="N26" i="4"/>
  <c r="M26" i="4"/>
  <c r="L26" i="4"/>
  <c r="M126" i="5" l="1"/>
  <c r="L126" i="5"/>
  <c r="K13" i="4"/>
  <c r="H97" i="4" s="1"/>
  <c r="M140" i="5"/>
  <c r="N140" i="5"/>
  <c r="O140" i="5"/>
  <c r="P140" i="5"/>
  <c r="M141" i="5"/>
  <c r="N141" i="5"/>
  <c r="O141" i="5"/>
  <c r="P141" i="5"/>
  <c r="L141" i="5"/>
  <c r="L140" i="5"/>
  <c r="L23" i="5"/>
  <c r="L22" i="5"/>
  <c r="E23" i="5"/>
  <c r="E22" i="5"/>
  <c r="H105" i="4"/>
  <c r="P147" i="4"/>
  <c r="O147" i="4"/>
  <c r="N147" i="4"/>
  <c r="M147" i="4"/>
  <c r="L147" i="4"/>
  <c r="P7" i="4"/>
  <c r="M38" i="8"/>
  <c r="N38" i="8"/>
  <c r="O38" i="8"/>
  <c r="P38" i="8"/>
  <c r="L38" i="8"/>
  <c r="J5" i="8"/>
  <c r="K5" i="8"/>
  <c r="L5" i="8"/>
  <c r="M5" i="8"/>
  <c r="N5" i="8"/>
  <c r="O5" i="8"/>
  <c r="P5" i="8"/>
  <c r="Q5" i="8"/>
  <c r="R5" i="8"/>
  <c r="S5" i="8"/>
  <c r="T5" i="8"/>
  <c r="U5" i="8"/>
  <c r="I5" i="8"/>
  <c r="J3" i="8"/>
  <c r="K3" i="8"/>
  <c r="L3" i="8"/>
  <c r="M3" i="8"/>
  <c r="N3" i="8"/>
  <c r="O3" i="8"/>
  <c r="P3" i="8"/>
  <c r="Q3" i="8"/>
  <c r="R3" i="8"/>
  <c r="S3" i="8"/>
  <c r="T3" i="8"/>
  <c r="U3" i="8"/>
  <c r="I3" i="8"/>
  <c r="I40" i="7"/>
  <c r="J40" i="7" s="1"/>
  <c r="K40" i="7" s="1"/>
  <c r="L40" i="7" s="1"/>
  <c r="M40" i="7" s="1"/>
  <c r="N40" i="7" s="1"/>
  <c r="O40" i="7" s="1"/>
  <c r="P40" i="7" s="1"/>
  <c r="Q40" i="7" s="1"/>
  <c r="R40" i="7" s="1"/>
  <c r="S40" i="7" s="1"/>
  <c r="T40" i="7" s="1"/>
  <c r="U40" i="7" s="1"/>
  <c r="I39" i="7"/>
  <c r="J39" i="7" s="1"/>
  <c r="K39" i="7" s="1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I38" i="7"/>
  <c r="J38" i="7" s="1"/>
  <c r="K38" i="7" s="1"/>
  <c r="L38" i="7" s="1"/>
  <c r="M38" i="7" s="1"/>
  <c r="N38" i="7" s="1"/>
  <c r="O38" i="7" s="1"/>
  <c r="P38" i="7" s="1"/>
  <c r="Q38" i="7" s="1"/>
  <c r="R38" i="7" s="1"/>
  <c r="S38" i="7" s="1"/>
  <c r="T38" i="7" s="1"/>
  <c r="U38" i="7" s="1"/>
  <c r="I37" i="7"/>
  <c r="J37" i="7" s="1"/>
  <c r="K37" i="7" s="1"/>
  <c r="L37" i="7" s="1"/>
  <c r="M37" i="7" s="1"/>
  <c r="N37" i="7" s="1"/>
  <c r="O37" i="7" s="1"/>
  <c r="P37" i="7" s="1"/>
  <c r="Q37" i="7" s="1"/>
  <c r="R37" i="7" s="1"/>
  <c r="S37" i="7" s="1"/>
  <c r="T37" i="7" s="1"/>
  <c r="U37" i="7" s="1"/>
  <c r="H36" i="7"/>
  <c r="I36" i="7" s="1"/>
  <c r="I35" i="7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I34" i="7"/>
  <c r="J34" i="7" s="1"/>
  <c r="K34" i="7" s="1"/>
  <c r="L34" i="7" s="1"/>
  <c r="M34" i="7" s="1"/>
  <c r="N34" i="7" s="1"/>
  <c r="O34" i="7" s="1"/>
  <c r="P34" i="7" s="1"/>
  <c r="Q34" i="7" s="1"/>
  <c r="R34" i="7" s="1"/>
  <c r="S34" i="7" s="1"/>
  <c r="T34" i="7" s="1"/>
  <c r="U34" i="7" s="1"/>
  <c r="I33" i="7"/>
  <c r="J33" i="7" s="1"/>
  <c r="K33" i="7" s="1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I32" i="7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I31" i="7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I30" i="7"/>
  <c r="J30" i="7" s="1"/>
  <c r="K30" i="7" s="1"/>
  <c r="L30" i="7" s="1"/>
  <c r="M30" i="7" s="1"/>
  <c r="N30" i="7" s="1"/>
  <c r="O30" i="7" s="1"/>
  <c r="P30" i="7" s="1"/>
  <c r="Q30" i="7" s="1"/>
  <c r="R30" i="7" s="1"/>
  <c r="I29" i="7"/>
  <c r="U5" i="7"/>
  <c r="T5" i="7"/>
  <c r="S5" i="7"/>
  <c r="R5" i="7"/>
  <c r="Q5" i="7"/>
  <c r="P5" i="7"/>
  <c r="O5" i="7"/>
  <c r="N5" i="7"/>
  <c r="M5" i="7"/>
  <c r="L5" i="7"/>
  <c r="K5" i="7"/>
  <c r="J5" i="7"/>
  <c r="I5" i="7"/>
  <c r="U3" i="7"/>
  <c r="T3" i="7"/>
  <c r="S3" i="7"/>
  <c r="R3" i="7"/>
  <c r="Q3" i="7"/>
  <c r="P3" i="7"/>
  <c r="O3" i="7"/>
  <c r="N3" i="7"/>
  <c r="M3" i="7"/>
  <c r="L3" i="7"/>
  <c r="K3" i="7"/>
  <c r="J3" i="7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H118" i="4"/>
  <c r="H117" i="4"/>
  <c r="H116" i="4"/>
  <c r="K12" i="4"/>
  <c r="U5" i="4"/>
  <c r="T5" i="4"/>
  <c r="S5" i="4"/>
  <c r="R5" i="4"/>
  <c r="Q5" i="4"/>
  <c r="P5" i="4"/>
  <c r="O5" i="4"/>
  <c r="N5" i="4"/>
  <c r="M5" i="4"/>
  <c r="L5" i="4"/>
  <c r="K5" i="4"/>
  <c r="J5" i="4"/>
  <c r="I5" i="4"/>
  <c r="U3" i="4"/>
  <c r="T3" i="4"/>
  <c r="S3" i="4"/>
  <c r="R3" i="4"/>
  <c r="Q3" i="4"/>
  <c r="P3" i="4"/>
  <c r="O3" i="4"/>
  <c r="N3" i="4"/>
  <c r="M3" i="4"/>
  <c r="L3" i="4"/>
  <c r="K3" i="4"/>
  <c r="J3" i="4"/>
  <c r="G193" i="5"/>
  <c r="G192" i="5"/>
  <c r="I3" i="4"/>
  <c r="I3" i="7"/>
  <c r="I3" i="5"/>
  <c r="H121" i="4" l="1"/>
  <c r="I45" i="7"/>
  <c r="J45" i="7"/>
  <c r="I41" i="7"/>
  <c r="I49" i="7" s="1"/>
  <c r="J36" i="7"/>
  <c r="J29" i="7"/>
  <c r="S30" i="7"/>
  <c r="H104" i="4"/>
  <c r="H115" i="4" s="1"/>
  <c r="H96" i="4"/>
  <c r="G40" i="5" s="1"/>
  <c r="G45" i="5"/>
  <c r="K45" i="7" l="1"/>
  <c r="K36" i="7"/>
  <c r="K29" i="7"/>
  <c r="J41" i="7"/>
  <c r="J49" i="7" s="1"/>
  <c r="J51" i="7" s="1"/>
  <c r="T30" i="7"/>
  <c r="G44" i="5"/>
  <c r="G39" i="5"/>
  <c r="G68" i="5" s="1"/>
  <c r="G52" i="5"/>
  <c r="G69" i="5"/>
  <c r="G64" i="5"/>
  <c r="G57" i="5"/>
  <c r="H120" i="4"/>
  <c r="L36" i="7" l="1"/>
  <c r="L45" i="7"/>
  <c r="K41" i="7"/>
  <c r="K49" i="7" s="1"/>
  <c r="K51" i="7" s="1"/>
  <c r="L29" i="7"/>
  <c r="U30" i="7"/>
  <c r="G51" i="5"/>
  <c r="G63" i="5"/>
  <c r="G56" i="5"/>
  <c r="H119" i="4"/>
  <c r="M137" i="5"/>
  <c r="M145" i="5" s="1"/>
  <c r="N137" i="5"/>
  <c r="N145" i="5" s="1"/>
  <c r="L137" i="5"/>
  <c r="L145" i="5" s="1"/>
  <c r="P137" i="5"/>
  <c r="P145" i="5" s="1"/>
  <c r="O137" i="5"/>
  <c r="O145" i="5" s="1"/>
  <c r="L148" i="5"/>
  <c r="O148" i="5"/>
  <c r="N148" i="5"/>
  <c r="M148" i="5"/>
  <c r="H132" i="4"/>
  <c r="P148" i="5"/>
  <c r="L149" i="5"/>
  <c r="P149" i="5"/>
  <c r="O149" i="5"/>
  <c r="N149" i="5"/>
  <c r="M149" i="5"/>
  <c r="M136" i="5"/>
  <c r="M144" i="5" s="1"/>
  <c r="O136" i="5"/>
  <c r="O144" i="5" s="1"/>
  <c r="L136" i="5"/>
  <c r="L144" i="5" s="1"/>
  <c r="N136" i="5"/>
  <c r="N144" i="5" s="1"/>
  <c r="P136" i="5"/>
  <c r="P144" i="5" s="1"/>
  <c r="L157" i="5" l="1"/>
  <c r="M36" i="7"/>
  <c r="M45" i="7"/>
  <c r="L41" i="7"/>
  <c r="L49" i="7" s="1"/>
  <c r="L51" i="7" s="1"/>
  <c r="M29" i="7"/>
  <c r="H131" i="4"/>
  <c r="P153" i="5"/>
  <c r="P157" i="5"/>
  <c r="L152" i="5"/>
  <c r="L156" i="5"/>
  <c r="M153" i="5"/>
  <c r="M157" i="5"/>
  <c r="L153" i="5"/>
  <c r="M152" i="5"/>
  <c r="M156" i="5"/>
  <c r="G46" i="5"/>
  <c r="N157" i="5"/>
  <c r="N153" i="5"/>
  <c r="P152" i="5"/>
  <c r="P156" i="5"/>
  <c r="N152" i="5"/>
  <c r="N156" i="5"/>
  <c r="O153" i="5"/>
  <c r="O157" i="5"/>
  <c r="O152" i="5"/>
  <c r="O156" i="5"/>
  <c r="G41" i="5"/>
  <c r="L162" i="5" l="1"/>
  <c r="L163" i="5"/>
  <c r="L167" i="5" s="1"/>
  <c r="L171" i="5" s="1"/>
  <c r="N36" i="7"/>
  <c r="N45" i="7"/>
  <c r="G70" i="5"/>
  <c r="N29" i="7"/>
  <c r="M41" i="7"/>
  <c r="M49" i="7" s="1"/>
  <c r="M51" i="7" s="1"/>
  <c r="L180" i="5"/>
  <c r="L183" i="5" s="1"/>
  <c r="L14" i="5"/>
  <c r="L15" i="5"/>
  <c r="L19" i="5"/>
  <c r="L18" i="5"/>
  <c r="L166" i="5"/>
  <c r="L170" i="5" s="1"/>
  <c r="G58" i="5"/>
  <c r="P98" i="5" s="1"/>
  <c r="G53" i="5"/>
  <c r="G65" i="5"/>
  <c r="O36" i="7" l="1"/>
  <c r="O45" i="7"/>
  <c r="L31" i="5"/>
  <c r="M15" i="5"/>
  <c r="M18" i="5"/>
  <c r="M19" i="5"/>
  <c r="M14" i="5"/>
  <c r="M180" i="5"/>
  <c r="M183" i="5" s="1"/>
  <c r="M163" i="5"/>
  <c r="M167" i="5" s="1"/>
  <c r="M171" i="5" s="1"/>
  <c r="M162" i="5"/>
  <c r="M166" i="5" s="1"/>
  <c r="M170" i="5" s="1"/>
  <c r="L30" i="5"/>
  <c r="O29" i="7"/>
  <c r="N41" i="7"/>
  <c r="N49" i="7" s="1"/>
  <c r="M98" i="5"/>
  <c r="O98" i="5"/>
  <c r="N98" i="5"/>
  <c r="L98" i="5"/>
  <c r="N97" i="5"/>
  <c r="P97" i="5"/>
  <c r="M97" i="5"/>
  <c r="L97" i="5"/>
  <c r="O97" i="5"/>
  <c r="P36" i="7" l="1"/>
  <c r="P45" i="7"/>
  <c r="L32" i="5"/>
  <c r="P29" i="7"/>
  <c r="O41" i="7"/>
  <c r="O49" i="7" s="1"/>
  <c r="M30" i="5"/>
  <c r="M31" i="5"/>
  <c r="N18" i="5"/>
  <c r="N19" i="5"/>
  <c r="N180" i="5"/>
  <c r="N183" i="5" s="1"/>
  <c r="N135" i="4"/>
  <c r="N140" i="4" s="1"/>
  <c r="N123" i="5" s="1"/>
  <c r="N126" i="5" s="1"/>
  <c r="N14" i="5"/>
  <c r="N15" i="5"/>
  <c r="N162" i="5"/>
  <c r="N166" i="5" s="1"/>
  <c r="N170" i="5" s="1"/>
  <c r="N163" i="5"/>
  <c r="N167" i="5" s="1"/>
  <c r="N171" i="5" s="1"/>
  <c r="N51" i="7"/>
  <c r="N30" i="5" l="1"/>
  <c r="Q36" i="7"/>
  <c r="Q45" i="7"/>
  <c r="Q29" i="7"/>
  <c r="P41" i="7"/>
  <c r="P49" i="7" s="1"/>
  <c r="O19" i="5"/>
  <c r="O135" i="4"/>
  <c r="O140" i="4" s="1"/>
  <c r="O123" i="5" s="1"/>
  <c r="O126" i="5" s="1"/>
  <c r="O18" i="5"/>
  <c r="O180" i="5"/>
  <c r="O183" i="5" s="1"/>
  <c r="N31" i="5"/>
  <c r="O51" i="7"/>
  <c r="M32" i="5"/>
  <c r="N32" i="5" l="1"/>
  <c r="R36" i="7"/>
  <c r="R45" i="7"/>
  <c r="P135" i="4"/>
  <c r="P140" i="4" s="1"/>
  <c r="P123" i="5" s="1"/>
  <c r="P126" i="5" s="1"/>
  <c r="P130" i="5" s="1"/>
  <c r="P15" i="5"/>
  <c r="P19" i="5"/>
  <c r="P180" i="5"/>
  <c r="P183" i="5" s="1"/>
  <c r="P186" i="5" s="1"/>
  <c r="P18" i="5"/>
  <c r="P14" i="5"/>
  <c r="P163" i="5"/>
  <c r="P167" i="5" s="1"/>
  <c r="P171" i="5" s="1"/>
  <c r="P162" i="5"/>
  <c r="P166" i="5" s="1"/>
  <c r="P170" i="5" s="1"/>
  <c r="R29" i="7"/>
  <c r="Q41" i="7"/>
  <c r="Q49" i="7" s="1"/>
  <c r="Q51" i="7" s="1"/>
  <c r="P51" i="7"/>
  <c r="S36" i="7" l="1"/>
  <c r="S45" i="7"/>
  <c r="P31" i="5"/>
  <c r="S29" i="7"/>
  <c r="R41" i="7"/>
  <c r="R49" i="7" s="1"/>
  <c r="P30" i="5"/>
  <c r="P32" i="5" l="1"/>
  <c r="T36" i="7"/>
  <c r="T45" i="7"/>
  <c r="T29" i="7"/>
  <c r="S41" i="7"/>
  <c r="S49" i="7" s="1"/>
  <c r="S51" i="7" s="1"/>
  <c r="R51" i="7"/>
  <c r="U36" i="7" l="1"/>
  <c r="U45" i="7"/>
  <c r="U29" i="7"/>
  <c r="T41" i="7"/>
  <c r="T49" i="7" s="1"/>
  <c r="U41" i="7" l="1"/>
  <c r="U49" i="7" s="1"/>
  <c r="U51" i="7" s="1"/>
  <c r="T51" i="7"/>
  <c r="O52" i="4" l="1"/>
  <c r="O53" i="4" l="1"/>
  <c r="O15" i="5"/>
  <c r="O163" i="5"/>
  <c r="O167" i="5" s="1"/>
  <c r="O171" i="5" s="1"/>
  <c r="P175" i="5" s="1"/>
  <c r="P203" i="5" s="1"/>
  <c r="P19" i="8" s="1"/>
  <c r="F8" i="15" s="1"/>
  <c r="O14" i="5"/>
  <c r="O162" i="5"/>
  <c r="O166" i="5" s="1"/>
  <c r="O170" i="5" s="1"/>
  <c r="P174" i="5" s="1"/>
  <c r="P202" i="5" s="1"/>
  <c r="P18" i="8" s="1"/>
  <c r="P41" i="8" l="1"/>
  <c r="F7" i="15"/>
  <c r="P21" i="8"/>
  <c r="F9" i="15" s="1"/>
  <c r="O30" i="5"/>
  <c r="O31" i="5"/>
  <c r="G84" i="5" s="1"/>
  <c r="G85" i="5" s="1"/>
  <c r="G87" i="5" s="1"/>
  <c r="G88" i="5" s="1"/>
  <c r="G94" i="5" s="1"/>
  <c r="G102" i="5" s="1"/>
  <c r="L106" i="5" l="1"/>
  <c r="L110" i="5" s="1"/>
  <c r="M106" i="5"/>
  <c r="M110" i="5" s="1"/>
  <c r="O106" i="5"/>
  <c r="O110" i="5" s="1"/>
  <c r="N106" i="5"/>
  <c r="N110" i="5" s="1"/>
  <c r="P106" i="5"/>
  <c r="P110" i="5" s="1"/>
  <c r="G77" i="5"/>
  <c r="G78" i="5" s="1"/>
  <c r="G80" i="5" s="1"/>
  <c r="G81" i="5" s="1"/>
  <c r="G93" i="5" s="1"/>
  <c r="G101" i="5" s="1"/>
  <c r="O32" i="5"/>
  <c r="P114" i="5" l="1"/>
  <c r="P198" i="5" s="1"/>
  <c r="P12" i="8" s="1"/>
  <c r="G5" i="15" s="1"/>
  <c r="L105" i="5"/>
  <c r="L109" i="5" s="1"/>
  <c r="P105" i="5"/>
  <c r="P109" i="5" s="1"/>
  <c r="N105" i="5"/>
  <c r="N109" i="5" s="1"/>
  <c r="M105" i="5"/>
  <c r="M109" i="5" s="1"/>
  <c r="O105" i="5"/>
  <c r="O109" i="5" s="1"/>
  <c r="P113" i="5" l="1"/>
  <c r="P197" i="5" s="1"/>
  <c r="P11" i="8" s="1"/>
  <c r="G4" i="15" l="1"/>
  <c r="P14" i="8"/>
  <c r="G6" i="15" s="1"/>
</calcChain>
</file>

<file path=xl/sharedStrings.xml><?xml version="1.0" encoding="utf-8"?>
<sst xmlns="http://schemas.openxmlformats.org/spreadsheetml/2006/main" count="966" uniqueCount="470">
  <si>
    <t>Input Data</t>
  </si>
  <si>
    <t>Year</t>
  </si>
  <si>
    <t>Calendar year</t>
  </si>
  <si>
    <t>Year number</t>
  </si>
  <si>
    <t>Financing cost index</t>
  </si>
  <si>
    <t>Model and general parameters</t>
  </si>
  <si>
    <t>Text</t>
  </si>
  <si>
    <t>Company name</t>
  </si>
  <si>
    <t>CompanyName</t>
  </si>
  <si>
    <t>Company type</t>
  </si>
  <si>
    <t>CompanyType</t>
  </si>
  <si>
    <t>WoC.Flag</t>
  </si>
  <si>
    <t>Is company enhanced?</t>
  </si>
  <si>
    <t>CompanyEnhanced</t>
  </si>
  <si>
    <t>Enhanced.Flag</t>
  </si>
  <si>
    <t>% 3dp</t>
  </si>
  <si>
    <t>Financing rate</t>
  </si>
  <si>
    <t>WACC</t>
  </si>
  <si>
    <t>1 Menu choices</t>
  </si>
  <si>
    <t>1.1 Implied menu choice</t>
  </si>
  <si>
    <t>Implied menu choice</t>
  </si>
  <si>
    <t>Nr 3dp</t>
  </si>
  <si>
    <t>Water: Implied menu choice</t>
  </si>
  <si>
    <t>FD.Menu.Choice.Water</t>
  </si>
  <si>
    <t>Sewerage: Implied menu choice</t>
  </si>
  <si>
    <t>FD.Menu.Choice.Sewerage</t>
  </si>
  <si>
    <t>FD pension deficit recovery costs allowance</t>
  </si>
  <si>
    <t>Water: FD pension deficit recovery costs allowance</t>
  </si>
  <si>
    <t>12/13 price base</t>
  </si>
  <si>
    <t>FD.PDRC.Water</t>
  </si>
  <si>
    <t>Sewerage: FD pension deficit recovery costs allowance</t>
  </si>
  <si>
    <t>FD.PDRC.Sewerage</t>
  </si>
  <si>
    <t>1.2 Submitted company menu choice</t>
  </si>
  <si>
    <t>Final menu choice</t>
  </si>
  <si>
    <t>Water: Final menu choice</t>
  </si>
  <si>
    <t>Menu.Choice.Water</t>
  </si>
  <si>
    <t>Sewerage: Final menu choice</t>
  </si>
  <si>
    <t>Menu.Choice.Sewerage</t>
  </si>
  <si>
    <t>2 TOTEX</t>
  </si>
  <si>
    <t>2.1 Menu cost baseline</t>
  </si>
  <si>
    <t>Baseline totex</t>
  </si>
  <si>
    <t>£m 3dp</t>
  </si>
  <si>
    <t>Water: Baseline Totex</t>
  </si>
  <si>
    <t>Baseline.Totex.Water</t>
  </si>
  <si>
    <t>Sewerage: Baseline Totex</t>
  </si>
  <si>
    <t>Baseline.Totex.Sewerage</t>
  </si>
  <si>
    <t>2.2 FD allowed totex inclusive of menu cost exclusions, less PDRC allowance</t>
  </si>
  <si>
    <t>FD allowed totex inclusive of menu cost exclusions, less PDRC allowance</t>
  </si>
  <si>
    <t>Water: FD allowed totex inclusive of menu cost exclusions, less PDRC allowance</t>
  </si>
  <si>
    <t>All.Totex.Water</t>
  </si>
  <si>
    <t>Sewerage: FD allowed totex inclusive of menu cost exclusions, less PDRC allowance</t>
  </si>
  <si>
    <t>All.Totex.Sewerage</t>
  </si>
  <si>
    <t>2.3 Actual totex</t>
  </si>
  <si>
    <t>Actual Totex</t>
  </si>
  <si>
    <t>Water: Actual Totex</t>
  </si>
  <si>
    <t>Outturn price base</t>
  </si>
  <si>
    <t>Actual.Totex.Water</t>
  </si>
  <si>
    <t>Sewerage: Actual Totex</t>
  </si>
  <si>
    <t>Actual.Totex.Sewerage</t>
  </si>
  <si>
    <t>3 ADJUSTMENTS TO TOTEX</t>
  </si>
  <si>
    <t>3.1 Adjustments to actual totex</t>
  </si>
  <si>
    <t>Totex exclusions (enter exclusions as +ve values)</t>
  </si>
  <si>
    <t>Water: Third party services (opex)</t>
  </si>
  <si>
    <t>Water: Third party services (capex)</t>
  </si>
  <si>
    <t>Water: Pension deficit recovery costs</t>
  </si>
  <si>
    <t>Actual.PDRC.Water</t>
  </si>
  <si>
    <t>Water: Other cash items</t>
  </si>
  <si>
    <t xml:space="preserve">Water: Disallowables </t>
  </si>
  <si>
    <t>Actual.Exclusions.Water</t>
  </si>
  <si>
    <t>Sewerage: Third party services (opex)</t>
  </si>
  <si>
    <t>Sewerage: Third party services (capex)</t>
  </si>
  <si>
    <t>Sewerage: Pension deficit recovery costs</t>
  </si>
  <si>
    <t>Actual.PDRC.Sewerage</t>
  </si>
  <si>
    <t>Sewerage: Other cash items</t>
  </si>
  <si>
    <t>Sewerage: Disallowables</t>
  </si>
  <si>
    <t>Actual.Exclusions.Sewerage</t>
  </si>
  <si>
    <t>TTT control: logging up / (down) of scope swaps</t>
  </si>
  <si>
    <t>Logging.TTT.scopeswaps</t>
  </si>
  <si>
    <t>TTT control: Land - 100:0 (customer:company) cost sharing factor</t>
  </si>
  <si>
    <t>Logging.TTT.Land</t>
  </si>
  <si>
    <t>Totex inclusions</t>
  </si>
  <si>
    <t xml:space="preserve">Water: Transition expenditure </t>
  </si>
  <si>
    <t>TransitionExp.Water</t>
  </si>
  <si>
    <t xml:space="preserve">Sewerage: Transition expenditure </t>
  </si>
  <si>
    <t>TransitionExp.Sewerage</t>
  </si>
  <si>
    <t>4 PARAMETERS</t>
  </si>
  <si>
    <t>4.1 Menu inputs</t>
  </si>
  <si>
    <t>Cost sharing rate: value at menu baseline of 100</t>
  </si>
  <si>
    <t>% 0dp</t>
  </si>
  <si>
    <t>Enhanced company</t>
  </si>
  <si>
    <t>Enhanced.Baseline</t>
  </si>
  <si>
    <t>Non-enhanced company</t>
  </si>
  <si>
    <t>NonEnhanced.Baseline</t>
  </si>
  <si>
    <t>Menu range</t>
  </si>
  <si>
    <t>Nr 0dp</t>
  </si>
  <si>
    <t>Upper bound menu choice for enhanced company</t>
  </si>
  <si>
    <t>UB.Enhanced</t>
  </si>
  <si>
    <t>Upper bound menu choice for non-enhanced company</t>
  </si>
  <si>
    <t>UB.NonEnhanced</t>
  </si>
  <si>
    <t>Lower bound menu choice for enhanced company</t>
  </si>
  <si>
    <t>LB.Enhanced</t>
  </si>
  <si>
    <t>Lower bound menu choice for non-enhanced company</t>
  </si>
  <si>
    <t>LB.NonEnhanced</t>
  </si>
  <si>
    <t>Chosen upper bound menu choice</t>
  </si>
  <si>
    <t>UB.Chosen</t>
  </si>
  <si>
    <t>Chosen lower bound menu choice</t>
  </si>
  <si>
    <t>LB.Chosen</t>
  </si>
  <si>
    <t>Breakeven point</t>
  </si>
  <si>
    <t>Choice</t>
  </si>
  <si>
    <t>Choice.BP</t>
  </si>
  <si>
    <t>Outturn</t>
  </si>
  <si>
    <t>Outturn.BP</t>
  </si>
  <si>
    <t>Efficiency incentive</t>
  </si>
  <si>
    <t>Company's value at menu baseline of 100</t>
  </si>
  <si>
    <t>Company.Baseline</t>
  </si>
  <si>
    <t>% 1dp</t>
  </si>
  <si>
    <t>Slope</t>
  </si>
  <si>
    <t>Company.Slope</t>
  </si>
  <si>
    <t>Interpolation</t>
  </si>
  <si>
    <t>Nr 2dp</t>
  </si>
  <si>
    <t>Ofwat baseline</t>
  </si>
  <si>
    <t>OfwatBaseline.Int</t>
  </si>
  <si>
    <t>Company forecast</t>
  </si>
  <si>
    <t>CompanyForecase.Int</t>
  </si>
  <si>
    <t>4.2 Menu matrix</t>
  </si>
  <si>
    <t>Menu coefficients</t>
  </si>
  <si>
    <t>Nr</t>
  </si>
  <si>
    <t>Reward / (penalty) revenue adjustment at PR19</t>
  </si>
  <si>
    <t>Eff.Inc.Constant</t>
  </si>
  <si>
    <t>Efficiency incentive (slope)</t>
  </si>
  <si>
    <t>Eff.Inc.Slope</t>
  </si>
  <si>
    <t>Allowed expenditure:baseline (constant)</t>
  </si>
  <si>
    <t>Allowed.Exp.Constant</t>
  </si>
  <si>
    <t>Allowed expenditure:baseline (slope)</t>
  </si>
  <si>
    <t>Allowed.Exp.Slope</t>
  </si>
  <si>
    <t>Additional income:baseline (constant)</t>
  </si>
  <si>
    <t>Add.Income.Constant</t>
  </si>
  <si>
    <t>Additional income:baseline (first order parameter)</t>
  </si>
  <si>
    <t>Add.Income.1stOrder</t>
  </si>
  <si>
    <t>Additional income:baseline (second order parameter)</t>
  </si>
  <si>
    <t>Add.Income.2ndOrder</t>
  </si>
  <si>
    <t>5 PAYG</t>
  </si>
  <si>
    <t>Water: PAYG ratio</t>
  </si>
  <si>
    <t>PAYG.Water</t>
  </si>
  <si>
    <t>Sewerage: PAYG ratio</t>
  </si>
  <si>
    <t>PAYG.Sewerage</t>
  </si>
  <si>
    <t>6 Business rates IDoK</t>
  </si>
  <si>
    <t>%</t>
  </si>
  <si>
    <t>Company specific water business rate sharing rate</t>
  </si>
  <si>
    <t>Menu Cost Sharing Rate</t>
  </si>
  <si>
    <t>Menu Choice Expenditure Factor</t>
  </si>
  <si>
    <t>Water business rate constant 2017, 2018, 2019</t>
  </si>
  <si>
    <t xml:space="preserve">Outturn </t>
  </si>
  <si>
    <t>Applicable Water Business Rate Costs</t>
  </si>
  <si>
    <t>IDoK business rates</t>
  </si>
  <si>
    <t>Water: IDoK Business rates adjustment</t>
  </si>
  <si>
    <t>BR.IDoK.Water</t>
  </si>
  <si>
    <t>7 TTT Control - items subject to logging up at 75:25 (customer:company) cost share</t>
  </si>
  <si>
    <t>Customer cost sharing rate</t>
  </si>
  <si>
    <t>Thames expenditure that qualifies for logging up</t>
  </si>
  <si>
    <t>Sewerage: Applicable cost adjustment</t>
  </si>
  <si>
    <t>IP.logging.Adj.TTT</t>
  </si>
  <si>
    <t>8 TTT Control - FD costs excluded from menu (that is, land costs under 100:0 sharing)</t>
  </si>
  <si>
    <t>TTT FD costs excluded from menu (that is, land costs under 100:0 sharing)</t>
  </si>
  <si>
    <t>END</t>
  </si>
  <si>
    <t>Calculations</t>
  </si>
  <si>
    <t>Additional comments column to explain calculation where appropriate</t>
  </si>
  <si>
    <t>1 TOTEX SUMMARY</t>
  </si>
  <si>
    <t>1.1 Calculating menu totex</t>
  </si>
  <si>
    <t>Water: Actual totex</t>
  </si>
  <si>
    <t>Sewerage: Actual totex</t>
  </si>
  <si>
    <t>Totex exclusions</t>
  </si>
  <si>
    <t>Water: adjustments to actual totex</t>
  </si>
  <si>
    <t>Sewerage: adjustments to actual totex</t>
  </si>
  <si>
    <t>Totex inclusions - Transition expenditure</t>
  </si>
  <si>
    <t>Totex inclusions -  Legacy depreciation</t>
  </si>
  <si>
    <t>Menu totex</t>
  </si>
  <si>
    <t>Water: Menu totex</t>
  </si>
  <si>
    <t>Menu.Totex.Water</t>
  </si>
  <si>
    <t>Sewerage: Menu totex</t>
  </si>
  <si>
    <t>Menu.Totex.Sewerage</t>
  </si>
  <si>
    <t>Total Menu Totex</t>
  </si>
  <si>
    <t>Menu.Totex</t>
  </si>
  <si>
    <t>2 TOTEX MENU</t>
  </si>
  <si>
    <t>2.1 Menu coefficient upper and lower bounds</t>
  </si>
  <si>
    <t>Upper bounds</t>
  </si>
  <si>
    <t>Efficiency incentive: upper bound</t>
  </si>
  <si>
    <t>UB.EffInc</t>
  </si>
  <si>
    <t>Allowed expenditure: upper bound</t>
  </si>
  <si>
    <t>UB.AllExp</t>
  </si>
  <si>
    <t>Additional income: upper bound</t>
  </si>
  <si>
    <t>UB.AddInc</t>
  </si>
  <si>
    <t>Lower bounds</t>
  </si>
  <si>
    <t>Efficiency incentive: lower bound</t>
  </si>
  <si>
    <t>LB.EffInc</t>
  </si>
  <si>
    <t>Allowed expenditure: lower bound</t>
  </si>
  <si>
    <t>LB.AllExp</t>
  </si>
  <si>
    <t>Additional income: lower bound</t>
  </si>
  <si>
    <t>LB.AddInc</t>
  </si>
  <si>
    <t>2.2 Implied menu coefficients</t>
  </si>
  <si>
    <t>Water: Menu coefficients for chosen menu</t>
  </si>
  <si>
    <t>Water: Efficiency incentive</t>
  </si>
  <si>
    <t>FD.EffInc.Coeff.Water</t>
  </si>
  <si>
    <t>Water: Allowed expenditure</t>
  </si>
  <si>
    <t>FD.AllExp.Coeff.Water</t>
  </si>
  <si>
    <t>Water: Additional income</t>
  </si>
  <si>
    <t>FD.AddInc.Coeff.Water</t>
  </si>
  <si>
    <t>Sewerage: Menu coefficients for chosen menu</t>
  </si>
  <si>
    <t>Sewerage: Efficiency incentive</t>
  </si>
  <si>
    <t>FD.EffInc.Coeff.Sewerage</t>
  </si>
  <si>
    <t>Sewerage: Allowed expenditure</t>
  </si>
  <si>
    <t>FD.AllExp.Coeff.Sewerage</t>
  </si>
  <si>
    <t>Sewerage: Additional income</t>
  </si>
  <si>
    <t>FD.AddInc.Coeff.Sewerage</t>
  </si>
  <si>
    <t>2.3 Final menu coefficients</t>
  </si>
  <si>
    <t>EffInc.Coeff.Water</t>
  </si>
  <si>
    <t>AllExp.Coeff.Water</t>
  </si>
  <si>
    <t>AddInc.Coeff.Water</t>
  </si>
  <si>
    <t>EffInc.Coeff.Sewerage</t>
  </si>
  <si>
    <t>AllExp.Coeff.Sewerage</t>
  </si>
  <si>
    <t>AddInc.Coeff.Sewerage</t>
  </si>
  <si>
    <t>3 TOTEX ADJUSTMENTS</t>
  </si>
  <si>
    <t>3.1 Menu performance</t>
  </si>
  <si>
    <t>Menu performance - Water</t>
  </si>
  <si>
    <t>Water: Menu Totex to Baseline Totex ratio</t>
  </si>
  <si>
    <t>Water: Menu Totex: menu level</t>
  </si>
  <si>
    <t>Water: Reward / (Penalty): menu level</t>
  </si>
  <si>
    <t>Water: Reward / (Penalty) ratio</t>
  </si>
  <si>
    <t>Menu performance - Sewerage</t>
  </si>
  <si>
    <t>Sewerage: Menu Totex to Baseline Totex ratio</t>
  </si>
  <si>
    <t>Sewerage: Menu Totex: menu level</t>
  </si>
  <si>
    <t>Sewerage: Reward / (Penalty): menu level</t>
  </si>
  <si>
    <t>Sewerage: Reward / (Penalty) ratio</t>
  </si>
  <si>
    <t>3.2 Totex menu reward / (penalty)</t>
  </si>
  <si>
    <t>Reward / (penalty) including additional income</t>
  </si>
  <si>
    <t>Water: Total reward / (penalty) including additional income</t>
  </si>
  <si>
    <t>Sewerage: Total reward / (penalty) including additional income</t>
  </si>
  <si>
    <t>Additional income applied at FDs</t>
  </si>
  <si>
    <t>Water: Additional income (applied at FD)</t>
  </si>
  <si>
    <t>Sewerage: Additional income (applied at FD)</t>
  </si>
  <si>
    <t>Reward / (penalty) excluding additional income</t>
  </si>
  <si>
    <t>Water: Total reward / (penalty) excluding additional income</t>
  </si>
  <si>
    <t>Sewerage: Total reward / (penalty) excluding additional income</t>
  </si>
  <si>
    <t xml:space="preserve"> </t>
  </si>
  <si>
    <t>Reprofiled reward / (penalty)</t>
  </si>
  <si>
    <t>Water: Reward / (penalty)</t>
  </si>
  <si>
    <t>Sewerage: Reward / (penalty)</t>
  </si>
  <si>
    <t>Reprofiled reward / (penalty) including financing costs</t>
  </si>
  <si>
    <t>Revenue adjustment - water</t>
  </si>
  <si>
    <t>Revenue adjustment - sewerage</t>
  </si>
  <si>
    <t>3.3 Non-menu revenue adjustments</t>
  </si>
  <si>
    <t>Business rates IDoK</t>
  </si>
  <si>
    <t>Water: business rate IDoK</t>
  </si>
  <si>
    <t>Revenue adjustments including financing costs</t>
  </si>
  <si>
    <t>Water: Non-menu revenue adjustment</t>
  </si>
  <si>
    <t>Non-menu revenue adjustment at PR19</t>
  </si>
  <si>
    <t>3.4 Allowed totex reconciliation</t>
  </si>
  <si>
    <t>Allowed expenditure from the menu at FD</t>
  </si>
  <si>
    <t>N.B. Excludes PDRC and excludes any other cost exclusions</t>
  </si>
  <si>
    <t>Water: Allowed expenditure from the menu at FD</t>
  </si>
  <si>
    <t>Sewerage: Allowed expenditure from the menu at FD</t>
  </si>
  <si>
    <t>N.B. Excludes PDRC and includes any other cost exclusions</t>
  </si>
  <si>
    <t>Costs excluded from the menu at FD, less PDRC allowance</t>
  </si>
  <si>
    <t>Water: Costs excluded from the menu at FD, less PDRC allowance</t>
  </si>
  <si>
    <t>Sewerage: Costs excluded from the menu at FD, less PDRC allowance</t>
  </si>
  <si>
    <t>Final menu choice allowed totex</t>
  </si>
  <si>
    <t>Water: Allowed Totex from final menu</t>
  </si>
  <si>
    <t>Allowed.totex.final.menu.water</t>
  </si>
  <si>
    <t>Sewerage: Allowed Totex from final menu</t>
  </si>
  <si>
    <t>Allowed.totex.Final.menu.sewerage</t>
  </si>
  <si>
    <t>Final menu choice allowed totex inclusive of menu cost exclusions, less PDRC</t>
  </si>
  <si>
    <t>Water: Allowed Totex from final menu inclusive of menu cost exclusions, less PDRC</t>
  </si>
  <si>
    <t>Sewerage: Allowed Totex from final menu inclusive of menu cost exclusions, less PDRC</t>
  </si>
  <si>
    <t xml:space="preserve">Allowed totex reconciliation </t>
  </si>
  <si>
    <t>Water: Allowed Totex delta (Final less FD)</t>
  </si>
  <si>
    <t>Sewerage: Allowed Totex delta (Final less FD)</t>
  </si>
  <si>
    <t>3.5 Totex adjustment</t>
  </si>
  <si>
    <t>Totex under / (over) performance</t>
  </si>
  <si>
    <t>Water: under / (over) performance</t>
  </si>
  <si>
    <t>N.B. Under / over performance takes into account menu cost exclusions except for variation in actual vs allowed PDRC</t>
  </si>
  <si>
    <t>Sewerage: under / (over) performance</t>
  </si>
  <si>
    <t>Totex adjustment</t>
  </si>
  <si>
    <t>Water: totex adjustment</t>
  </si>
  <si>
    <t>Totex.Adj.Water</t>
  </si>
  <si>
    <t>Sewerage: totex adjustment</t>
  </si>
  <si>
    <t>Totex.Adj.Sewerage</t>
  </si>
  <si>
    <t>Totex adjustment including financing costs</t>
  </si>
  <si>
    <t>Water: Future value of ex post totex adjustment of prior year annual adjustments</t>
  </si>
  <si>
    <t>Sewerage: Future value of ex post totex adjustment of prior year annual adjustments</t>
  </si>
  <si>
    <t>Totex adjustment at PR19</t>
  </si>
  <si>
    <t>Total totex adjustment - water</t>
  </si>
  <si>
    <t>Total totex adjustment - sewerage</t>
  </si>
  <si>
    <t>3.6 TTT land costs under 100:0 sharing adjustment</t>
  </si>
  <si>
    <t>TTT land costs adjustment</t>
  </si>
  <si>
    <t>Sewerage: TTT land adjustment</t>
  </si>
  <si>
    <t>TTT land costs adjustment including financing costs</t>
  </si>
  <si>
    <t>Sewerage: Future value of ex post TTT land adjustment of prior year annual adjustments</t>
  </si>
  <si>
    <t>TTT land costs adjustment at PR19</t>
  </si>
  <si>
    <t>Total TTT land adjustment - sewerage</t>
  </si>
  <si>
    <t>4. PR19 ADJUSTMENTS</t>
  </si>
  <si>
    <t>4.1 Weighted average PAYG ratio</t>
  </si>
  <si>
    <t>Water: weighted PAYG ratio</t>
  </si>
  <si>
    <t>WeightedPAYG.Water</t>
  </si>
  <si>
    <t>Sewerage: weighted PAYG ratio</t>
  </si>
  <si>
    <t>WeightedPAYG.Sewerage</t>
  </si>
  <si>
    <t>4.2 Revenue adjustments</t>
  </si>
  <si>
    <t>Water: revenue adjustment</t>
  </si>
  <si>
    <t>Sewerage: revenue adjustment</t>
  </si>
  <si>
    <t>4.3 RCV adjustments</t>
  </si>
  <si>
    <t>Water: RCV adjustment</t>
  </si>
  <si>
    <t>Sewerage: RCV adjustment</t>
  </si>
  <si>
    <t>End</t>
  </si>
  <si>
    <t>Totex menu adjustments</t>
  </si>
  <si>
    <t>AMP.Years</t>
  </si>
  <si>
    <t>Calendar.Years</t>
  </si>
  <si>
    <t>1 Revenue adjustments</t>
  </si>
  <si>
    <t>Total revenue adjustment</t>
  </si>
  <si>
    <t>2 RCV adjustments</t>
  </si>
  <si>
    <t>Total RCV adjustment</t>
  </si>
  <si>
    <t>Water: Actual totex (net of exclusions, logging and IDoK)</t>
  </si>
  <si>
    <t>Sewerage: Actual totex (net of exclusions, logging and IDoK)</t>
  </si>
  <si>
    <t>Total Actual Totex (net of exclusions, logging and IDoK)</t>
  </si>
  <si>
    <t>Total Actual Totex (net of exclusions, logging and shortfalls)</t>
  </si>
  <si>
    <t>Retail Price Index</t>
  </si>
  <si>
    <t>2011-12</t>
  </si>
  <si>
    <t>Actual Year</t>
  </si>
  <si>
    <t/>
  </si>
  <si>
    <t>RPI</t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</si>
  <si>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</si>
  <si>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</si>
  <si>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</si>
  <si>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</si>
  <si>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</si>
  <si>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</si>
  <si>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</si>
  <si>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</si>
  <si>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</si>
  <si>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</si>
  <si>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</si>
  <si>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</si>
  <si>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</si>
  <si>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</si>
  <si>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RPI: Financial year average - index</t>
  </si>
  <si>
    <t>% 4dp</t>
  </si>
  <si>
    <t>RPI: Financial year average assumed percentage increase</t>
  </si>
  <si>
    <t>Completeness check</t>
  </si>
  <si>
    <t>Indexation.Check</t>
  </si>
  <si>
    <t>Forecast RPI</t>
  </si>
  <si>
    <t>RPI: Basket year - cumulative % increase from 2012/13 basket value</t>
  </si>
  <si>
    <t>Override</t>
  </si>
  <si>
    <t>Indexation.November.Override</t>
  </si>
  <si>
    <t>Calculated (including override)</t>
  </si>
  <si>
    <t>Indexation.November</t>
  </si>
  <si>
    <t>RPI: Fin year average - inflate from year average (2012)</t>
  </si>
  <si>
    <t>Indexation.Average.Override</t>
  </si>
  <si>
    <t>Indexation.Average</t>
  </si>
  <si>
    <t>RPI: Fin year average - percentage increase</t>
  </si>
  <si>
    <t>Inflation.Yearly.Average</t>
  </si>
  <si>
    <t>Timeline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</si>
  <si>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</si>
  <si>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</si>
  <si>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</si>
  <si>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</si>
  <si>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</si>
  <si>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</si>
  <si>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</si>
  <si>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</si>
  <si>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</si>
  <si>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</si>
  <si>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</si>
  <si>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</si>
  <si>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</si>
  <si>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Acronym</t>
  </si>
  <si>
    <t>Reference</t>
  </si>
  <si>
    <t>Item description</t>
  </si>
  <si>
    <t>Unit</t>
  </si>
  <si>
    <t>Model</t>
  </si>
  <si>
    <t>2015-20</t>
  </si>
  <si>
    <t>BF200</t>
  </si>
  <si>
    <t>C00558</t>
  </si>
  <si>
    <t>Wholesale water service defined benefit pension deficit recovery  per IN13/17</t>
  </si>
  <si>
    <t>£m</t>
  </si>
  <si>
    <t>C00559</t>
  </si>
  <si>
    <t>Wholesale sewerage service defined benefit pension deficit recovery per IN13/17</t>
  </si>
  <si>
    <t>C00729_W004</t>
  </si>
  <si>
    <t>Water - Menu choice (ratio)</t>
  </si>
  <si>
    <t>C00728_S004</t>
  </si>
  <si>
    <t>Wastewater - Menu choice (ratio)</t>
  </si>
  <si>
    <t>C00728_S004TT</t>
  </si>
  <si>
    <t>Thames Tideway - Menu choice (ratio)</t>
  </si>
  <si>
    <t>C00772_A001</t>
  </si>
  <si>
    <t>Water Totex</t>
  </si>
  <si>
    <t>C00768_A001</t>
  </si>
  <si>
    <t>Waste Totex</t>
  </si>
  <si>
    <t>CRW003</t>
  </si>
  <si>
    <t>Pension deficit recovery payments - Water</t>
  </si>
  <si>
    <t>CRS003</t>
  </si>
  <si>
    <t>Pension deficit recovery payments - Wastewater</t>
  </si>
  <si>
    <t>C00766_A001</t>
  </si>
  <si>
    <t>Water PAYG ratio</t>
  </si>
  <si>
    <t>C00770_A001</t>
  </si>
  <si>
    <t>Waste PAYG ratio</t>
  </si>
  <si>
    <t>C00007_W011</t>
  </si>
  <si>
    <t>C00008_S011</t>
  </si>
  <si>
    <t>Price Review 2019</t>
  </si>
  <si>
    <t>BM323TASIN</t>
  </si>
  <si>
    <t>BM333TASIN</t>
  </si>
  <si>
    <t>Wholesale sewerage baseline</t>
  </si>
  <si>
    <t>Wholesale water baseline</t>
  </si>
  <si>
    <t>BM823TASIN</t>
  </si>
  <si>
    <t>BM833TASIN</t>
  </si>
  <si>
    <t>BP767NTIN</t>
  </si>
  <si>
    <t>Water: Transition expenditure</t>
  </si>
  <si>
    <t>BP867NTIN</t>
  </si>
  <si>
    <t>Sewerage: Transition expenditure</t>
  </si>
  <si>
    <t>S3040MTIN</t>
  </si>
  <si>
    <t>W3026MTIN</t>
  </si>
  <si>
    <t>WS15006</t>
  </si>
  <si>
    <t>Menu choices - Water: Final menu choice</t>
  </si>
  <si>
    <t>nr</t>
  </si>
  <si>
    <t>WWS15006</t>
  </si>
  <si>
    <t>Menu choices - Sewerage: Final menu choice</t>
  </si>
  <si>
    <t>WS15014</t>
  </si>
  <si>
    <t>WWS15014</t>
  </si>
  <si>
    <t>WWS15015</t>
  </si>
  <si>
    <t>WWS15016</t>
  </si>
  <si>
    <t>Adjustments to TOTEX - Water: Disallowables</t>
  </si>
  <si>
    <t>ADJUSTMENTS TO TOTEX - Sewerage: Disallowables</t>
  </si>
  <si>
    <t>ADJUSTMENTS TO TOTEX - TTT control: logging up / (down) of scope swaps</t>
  </si>
  <si>
    <t>ADJUSTMENTS TO TOTEX - TTT control: Land - 100:0 (customer: company) cost sharing factor</t>
  </si>
  <si>
    <t>WS15028</t>
  </si>
  <si>
    <t>Adjustments to TOTEX - Water: Other cash items</t>
  </si>
  <si>
    <t>WWS15028</t>
  </si>
  <si>
    <t>ADJUSTMENTS TO TOTEX - Sewerage: Other cash items</t>
  </si>
  <si>
    <t>PR19 application</t>
  </si>
  <si>
    <t>C_WS15024_PR19PD006</t>
  </si>
  <si>
    <t>C_WS15025_PR19PD006</t>
  </si>
  <si>
    <t>C_WWS15019_PR19PD006</t>
  </si>
  <si>
    <t>C_WWS15020_PR19PD006</t>
  </si>
  <si>
    <t>Retail Price Index for August</t>
  </si>
  <si>
    <t>Retail Price Index for September</t>
  </si>
  <si>
    <t>Retail Price Index for October</t>
  </si>
  <si>
    <t>BB3805AL</t>
  </si>
  <si>
    <t>BB3805MY</t>
  </si>
  <si>
    <t>BB3805JN</t>
  </si>
  <si>
    <t>BB3805JL</t>
  </si>
  <si>
    <t>BB3805AT</t>
  </si>
  <si>
    <t>BB3805SR</t>
  </si>
  <si>
    <t>BB3805OR</t>
  </si>
  <si>
    <t>BB3805NR</t>
  </si>
  <si>
    <t>BB3805DR</t>
  </si>
  <si>
    <t>BB3805JY</t>
  </si>
  <si>
    <t>BB3805FY</t>
  </si>
  <si>
    <t>BB3805MH</t>
  </si>
  <si>
    <t>Retail Price Index for April</t>
  </si>
  <si>
    <t>Retail Price Index for May</t>
  </si>
  <si>
    <t>Retail Price Index for June</t>
  </si>
  <si>
    <t>Retail Price Index for July</t>
  </si>
  <si>
    <t>Retail Price Index for November</t>
  </si>
  <si>
    <t>Retail Price Index for December</t>
  </si>
  <si>
    <t>Retail Price Index for January</t>
  </si>
  <si>
    <t>Retail Price Index for February</t>
  </si>
  <si>
    <t>Retail Price Index for March</t>
  </si>
  <si>
    <t>C_001_PR19PD006</t>
  </si>
  <si>
    <t>Total revenue adjustment (totex menu reconciliation model)</t>
  </si>
  <si>
    <t>C_002_PR19PD006</t>
  </si>
  <si>
    <t>Total RCV adjustment (totex menu reconciliation model)</t>
  </si>
  <si>
    <t>PR19 Totex IN</t>
  </si>
  <si>
    <t>PR19_Totex_PD</t>
  </si>
  <si>
    <t>YKY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</si>
</sst>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(* #,##0.00_);_(* \(#,##0.00\);_(* &quot;-&quot;??_);_(@_)"/>
    <numFmt numFmtId="165" formatCode="_(* #,##0.000_);_(* \(#,##0.000\);_(* &quot;-&quot;_);_(@_)"/>
    <numFmt numFmtId="166" formatCode="#,##0_);\(#,##0\);\-_)"/>
    <numFmt numFmtId="167" formatCode="0.000"/>
    <numFmt numFmtId="168" formatCode="0.0"/>
    <numFmt numFmtId="169" formatCode="_-* #,##0.000_-;\-* #,##0.000_-;_-* &quot;-&quot;??_-;_-@_-"/>
    <numFmt numFmtId="170" formatCode="0%_);\(0%\);\-\%_)"/>
    <numFmt numFmtId="171" formatCode="#,##0.0"/>
    <numFmt numFmtId="172" formatCode="0.0%_);\(0.0%\);\-\%_)"/>
    <numFmt numFmtId="173" formatCode="#,##0.00_);\(#,##0.00\);\-_)"/>
    <numFmt numFmtId="174" formatCode="0.0000"/>
    <numFmt numFmtId="175" formatCode="0.000%_);\(0.000%\);\-\%_)"/>
    <numFmt numFmtId="176" formatCode="#0_);\(#0\);\-_)"/>
    <numFmt numFmtId="177" formatCode="#,##0.0_);\(#,##0.0\);\-_)"/>
    <numFmt numFmtId="178" formatCode="0.00%_);\(0.00%\);\-\%_)"/>
    <numFmt numFmtId="179" formatCode="#,##0.000_);\(#,##0.000\);\-_)"/>
    <numFmt numFmtId="180" formatCode="#,##0%_);\(#,##0%\);\-_)"/>
    <numFmt numFmtId="181" formatCode="#,##0.000"/>
  </numFmts>
  <fonts count="7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11"/>
      <color rgb="FFA320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b/>
      <sz val="10"/>
      <color indexed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18"/>
      <name val="Arial"/>
      <family val="2"/>
    </font>
    <font>
      <sz val="8"/>
      <color theme="4"/>
      <name val="Arial"/>
      <family val="2"/>
    </font>
    <font>
      <b/>
      <sz val="10"/>
      <color theme="1"/>
      <name val="Arial"/>
      <family val="2"/>
    </font>
    <font>
      <b/>
      <sz val="20"/>
      <color indexed="9"/>
      <name val="Arial"/>
      <family val="2"/>
    </font>
    <font>
      <sz val="10"/>
      <color indexed="62"/>
      <name val="Arial"/>
      <family val="2"/>
    </font>
    <font>
      <b/>
      <i/>
      <sz val="10"/>
      <color indexed="9"/>
      <name val="Arial"/>
      <family val="2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  <scheme val="minor"/>
    </font>
    <font>
      <sz val="18"/>
      <name val="Arial MT"/>
      <family val="2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9"/>
      <color theme="1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664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E4819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">
    <xf numFmtId="0" fontId="0" fillId="0" borderId="0"/>
    <xf numFmtId="0" fontId="3" fillId="0" borderId="0"/>
    <xf numFmtId="0" fontId="5" fillId="0" borderId="0" applyNumberFormat="0" applyFill="0" applyAlignment="0"/>
    <xf numFmtId="37" fontId="3" fillId="0" borderId="0" applyFill="0" applyBorder="0" applyProtection="0">
      <protection locked="0"/>
    </xf>
    <xf numFmtId="0" fontId="8" fillId="0" borderId="0"/>
    <xf numFmtId="0" fontId="3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0" fontId="15" fillId="7" borderId="5" applyNumberFormat="0" applyFont="0" applyAlignment="0" applyProtection="0"/>
    <xf numFmtId="171" fontId="3" fillId="0" borderId="0">
      <alignment vertical="top"/>
    </xf>
    <xf numFmtId="9" fontId="3" fillId="0" borderId="0" applyFont="0" applyFill="0" applyBorder="0" applyAlignment="0" applyProtection="0"/>
    <xf numFmtId="0" fontId="3" fillId="0" borderId="0"/>
    <xf numFmtId="0" fontId="3" fillId="0" borderId="0">
      <alignment vertical="top"/>
    </xf>
    <xf numFmtId="166" fontId="33" fillId="0" borderId="3">
      <alignment horizontal="center"/>
    </xf>
    <xf numFmtId="0" fontId="34" fillId="0" borderId="9" applyNumberFormat="0" applyAlignment="0" applyProtection="0"/>
    <xf numFmtId="0" fontId="35" fillId="0" borderId="0" applyNumberFormat="0" applyAlignment="0" applyProtection="0"/>
    <xf numFmtId="0" fontId="36" fillId="0" borderId="10" applyNumberFormat="0" applyFill="0" applyAlignment="0">
      <alignment vertical="top"/>
    </xf>
    <xf numFmtId="0" fontId="37" fillId="0" borderId="11" applyNumberFormat="0" applyFill="0" applyAlignment="0"/>
    <xf numFmtId="0" fontId="15" fillId="14" borderId="5" applyNumberFormat="0" applyFont="0" applyAlignment="0" applyProtection="0"/>
    <xf numFmtId="0" fontId="15" fillId="15" borderId="12" applyNumberFormat="0" applyFont="0" applyAlignment="0" applyProtection="0"/>
    <xf numFmtId="0" fontId="38" fillId="0" borderId="0" applyNumberFormat="0" applyFill="0" applyBorder="0" applyAlignment="0" applyProtection="0"/>
    <xf numFmtId="0" fontId="8" fillId="16" borderId="5" applyNumberFormat="0" applyFont="0" applyAlignment="0" applyProtection="0"/>
    <xf numFmtId="0" fontId="8" fillId="17" borderId="12" applyNumberFormat="0" applyFont="0" applyAlignment="0" applyProtection="0"/>
    <xf numFmtId="0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37" fontId="7" fillId="18" borderId="13">
      <alignment horizontal="left"/>
    </xf>
    <xf numFmtId="37" fontId="27" fillId="18" borderId="14"/>
    <xf numFmtId="0" fontId="3" fillId="18" borderId="15" applyNumberFormat="0" applyBorder="0"/>
    <xf numFmtId="49" fontId="40" fillId="0" borderId="0" applyFont="0" applyFill="0" applyBorder="0" applyAlignment="0" applyProtection="0">
      <alignment horizontal="left"/>
    </xf>
    <xf numFmtId="0" fontId="15" fillId="0" borderId="0" applyAlignment="0" applyProtection="0"/>
    <xf numFmtId="0" fontId="11" fillId="0" borderId="0" applyFill="0" applyBorder="0" applyAlignment="0" applyProtection="0"/>
    <xf numFmtId="49" fontId="11" fillId="0" borderId="0" applyNumberFormat="0" applyAlignment="0" applyProtection="0">
      <alignment horizontal="left"/>
    </xf>
    <xf numFmtId="49" fontId="41" fillId="0" borderId="16" applyNumberFormat="0" applyAlignment="0" applyProtection="0">
      <alignment horizontal="left" wrapText="1"/>
    </xf>
    <xf numFmtId="49" fontId="41" fillId="0" borderId="0" applyNumberFormat="0" applyAlignment="0" applyProtection="0">
      <alignment horizontal="left" wrapText="1"/>
    </xf>
    <xf numFmtId="49" fontId="42" fillId="0" borderId="0" applyAlignment="0" applyProtection="0">
      <alignment horizontal="left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4" fillId="19" borderId="0" applyNumberFormat="0" applyAlignment="0" applyProtection="0"/>
    <xf numFmtId="0" fontId="45" fillId="0" borderId="3" applyNumberFormat="0" applyAlignment="0" applyProtection="0"/>
    <xf numFmtId="0" fontId="7" fillId="20" borderId="0"/>
    <xf numFmtId="0" fontId="3" fillId="11" borderId="3"/>
    <xf numFmtId="0" fontId="3" fillId="11" borderId="3"/>
    <xf numFmtId="0" fontId="7" fillId="11" borderId="0"/>
    <xf numFmtId="0" fontId="3" fillId="21" borderId="0"/>
    <xf numFmtId="0" fontId="3" fillId="21" borderId="0"/>
    <xf numFmtId="0" fontId="3" fillId="21" borderId="0"/>
    <xf numFmtId="0" fontId="46" fillId="18" borderId="17"/>
    <xf numFmtId="37" fontId="3" fillId="18" borderId="0">
      <alignment horizontal="right"/>
    </xf>
    <xf numFmtId="0" fontId="47" fillId="0" borderId="0" applyNumberFormat="0" applyFill="0" applyBorder="0" applyAlignment="0" applyProtection="0">
      <alignment vertical="top"/>
      <protection locked="0"/>
    </xf>
    <xf numFmtId="0" fontId="48" fillId="22" borderId="0" applyNumberFormat="0" applyFont="0" applyAlignment="0" applyProtection="0"/>
    <xf numFmtId="0" fontId="49" fillId="0" borderId="0"/>
    <xf numFmtId="0" fontId="50" fillId="23" borderId="0" applyNumberFormat="0" applyAlignment="0" applyProtection="0"/>
    <xf numFmtId="0" fontId="3" fillId="0" borderId="0"/>
    <xf numFmtId="0" fontId="3" fillId="0" borderId="0"/>
    <xf numFmtId="0" fontId="4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9" fillId="2" borderId="1" applyNumberFormat="0" applyFont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51" fillId="0" borderId="0">
      <alignment vertical="top"/>
    </xf>
    <xf numFmtId="0" fontId="44" fillId="24" borderId="3" applyNumberFormat="0" applyAlignment="0" applyProtection="0"/>
    <xf numFmtId="0" fontId="15" fillId="25" borderId="5" applyNumberFormat="0" applyFont="0" applyAlignment="0"/>
    <xf numFmtId="37" fontId="52" fillId="26" borderId="18"/>
    <xf numFmtId="0" fontId="53" fillId="0" borderId="19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44" fillId="24" borderId="3" applyNumberFormat="0" applyAlignment="0" applyProtection="0"/>
    <xf numFmtId="0" fontId="57" fillId="31" borderId="0" applyNumberFormat="0" applyBorder="0" applyAlignment="0" applyProtection="0"/>
    <xf numFmtId="0" fontId="57" fillId="14" borderId="0" applyNumberFormat="0" applyBorder="0" applyAlignment="0" applyProtection="0"/>
    <xf numFmtId="0" fontId="57" fillId="32" borderId="0" applyNumberFormat="0" applyBorder="0" applyAlignment="0" applyProtection="0"/>
    <xf numFmtId="0" fontId="57" fillId="31" borderId="0" applyNumberFormat="0" applyBorder="0" applyAlignment="0" applyProtection="0"/>
    <xf numFmtId="0" fontId="57" fillId="33" borderId="0" applyNumberFormat="0" applyBorder="0" applyAlignment="0" applyProtection="0"/>
    <xf numFmtId="0" fontId="57" fillId="14" borderId="0" applyNumberFormat="0" applyBorder="0" applyAlignment="0" applyProtection="0"/>
    <xf numFmtId="0" fontId="57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7" borderId="0" applyNumberFormat="0" applyBorder="0" applyAlignment="0" applyProtection="0"/>
    <xf numFmtId="0" fontId="57" fillId="34" borderId="0" applyNumberFormat="0" applyBorder="0" applyAlignment="0" applyProtection="0"/>
    <xf numFmtId="0" fontId="57" fillId="36" borderId="0" applyNumberFormat="0" applyBorder="0" applyAlignment="0" applyProtection="0"/>
    <xf numFmtId="0" fontId="57" fillId="14" borderId="0" applyNumberFormat="0" applyBorder="0" applyAlignment="0" applyProtection="0"/>
    <xf numFmtId="0" fontId="58" fillId="37" borderId="0" applyNumberFormat="0" applyBorder="0" applyAlignment="0" applyProtection="0"/>
    <xf numFmtId="0" fontId="58" fillId="35" borderId="0" applyNumberFormat="0" applyBorder="0" applyAlignment="0" applyProtection="0"/>
    <xf numFmtId="0" fontId="58" fillId="7" borderId="0" applyNumberFormat="0" applyBorder="0" applyAlignment="0" applyProtection="0"/>
    <xf numFmtId="0" fontId="58" fillId="34" borderId="0" applyNumberFormat="0" applyBorder="0" applyAlignment="0" applyProtection="0"/>
    <xf numFmtId="0" fontId="58" fillId="37" borderId="0" applyNumberFormat="0" applyBorder="0" applyAlignment="0" applyProtection="0"/>
    <xf numFmtId="0" fontId="58" fillId="14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37" borderId="0" applyNumberFormat="0" applyBorder="0" applyAlignment="0" applyProtection="0"/>
    <xf numFmtId="0" fontId="58" fillId="41" borderId="0" applyNumberForma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59" fillId="42" borderId="0" applyNumberFormat="0" applyBorder="0" applyAlignment="0" applyProtection="0"/>
    <xf numFmtId="0" fontId="3" fillId="18" borderId="15" applyNumberFormat="0" applyBorder="0"/>
    <xf numFmtId="0" fontId="3" fillId="18" borderId="15" applyNumberFormat="0" applyBorder="0"/>
    <xf numFmtId="0" fontId="60" fillId="31" borderId="21" applyNumberFormat="0" applyAlignment="0" applyProtection="0"/>
    <xf numFmtId="0" fontId="61" fillId="43" borderId="22" applyNumberFormat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3" fillId="0" borderId="23">
      <alignment vertical="top"/>
    </xf>
    <xf numFmtId="0" fontId="64" fillId="44" borderId="0" applyNumberFormat="0" applyBorder="0" applyAlignment="0" applyProtection="0"/>
    <xf numFmtId="37" fontId="3" fillId="18" borderId="0">
      <alignment horizontal="right"/>
    </xf>
    <xf numFmtId="37" fontId="3" fillId="18" borderId="0">
      <alignment horizontal="right"/>
    </xf>
    <xf numFmtId="0" fontId="65" fillId="0" borderId="24" applyNumberFormat="0" applyFill="0" applyAlignment="0" applyProtection="0"/>
    <xf numFmtId="0" fontId="66" fillId="0" borderId="25" applyNumberFormat="0" applyFill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14" borderId="21" applyNumberFormat="0" applyAlignment="0" applyProtection="0"/>
    <xf numFmtId="0" fontId="70" fillId="0" borderId="27" applyNumberFormat="0" applyFill="0" applyAlignment="0" applyProtection="0"/>
    <xf numFmtId="0" fontId="71" fillId="7" borderId="0" applyNumberFormat="0" applyBorder="0" applyAlignment="0" applyProtection="0"/>
    <xf numFmtId="0" fontId="72" fillId="31" borderId="28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/>
    <xf numFmtId="0" fontId="1" fillId="0" borderId="0"/>
    <xf numFmtId="0" fontId="1" fillId="0" borderId="0"/>
    <xf numFmtId="0" fontId="78" fillId="48" borderId="0" applyBorder="0"/>
    <xf numFmtId="0" fontId="1" fillId="0" borderId="0"/>
  </cellStyleXfs>
  <cellXfs count="270">
    <xf numFmtId="0" fontId="0" fillId="0" borderId="0" xfId="0"/>
    <xf numFmtId="0" fontId="4" fillId="3" borderId="2" xfId="1" applyFont="1" applyFill="1" applyBorder="1" applyAlignment="1">
      <alignment horizontal="left" vertical="center"/>
    </xf>
    <xf numFmtId="0" fontId="5" fillId="0" borderId="0" xfId="2"/>
    <xf numFmtId="0" fontId="3" fillId="0" borderId="0" xfId="1"/>
    <xf numFmtId="1" fontId="3" fillId="0" borderId="0" xfId="1" applyNumberFormat="1" applyAlignment="1" applyProtection="1">
      <alignment vertical="center"/>
      <protection locked="0"/>
    </xf>
    <xf numFmtId="1" fontId="6" fillId="0" borderId="0" xfId="3" applyNumberFormat="1" applyFont="1" applyAlignment="1">
      <alignment horizontal="right"/>
      <protection locked="0"/>
    </xf>
    <xf numFmtId="1" fontId="7" fillId="0" borderId="0" xfId="3" applyNumberFormat="1" applyFont="1" applyAlignment="1">
      <alignment horizontal="right"/>
      <protection locked="0"/>
    </xf>
    <xf numFmtId="0" fontId="9" fillId="0" borderId="0" xfId="4" applyFont="1"/>
    <xf numFmtId="1" fontId="3" fillId="0" borderId="0" xfId="1" applyNumberFormat="1" applyAlignment="1" applyProtection="1">
      <alignment horizontal="right"/>
      <protection locked="0"/>
    </xf>
    <xf numFmtId="1" fontId="7" fillId="0" borderId="2" xfId="1" applyNumberFormat="1" applyFont="1" applyBorder="1" applyAlignment="1">
      <alignment horizontal="center"/>
    </xf>
    <xf numFmtId="1" fontId="10" fillId="4" borderId="2" xfId="4" applyNumberFormat="1" applyFont="1" applyFill="1" applyBorder="1" applyAlignment="1">
      <alignment horizontal="center"/>
    </xf>
    <xf numFmtId="165" fontId="11" fillId="0" borderId="0" xfId="5" applyNumberFormat="1" applyFont="1" applyAlignment="1" applyProtection="1">
      <alignment horizontal="right" vertical="center"/>
      <protection locked="0"/>
    </xf>
    <xf numFmtId="0" fontId="12" fillId="0" borderId="0" xfId="1" applyFont="1" applyProtection="1">
      <protection locked="0"/>
    </xf>
    <xf numFmtId="1" fontId="3" fillId="0" borderId="0" xfId="6" applyNumberFormat="1" applyAlignment="1" applyProtection="1">
      <alignment vertical="center"/>
      <protection locked="0"/>
    </xf>
    <xf numFmtId="1" fontId="7" fillId="0" borderId="0" xfId="6" applyNumberFormat="1" applyFont="1" applyAlignment="1" applyProtection="1">
      <alignment horizontal="left" vertical="center"/>
      <protection locked="0"/>
    </xf>
    <xf numFmtId="1" fontId="11" fillId="0" borderId="0" xfId="6" applyNumberFormat="1" applyFont="1" applyAlignment="1" applyProtection="1">
      <alignment vertical="center"/>
      <protection locked="0"/>
    </xf>
    <xf numFmtId="166" fontId="3" fillId="5" borderId="3" xfId="1" applyNumberFormat="1" applyFill="1" applyBorder="1" applyAlignment="1">
      <alignment horizontal="right" vertical="center"/>
    </xf>
    <xf numFmtId="1" fontId="3" fillId="0" borderId="0" xfId="6" applyNumberFormat="1" applyAlignment="1" applyProtection="1">
      <alignment vertical="center" shrinkToFit="1"/>
      <protection locked="0"/>
    </xf>
    <xf numFmtId="49" fontId="13" fillId="6" borderId="4" xfId="1" applyNumberFormat="1" applyFont="1" applyFill="1" applyBorder="1" applyAlignment="1">
      <alignment horizontal="right" vertical="center"/>
    </xf>
    <xf numFmtId="49" fontId="13" fillId="6" borderId="2" xfId="1" applyNumberFormat="1" applyFont="1" applyFill="1" applyBorder="1" applyAlignment="1">
      <alignment horizontal="right" vertical="center"/>
    </xf>
    <xf numFmtId="0" fontId="13" fillId="6" borderId="2" xfId="1" applyFont="1" applyFill="1" applyBorder="1" applyAlignment="1">
      <alignment horizontal="left" vertical="center"/>
    </xf>
    <xf numFmtId="0" fontId="14" fillId="6" borderId="2" xfId="1" applyFont="1" applyFill="1" applyBorder="1" applyAlignment="1">
      <alignment horizontal="left" vertical="center"/>
    </xf>
    <xf numFmtId="0" fontId="13" fillId="0" borderId="0" xfId="1" applyFont="1"/>
    <xf numFmtId="1" fontId="3" fillId="7" borderId="5" xfId="7" applyNumberFormat="1" applyFont="1" applyAlignment="1" applyProtection="1">
      <alignment horizontal="center" vertical="center"/>
      <protection locked="0"/>
    </xf>
    <xf numFmtId="0" fontId="9" fillId="0" borderId="5" xfId="1" applyFont="1" applyBorder="1"/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shrinkToFit="1"/>
      <protection locked="0"/>
    </xf>
    <xf numFmtId="0" fontId="3" fillId="0" borderId="0" xfId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3" fillId="0" borderId="0" xfId="1" applyProtection="1">
      <protection locked="0"/>
    </xf>
    <xf numFmtId="0" fontId="12" fillId="0" borderId="0" xfId="1" applyFont="1" applyAlignment="1" applyProtection="1">
      <alignment shrinkToFit="1"/>
      <protection locked="0"/>
    </xf>
    <xf numFmtId="0" fontId="3" fillId="0" borderId="0" xfId="1" applyAlignment="1" applyProtection="1">
      <alignment horizontal="left" indent="1" shrinkToFit="1"/>
      <protection locked="0"/>
    </xf>
    <xf numFmtId="0" fontId="17" fillId="0" borderId="0" xfId="1" applyFont="1" applyAlignment="1" applyProtection="1">
      <alignment vertical="center"/>
      <protection locked="0"/>
    </xf>
    <xf numFmtId="167" fontId="3" fillId="0" borderId="0" xfId="1" applyNumberFormat="1" applyAlignment="1" applyProtection="1">
      <alignment horizontal="right"/>
      <protection locked="0"/>
    </xf>
    <xf numFmtId="165" fontId="3" fillId="8" borderId="5" xfId="7" applyNumberFormat="1" applyFont="1" applyFill="1" applyAlignment="1">
      <alignment horizontal="right"/>
    </xf>
    <xf numFmtId="0" fontId="18" fillId="0" borderId="0" xfId="1" applyFont="1" applyAlignment="1" applyProtection="1">
      <alignment vertical="center"/>
      <protection locked="0"/>
    </xf>
    <xf numFmtId="168" fontId="11" fillId="0" borderId="0" xfId="1" applyNumberFormat="1" applyFont="1" applyProtection="1">
      <protection locked="0"/>
    </xf>
    <xf numFmtId="0" fontId="3" fillId="0" borderId="0" xfId="1" applyAlignment="1" applyProtection="1">
      <alignment vertical="center" shrinkToFit="1"/>
      <protection locked="0"/>
    </xf>
    <xf numFmtId="0" fontId="3" fillId="0" borderId="0" xfId="1" applyAlignment="1" applyProtection="1">
      <alignment shrinkToFit="1"/>
      <protection locked="0"/>
    </xf>
    <xf numFmtId="167" fontId="3" fillId="0" borderId="0" xfId="1" applyNumberFormat="1" applyAlignment="1" applyProtection="1">
      <alignment vertical="center"/>
      <protection locked="0"/>
    </xf>
    <xf numFmtId="0" fontId="19" fillId="0" borderId="0" xfId="1" applyFont="1" applyAlignment="1" applyProtection="1">
      <alignment vertical="center"/>
      <protection locked="0"/>
    </xf>
    <xf numFmtId="167" fontId="3" fillId="0" borderId="0" xfId="1" applyNumberFormat="1" applyProtection="1">
      <protection locked="0"/>
    </xf>
    <xf numFmtId="165" fontId="3" fillId="9" borderId="5" xfId="7" applyNumberFormat="1" applyFont="1" applyFill="1" applyAlignment="1">
      <alignment horizontal="right"/>
    </xf>
    <xf numFmtId="0" fontId="20" fillId="0" borderId="0" xfId="1" applyFont="1" applyAlignment="1" applyProtection="1">
      <alignment horizontal="center" vertical="center" shrinkToFit="1"/>
      <protection locked="0"/>
    </xf>
    <xf numFmtId="0" fontId="11" fillId="0" borderId="0" xfId="1" applyFont="1" applyProtection="1">
      <protection locked="0"/>
    </xf>
    <xf numFmtId="0" fontId="3" fillId="0" borderId="0" xfId="1" applyAlignment="1" applyProtection="1">
      <alignment horizontal="left" vertical="center" indent="1" shrinkToFit="1"/>
      <protection locked="0"/>
    </xf>
    <xf numFmtId="165" fontId="3" fillId="0" borderId="0" xfId="1" applyNumberFormat="1" applyAlignment="1" applyProtection="1">
      <alignment vertical="center"/>
      <protection locked="0"/>
    </xf>
    <xf numFmtId="169" fontId="3" fillId="0" borderId="0" xfId="1" applyNumberFormat="1" applyAlignment="1" applyProtection="1">
      <alignment vertical="center"/>
      <protection locked="0"/>
    </xf>
    <xf numFmtId="0" fontId="7" fillId="0" borderId="0" xfId="1" applyFont="1" applyAlignment="1" applyProtection="1">
      <alignment shrinkToFit="1"/>
      <protection locked="0"/>
    </xf>
    <xf numFmtId="165" fontId="3" fillId="0" borderId="0" xfId="5" applyNumberFormat="1" applyAlignment="1">
      <alignment horizontal="right"/>
    </xf>
    <xf numFmtId="0" fontId="21" fillId="0" borderId="0" xfId="1" applyFont="1" applyAlignment="1" applyProtection="1">
      <alignment horizontal="center" vertical="center" shrinkToFit="1"/>
      <protection locked="0"/>
    </xf>
    <xf numFmtId="0" fontId="22" fillId="0" borderId="0" xfId="1" applyFont="1" applyAlignment="1" applyProtection="1">
      <alignment vertical="center"/>
      <protection locked="0"/>
    </xf>
    <xf numFmtId="166" fontId="3" fillId="0" borderId="5" xfId="6" applyNumberFormat="1" applyBorder="1" applyProtection="1">
      <protection locked="0"/>
    </xf>
    <xf numFmtId="171" fontId="7" fillId="0" borderId="0" xfId="8" applyFont="1" applyAlignment="1">
      <alignment horizontal="left" vertical="top"/>
    </xf>
    <xf numFmtId="171" fontId="3" fillId="0" borderId="0" xfId="8" applyAlignment="1">
      <alignment horizontal="left" vertical="top" wrapText="1" indent="1"/>
    </xf>
    <xf numFmtId="171" fontId="3" fillId="0" borderId="0" xfId="8" applyAlignment="1">
      <alignment horizontal="left" vertical="top" indent="1"/>
    </xf>
    <xf numFmtId="170" fontId="3" fillId="0" borderId="5" xfId="6" applyNumberFormat="1" applyBorder="1" applyProtection="1">
      <protection locked="0"/>
    </xf>
    <xf numFmtId="0" fontId="23" fillId="0" borderId="0" xfId="1" applyFont="1"/>
    <xf numFmtId="0" fontId="18" fillId="0" borderId="0" xfId="1" applyFont="1"/>
    <xf numFmtId="0" fontId="3" fillId="0" borderId="5" xfId="7" applyFont="1" applyFill="1" applyAlignment="1">
      <alignment horizontal="right"/>
    </xf>
    <xf numFmtId="0" fontId="18" fillId="0" borderId="0" xfId="1" applyFont="1" applyProtection="1">
      <protection locked="0"/>
    </xf>
    <xf numFmtId="172" fontId="3" fillId="0" borderId="5" xfId="7" applyNumberFormat="1" applyFont="1" applyFill="1" applyAlignment="1">
      <alignment horizontal="right" vertical="top"/>
    </xf>
    <xf numFmtId="174" fontId="3" fillId="0" borderId="5" xfId="7" applyNumberFormat="1" applyFont="1" applyFill="1" applyAlignment="1">
      <alignment horizontal="right"/>
    </xf>
    <xf numFmtId="0" fontId="16" fillId="0" borderId="0" xfId="1" applyFont="1" applyProtection="1">
      <protection locked="0"/>
    </xf>
    <xf numFmtId="0" fontId="7" fillId="10" borderId="6" xfId="1" applyFont="1" applyFill="1" applyBorder="1" applyProtection="1">
      <protection locked="0"/>
    </xf>
    <xf numFmtId="0" fontId="7" fillId="10" borderId="7" xfId="1" applyFont="1" applyFill="1" applyBorder="1" applyProtection="1">
      <protection locked="0"/>
    </xf>
    <xf numFmtId="0" fontId="7" fillId="10" borderId="7" xfId="1" applyFont="1" applyFill="1" applyBorder="1" applyAlignment="1" applyProtection="1">
      <alignment shrinkToFit="1"/>
      <protection locked="0"/>
    </xf>
    <xf numFmtId="0" fontId="19" fillId="10" borderId="7" xfId="1" applyFont="1" applyFill="1" applyBorder="1" applyProtection="1">
      <protection locked="0"/>
    </xf>
    <xf numFmtId="0" fontId="3" fillId="0" borderId="0" xfId="5" applyAlignment="1">
      <alignment vertical="center"/>
    </xf>
    <xf numFmtId="10" fontId="7" fillId="0" borderId="0" xfId="1" applyNumberFormat="1" applyFont="1" applyAlignment="1">
      <alignment horizontal="left" vertical="center"/>
    </xf>
    <xf numFmtId="1" fontId="3" fillId="0" borderId="0" xfId="1" applyNumberFormat="1" applyAlignment="1">
      <alignment vertical="center"/>
    </xf>
    <xf numFmtId="0" fontId="3" fillId="0" borderId="0" xfId="1" applyAlignment="1">
      <alignment vertical="center"/>
    </xf>
    <xf numFmtId="10" fontId="7" fillId="0" borderId="0" xfId="1" applyNumberFormat="1" applyFont="1" applyAlignment="1">
      <alignment vertical="center"/>
    </xf>
    <xf numFmtId="0" fontId="11" fillId="0" borderId="0" xfId="1" applyFont="1"/>
    <xf numFmtId="0" fontId="12" fillId="0" borderId="0" xfId="1" applyFont="1"/>
    <xf numFmtId="0" fontId="28" fillId="0" borderId="0" xfId="1" applyFont="1"/>
    <xf numFmtId="0" fontId="12" fillId="0" borderId="0" xfId="1" applyFont="1" applyAlignment="1">
      <alignment shrinkToFit="1"/>
    </xf>
    <xf numFmtId="0" fontId="7" fillId="0" borderId="0" xfId="1" applyFont="1" applyAlignment="1">
      <alignment shrinkToFit="1"/>
    </xf>
    <xf numFmtId="167" fontId="12" fillId="0" borderId="0" xfId="1" applyNumberFormat="1" applyFont="1"/>
    <xf numFmtId="0" fontId="7" fillId="0" borderId="0" xfId="1" applyFont="1" applyAlignment="1" applyProtection="1">
      <alignment horizontal="left" indent="1" shrinkToFit="1"/>
      <protection locked="0"/>
    </xf>
    <xf numFmtId="165" fontId="7" fillId="0" borderId="8" xfId="5" applyNumberFormat="1" applyFont="1" applyBorder="1" applyAlignment="1">
      <alignment horizontal="right"/>
    </xf>
    <xf numFmtId="0" fontId="3" fillId="0" borderId="0" xfId="1" applyAlignment="1" applyProtection="1">
      <alignment horizontal="left" indent="2" shrinkToFit="1"/>
      <protection locked="0"/>
    </xf>
    <xf numFmtId="168" fontId="3" fillId="0" borderId="0" xfId="1" applyNumberFormat="1"/>
    <xf numFmtId="9" fontId="3" fillId="0" borderId="0" xfId="6" applyAlignment="1" applyProtection="1">
      <alignment horizontal="right"/>
      <protection locked="0"/>
    </xf>
    <xf numFmtId="168" fontId="3" fillId="0" borderId="0" xfId="6" applyNumberFormat="1"/>
    <xf numFmtId="9" fontId="3" fillId="0" borderId="0" xfId="6"/>
    <xf numFmtId="175" fontId="3" fillId="0" borderId="5" xfId="7" applyNumberFormat="1" applyFont="1" applyFill="1" applyAlignment="1" applyProtection="1">
      <alignment shrinkToFit="1"/>
      <protection locked="0"/>
    </xf>
    <xf numFmtId="165" fontId="3" fillId="0" borderId="5" xfId="7" applyNumberFormat="1" applyFont="1" applyFill="1" applyAlignment="1">
      <alignment horizontal="right"/>
    </xf>
    <xf numFmtId="168" fontId="18" fillId="0" borderId="0" xfId="1" applyNumberFormat="1" applyFont="1"/>
    <xf numFmtId="0" fontId="7" fillId="0" borderId="0" xfId="1" applyFont="1"/>
    <xf numFmtId="0" fontId="3" fillId="0" borderId="0" xfId="1" applyAlignment="1">
      <alignment shrinkToFit="1"/>
    </xf>
    <xf numFmtId="0" fontId="29" fillId="10" borderId="6" xfId="1" applyFont="1" applyFill="1" applyBorder="1"/>
    <xf numFmtId="0" fontId="29" fillId="10" borderId="7" xfId="1" applyFont="1" applyFill="1" applyBorder="1"/>
    <xf numFmtId="0" fontId="30" fillId="3" borderId="2" xfId="4" applyFont="1" applyFill="1" applyBorder="1" applyAlignment="1">
      <alignment horizontal="left" vertical="center"/>
    </xf>
    <xf numFmtId="1" fontId="27" fillId="0" borderId="2" xfId="4" applyNumberFormat="1" applyFont="1" applyBorder="1" applyAlignment="1">
      <alignment horizontal="center"/>
    </xf>
    <xf numFmtId="0" fontId="18" fillId="0" borderId="0" xfId="4" applyFont="1"/>
    <xf numFmtId="176" fontId="9" fillId="0" borderId="0" xfId="4" applyNumberFormat="1" applyFont="1" applyAlignment="1">
      <alignment horizontal="center"/>
    </xf>
    <xf numFmtId="0" fontId="7" fillId="0" borderId="0" xfId="4" applyFont="1" applyAlignment="1">
      <alignment vertical="center"/>
    </xf>
    <xf numFmtId="166" fontId="3" fillId="5" borderId="3" xfId="4" applyNumberFormat="1" applyFont="1" applyFill="1" applyBorder="1" applyAlignment="1">
      <alignment horizontal="right" vertical="center"/>
    </xf>
    <xf numFmtId="49" fontId="13" fillId="6" borderId="4" xfId="4" applyNumberFormat="1" applyFont="1" applyFill="1" applyBorder="1" applyAlignment="1">
      <alignment horizontal="right" vertical="center"/>
    </xf>
    <xf numFmtId="49" fontId="13" fillId="6" borderId="2" xfId="4" applyNumberFormat="1" applyFont="1" applyFill="1" applyBorder="1" applyAlignment="1">
      <alignment horizontal="right" vertical="center"/>
    </xf>
    <xf numFmtId="0" fontId="13" fillId="6" borderId="2" xfId="4" applyFont="1" applyFill="1" applyBorder="1" applyAlignment="1">
      <alignment horizontal="left" vertical="center"/>
    </xf>
    <xf numFmtId="0" fontId="14" fillId="6" borderId="2" xfId="4" applyFont="1" applyFill="1" applyBorder="1" applyAlignment="1">
      <alignment horizontal="left" vertical="center"/>
    </xf>
    <xf numFmtId="0" fontId="29" fillId="10" borderId="6" xfId="4" applyFont="1" applyFill="1" applyBorder="1"/>
    <xf numFmtId="0" fontId="29" fillId="10" borderId="7" xfId="4" applyFont="1" applyFill="1" applyBorder="1"/>
    <xf numFmtId="0" fontId="24" fillId="3" borderId="2" xfId="1" applyFont="1" applyFill="1" applyBorder="1" applyAlignment="1">
      <alignment vertical="center"/>
    </xf>
    <xf numFmtId="49" fontId="31" fillId="3" borderId="2" xfId="1" applyNumberFormat="1" applyFont="1" applyFill="1" applyBorder="1"/>
    <xf numFmtId="0" fontId="24" fillId="3" borderId="2" xfId="1" applyFont="1" applyFill="1" applyBorder="1" applyAlignment="1">
      <alignment horizontal="right" vertical="center"/>
    </xf>
    <xf numFmtId="0" fontId="24" fillId="3" borderId="0" xfId="1" applyFont="1" applyFill="1" applyAlignment="1">
      <alignment horizontal="right" vertical="center"/>
    </xf>
    <xf numFmtId="0" fontId="11" fillId="3" borderId="0" xfId="1" applyFont="1" applyFill="1" applyAlignment="1">
      <alignment vertical="center"/>
    </xf>
    <xf numFmtId="1" fontId="32" fillId="3" borderId="2" xfId="1" applyNumberFormat="1" applyFont="1" applyFill="1" applyBorder="1" applyAlignment="1">
      <alignment horizontal="left" vertical="center"/>
    </xf>
    <xf numFmtId="0" fontId="3" fillId="0" borderId="0" xfId="1" applyAlignment="1">
      <alignment vertical="center" shrinkToFit="1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horizontal="left" vertical="center"/>
    </xf>
    <xf numFmtId="1" fontId="3" fillId="0" borderId="0" xfId="9" applyNumberFormat="1" applyAlignment="1">
      <alignment vertical="center"/>
    </xf>
    <xf numFmtId="1" fontId="3" fillId="0" borderId="0" xfId="9" applyNumberFormat="1" applyAlignment="1">
      <alignment horizontal="left" vertical="center"/>
    </xf>
    <xf numFmtId="1" fontId="14" fillId="0" borderId="0" xfId="1" applyNumberFormat="1" applyFont="1" applyAlignment="1">
      <alignment horizontal="left" vertical="center"/>
    </xf>
    <xf numFmtId="1" fontId="16" fillId="0" borderId="0" xfId="1" applyNumberFormat="1" applyFont="1" applyAlignment="1" applyProtection="1">
      <alignment horizontal="left" vertical="center"/>
      <protection hidden="1"/>
    </xf>
    <xf numFmtId="1" fontId="7" fillId="0" borderId="0" xfId="1" applyNumberFormat="1" applyFont="1" applyAlignment="1" applyProtection="1">
      <alignment horizontal="right" vertical="center"/>
      <protection hidden="1"/>
    </xf>
    <xf numFmtId="0" fontId="7" fillId="0" borderId="0" xfId="1" applyFont="1" applyAlignment="1">
      <alignment horizontal="left" vertical="center"/>
    </xf>
    <xf numFmtId="1" fontId="16" fillId="0" borderId="0" xfId="1" applyNumberFormat="1" applyFont="1" applyAlignment="1" applyProtection="1">
      <alignment horizontal="right" vertical="center"/>
      <protection hidden="1"/>
    </xf>
    <xf numFmtId="1" fontId="3" fillId="0" borderId="0" xfId="1" applyNumberFormat="1" applyAlignment="1" applyProtection="1">
      <alignment horizontal="right" vertical="center"/>
      <protection hidden="1"/>
    </xf>
    <xf numFmtId="176" fontId="29" fillId="0" borderId="0" xfId="4" applyNumberFormat="1" applyFont="1" applyAlignment="1">
      <alignment horizontal="center"/>
    </xf>
    <xf numFmtId="1" fontId="16" fillId="0" borderId="0" xfId="9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Alignment="1">
      <alignment horizontal="right" vertical="center"/>
    </xf>
    <xf numFmtId="0" fontId="3" fillId="0" borderId="0" xfId="1" applyAlignment="1">
      <alignment horizontal="left" vertical="center" indent="1"/>
    </xf>
    <xf numFmtId="177" fontId="3" fillId="8" borderId="3" xfId="1" applyNumberFormat="1" applyFill="1" applyBorder="1" applyAlignment="1">
      <alignment horizontal="right" vertical="center"/>
    </xf>
    <xf numFmtId="177" fontId="3" fillId="0" borderId="8" xfId="1" applyNumberFormat="1" applyBorder="1" applyAlignment="1">
      <alignment horizontal="right" vertical="center"/>
    </xf>
    <xf numFmtId="10" fontId="3" fillId="0" borderId="0" xfId="9" applyNumberFormat="1" applyAlignment="1">
      <alignment vertical="center"/>
    </xf>
    <xf numFmtId="10" fontId="3" fillId="0" borderId="0" xfId="9" applyNumberFormat="1" applyAlignment="1">
      <alignment horizontal="left" vertical="center"/>
    </xf>
    <xf numFmtId="10" fontId="16" fillId="0" borderId="0" xfId="9" applyNumberFormat="1" applyFont="1" applyAlignment="1">
      <alignment vertical="center"/>
    </xf>
    <xf numFmtId="177" fontId="3" fillId="0" borderId="0" xfId="1" applyNumberFormat="1" applyAlignment="1">
      <alignment horizontal="right"/>
    </xf>
    <xf numFmtId="0" fontId="16" fillId="0" borderId="0" xfId="1" applyFont="1"/>
    <xf numFmtId="177" fontId="3" fillId="12" borderId="3" xfId="1" applyNumberFormat="1" applyFill="1" applyBorder="1" applyAlignment="1">
      <alignment horizontal="right"/>
    </xf>
    <xf numFmtId="0" fontId="3" fillId="0" borderId="0" xfId="4" applyFont="1" applyAlignment="1">
      <alignment horizontal="left" vertical="center" indent="1"/>
    </xf>
    <xf numFmtId="178" fontId="3" fillId="8" borderId="3" xfId="1" applyNumberFormat="1" applyFill="1" applyBorder="1" applyAlignment="1" applyProtection="1">
      <alignment horizontal="right" vertical="center"/>
      <protection locked="0"/>
    </xf>
    <xf numFmtId="178" fontId="3" fillId="0" borderId="0" xfId="1" applyNumberFormat="1" applyAlignment="1">
      <alignment horizontal="left" vertical="center"/>
    </xf>
    <xf numFmtId="178" fontId="3" fillId="0" borderId="0" xfId="1" applyNumberFormat="1" applyAlignment="1">
      <alignment horizontal="right" vertical="center"/>
    </xf>
    <xf numFmtId="1" fontId="7" fillId="0" borderId="0" xfId="9" applyNumberFormat="1" applyFont="1" applyAlignment="1">
      <alignment vertical="center"/>
    </xf>
    <xf numFmtId="10" fontId="3" fillId="0" borderId="0" xfId="1" applyNumberFormat="1" applyAlignment="1">
      <alignment shrinkToFit="1"/>
    </xf>
    <xf numFmtId="10" fontId="3" fillId="0" borderId="0" xfId="1" applyNumberFormat="1" applyAlignment="1">
      <alignment horizontal="left" vertical="center"/>
    </xf>
    <xf numFmtId="0" fontId="7" fillId="13" borderId="7" xfId="1" applyFont="1" applyFill="1" applyBorder="1"/>
    <xf numFmtId="0" fontId="16" fillId="13" borderId="7" xfId="1" applyFont="1" applyFill="1" applyBorder="1"/>
    <xf numFmtId="0" fontId="3" fillId="0" borderId="0" xfId="1" applyAlignment="1">
      <alignment horizontal="left" vertical="center" shrinkToFit="1"/>
    </xf>
    <xf numFmtId="178" fontId="3" fillId="8" borderId="3" xfId="9" applyNumberFormat="1" applyFill="1" applyBorder="1"/>
    <xf numFmtId="178" fontId="3" fillId="0" borderId="0" xfId="9" applyNumberFormat="1"/>
    <xf numFmtId="178" fontId="3" fillId="0" borderId="0" xfId="9" applyNumberFormat="1" applyAlignment="1">
      <alignment horizontal="center"/>
    </xf>
    <xf numFmtId="0" fontId="3" fillId="13" borderId="7" xfId="1" applyFill="1" applyBorder="1"/>
    <xf numFmtId="1" fontId="18" fillId="0" borderId="0" xfId="6" applyNumberFormat="1" applyFont="1" applyAlignment="1" applyProtection="1">
      <alignment vertical="center"/>
      <protection locked="0"/>
    </xf>
    <xf numFmtId="0" fontId="29" fillId="0" borderId="0" xfId="0" applyFont="1"/>
    <xf numFmtId="0" fontId="3" fillId="0" borderId="0" xfId="0" applyFont="1" applyAlignment="1">
      <alignment horizontal="left" vertical="center" indent="1"/>
    </xf>
    <xf numFmtId="165" fontId="3" fillId="0" borderId="0" xfId="7" applyNumberFormat="1" applyFont="1" applyFill="1" applyBorder="1" applyAlignment="1">
      <alignment horizontal="right"/>
    </xf>
    <xf numFmtId="165" fontId="7" fillId="0" borderId="0" xfId="7" applyNumberFormat="1" applyFont="1" applyFill="1" applyBorder="1" applyAlignment="1">
      <alignment horizontal="right"/>
    </xf>
    <xf numFmtId="1" fontId="3" fillId="0" borderId="0" xfId="6" applyNumberFormat="1" applyAlignment="1">
      <alignment horizontal="left" vertical="center" indent="1"/>
    </xf>
    <xf numFmtId="165" fontId="7" fillId="0" borderId="0" xfId="1" applyNumberFormat="1" applyFont="1" applyAlignment="1" applyProtection="1">
      <alignment vertical="center"/>
      <protection locked="0"/>
    </xf>
    <xf numFmtId="0" fontId="7" fillId="0" borderId="0" xfId="1" applyFont="1" applyAlignment="1">
      <alignment horizontal="left" indent="1" shrinkToFit="1"/>
    </xf>
    <xf numFmtId="175" fontId="3" fillId="8" borderId="5" xfId="7" applyNumberFormat="1" applyFont="1" applyFill="1" applyAlignment="1" applyProtection="1">
      <alignment vertical="center"/>
      <protection locked="0"/>
    </xf>
    <xf numFmtId="0" fontId="54" fillId="0" borderId="0" xfId="1" applyFont="1" applyAlignment="1" applyProtection="1">
      <alignment vertical="center"/>
      <protection locked="0"/>
    </xf>
    <xf numFmtId="0" fontId="55" fillId="6" borderId="2" xfId="1" applyFont="1" applyFill="1" applyBorder="1" applyAlignment="1">
      <alignment horizontal="left" vertical="center"/>
    </xf>
    <xf numFmtId="0" fontId="54" fillId="0" borderId="0" xfId="1" applyFont="1"/>
    <xf numFmtId="2" fontId="3" fillId="0" borderId="5" xfId="7" applyNumberFormat="1" applyFont="1" applyFill="1" applyAlignment="1" applyProtection="1">
      <alignment shrinkToFit="1"/>
      <protection locked="0"/>
    </xf>
    <xf numFmtId="164" fontId="3" fillId="0" borderId="5" xfId="71" applyFont="1" applyBorder="1" applyAlignment="1" applyProtection="1">
      <alignment shrinkToFit="1"/>
      <protection locked="0"/>
    </xf>
    <xf numFmtId="9" fontId="3" fillId="0" borderId="5" xfId="72" applyFont="1" applyBorder="1" applyAlignment="1">
      <alignment horizontal="right"/>
    </xf>
    <xf numFmtId="0" fontId="3" fillId="27" borderId="5" xfId="7" applyFont="1" applyFill="1" applyProtection="1">
      <protection locked="0"/>
    </xf>
    <xf numFmtId="173" fontId="3" fillId="7" borderId="20" xfId="6" applyNumberFormat="1" applyFill="1" applyBorder="1" applyProtection="1">
      <protection locked="0"/>
    </xf>
    <xf numFmtId="49" fontId="13" fillId="0" borderId="4" xfId="1" applyNumberFormat="1" applyFont="1" applyBorder="1" applyAlignment="1">
      <alignment horizontal="right" vertical="center"/>
    </xf>
    <xf numFmtId="49" fontId="13" fillId="0" borderId="2" xfId="1" applyNumberFormat="1" applyFont="1" applyBorder="1" applyAlignment="1">
      <alignment horizontal="right" vertical="center"/>
    </xf>
    <xf numFmtId="0" fontId="13" fillId="0" borderId="2" xfId="1" applyFont="1" applyBorder="1" applyAlignment="1">
      <alignment horizontal="left" vertical="center"/>
    </xf>
    <xf numFmtId="0" fontId="14" fillId="0" borderId="2" xfId="1" applyFont="1" applyBorder="1" applyAlignment="1">
      <alignment horizontal="left" vertical="center"/>
    </xf>
    <xf numFmtId="0" fontId="55" fillId="0" borderId="2" xfId="1" applyFont="1" applyBorder="1" applyAlignment="1">
      <alignment horizontal="left" vertical="center"/>
    </xf>
    <xf numFmtId="49" fontId="13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55" fillId="0" borderId="0" xfId="1" applyFont="1" applyAlignment="1">
      <alignment horizontal="left" vertical="center"/>
    </xf>
    <xf numFmtId="179" fontId="3" fillId="28" borderId="5" xfId="7" applyNumberFormat="1" applyFont="1" applyFill="1" applyProtection="1">
      <protection locked="0"/>
    </xf>
    <xf numFmtId="0" fontId="54" fillId="0" borderId="0" xfId="1" applyFont="1" applyProtection="1">
      <protection locked="0"/>
    </xf>
    <xf numFmtId="167" fontId="54" fillId="0" borderId="0" xfId="1" applyNumberFormat="1" applyFont="1" applyAlignment="1" applyProtection="1">
      <alignment vertical="center"/>
      <protection locked="0"/>
    </xf>
    <xf numFmtId="180" fontId="9" fillId="8" borderId="5" xfId="7" applyNumberFormat="1" applyFont="1" applyFill="1" applyProtection="1">
      <protection locked="0"/>
    </xf>
    <xf numFmtId="170" fontId="3" fillId="0" borderId="5" xfId="7" applyNumberFormat="1" applyFont="1" applyFill="1" applyAlignment="1" applyProtection="1">
      <alignment shrinkToFit="1"/>
      <protection locked="0"/>
    </xf>
    <xf numFmtId="0" fontId="4" fillId="3" borderId="2" xfId="1" applyFont="1" applyFill="1" applyBorder="1" applyAlignment="1">
      <alignment vertical="center"/>
    </xf>
    <xf numFmtId="0" fontId="13" fillId="6" borderId="2" xfId="1" applyFont="1" applyFill="1" applyBorder="1" applyAlignment="1">
      <alignment vertical="center"/>
    </xf>
    <xf numFmtId="171" fontId="3" fillId="0" borderId="0" xfId="8" applyAlignment="1">
      <alignment vertical="center"/>
    </xf>
    <xf numFmtId="0" fontId="3" fillId="0" borderId="0" xfId="0" applyFont="1" applyAlignment="1">
      <alignment shrinkToFit="1"/>
    </xf>
    <xf numFmtId="178" fontId="3" fillId="0" borderId="0" xfId="73" applyNumberForma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1" applyAlignment="1" applyProtection="1">
      <alignment wrapText="1" shrinkToFit="1"/>
      <protection locked="0"/>
    </xf>
    <xf numFmtId="180" fontId="9" fillId="0" borderId="5" xfId="7" applyNumberFormat="1" applyFont="1" applyFill="1" applyProtection="1">
      <protection locked="0"/>
    </xf>
    <xf numFmtId="0" fontId="3" fillId="11" borderId="0" xfId="1" applyFill="1" applyProtection="1">
      <protection locked="0"/>
    </xf>
    <xf numFmtId="0" fontId="11" fillId="11" borderId="0" xfId="1" applyFont="1" applyFill="1" applyProtection="1">
      <protection locked="0"/>
    </xf>
    <xf numFmtId="0" fontId="12" fillId="11" borderId="0" xfId="1" applyFont="1" applyFill="1" applyProtection="1">
      <protection locked="0"/>
    </xf>
    <xf numFmtId="0" fontId="12" fillId="11" borderId="0" xfId="1" applyFont="1" applyFill="1"/>
    <xf numFmtId="0" fontId="3" fillId="11" borderId="0" xfId="1" applyFill="1"/>
    <xf numFmtId="173" fontId="3" fillId="0" borderId="5" xfId="6" applyNumberFormat="1" applyBorder="1" applyProtection="1">
      <protection locked="0"/>
    </xf>
    <xf numFmtId="49" fontId="13" fillId="29" borderId="4" xfId="1" applyNumberFormat="1" applyFont="1" applyFill="1" applyBorder="1" applyAlignment="1">
      <alignment horizontal="right" vertical="center"/>
    </xf>
    <xf numFmtId="49" fontId="13" fillId="29" borderId="2" xfId="1" applyNumberFormat="1" applyFont="1" applyFill="1" applyBorder="1" applyAlignment="1">
      <alignment horizontal="right" vertical="center"/>
    </xf>
    <xf numFmtId="0" fontId="13" fillId="29" borderId="2" xfId="1" applyFont="1" applyFill="1" applyBorder="1" applyAlignment="1">
      <alignment horizontal="left" vertical="center"/>
    </xf>
    <xf numFmtId="0" fontId="13" fillId="29" borderId="0" xfId="1" applyFont="1" applyFill="1"/>
    <xf numFmtId="167" fontId="3" fillId="0" borderId="0" xfId="6" applyNumberFormat="1"/>
    <xf numFmtId="10" fontId="3" fillId="0" borderId="5" xfId="72" applyNumberFormat="1" applyFont="1" applyBorder="1" applyAlignment="1">
      <alignment horizontal="right"/>
    </xf>
    <xf numFmtId="10" fontId="3" fillId="0" borderId="5" xfId="72" applyNumberFormat="1" applyFont="1" applyBorder="1" applyAlignment="1" applyProtection="1">
      <alignment shrinkToFit="1"/>
      <protection locked="0"/>
    </xf>
    <xf numFmtId="0" fontId="3" fillId="11" borderId="0" xfId="1" applyFill="1" applyAlignment="1" applyProtection="1">
      <alignment shrinkToFit="1"/>
      <protection locked="0"/>
    </xf>
    <xf numFmtId="0" fontId="14" fillId="29" borderId="2" xfId="1" applyFont="1" applyFill="1" applyBorder="1" applyAlignment="1">
      <alignment horizontal="left" vertical="center"/>
    </xf>
    <xf numFmtId="172" fontId="3" fillId="0" borderId="5" xfId="7" applyNumberFormat="1" applyFont="1" applyFill="1" applyAlignment="1" applyProtection="1">
      <alignment shrinkToFit="1"/>
      <protection locked="0"/>
    </xf>
    <xf numFmtId="164" fontId="7" fillId="0" borderId="0" xfId="1" applyNumberFormat="1" applyFont="1" applyAlignment="1" applyProtection="1">
      <alignment vertical="center"/>
      <protection locked="0"/>
    </xf>
    <xf numFmtId="0" fontId="12" fillId="30" borderId="0" xfId="1" applyFont="1" applyFill="1"/>
    <xf numFmtId="0" fontId="12" fillId="30" borderId="0" xfId="1" applyFont="1" applyFill="1" applyProtection="1">
      <protection locked="0"/>
    </xf>
    <xf numFmtId="0" fontId="3" fillId="30" borderId="0" xfId="1" applyFill="1" applyProtection="1">
      <protection locked="0"/>
    </xf>
    <xf numFmtId="165" fontId="3" fillId="0" borderId="0" xfId="71" applyNumberFormat="1" applyFont="1" applyAlignment="1" applyProtection="1">
      <alignment horizontal="right" vertical="center"/>
      <protection locked="0"/>
    </xf>
    <xf numFmtId="165" fontId="3" fillId="0" borderId="0" xfId="7" applyNumberFormat="1" applyFont="1" applyFill="1" applyBorder="1" applyAlignment="1">
      <alignment horizontal="left"/>
    </xf>
    <xf numFmtId="173" fontId="56" fillId="0" borderId="0" xfId="0" applyNumberFormat="1" applyFont="1"/>
    <xf numFmtId="0" fontId="7" fillId="11" borderId="0" xfId="1" applyFont="1" applyFill="1" applyAlignment="1" applyProtection="1">
      <alignment shrinkToFit="1"/>
      <protection locked="0"/>
    </xf>
    <xf numFmtId="0" fontId="54" fillId="11" borderId="0" xfId="1" applyFont="1" applyFill="1"/>
    <xf numFmtId="0" fontId="12" fillId="11" borderId="0" xfId="1" applyFont="1" applyFill="1" applyAlignment="1">
      <alignment shrinkToFit="1"/>
    </xf>
    <xf numFmtId="0" fontId="28" fillId="11" borderId="0" xfId="1" applyFont="1" applyFill="1"/>
    <xf numFmtId="0" fontId="3" fillId="11" borderId="0" xfId="1" applyFill="1" applyAlignment="1" applyProtection="1">
      <alignment horizontal="left" indent="1" shrinkToFit="1"/>
      <protection locked="0"/>
    </xf>
    <xf numFmtId="0" fontId="17" fillId="11" borderId="0" xfId="1" applyFont="1" applyFill="1" applyAlignment="1" applyProtection="1">
      <alignment vertical="center"/>
      <protection locked="0"/>
    </xf>
    <xf numFmtId="165" fontId="3" fillId="11" borderId="0" xfId="7" applyNumberFormat="1" applyFont="1" applyFill="1" applyBorder="1" applyAlignment="1">
      <alignment horizontal="right"/>
    </xf>
    <xf numFmtId="0" fontId="3" fillId="11" borderId="0" xfId="0" applyFont="1" applyFill="1" applyAlignment="1">
      <alignment shrinkToFit="1"/>
    </xf>
    <xf numFmtId="165" fontId="3" fillId="11" borderId="5" xfId="7" applyNumberFormat="1" applyFont="1" applyFill="1" applyAlignment="1">
      <alignment horizontal="right"/>
    </xf>
    <xf numFmtId="165" fontId="3" fillId="11" borderId="0" xfId="5" applyNumberFormat="1" applyFill="1" applyAlignment="1">
      <alignment horizontal="right"/>
    </xf>
    <xf numFmtId="167" fontId="12" fillId="11" borderId="0" xfId="1" applyNumberFormat="1" applyFont="1" applyFill="1"/>
    <xf numFmtId="165" fontId="3" fillId="0" borderId="0" xfId="7" quotePrefix="1" applyNumberFormat="1" applyFont="1" applyFill="1" applyBorder="1" applyAlignment="1">
      <alignment horizontal="right"/>
    </xf>
    <xf numFmtId="165" fontId="3" fillId="0" borderId="5" xfId="7" quotePrefix="1" applyNumberFormat="1" applyFont="1" applyFill="1" applyAlignment="1">
      <alignment horizontal="right"/>
    </xf>
    <xf numFmtId="3" fontId="0" fillId="0" borderId="0" xfId="0" applyNumberFormat="1"/>
    <xf numFmtId="181" fontId="0" fillId="0" borderId="0" xfId="0" applyNumberFormat="1"/>
    <xf numFmtId="10" fontId="0" fillId="0" borderId="0" xfId="0" applyNumberFormat="1"/>
    <xf numFmtId="165" fontId="3" fillId="8" borderId="5" xfId="7" applyNumberFormat="1" applyFont="1" applyFill="1" applyAlignment="1" applyProtection="1">
      <alignment horizontal="right"/>
    </xf>
    <xf numFmtId="171" fontId="0" fillId="0" borderId="0" xfId="0" applyNumberFormat="1"/>
    <xf numFmtId="165" fontId="3" fillId="45" borderId="5" xfId="7" applyNumberFormat="1" applyFont="1" applyFill="1" applyAlignment="1">
      <alignment horizontal="right"/>
    </xf>
    <xf numFmtId="49" fontId="24" fillId="46" borderId="0" xfId="5" applyNumberFormat="1" applyFont="1" applyFill="1" applyAlignment="1">
      <alignment horizontal="right" vertical="center"/>
    </xf>
    <xf numFmtId="0" fontId="3" fillId="46" borderId="0" xfId="5" applyFill="1" applyAlignment="1">
      <alignment horizontal="left" vertical="center"/>
    </xf>
    <xf numFmtId="0" fontId="25" fillId="46" borderId="0" xfId="5" applyFont="1" applyFill="1" applyAlignment="1">
      <alignment horizontal="left" vertical="center"/>
    </xf>
    <xf numFmtId="49" fontId="24" fillId="46" borderId="0" xfId="5" applyNumberFormat="1" applyFont="1" applyFill="1" applyAlignment="1">
      <alignment shrinkToFit="1"/>
    </xf>
    <xf numFmtId="0" fontId="3" fillId="46" borderId="0" xfId="5" applyFill="1" applyAlignment="1">
      <alignment horizontal="left" vertical="center" shrinkToFit="1"/>
    </xf>
    <xf numFmtId="165" fontId="7" fillId="46" borderId="0" xfId="5" applyNumberFormat="1" applyFont="1" applyFill="1" applyAlignment="1">
      <alignment horizontal="right" vertical="center"/>
    </xf>
    <xf numFmtId="165" fontId="3" fillId="46" borderId="0" xfId="5" applyNumberFormat="1" applyFill="1" applyAlignment="1">
      <alignment horizontal="right" vertical="center"/>
    </xf>
    <xf numFmtId="0" fontId="3" fillId="46" borderId="0" xfId="1" applyFill="1"/>
    <xf numFmtId="0" fontId="11" fillId="46" borderId="0" xfId="5" applyFont="1" applyFill="1" applyAlignment="1">
      <alignment vertical="center"/>
    </xf>
    <xf numFmtId="49" fontId="26" fillId="46" borderId="0" xfId="5" applyNumberFormat="1" applyFont="1" applyFill="1" applyAlignment="1">
      <alignment horizontal="right" vertical="center"/>
    </xf>
    <xf numFmtId="1" fontId="27" fillId="46" borderId="0" xfId="5" applyNumberFormat="1" applyFont="1" applyFill="1" applyAlignment="1">
      <alignment horizontal="right" vertical="center"/>
    </xf>
    <xf numFmtId="1" fontId="25" fillId="46" borderId="0" xfId="5" applyNumberFormat="1" applyFont="1" applyFill="1" applyAlignment="1">
      <alignment horizontal="right" vertical="center"/>
    </xf>
    <xf numFmtId="1" fontId="24" fillId="46" borderId="0" xfId="5" applyNumberFormat="1" applyFont="1" applyFill="1" applyAlignment="1">
      <alignment shrinkToFit="1"/>
    </xf>
    <xf numFmtId="0" fontId="9" fillId="46" borderId="0" xfId="4" applyFont="1" applyFill="1"/>
    <xf numFmtId="1" fontId="3" fillId="46" borderId="0" xfId="1" applyNumberFormat="1" applyFill="1" applyAlignment="1" applyProtection="1">
      <alignment horizontal="right"/>
      <protection locked="0"/>
    </xf>
    <xf numFmtId="1" fontId="7" fillId="46" borderId="2" xfId="1" applyNumberFormat="1" applyFont="1" applyFill="1" applyBorder="1" applyAlignment="1">
      <alignment horizontal="center"/>
    </xf>
    <xf numFmtId="1" fontId="10" fillId="46" borderId="2" xfId="4" applyNumberFormat="1" applyFont="1" applyFill="1" applyBorder="1" applyAlignment="1">
      <alignment horizontal="center"/>
    </xf>
    <xf numFmtId="0" fontId="3" fillId="46" borderId="0" xfId="5" applyFill="1" applyAlignment="1">
      <alignment vertical="center"/>
    </xf>
    <xf numFmtId="49" fontId="24" fillId="46" borderId="0" xfId="1" applyNumberFormat="1" applyFont="1" applyFill="1" applyAlignment="1">
      <alignment horizontal="right" vertical="center"/>
    </xf>
    <xf numFmtId="1" fontId="3" fillId="46" borderId="0" xfId="1" applyNumberFormat="1" applyFill="1" applyAlignment="1">
      <alignment vertical="center"/>
    </xf>
    <xf numFmtId="1" fontId="21" fillId="46" borderId="0" xfId="1" applyNumberFormat="1" applyFont="1" applyFill="1" applyAlignment="1">
      <alignment horizontal="left" vertical="center"/>
    </xf>
    <xf numFmtId="1" fontId="24" fillId="46" borderId="0" xfId="1" applyNumberFormat="1" applyFont="1" applyFill="1" applyAlignment="1">
      <alignment shrinkToFit="1"/>
    </xf>
    <xf numFmtId="1" fontId="3" fillId="46" borderId="0" xfId="1" applyNumberFormat="1" applyFill="1" applyAlignment="1">
      <alignment horizontal="right" vertical="center"/>
    </xf>
    <xf numFmtId="0" fontId="11" fillId="46" borderId="0" xfId="1" applyFont="1" applyFill="1" applyAlignment="1">
      <alignment vertical="center"/>
    </xf>
    <xf numFmtId="49" fontId="24" fillId="46" borderId="0" xfId="1" applyNumberFormat="1" applyFont="1" applyFill="1" applyAlignment="1">
      <alignment vertical="center"/>
    </xf>
    <xf numFmtId="1" fontId="21" fillId="46" borderId="0" xfId="1" applyNumberFormat="1" applyFont="1" applyFill="1" applyAlignment="1">
      <alignment vertical="center"/>
    </xf>
    <xf numFmtId="1" fontId="3" fillId="46" borderId="0" xfId="6" applyNumberFormat="1" applyFill="1" applyAlignment="1" applyProtection="1">
      <alignment vertical="center"/>
      <protection locked="0"/>
    </xf>
    <xf numFmtId="166" fontId="3" fillId="46" borderId="3" xfId="1" applyNumberFormat="1" applyFill="1" applyBorder="1" applyAlignment="1">
      <alignment horizontal="right" vertical="center"/>
    </xf>
    <xf numFmtId="0" fontId="29" fillId="46" borderId="0" xfId="0" applyFont="1" applyFill="1"/>
    <xf numFmtId="0" fontId="11" fillId="46" borderId="0" xfId="1" applyFont="1" applyFill="1"/>
    <xf numFmtId="168" fontId="3" fillId="46" borderId="0" xfId="1" applyNumberFormat="1" applyFill="1"/>
    <xf numFmtId="0" fontId="62" fillId="0" borderId="0" xfId="130" applyAlignment="1">
      <alignment vertical="top"/>
    </xf>
    <xf numFmtId="0" fontId="62" fillId="47" borderId="0" xfId="130" applyFill="1" applyAlignment="1">
      <alignment vertical="top"/>
    </xf>
    <xf numFmtId="0" fontId="77" fillId="0" borderId="0" xfId="0" applyFont="1"/>
    <xf numFmtId="181" fontId="76" fillId="0" borderId="0" xfId="130" applyNumberFormat="1" applyFont="1" applyAlignment="1">
      <alignment vertical="top"/>
    </xf>
    <xf numFmtId="181" fontId="62" fillId="0" borderId="0" xfId="130" applyNumberFormat="1" applyAlignment="1">
      <alignment vertical="top"/>
    </xf>
    <xf numFmtId="181" fontId="0" fillId="11" borderId="0" xfId="0" applyNumberFormat="1" applyFill="1"/>
    <xf numFmtId="164" fontId="0" fillId="0" borderId="0" xfId="71" applyFont="1"/>
    <xf numFmtId="171" fontId="0" fillId="11" borderId="0" xfId="0" applyNumberFormat="1" applyFill="1"/>
  </cellXfs>
  <cellStyles count="135">
    <cellStyle name="%" xfId="10" xr:uid="{00000000-0005-0000-0000-000000000000}"/>
    <cellStyle name="]_x000d__x000a_Zoomed=1_x000d__x000a_Row=0_x000d__x000a_Column=0_x000d__x000a_Height=0_x000d__x000a_Width=0_x000d__x000a_FontName=FoxFont_x000d__x000a_FontStyle=0_x000d__x000a_FontSize=9_x000d__x000a_PrtFontName=FoxPrin" xfId="11" xr:uid="{00000000-0005-0000-0000-000001000000}"/>
    <cellStyle name="20% - Accent1 2" xfId="75" xr:uid="{00000000-0005-0000-0000-000002000000}"/>
    <cellStyle name="20% - Accent2 2" xfId="76" xr:uid="{00000000-0005-0000-0000-000003000000}"/>
    <cellStyle name="20% - Accent3 2" xfId="77" xr:uid="{00000000-0005-0000-0000-000004000000}"/>
    <cellStyle name="20% - Accent4 2" xfId="78" xr:uid="{00000000-0005-0000-0000-000005000000}"/>
    <cellStyle name="20% - Accent5 2" xfId="79" xr:uid="{00000000-0005-0000-0000-000006000000}"/>
    <cellStyle name="20% - Accent6 2" xfId="80" xr:uid="{00000000-0005-0000-0000-000007000000}"/>
    <cellStyle name="40% - Accent1 2" xfId="81" xr:uid="{00000000-0005-0000-0000-000008000000}"/>
    <cellStyle name="40% - Accent2 2" xfId="82" xr:uid="{00000000-0005-0000-0000-000009000000}"/>
    <cellStyle name="40% - Accent3 2" xfId="83" xr:uid="{00000000-0005-0000-0000-00000A000000}"/>
    <cellStyle name="40% - Accent4 2" xfId="84" xr:uid="{00000000-0005-0000-0000-00000B000000}"/>
    <cellStyle name="40% - Accent5 2" xfId="85" xr:uid="{00000000-0005-0000-0000-00000C000000}"/>
    <cellStyle name="40% - Accent6 2" xfId="86" xr:uid="{00000000-0005-0000-0000-00000D000000}"/>
    <cellStyle name="60% - Accent1 2" xfId="87" xr:uid="{00000000-0005-0000-0000-00000E000000}"/>
    <cellStyle name="60% - Accent2 2" xfId="88" xr:uid="{00000000-0005-0000-0000-00000F000000}"/>
    <cellStyle name="60% - Accent3 2" xfId="89" xr:uid="{00000000-0005-0000-0000-000010000000}"/>
    <cellStyle name="60% - Accent4 2" xfId="90" xr:uid="{00000000-0005-0000-0000-000011000000}"/>
    <cellStyle name="60% - Accent5 2" xfId="91" xr:uid="{00000000-0005-0000-0000-000012000000}"/>
    <cellStyle name="60% - Accent6 2" xfId="92" xr:uid="{00000000-0005-0000-0000-000013000000}"/>
    <cellStyle name="Accent1 2" xfId="93" xr:uid="{00000000-0005-0000-0000-000014000000}"/>
    <cellStyle name="Accent2 2" xfId="94" xr:uid="{00000000-0005-0000-0000-000015000000}"/>
    <cellStyle name="Accent3 2" xfId="95" xr:uid="{00000000-0005-0000-0000-000016000000}"/>
    <cellStyle name="Accent4 2" xfId="96" xr:uid="{00000000-0005-0000-0000-000017000000}"/>
    <cellStyle name="Accent5 2" xfId="97" xr:uid="{00000000-0005-0000-0000-000018000000}"/>
    <cellStyle name="Accent6 2" xfId="98" xr:uid="{00000000-0005-0000-0000-000019000000}"/>
    <cellStyle name="Att1" xfId="5" xr:uid="{00000000-0005-0000-0000-00001A000000}"/>
    <cellStyle name="Att1 2" xfId="99" xr:uid="{00000000-0005-0000-0000-00001B000000}"/>
    <cellStyle name="Att1 3" xfId="100" xr:uid="{00000000-0005-0000-0000-00001C000000}"/>
    <cellStyle name="Bad 2" xfId="101" xr:uid="{00000000-0005-0000-0000-00001D000000}"/>
    <cellStyle name="BM CheckSum" xfId="12" xr:uid="{00000000-0005-0000-0000-00001E000000}"/>
    <cellStyle name="BM Header Main" xfId="13" xr:uid="{00000000-0005-0000-0000-00001F000000}"/>
    <cellStyle name="BM Header Secondary" xfId="14" xr:uid="{00000000-0005-0000-0000-000020000000}"/>
    <cellStyle name="BM Heading 1" xfId="15" xr:uid="{00000000-0005-0000-0000-000021000000}"/>
    <cellStyle name="BM Heading 2" xfId="16" xr:uid="{00000000-0005-0000-0000-000022000000}"/>
    <cellStyle name="BM Heading 3" xfId="2" xr:uid="{00000000-0005-0000-0000-000023000000}"/>
    <cellStyle name="BM Input" xfId="7" xr:uid="{00000000-0005-0000-0000-000024000000}"/>
    <cellStyle name="BM Input External Link" xfId="17" xr:uid="{00000000-0005-0000-0000-000025000000}"/>
    <cellStyle name="BM Input Modeller" xfId="18" xr:uid="{00000000-0005-0000-0000-000026000000}"/>
    <cellStyle name="BM Label" xfId="19" xr:uid="{00000000-0005-0000-0000-000027000000}"/>
    <cellStyle name="BM Modellers Input" xfId="20" xr:uid="{00000000-0005-0000-0000-000028000000}"/>
    <cellStyle name="BM UF" xfId="21" xr:uid="{00000000-0005-0000-0000-000029000000}"/>
    <cellStyle name="BMNumber" xfId="22" xr:uid="{00000000-0005-0000-0000-00002A000000}"/>
    <cellStyle name="BMRangeName" xfId="23" xr:uid="{00000000-0005-0000-0000-00002B000000}"/>
    <cellStyle name="bold_text" xfId="24" xr:uid="{00000000-0005-0000-0000-00002C000000}"/>
    <cellStyle name="boldbluetxt_green" xfId="25" xr:uid="{00000000-0005-0000-0000-00002D000000}"/>
    <cellStyle name="box" xfId="26" xr:uid="{00000000-0005-0000-0000-00002E000000}"/>
    <cellStyle name="box 2" xfId="102" xr:uid="{00000000-0005-0000-0000-00002F000000}"/>
    <cellStyle name="box 3" xfId="103" xr:uid="{00000000-0005-0000-0000-000030000000}"/>
    <cellStyle name="Brand Align Left Text" xfId="27" xr:uid="{00000000-0005-0000-0000-000031000000}"/>
    <cellStyle name="Brand Default" xfId="28" xr:uid="{00000000-0005-0000-0000-000032000000}"/>
    <cellStyle name="Brand Percent" xfId="29" xr:uid="{00000000-0005-0000-0000-000033000000}"/>
    <cellStyle name="Brand Source" xfId="30" xr:uid="{00000000-0005-0000-0000-000034000000}"/>
    <cellStyle name="Brand Subtitle with Underline" xfId="31" xr:uid="{00000000-0005-0000-0000-000035000000}"/>
    <cellStyle name="Brand Subtitle without Underline" xfId="32" xr:uid="{00000000-0005-0000-0000-000036000000}"/>
    <cellStyle name="Brand Title" xfId="33" xr:uid="{00000000-0005-0000-0000-000037000000}"/>
    <cellStyle name="Calculation 2" xfId="104" xr:uid="{00000000-0005-0000-0000-000038000000}"/>
    <cellStyle name="Check Cell 2" xfId="105" xr:uid="{00000000-0005-0000-0000-000039000000}"/>
    <cellStyle name="Comma" xfId="71" builtinId="3"/>
    <cellStyle name="Comma 2" xfId="34" xr:uid="{00000000-0005-0000-0000-00003B000000}"/>
    <cellStyle name="Comma 3" xfId="35" xr:uid="{00000000-0005-0000-0000-00003C000000}"/>
    <cellStyle name="Comma 3 2" xfId="36" xr:uid="{00000000-0005-0000-0000-00003D000000}"/>
    <cellStyle name="Comma 3 2 2" xfId="106" xr:uid="{00000000-0005-0000-0000-00003E000000}"/>
    <cellStyle name="Comma 3 3" xfId="107" xr:uid="{00000000-0005-0000-0000-00003F000000}"/>
    <cellStyle name="Comma 4" xfId="108" xr:uid="{00000000-0005-0000-0000-000040000000}"/>
    <cellStyle name="Comma 5" xfId="37" xr:uid="{00000000-0005-0000-0000-000041000000}"/>
    <cellStyle name="Comma 6" xfId="109" xr:uid="{00000000-0005-0000-0000-000042000000}"/>
    <cellStyle name="Comma 7" xfId="110" xr:uid="{00000000-0005-0000-0000-000043000000}"/>
    <cellStyle name="Error" xfId="38" xr:uid="{00000000-0005-0000-0000-000044000000}"/>
    <cellStyle name="Explanatory Text 2" xfId="111" xr:uid="{00000000-0005-0000-0000-000045000000}"/>
    <cellStyle name="False" xfId="39" xr:uid="{00000000-0005-0000-0000-000046000000}"/>
    <cellStyle name="Fountain Col Header" xfId="40" xr:uid="{00000000-0005-0000-0000-000047000000}"/>
    <cellStyle name="Fountain Error" xfId="112" xr:uid="{00000000-0005-0000-0000-000048000000}"/>
    <cellStyle name="Fountain Input" xfId="41" xr:uid="{00000000-0005-0000-0000-000049000000}"/>
    <cellStyle name="Fountain Input 2" xfId="42" xr:uid="{00000000-0005-0000-0000-00004A000000}"/>
    <cellStyle name="Fountain Table Header" xfId="43" xr:uid="{00000000-0005-0000-0000-00004B000000}"/>
    <cellStyle name="Fountain Text" xfId="44" xr:uid="{00000000-0005-0000-0000-00004C000000}"/>
    <cellStyle name="Fountain Text 2" xfId="45" xr:uid="{00000000-0005-0000-0000-00004D000000}"/>
    <cellStyle name="Fountain Text 4" xfId="46" xr:uid="{00000000-0005-0000-0000-00004E000000}"/>
    <cellStyle name="Good 2" xfId="113" xr:uid="{00000000-0005-0000-0000-00004F000000}"/>
    <cellStyle name="Header" xfId="47" xr:uid="{00000000-0005-0000-0000-000050000000}"/>
    <cellStyle name="Header3rdlevel" xfId="48" xr:uid="{00000000-0005-0000-0000-000051000000}"/>
    <cellStyle name="Header3rdlevel 2" xfId="114" xr:uid="{00000000-0005-0000-0000-000052000000}"/>
    <cellStyle name="Header3rdlevel 3" xfId="115" xr:uid="{00000000-0005-0000-0000-000053000000}"/>
    <cellStyle name="Heading 1 2" xfId="116" xr:uid="{00000000-0005-0000-0000-000054000000}"/>
    <cellStyle name="Heading 2 2" xfId="117" xr:uid="{00000000-0005-0000-0000-000055000000}"/>
    <cellStyle name="Heading 3 2" xfId="118" xr:uid="{00000000-0005-0000-0000-000056000000}"/>
    <cellStyle name="Heading 4 2" xfId="119" xr:uid="{00000000-0005-0000-0000-000057000000}"/>
    <cellStyle name="Hyperlink 2" xfId="49" xr:uid="{00000000-0005-0000-0000-000058000000}"/>
    <cellStyle name="Hyperlink 3" xfId="120" xr:uid="{00000000-0005-0000-0000-000059000000}"/>
    <cellStyle name="In Development" xfId="50" xr:uid="{00000000-0005-0000-0000-00005A000000}"/>
    <cellStyle name="Input 2" xfId="121" xr:uid="{00000000-0005-0000-0000-00005B000000}"/>
    <cellStyle name="Linked Cell 2" xfId="122" xr:uid="{00000000-0005-0000-0000-00005C000000}"/>
    <cellStyle name="Neutral 2" xfId="123" xr:uid="{00000000-0005-0000-0000-00005D000000}"/>
    <cellStyle name="NJS" xfId="51" xr:uid="{00000000-0005-0000-0000-00005E000000}"/>
    <cellStyle name="No Error" xfId="52" xr:uid="{00000000-0005-0000-0000-00005F000000}"/>
    <cellStyle name="Normal" xfId="0" builtinId="0"/>
    <cellStyle name="Normal 10" xfId="131" xr:uid="{00000000-0005-0000-0000-000061000000}"/>
    <cellStyle name="Normal 2" xfId="53" xr:uid="{00000000-0005-0000-0000-000062000000}"/>
    <cellStyle name="Normal 2 2" xfId="54" xr:uid="{00000000-0005-0000-0000-000063000000}"/>
    <cellStyle name="Normal 2 3" xfId="55" xr:uid="{00000000-0005-0000-0000-000064000000}"/>
    <cellStyle name="Normal 2 4" xfId="130" xr:uid="{00000000-0005-0000-0000-000065000000}"/>
    <cellStyle name="Normal 3" xfId="56" xr:uid="{00000000-0005-0000-0000-000066000000}"/>
    <cellStyle name="Normal 3 2" xfId="57" xr:uid="{00000000-0005-0000-0000-000067000000}"/>
    <cellStyle name="Normal 3 3" xfId="132" xr:uid="{00000000-0005-0000-0000-000068000000}"/>
    <cellStyle name="Normal 4" xfId="58" xr:uid="{00000000-0005-0000-0000-000069000000}"/>
    <cellStyle name="Normal 4 2" xfId="1" xr:uid="{00000000-0005-0000-0000-00006A000000}"/>
    <cellStyle name="Normal 4 2 2" xfId="73" xr:uid="{00000000-0005-0000-0000-00006B000000}"/>
    <cellStyle name="Normal 4 3" xfId="134" xr:uid="{00000000-0005-0000-0000-00006C000000}"/>
    <cellStyle name="Normal 5" xfId="59" xr:uid="{00000000-0005-0000-0000-00006D000000}"/>
    <cellStyle name="Normal 5 2" xfId="60" xr:uid="{00000000-0005-0000-0000-00006E000000}"/>
    <cellStyle name="Normal 6" xfId="61" xr:uid="{00000000-0005-0000-0000-00006F000000}"/>
    <cellStyle name="Normal 7" xfId="62" xr:uid="{00000000-0005-0000-0000-000070000000}"/>
    <cellStyle name="Normal 8" xfId="8" xr:uid="{00000000-0005-0000-0000-000071000000}"/>
    <cellStyle name="Normal 9" xfId="4" xr:uid="{00000000-0005-0000-0000-000072000000}"/>
    <cellStyle name="Normal_Data_2" xfId="3" xr:uid="{00000000-0005-0000-0000-000073000000}"/>
    <cellStyle name="Note 2" xfId="63" xr:uid="{00000000-0005-0000-0000-000074000000}"/>
    <cellStyle name="Output 2" xfId="124" xr:uid="{00000000-0005-0000-0000-000075000000}"/>
    <cellStyle name="Percent" xfId="72" builtinId="5"/>
    <cellStyle name="Percent 2" xfId="6" xr:uid="{00000000-0005-0000-0000-000077000000}"/>
    <cellStyle name="Percent 2 2" xfId="9" xr:uid="{00000000-0005-0000-0000-000078000000}"/>
    <cellStyle name="Percent 3" xfId="64" xr:uid="{00000000-0005-0000-0000-000079000000}"/>
    <cellStyle name="Percent 4" xfId="125" xr:uid="{00000000-0005-0000-0000-00007A000000}"/>
    <cellStyle name="Percent 4 2" xfId="65" xr:uid="{00000000-0005-0000-0000-00007B000000}"/>
    <cellStyle name="Percent 5" xfId="126" xr:uid="{00000000-0005-0000-0000-00007C000000}"/>
    <cellStyle name="Style 1" xfId="66" xr:uid="{00000000-0005-0000-0000-00007D000000}"/>
    <cellStyle name="Title 2" xfId="127" xr:uid="{00000000-0005-0000-0000-00007E000000}"/>
    <cellStyle name="Total 2" xfId="128" xr:uid="{00000000-0005-0000-0000-00007F000000}"/>
    <cellStyle name="True" xfId="67" xr:uid="{00000000-0005-0000-0000-000080000000}"/>
    <cellStyle name="True 2" xfId="74" xr:uid="{00000000-0005-0000-0000-000081000000}"/>
    <cellStyle name="Unique Formula" xfId="68" xr:uid="{00000000-0005-0000-0000-000082000000}"/>
    <cellStyle name="Validation error" xfId="133" xr:uid="{00000000-0005-0000-0000-000083000000}"/>
    <cellStyle name="Warning Text 2" xfId="129" xr:uid="{00000000-0005-0000-0000-000084000000}"/>
    <cellStyle name="white_text_on_blue" xfId="69" xr:uid="{00000000-0005-0000-0000-000085000000}"/>
    <cellStyle name="year_formats_pink" xfId="70" xr:uid="{00000000-0005-0000-0000-000086000000}"/>
  </cellStyles>
  <dxfs count="3"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CB/Draft%20Business%20Plan%202003/Part%20C/DBP03%20-%20new%20CB%20comparison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bble/CCB/Draft%20Business%20Plan%202003/Part%20C/DBP03%20-%20new%20CB%20comparison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 Cost Base"/>
      <sheetName val="98 Cost Base"/>
      <sheetName val="BP99"/>
      <sheetName val="C3I(new)"/>
      <sheetName val="C3J(new)"/>
    </sheetNames>
    <sheetDataSet>
      <sheetData sheetId="0">
        <row r="5">
          <cell r="B5" t="str">
            <v>ANG</v>
          </cell>
          <cell r="C5" t="str">
            <v>HPL</v>
          </cell>
          <cell r="D5" t="str">
            <v>ANH</v>
          </cell>
          <cell r="E5" t="str">
            <v>WSH</v>
          </cell>
          <cell r="F5" t="str">
            <v>NWT</v>
          </cell>
          <cell r="G5" t="str">
            <v>NBN</v>
          </cell>
          <cell r="H5" t="str">
            <v>NEW</v>
          </cell>
          <cell r="I5" t="str">
            <v>NNE</v>
          </cell>
          <cell r="J5" t="str">
            <v>ESK</v>
          </cell>
          <cell r="K5" t="str">
            <v>NES</v>
          </cell>
          <cell r="L5" t="str">
            <v>SVT</v>
          </cell>
          <cell r="M5" t="str">
            <v>SWT</v>
          </cell>
          <cell r="N5" t="str">
            <v>SRN</v>
          </cell>
          <cell r="O5" t="str">
            <v>TMS</v>
          </cell>
          <cell r="P5" t="str">
            <v>WSX</v>
          </cell>
          <cell r="Q5" t="str">
            <v>YKS</v>
          </cell>
          <cell r="R5" t="str">
            <v>YRK</v>
          </cell>
          <cell r="S5" t="str">
            <v>YKY</v>
          </cell>
          <cell r="T5" t="str">
            <v>BWH</v>
          </cell>
          <cell r="U5" t="str">
            <v>BRL</v>
          </cell>
          <cell r="V5" t="str">
            <v>CAM</v>
          </cell>
          <cell r="W5" t="str">
            <v>CHR</v>
          </cell>
          <cell r="X5" t="str">
            <v>WRX</v>
          </cell>
          <cell r="Y5" t="str">
            <v>DVW</v>
          </cell>
          <cell r="Z5" t="str">
            <v>FLK</v>
          </cell>
          <cell r="AA5" t="str">
            <v>MKT</v>
          </cell>
          <cell r="AB5" t="str">
            <v>PRT</v>
          </cell>
          <cell r="AC5" t="str">
            <v>MSN</v>
          </cell>
          <cell r="AD5" t="str">
            <v>SEW</v>
          </cell>
          <cell r="AE5" t="str">
            <v>MSE</v>
          </cell>
          <cell r="AF5" t="str">
            <v>SST</v>
          </cell>
          <cell r="AG5" t="str">
            <v>SUT</v>
          </cell>
          <cell r="AH5" t="str">
            <v>ESY</v>
          </cell>
          <cell r="AI5" t="str">
            <v>SES</v>
          </cell>
          <cell r="AJ5" t="str">
            <v>THD</v>
          </cell>
          <cell r="AK5" t="str">
            <v>TVW</v>
          </cell>
          <cell r="AL5" t="str">
            <v>NSY</v>
          </cell>
          <cell r="AM5" t="str">
            <v>TVN</v>
          </cell>
        </row>
        <row r="6">
          <cell r="B6">
            <v>24</v>
          </cell>
          <cell r="C6">
            <v>36</v>
          </cell>
          <cell r="E6">
            <v>0</v>
          </cell>
          <cell r="F6">
            <v>41.17</v>
          </cell>
          <cell r="G6">
            <v>25.38</v>
          </cell>
          <cell r="H6">
            <v>51.26</v>
          </cell>
          <cell r="I6">
            <v>25.38</v>
          </cell>
          <cell r="J6">
            <v>44</v>
          </cell>
          <cell r="L6">
            <v>34.700000000000003</v>
          </cell>
          <cell r="M6">
            <v>49</v>
          </cell>
          <cell r="N6">
            <v>39</v>
          </cell>
          <cell r="O6">
            <v>48</v>
          </cell>
          <cell r="P6">
            <v>33</v>
          </cell>
          <cell r="Q6">
            <v>24</v>
          </cell>
          <cell r="R6">
            <v>44</v>
          </cell>
          <cell r="T6">
            <v>32.700000000000003</v>
          </cell>
          <cell r="U6">
            <v>26</v>
          </cell>
          <cell r="V6">
            <v>33.700000000000003</v>
          </cell>
          <cell r="W6">
            <v>38.29</v>
          </cell>
          <cell r="X6">
            <v>29</v>
          </cell>
          <cell r="Y6">
            <v>29</v>
          </cell>
          <cell r="Z6">
            <v>44</v>
          </cell>
          <cell r="AA6">
            <v>41</v>
          </cell>
          <cell r="AB6">
            <v>29.84</v>
          </cell>
          <cell r="AC6">
            <v>43</v>
          </cell>
          <cell r="AD6">
            <v>36</v>
          </cell>
          <cell r="AE6">
            <v>39.5</v>
          </cell>
          <cell r="AF6">
            <v>40.520000000000003</v>
          </cell>
          <cell r="AG6">
            <v>44.17</v>
          </cell>
          <cell r="AH6">
            <v>28.31</v>
          </cell>
          <cell r="AI6">
            <v>28.31</v>
          </cell>
          <cell r="AJ6">
            <v>44</v>
          </cell>
          <cell r="AK6">
            <v>44</v>
          </cell>
          <cell r="AL6">
            <v>44</v>
          </cell>
        </row>
        <row r="7">
          <cell r="B7">
            <v>32</v>
          </cell>
          <cell r="C7">
            <v>58</v>
          </cell>
          <cell r="E7">
            <v>0</v>
          </cell>
          <cell r="F7">
            <v>0</v>
          </cell>
          <cell r="G7">
            <v>47.16</v>
          </cell>
          <cell r="H7">
            <v>80.83</v>
          </cell>
          <cell r="I7">
            <v>47.16</v>
          </cell>
          <cell r="J7">
            <v>84</v>
          </cell>
          <cell r="L7">
            <v>62.3</v>
          </cell>
          <cell r="M7">
            <v>82</v>
          </cell>
          <cell r="N7">
            <v>57</v>
          </cell>
          <cell r="O7">
            <v>89</v>
          </cell>
          <cell r="P7">
            <v>56</v>
          </cell>
          <cell r="Q7">
            <v>38</v>
          </cell>
          <cell r="R7">
            <v>63</v>
          </cell>
          <cell r="T7">
            <v>45.2</v>
          </cell>
          <cell r="U7">
            <v>51</v>
          </cell>
          <cell r="V7">
            <v>54.5</v>
          </cell>
          <cell r="W7">
            <v>62.45</v>
          </cell>
          <cell r="X7">
            <v>69</v>
          </cell>
          <cell r="Y7">
            <v>69</v>
          </cell>
          <cell r="Z7">
            <v>61</v>
          </cell>
          <cell r="AA7">
            <v>82</v>
          </cell>
          <cell r="AB7">
            <v>47.84</v>
          </cell>
          <cell r="AC7">
            <v>57</v>
          </cell>
          <cell r="AD7">
            <v>63</v>
          </cell>
          <cell r="AE7">
            <v>60</v>
          </cell>
          <cell r="AF7">
            <v>75.38</v>
          </cell>
          <cell r="AG7">
            <v>0</v>
          </cell>
          <cell r="AH7">
            <v>48.38</v>
          </cell>
          <cell r="AI7">
            <v>48.38</v>
          </cell>
          <cell r="AJ7">
            <v>61</v>
          </cell>
          <cell r="AK7">
            <v>61</v>
          </cell>
          <cell r="AL7">
            <v>61</v>
          </cell>
        </row>
        <row r="8">
          <cell r="B8">
            <v>80</v>
          </cell>
          <cell r="C8">
            <v>108</v>
          </cell>
          <cell r="E8">
            <v>0</v>
          </cell>
          <cell r="F8">
            <v>145.72</v>
          </cell>
          <cell r="G8">
            <v>68.95</v>
          </cell>
          <cell r="H8">
            <v>176.42</v>
          </cell>
          <cell r="I8">
            <v>68.95</v>
          </cell>
          <cell r="J8">
            <v>108</v>
          </cell>
          <cell r="L8">
            <v>129.4</v>
          </cell>
          <cell r="M8">
            <v>121</v>
          </cell>
          <cell r="N8">
            <v>122</v>
          </cell>
          <cell r="O8">
            <v>133</v>
          </cell>
          <cell r="P8">
            <v>91</v>
          </cell>
          <cell r="Q8">
            <v>67</v>
          </cell>
          <cell r="R8">
            <v>166</v>
          </cell>
          <cell r="T8">
            <v>86.75</v>
          </cell>
          <cell r="U8">
            <v>106</v>
          </cell>
          <cell r="V8">
            <v>83.1</v>
          </cell>
          <cell r="W8">
            <v>134.47999999999999</v>
          </cell>
          <cell r="X8">
            <v>75</v>
          </cell>
          <cell r="Y8">
            <v>75</v>
          </cell>
          <cell r="Z8">
            <v>91</v>
          </cell>
          <cell r="AA8">
            <v>119</v>
          </cell>
          <cell r="AB8">
            <v>121.57</v>
          </cell>
          <cell r="AC8">
            <v>0</v>
          </cell>
          <cell r="AD8">
            <v>0</v>
          </cell>
          <cell r="AE8">
            <v>0</v>
          </cell>
          <cell r="AF8">
            <v>114.28</v>
          </cell>
          <cell r="AG8">
            <v>0</v>
          </cell>
          <cell r="AH8">
            <v>58.6</v>
          </cell>
          <cell r="AI8">
            <v>58.6</v>
          </cell>
          <cell r="AJ8">
            <v>91</v>
          </cell>
          <cell r="AK8">
            <v>91</v>
          </cell>
          <cell r="AL8">
            <v>91</v>
          </cell>
        </row>
        <row r="9">
          <cell r="B9">
            <v>57</v>
          </cell>
          <cell r="C9">
            <v>65</v>
          </cell>
          <cell r="E9">
            <v>78</v>
          </cell>
          <cell r="F9">
            <v>90.76</v>
          </cell>
          <cell r="G9">
            <v>69.31</v>
          </cell>
          <cell r="H9">
            <v>87.26</v>
          </cell>
          <cell r="I9">
            <v>69.31</v>
          </cell>
          <cell r="J9">
            <v>0</v>
          </cell>
          <cell r="L9">
            <v>56</v>
          </cell>
          <cell r="M9">
            <v>94</v>
          </cell>
          <cell r="N9">
            <v>86</v>
          </cell>
          <cell r="O9">
            <v>85</v>
          </cell>
          <cell r="P9">
            <v>82</v>
          </cell>
          <cell r="Q9">
            <v>77</v>
          </cell>
          <cell r="R9">
            <v>76</v>
          </cell>
          <cell r="T9">
            <v>72.900000000000006</v>
          </cell>
          <cell r="U9">
            <v>76</v>
          </cell>
          <cell r="V9">
            <v>65.400000000000006</v>
          </cell>
          <cell r="W9">
            <v>89.73</v>
          </cell>
          <cell r="X9">
            <v>67</v>
          </cell>
          <cell r="Y9">
            <v>67</v>
          </cell>
          <cell r="Z9">
            <v>80</v>
          </cell>
          <cell r="AA9">
            <v>88</v>
          </cell>
          <cell r="AB9">
            <v>64.349999999999994</v>
          </cell>
          <cell r="AC9">
            <v>82</v>
          </cell>
          <cell r="AD9">
            <v>74</v>
          </cell>
          <cell r="AE9">
            <v>78</v>
          </cell>
          <cell r="AF9">
            <v>60.5</v>
          </cell>
          <cell r="AG9">
            <v>89.77</v>
          </cell>
          <cell r="AH9">
            <v>65.13</v>
          </cell>
          <cell r="AI9">
            <v>65.13</v>
          </cell>
          <cell r="AJ9">
            <v>80</v>
          </cell>
          <cell r="AK9">
            <v>80</v>
          </cell>
          <cell r="AL9">
            <v>80</v>
          </cell>
        </row>
        <row r="10">
          <cell r="B10">
            <v>72</v>
          </cell>
          <cell r="C10">
            <v>95</v>
          </cell>
          <cell r="E10">
            <v>139</v>
          </cell>
          <cell r="F10">
            <v>0</v>
          </cell>
          <cell r="G10">
            <v>98.72</v>
          </cell>
          <cell r="H10">
            <v>132.38999999999999</v>
          </cell>
          <cell r="I10">
            <v>98.72</v>
          </cell>
          <cell r="J10">
            <v>0</v>
          </cell>
          <cell r="L10">
            <v>81.3</v>
          </cell>
          <cell r="M10">
            <v>128</v>
          </cell>
          <cell r="N10">
            <v>114</v>
          </cell>
          <cell r="O10">
            <v>138</v>
          </cell>
          <cell r="P10">
            <v>102</v>
          </cell>
          <cell r="Q10">
            <v>98</v>
          </cell>
          <cell r="R10">
            <v>154</v>
          </cell>
          <cell r="T10">
            <v>115</v>
          </cell>
          <cell r="U10">
            <v>109</v>
          </cell>
          <cell r="V10">
            <v>89.3</v>
          </cell>
          <cell r="W10">
            <v>132.91999999999999</v>
          </cell>
          <cell r="X10">
            <v>88</v>
          </cell>
          <cell r="Y10">
            <v>88</v>
          </cell>
          <cell r="Z10">
            <v>101</v>
          </cell>
          <cell r="AA10">
            <v>119</v>
          </cell>
          <cell r="AB10">
            <v>90.16</v>
          </cell>
          <cell r="AC10">
            <v>104</v>
          </cell>
          <cell r="AD10">
            <v>119</v>
          </cell>
          <cell r="AE10">
            <v>111.5</v>
          </cell>
          <cell r="AF10">
            <v>109.95</v>
          </cell>
          <cell r="AG10">
            <v>0</v>
          </cell>
          <cell r="AH10">
            <v>90.59</v>
          </cell>
          <cell r="AI10">
            <v>90.59</v>
          </cell>
          <cell r="AJ10">
            <v>101</v>
          </cell>
          <cell r="AK10">
            <v>101</v>
          </cell>
          <cell r="AL10">
            <v>101</v>
          </cell>
        </row>
        <row r="11">
          <cell r="B11">
            <v>126</v>
          </cell>
          <cell r="C11">
            <v>175</v>
          </cell>
          <cell r="E11">
            <v>270</v>
          </cell>
          <cell r="F11">
            <v>189.92</v>
          </cell>
          <cell r="G11">
            <v>126.3</v>
          </cell>
          <cell r="H11">
            <v>279.2</v>
          </cell>
          <cell r="I11">
            <v>126.3</v>
          </cell>
          <cell r="J11">
            <v>0</v>
          </cell>
          <cell r="L11">
            <v>168</v>
          </cell>
          <cell r="M11">
            <v>233</v>
          </cell>
          <cell r="N11">
            <v>201</v>
          </cell>
          <cell r="O11">
            <v>201</v>
          </cell>
          <cell r="P11">
            <v>0</v>
          </cell>
          <cell r="Q11">
            <v>124</v>
          </cell>
          <cell r="R11">
            <v>230</v>
          </cell>
          <cell r="T11">
            <v>207.45</v>
          </cell>
          <cell r="U11">
            <v>172</v>
          </cell>
          <cell r="V11">
            <v>142</v>
          </cell>
          <cell r="W11">
            <v>218.67</v>
          </cell>
          <cell r="X11">
            <v>98</v>
          </cell>
          <cell r="Y11">
            <v>98</v>
          </cell>
          <cell r="Z11">
            <v>133</v>
          </cell>
          <cell r="AA11">
            <v>168</v>
          </cell>
          <cell r="AB11">
            <v>185.07</v>
          </cell>
          <cell r="AC11">
            <v>0</v>
          </cell>
          <cell r="AD11">
            <v>0</v>
          </cell>
          <cell r="AE11">
            <v>0</v>
          </cell>
          <cell r="AF11">
            <v>156.84</v>
          </cell>
          <cell r="AG11">
            <v>0</v>
          </cell>
          <cell r="AH11">
            <v>102.67</v>
          </cell>
          <cell r="AI11">
            <v>102.67</v>
          </cell>
          <cell r="AJ11">
            <v>133</v>
          </cell>
          <cell r="AK11">
            <v>133</v>
          </cell>
          <cell r="AL11">
            <v>133</v>
          </cell>
        </row>
        <row r="12">
          <cell r="B12">
            <v>0</v>
          </cell>
          <cell r="C12">
            <v>0</v>
          </cell>
          <cell r="E12">
            <v>25</v>
          </cell>
          <cell r="F12">
            <v>0</v>
          </cell>
          <cell r="G12">
            <v>44.62</v>
          </cell>
          <cell r="H12">
            <v>29.55</v>
          </cell>
          <cell r="I12">
            <v>44.62</v>
          </cell>
          <cell r="J12">
            <v>28</v>
          </cell>
          <cell r="L12">
            <v>34.4</v>
          </cell>
          <cell r="M12">
            <v>42</v>
          </cell>
          <cell r="N12">
            <v>57</v>
          </cell>
          <cell r="O12">
            <v>36.4</v>
          </cell>
          <cell r="P12">
            <v>0</v>
          </cell>
          <cell r="Q12">
            <v>46</v>
          </cell>
          <cell r="R12">
            <v>0</v>
          </cell>
          <cell r="T12">
            <v>26</v>
          </cell>
          <cell r="U12">
            <v>33</v>
          </cell>
          <cell r="V12">
            <v>0</v>
          </cell>
          <cell r="W12">
            <v>0</v>
          </cell>
          <cell r="X12">
            <v>38</v>
          </cell>
          <cell r="Y12">
            <v>38</v>
          </cell>
          <cell r="Z12">
            <v>40</v>
          </cell>
          <cell r="AA12">
            <v>43</v>
          </cell>
          <cell r="AB12">
            <v>0</v>
          </cell>
          <cell r="AC12">
            <v>0</v>
          </cell>
          <cell r="AD12">
            <v>41</v>
          </cell>
          <cell r="AE12">
            <v>41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40</v>
          </cell>
          <cell r="AK12">
            <v>40</v>
          </cell>
          <cell r="AL12">
            <v>40</v>
          </cell>
        </row>
        <row r="13">
          <cell r="B13">
            <v>160000</v>
          </cell>
          <cell r="C13">
            <v>0</v>
          </cell>
          <cell r="E13">
            <v>100250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127500</v>
          </cell>
          <cell r="L13">
            <v>99240</v>
          </cell>
          <cell r="M13">
            <v>0</v>
          </cell>
          <cell r="N13">
            <v>166700</v>
          </cell>
          <cell r="O13">
            <v>131447</v>
          </cell>
          <cell r="P13">
            <v>176000</v>
          </cell>
          <cell r="Q13">
            <v>0</v>
          </cell>
          <cell r="R13">
            <v>0</v>
          </cell>
          <cell r="T13">
            <v>114000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B14">
            <v>89000</v>
          </cell>
          <cell r="C14">
            <v>0</v>
          </cell>
          <cell r="E14">
            <v>0</v>
          </cell>
          <cell r="F14">
            <v>48300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66000</v>
          </cell>
          <cell r="N14">
            <v>69000</v>
          </cell>
          <cell r="O14">
            <v>56070</v>
          </cell>
          <cell r="P14">
            <v>68000</v>
          </cell>
          <cell r="Q14">
            <v>58400</v>
          </cell>
          <cell r="R14">
            <v>0</v>
          </cell>
          <cell r="T14">
            <v>80000</v>
          </cell>
          <cell r="U14">
            <v>0</v>
          </cell>
          <cell r="V14">
            <v>62.25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64.3</v>
          </cell>
          <cell r="AG14">
            <v>0</v>
          </cell>
          <cell r="AH14">
            <v>0</v>
          </cell>
          <cell r="AI14">
            <v>0</v>
          </cell>
          <cell r="AJ14">
            <v>54900</v>
          </cell>
          <cell r="AK14">
            <v>54900</v>
          </cell>
          <cell r="AL14">
            <v>0</v>
          </cell>
        </row>
        <row r="15">
          <cell r="B15">
            <v>133000</v>
          </cell>
          <cell r="C15">
            <v>0</v>
          </cell>
          <cell r="E15">
            <v>124660</v>
          </cell>
          <cell r="F15">
            <v>137000</v>
          </cell>
          <cell r="G15">
            <v>95522</v>
          </cell>
          <cell r="H15">
            <v>62750</v>
          </cell>
          <cell r="I15">
            <v>95522</v>
          </cell>
          <cell r="J15">
            <v>135000</v>
          </cell>
          <cell r="L15">
            <v>177220</v>
          </cell>
          <cell r="M15">
            <v>109000</v>
          </cell>
          <cell r="N15">
            <v>91600</v>
          </cell>
          <cell r="O15">
            <v>139550</v>
          </cell>
          <cell r="P15">
            <v>87000</v>
          </cell>
          <cell r="Q15">
            <v>126400</v>
          </cell>
          <cell r="R15">
            <v>0</v>
          </cell>
          <cell r="T15">
            <v>68500</v>
          </cell>
          <cell r="U15">
            <v>77500</v>
          </cell>
          <cell r="V15">
            <v>82.6</v>
          </cell>
          <cell r="W15">
            <v>0</v>
          </cell>
          <cell r="X15">
            <v>76500</v>
          </cell>
          <cell r="Y15">
            <v>76500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63.07</v>
          </cell>
          <cell r="AG15">
            <v>72413</v>
          </cell>
          <cell r="AH15">
            <v>69000</v>
          </cell>
          <cell r="AI15">
            <v>69000</v>
          </cell>
          <cell r="AJ15">
            <v>106700</v>
          </cell>
          <cell r="AK15">
            <v>106700</v>
          </cell>
          <cell r="AL15">
            <v>106700</v>
          </cell>
        </row>
        <row r="16">
          <cell r="B16">
            <v>9000</v>
          </cell>
          <cell r="C16">
            <v>0</v>
          </cell>
          <cell r="E16">
            <v>27930</v>
          </cell>
          <cell r="F16">
            <v>0</v>
          </cell>
          <cell r="G16">
            <v>6461</v>
          </cell>
          <cell r="H16">
            <v>20227</v>
          </cell>
          <cell r="I16">
            <v>6461</v>
          </cell>
          <cell r="J16">
            <v>0</v>
          </cell>
          <cell r="L16">
            <v>0</v>
          </cell>
          <cell r="M16">
            <v>0</v>
          </cell>
          <cell r="N16">
            <v>15500</v>
          </cell>
          <cell r="O16">
            <v>8268</v>
          </cell>
          <cell r="P16">
            <v>12000</v>
          </cell>
          <cell r="Q16">
            <v>12500</v>
          </cell>
          <cell r="R16">
            <v>0</v>
          </cell>
          <cell r="T16">
            <v>16500</v>
          </cell>
          <cell r="U16">
            <v>8400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11.33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12400</v>
          </cell>
          <cell r="AL16">
            <v>0</v>
          </cell>
        </row>
        <row r="17">
          <cell r="B17">
            <v>800</v>
          </cell>
          <cell r="C17">
            <v>0</v>
          </cell>
          <cell r="E17">
            <v>0</v>
          </cell>
          <cell r="F17">
            <v>1230</v>
          </cell>
          <cell r="G17">
            <v>0</v>
          </cell>
          <cell r="H17">
            <v>0</v>
          </cell>
          <cell r="I17">
            <v>0</v>
          </cell>
          <cell r="J17">
            <v>1870</v>
          </cell>
          <cell r="L17">
            <v>1797</v>
          </cell>
          <cell r="M17">
            <v>979</v>
          </cell>
          <cell r="N17">
            <v>1500</v>
          </cell>
          <cell r="O17">
            <v>566</v>
          </cell>
          <cell r="P17">
            <v>1000</v>
          </cell>
          <cell r="Q17">
            <v>328</v>
          </cell>
          <cell r="R17">
            <v>0</v>
          </cell>
          <cell r="T17">
            <v>1450</v>
          </cell>
          <cell r="U17">
            <v>250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980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1.08</v>
          </cell>
          <cell r="AG17">
            <v>0</v>
          </cell>
          <cell r="AH17">
            <v>815</v>
          </cell>
          <cell r="AI17">
            <v>815</v>
          </cell>
          <cell r="AJ17">
            <v>980</v>
          </cell>
          <cell r="AK17">
            <v>980</v>
          </cell>
          <cell r="AL17">
            <v>0</v>
          </cell>
        </row>
        <row r="18">
          <cell r="B18">
            <v>130</v>
          </cell>
          <cell r="C18">
            <v>0</v>
          </cell>
          <cell r="E18">
            <v>1045</v>
          </cell>
          <cell r="F18">
            <v>980</v>
          </cell>
          <cell r="G18">
            <v>139</v>
          </cell>
          <cell r="H18">
            <v>153</v>
          </cell>
          <cell r="I18">
            <v>139</v>
          </cell>
          <cell r="J18">
            <v>980</v>
          </cell>
          <cell r="L18">
            <v>0</v>
          </cell>
          <cell r="M18">
            <v>537</v>
          </cell>
          <cell r="N18">
            <v>257</v>
          </cell>
          <cell r="O18">
            <v>470</v>
          </cell>
          <cell r="P18">
            <v>300</v>
          </cell>
          <cell r="Q18">
            <v>151</v>
          </cell>
          <cell r="R18">
            <v>0</v>
          </cell>
          <cell r="T18">
            <v>300</v>
          </cell>
          <cell r="U18">
            <v>503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0.23</v>
          </cell>
          <cell r="AG18">
            <v>0</v>
          </cell>
          <cell r="AH18">
            <v>211</v>
          </cell>
          <cell r="AI18">
            <v>211</v>
          </cell>
          <cell r="AJ18">
            <v>345</v>
          </cell>
          <cell r="AK18">
            <v>345</v>
          </cell>
          <cell r="AL18">
            <v>345</v>
          </cell>
        </row>
        <row r="19">
          <cell r="B19">
            <v>75</v>
          </cell>
          <cell r="E19">
            <v>0</v>
          </cell>
          <cell r="F19">
            <v>120</v>
          </cell>
          <cell r="G19">
            <v>95</v>
          </cell>
          <cell r="I19">
            <v>95</v>
          </cell>
          <cell r="L19">
            <v>190</v>
          </cell>
          <cell r="M19">
            <v>103</v>
          </cell>
          <cell r="N19">
            <v>113</v>
          </cell>
          <cell r="O19">
            <v>86</v>
          </cell>
          <cell r="P19">
            <v>90</v>
          </cell>
          <cell r="Q19">
            <v>112</v>
          </cell>
        </row>
        <row r="20">
          <cell r="B20">
            <v>110</v>
          </cell>
          <cell r="E20">
            <v>0</v>
          </cell>
          <cell r="F20">
            <v>168</v>
          </cell>
          <cell r="G20">
            <v>160</v>
          </cell>
          <cell r="I20">
            <v>160</v>
          </cell>
          <cell r="L20">
            <v>242</v>
          </cell>
          <cell r="M20">
            <v>129</v>
          </cell>
          <cell r="N20">
            <v>154</v>
          </cell>
          <cell r="O20">
            <v>148</v>
          </cell>
          <cell r="P20">
            <v>148</v>
          </cell>
          <cell r="Q20">
            <v>130</v>
          </cell>
        </row>
        <row r="21">
          <cell r="B21">
            <v>185</v>
          </cell>
          <cell r="E21">
            <v>0</v>
          </cell>
          <cell r="F21">
            <v>256</v>
          </cell>
          <cell r="G21">
            <v>249</v>
          </cell>
          <cell r="I21">
            <v>249</v>
          </cell>
          <cell r="L21">
            <v>384</v>
          </cell>
          <cell r="M21">
            <v>260</v>
          </cell>
          <cell r="N21">
            <v>264</v>
          </cell>
          <cell r="O21">
            <v>293</v>
          </cell>
          <cell r="P21">
            <v>0</v>
          </cell>
          <cell r="Q21">
            <v>0</v>
          </cell>
        </row>
        <row r="22">
          <cell r="B22">
            <v>150</v>
          </cell>
          <cell r="E22">
            <v>218</v>
          </cell>
          <cell r="F22">
            <v>208</v>
          </cell>
          <cell r="G22">
            <v>127</v>
          </cell>
          <cell r="I22">
            <v>127</v>
          </cell>
          <cell r="L22">
            <v>223</v>
          </cell>
          <cell r="M22">
            <v>0</v>
          </cell>
          <cell r="N22">
            <v>237</v>
          </cell>
          <cell r="O22">
            <v>140</v>
          </cell>
          <cell r="P22">
            <v>129</v>
          </cell>
          <cell r="Q22">
            <v>0</v>
          </cell>
        </row>
        <row r="23">
          <cell r="B23">
            <v>180</v>
          </cell>
          <cell r="E23">
            <v>292</v>
          </cell>
          <cell r="F23">
            <v>275</v>
          </cell>
          <cell r="G23">
            <v>215</v>
          </cell>
          <cell r="I23">
            <v>215</v>
          </cell>
          <cell r="L23">
            <v>270</v>
          </cell>
          <cell r="M23">
            <v>0</v>
          </cell>
          <cell r="N23">
            <v>311</v>
          </cell>
          <cell r="O23">
            <v>211</v>
          </cell>
          <cell r="P23">
            <v>185</v>
          </cell>
          <cell r="Q23">
            <v>0</v>
          </cell>
        </row>
        <row r="24">
          <cell r="B24">
            <v>235</v>
          </cell>
          <cell r="E24">
            <v>454</v>
          </cell>
          <cell r="F24">
            <v>388</v>
          </cell>
          <cell r="G24">
            <v>320</v>
          </cell>
          <cell r="I24">
            <v>320</v>
          </cell>
          <cell r="L24">
            <v>414</v>
          </cell>
          <cell r="M24">
            <v>0</v>
          </cell>
          <cell r="N24">
            <v>494</v>
          </cell>
          <cell r="O24">
            <v>304</v>
          </cell>
          <cell r="P24">
            <v>0</v>
          </cell>
          <cell r="Q24">
            <v>0</v>
          </cell>
        </row>
        <row r="25">
          <cell r="B25">
            <v>0</v>
          </cell>
          <cell r="E25">
            <v>0</v>
          </cell>
          <cell r="F25">
            <v>0</v>
          </cell>
          <cell r="G25">
            <v>111</v>
          </cell>
          <cell r="I25">
            <v>111</v>
          </cell>
          <cell r="L25">
            <v>273</v>
          </cell>
          <cell r="M25">
            <v>0</v>
          </cell>
          <cell r="N25">
            <v>0</v>
          </cell>
          <cell r="O25">
            <v>141</v>
          </cell>
          <cell r="P25">
            <v>148</v>
          </cell>
          <cell r="Q25">
            <v>178</v>
          </cell>
        </row>
        <row r="26">
          <cell r="B26">
            <v>425</v>
          </cell>
          <cell r="E26">
            <v>300</v>
          </cell>
          <cell r="F26">
            <v>315.7</v>
          </cell>
          <cell r="G26">
            <v>292</v>
          </cell>
          <cell r="I26">
            <v>292</v>
          </cell>
          <cell r="L26">
            <v>0</v>
          </cell>
          <cell r="M26">
            <v>418</v>
          </cell>
          <cell r="N26">
            <v>464</v>
          </cell>
          <cell r="O26">
            <v>230.4</v>
          </cell>
          <cell r="P26">
            <v>240</v>
          </cell>
          <cell r="Q26">
            <v>503.1</v>
          </cell>
        </row>
        <row r="27">
          <cell r="B27">
            <v>300</v>
          </cell>
          <cell r="E27">
            <v>3761</v>
          </cell>
          <cell r="F27">
            <v>1834</v>
          </cell>
          <cell r="G27">
            <v>1087</v>
          </cell>
          <cell r="I27">
            <v>1087</v>
          </cell>
          <cell r="L27">
            <v>0</v>
          </cell>
          <cell r="M27">
            <v>2299</v>
          </cell>
          <cell r="N27">
            <v>0</v>
          </cell>
          <cell r="O27">
            <v>1328</v>
          </cell>
          <cell r="P27">
            <v>2400</v>
          </cell>
          <cell r="Q27">
            <v>1570</v>
          </cell>
        </row>
        <row r="28">
          <cell r="B28">
            <v>1100</v>
          </cell>
          <cell r="E28">
            <v>1505</v>
          </cell>
          <cell r="F28">
            <v>0</v>
          </cell>
          <cell r="G28">
            <v>1580</v>
          </cell>
          <cell r="I28">
            <v>1580</v>
          </cell>
          <cell r="L28">
            <v>0</v>
          </cell>
          <cell r="M28">
            <v>1371</v>
          </cell>
          <cell r="N28">
            <v>1700</v>
          </cell>
          <cell r="O28">
            <v>0</v>
          </cell>
          <cell r="P28">
            <v>2100</v>
          </cell>
          <cell r="Q28">
            <v>2091</v>
          </cell>
        </row>
        <row r="29">
          <cell r="B29">
            <v>800</v>
          </cell>
          <cell r="E29">
            <v>0</v>
          </cell>
          <cell r="F29">
            <v>942</v>
          </cell>
          <cell r="G29">
            <v>882</v>
          </cell>
          <cell r="I29">
            <v>882</v>
          </cell>
          <cell r="L29">
            <v>1074</v>
          </cell>
          <cell r="M29">
            <v>717</v>
          </cell>
          <cell r="N29">
            <v>780</v>
          </cell>
          <cell r="O29">
            <v>910</v>
          </cell>
          <cell r="P29">
            <v>700</v>
          </cell>
          <cell r="Q29">
            <v>665</v>
          </cell>
        </row>
        <row r="30">
          <cell r="B30">
            <v>3100</v>
          </cell>
          <cell r="E30">
            <v>5400</v>
          </cell>
          <cell r="F30">
            <v>6751</v>
          </cell>
          <cell r="G30">
            <v>6906</v>
          </cell>
          <cell r="I30">
            <v>6906</v>
          </cell>
          <cell r="L30">
            <v>6109</v>
          </cell>
          <cell r="M30">
            <v>7170</v>
          </cell>
          <cell r="N30">
            <v>6800</v>
          </cell>
          <cell r="O30">
            <v>6728</v>
          </cell>
          <cell r="P30">
            <v>6500</v>
          </cell>
          <cell r="Q30">
            <v>0</v>
          </cell>
        </row>
        <row r="31">
          <cell r="B31">
            <v>1600</v>
          </cell>
          <cell r="E31">
            <v>0</v>
          </cell>
          <cell r="F31">
            <v>2346</v>
          </cell>
          <cell r="G31">
            <v>2254</v>
          </cell>
          <cell r="I31">
            <v>2254</v>
          </cell>
          <cell r="L31">
            <v>3256</v>
          </cell>
          <cell r="M31">
            <v>2142</v>
          </cell>
          <cell r="N31">
            <v>2180</v>
          </cell>
          <cell r="O31">
            <v>2386</v>
          </cell>
          <cell r="P31">
            <v>0</v>
          </cell>
          <cell r="Q31">
            <v>0</v>
          </cell>
        </row>
      </sheetData>
      <sheetData sheetId="1">
        <row r="5">
          <cell r="B5" t="str">
            <v>ANG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 Cost Base"/>
      <sheetName val="98 Cost Base"/>
      <sheetName val="BP99"/>
      <sheetName val="C3I(new)"/>
      <sheetName val="C3J(new)"/>
    </sheetNames>
    <sheetDataSet>
      <sheetData sheetId="0">
        <row r="5">
          <cell r="B5" t="str">
            <v>ANG</v>
          </cell>
          <cell r="C5" t="str">
            <v>HPL</v>
          </cell>
          <cell r="D5" t="str">
            <v>ANH</v>
          </cell>
          <cell r="E5" t="str">
            <v>WSH</v>
          </cell>
          <cell r="F5" t="str">
            <v>NWT</v>
          </cell>
          <cell r="G5" t="str">
            <v>NBN</v>
          </cell>
          <cell r="H5" t="str">
            <v>NEW</v>
          </cell>
          <cell r="I5" t="str">
            <v>NNE</v>
          </cell>
          <cell r="J5" t="str">
            <v>ESK</v>
          </cell>
          <cell r="K5" t="str">
            <v>NES</v>
          </cell>
          <cell r="L5" t="str">
            <v>SVT</v>
          </cell>
          <cell r="M5" t="str">
            <v>SWT</v>
          </cell>
          <cell r="N5" t="str">
            <v>SRN</v>
          </cell>
          <cell r="O5" t="str">
            <v>TMS</v>
          </cell>
          <cell r="P5" t="str">
            <v>WSX</v>
          </cell>
          <cell r="Q5" t="str">
            <v>YKS</v>
          </cell>
          <cell r="R5" t="str">
            <v>YRK</v>
          </cell>
          <cell r="S5" t="str">
            <v>YKY</v>
          </cell>
          <cell r="T5" t="str">
            <v>BWH</v>
          </cell>
          <cell r="U5" t="str">
            <v>BRL</v>
          </cell>
          <cell r="V5" t="str">
            <v>CAM</v>
          </cell>
          <cell r="W5" t="str">
            <v>CHR</v>
          </cell>
          <cell r="X5" t="str">
            <v>WRX</v>
          </cell>
          <cell r="Y5" t="str">
            <v>DVW</v>
          </cell>
          <cell r="Z5" t="str">
            <v>FLK</v>
          </cell>
          <cell r="AA5" t="str">
            <v>MKT</v>
          </cell>
          <cell r="AB5" t="str">
            <v>PRT</v>
          </cell>
          <cell r="AC5" t="str">
            <v>MSN</v>
          </cell>
          <cell r="AD5" t="str">
            <v>SEW</v>
          </cell>
          <cell r="AE5" t="str">
            <v>MSE</v>
          </cell>
          <cell r="AF5" t="str">
            <v>SST</v>
          </cell>
          <cell r="AG5" t="str">
            <v>SUT</v>
          </cell>
          <cell r="AH5" t="str">
            <v>ESY</v>
          </cell>
          <cell r="AI5" t="str">
            <v>SES</v>
          </cell>
          <cell r="AJ5" t="str">
            <v>THD</v>
          </cell>
          <cell r="AK5" t="str">
            <v>TVW</v>
          </cell>
          <cell r="AL5" t="str">
            <v>NSY</v>
          </cell>
          <cell r="AM5" t="str">
            <v>TVN</v>
          </cell>
        </row>
        <row r="6">
          <cell r="B6">
            <v>24</v>
          </cell>
          <cell r="C6">
            <v>36</v>
          </cell>
          <cell r="E6">
            <v>0</v>
          </cell>
          <cell r="F6">
            <v>41.17</v>
          </cell>
          <cell r="G6">
            <v>25.38</v>
          </cell>
          <cell r="H6">
            <v>51.26</v>
          </cell>
          <cell r="I6">
            <v>25.38</v>
          </cell>
          <cell r="J6">
            <v>44</v>
          </cell>
          <cell r="L6">
            <v>34.700000000000003</v>
          </cell>
          <cell r="M6">
            <v>49</v>
          </cell>
          <cell r="N6">
            <v>39</v>
          </cell>
          <cell r="O6">
            <v>48</v>
          </cell>
          <cell r="P6">
            <v>33</v>
          </cell>
          <cell r="Q6">
            <v>24</v>
          </cell>
          <cell r="R6">
            <v>44</v>
          </cell>
          <cell r="T6">
            <v>32.700000000000003</v>
          </cell>
          <cell r="U6">
            <v>26</v>
          </cell>
          <cell r="V6">
            <v>33.700000000000003</v>
          </cell>
          <cell r="W6">
            <v>38.29</v>
          </cell>
          <cell r="X6">
            <v>29</v>
          </cell>
          <cell r="Y6">
            <v>29</v>
          </cell>
          <cell r="Z6">
            <v>44</v>
          </cell>
          <cell r="AA6">
            <v>41</v>
          </cell>
          <cell r="AB6">
            <v>29.84</v>
          </cell>
          <cell r="AC6">
            <v>43</v>
          </cell>
          <cell r="AD6">
            <v>36</v>
          </cell>
          <cell r="AE6">
            <v>39.5</v>
          </cell>
          <cell r="AF6">
            <v>40.520000000000003</v>
          </cell>
          <cell r="AG6">
            <v>44.17</v>
          </cell>
          <cell r="AH6">
            <v>28.31</v>
          </cell>
          <cell r="AI6">
            <v>28.31</v>
          </cell>
          <cell r="AJ6">
            <v>44</v>
          </cell>
          <cell r="AK6">
            <v>44</v>
          </cell>
          <cell r="AL6">
            <v>44</v>
          </cell>
        </row>
        <row r="7">
          <cell r="B7">
            <v>32</v>
          </cell>
          <cell r="C7">
            <v>58</v>
          </cell>
          <cell r="E7">
            <v>0</v>
          </cell>
          <cell r="F7">
            <v>0</v>
          </cell>
          <cell r="G7">
            <v>47.16</v>
          </cell>
          <cell r="H7">
            <v>80.83</v>
          </cell>
          <cell r="I7">
            <v>47.16</v>
          </cell>
          <cell r="J7">
            <v>84</v>
          </cell>
          <cell r="L7">
            <v>62.3</v>
          </cell>
          <cell r="M7">
            <v>82</v>
          </cell>
          <cell r="N7">
            <v>57</v>
          </cell>
          <cell r="O7">
            <v>89</v>
          </cell>
          <cell r="P7">
            <v>56</v>
          </cell>
          <cell r="Q7">
            <v>38</v>
          </cell>
          <cell r="R7">
            <v>63</v>
          </cell>
          <cell r="T7">
            <v>45.2</v>
          </cell>
          <cell r="U7">
            <v>51</v>
          </cell>
          <cell r="V7">
            <v>54.5</v>
          </cell>
          <cell r="W7">
            <v>62.45</v>
          </cell>
          <cell r="X7">
            <v>69</v>
          </cell>
          <cell r="Y7">
            <v>69</v>
          </cell>
          <cell r="Z7">
            <v>61</v>
          </cell>
          <cell r="AA7">
            <v>82</v>
          </cell>
          <cell r="AB7">
            <v>47.84</v>
          </cell>
          <cell r="AC7">
            <v>57</v>
          </cell>
          <cell r="AD7">
            <v>63</v>
          </cell>
          <cell r="AE7">
            <v>60</v>
          </cell>
          <cell r="AF7">
            <v>75.38</v>
          </cell>
          <cell r="AG7">
            <v>0</v>
          </cell>
          <cell r="AH7">
            <v>48.38</v>
          </cell>
          <cell r="AI7">
            <v>48.38</v>
          </cell>
          <cell r="AJ7">
            <v>61</v>
          </cell>
          <cell r="AK7">
            <v>61</v>
          </cell>
          <cell r="AL7">
            <v>61</v>
          </cell>
        </row>
        <row r="8">
          <cell r="B8">
            <v>80</v>
          </cell>
          <cell r="C8">
            <v>108</v>
          </cell>
          <cell r="E8">
            <v>0</v>
          </cell>
          <cell r="F8">
            <v>145.72</v>
          </cell>
          <cell r="G8">
            <v>68.95</v>
          </cell>
          <cell r="H8">
            <v>176.42</v>
          </cell>
          <cell r="I8">
            <v>68.95</v>
          </cell>
          <cell r="J8">
            <v>108</v>
          </cell>
          <cell r="L8">
            <v>129.4</v>
          </cell>
          <cell r="M8">
            <v>121</v>
          </cell>
          <cell r="N8">
            <v>122</v>
          </cell>
          <cell r="O8">
            <v>133</v>
          </cell>
          <cell r="P8">
            <v>91</v>
          </cell>
          <cell r="Q8">
            <v>67</v>
          </cell>
          <cell r="R8">
            <v>166</v>
          </cell>
          <cell r="T8">
            <v>86.75</v>
          </cell>
          <cell r="U8">
            <v>106</v>
          </cell>
          <cell r="V8">
            <v>83.1</v>
          </cell>
          <cell r="W8">
            <v>134.47999999999999</v>
          </cell>
          <cell r="X8">
            <v>75</v>
          </cell>
          <cell r="Y8">
            <v>75</v>
          </cell>
          <cell r="Z8">
            <v>91</v>
          </cell>
          <cell r="AA8">
            <v>119</v>
          </cell>
          <cell r="AB8">
            <v>121.57</v>
          </cell>
          <cell r="AC8">
            <v>0</v>
          </cell>
          <cell r="AD8">
            <v>0</v>
          </cell>
          <cell r="AE8">
            <v>0</v>
          </cell>
          <cell r="AF8">
            <v>114.28</v>
          </cell>
          <cell r="AG8">
            <v>0</v>
          </cell>
          <cell r="AH8">
            <v>58.6</v>
          </cell>
          <cell r="AI8">
            <v>58.6</v>
          </cell>
          <cell r="AJ8">
            <v>91</v>
          </cell>
          <cell r="AK8">
            <v>91</v>
          </cell>
          <cell r="AL8">
            <v>91</v>
          </cell>
        </row>
        <row r="9">
          <cell r="B9">
            <v>57</v>
          </cell>
          <cell r="C9">
            <v>65</v>
          </cell>
          <cell r="E9">
            <v>78</v>
          </cell>
          <cell r="F9">
            <v>90.76</v>
          </cell>
          <cell r="G9">
            <v>69.31</v>
          </cell>
          <cell r="H9">
            <v>87.26</v>
          </cell>
          <cell r="I9">
            <v>69.31</v>
          </cell>
          <cell r="J9">
            <v>0</v>
          </cell>
          <cell r="L9">
            <v>56</v>
          </cell>
          <cell r="M9">
            <v>94</v>
          </cell>
          <cell r="N9">
            <v>86</v>
          </cell>
          <cell r="O9">
            <v>85</v>
          </cell>
          <cell r="P9">
            <v>82</v>
          </cell>
          <cell r="Q9">
            <v>77</v>
          </cell>
          <cell r="R9">
            <v>76</v>
          </cell>
          <cell r="T9">
            <v>72.900000000000006</v>
          </cell>
          <cell r="U9">
            <v>76</v>
          </cell>
          <cell r="V9">
            <v>65.400000000000006</v>
          </cell>
          <cell r="W9">
            <v>89.73</v>
          </cell>
          <cell r="X9">
            <v>67</v>
          </cell>
          <cell r="Y9">
            <v>67</v>
          </cell>
          <cell r="Z9">
            <v>80</v>
          </cell>
          <cell r="AA9">
            <v>88</v>
          </cell>
          <cell r="AB9">
            <v>64.349999999999994</v>
          </cell>
          <cell r="AC9">
            <v>82</v>
          </cell>
          <cell r="AD9">
            <v>74</v>
          </cell>
          <cell r="AE9">
            <v>78</v>
          </cell>
          <cell r="AF9">
            <v>60.5</v>
          </cell>
          <cell r="AG9">
            <v>89.77</v>
          </cell>
          <cell r="AH9">
            <v>65.13</v>
          </cell>
          <cell r="AI9">
            <v>65.13</v>
          </cell>
          <cell r="AJ9">
            <v>80</v>
          </cell>
          <cell r="AK9">
            <v>80</v>
          </cell>
          <cell r="AL9">
            <v>80</v>
          </cell>
        </row>
        <row r="10">
          <cell r="B10">
            <v>72</v>
          </cell>
          <cell r="C10">
            <v>95</v>
          </cell>
          <cell r="E10">
            <v>139</v>
          </cell>
          <cell r="F10">
            <v>0</v>
          </cell>
          <cell r="G10">
            <v>98.72</v>
          </cell>
          <cell r="H10">
            <v>132.38999999999999</v>
          </cell>
          <cell r="I10">
            <v>98.72</v>
          </cell>
          <cell r="J10">
            <v>0</v>
          </cell>
          <cell r="L10">
            <v>81.3</v>
          </cell>
          <cell r="M10">
            <v>128</v>
          </cell>
          <cell r="N10">
            <v>114</v>
          </cell>
          <cell r="O10">
            <v>138</v>
          </cell>
          <cell r="P10">
            <v>102</v>
          </cell>
          <cell r="Q10">
            <v>98</v>
          </cell>
          <cell r="R10">
            <v>154</v>
          </cell>
          <cell r="T10">
            <v>115</v>
          </cell>
          <cell r="U10">
            <v>109</v>
          </cell>
          <cell r="V10">
            <v>89.3</v>
          </cell>
          <cell r="W10">
            <v>132.91999999999999</v>
          </cell>
          <cell r="X10">
            <v>88</v>
          </cell>
          <cell r="Y10">
            <v>88</v>
          </cell>
          <cell r="Z10">
            <v>101</v>
          </cell>
          <cell r="AA10">
            <v>119</v>
          </cell>
          <cell r="AB10">
            <v>90.16</v>
          </cell>
          <cell r="AC10">
            <v>104</v>
          </cell>
          <cell r="AD10">
            <v>119</v>
          </cell>
          <cell r="AE10">
            <v>111.5</v>
          </cell>
          <cell r="AF10">
            <v>109.95</v>
          </cell>
          <cell r="AG10">
            <v>0</v>
          </cell>
          <cell r="AH10">
            <v>90.59</v>
          </cell>
          <cell r="AI10">
            <v>90.59</v>
          </cell>
          <cell r="AJ10">
            <v>101</v>
          </cell>
          <cell r="AK10">
            <v>101</v>
          </cell>
          <cell r="AL10">
            <v>101</v>
          </cell>
        </row>
        <row r="11">
          <cell r="B11">
            <v>126</v>
          </cell>
          <cell r="C11">
            <v>175</v>
          </cell>
          <cell r="E11">
            <v>270</v>
          </cell>
          <cell r="F11">
            <v>189.92</v>
          </cell>
          <cell r="G11">
            <v>126.3</v>
          </cell>
          <cell r="H11">
            <v>279.2</v>
          </cell>
          <cell r="I11">
            <v>126.3</v>
          </cell>
          <cell r="J11">
            <v>0</v>
          </cell>
          <cell r="L11">
            <v>168</v>
          </cell>
          <cell r="M11">
            <v>233</v>
          </cell>
          <cell r="N11">
            <v>201</v>
          </cell>
          <cell r="O11">
            <v>201</v>
          </cell>
          <cell r="P11">
            <v>0</v>
          </cell>
          <cell r="Q11">
            <v>124</v>
          </cell>
          <cell r="R11">
            <v>230</v>
          </cell>
          <cell r="T11">
            <v>207.45</v>
          </cell>
          <cell r="U11">
            <v>172</v>
          </cell>
          <cell r="V11">
            <v>142</v>
          </cell>
          <cell r="W11">
            <v>218.67</v>
          </cell>
          <cell r="X11">
            <v>98</v>
          </cell>
          <cell r="Y11">
            <v>98</v>
          </cell>
          <cell r="Z11">
            <v>133</v>
          </cell>
          <cell r="AA11">
            <v>168</v>
          </cell>
          <cell r="AB11">
            <v>185.07</v>
          </cell>
          <cell r="AC11">
            <v>0</v>
          </cell>
          <cell r="AD11">
            <v>0</v>
          </cell>
          <cell r="AE11">
            <v>0</v>
          </cell>
          <cell r="AF11">
            <v>156.84</v>
          </cell>
          <cell r="AG11">
            <v>0</v>
          </cell>
          <cell r="AH11">
            <v>102.67</v>
          </cell>
          <cell r="AI11">
            <v>102.67</v>
          </cell>
          <cell r="AJ11">
            <v>133</v>
          </cell>
          <cell r="AK11">
            <v>133</v>
          </cell>
          <cell r="AL11">
            <v>133</v>
          </cell>
        </row>
        <row r="12">
          <cell r="B12">
            <v>0</v>
          </cell>
          <cell r="C12">
            <v>0</v>
          </cell>
          <cell r="E12">
            <v>25</v>
          </cell>
          <cell r="F12">
            <v>0</v>
          </cell>
          <cell r="G12">
            <v>44.62</v>
          </cell>
          <cell r="H12">
            <v>29.55</v>
          </cell>
          <cell r="I12">
            <v>44.62</v>
          </cell>
          <cell r="J12">
            <v>28</v>
          </cell>
          <cell r="L12">
            <v>34.4</v>
          </cell>
          <cell r="M12">
            <v>42</v>
          </cell>
          <cell r="N12">
            <v>57</v>
          </cell>
          <cell r="O12">
            <v>36.4</v>
          </cell>
          <cell r="P12">
            <v>0</v>
          </cell>
          <cell r="Q12">
            <v>46</v>
          </cell>
          <cell r="R12">
            <v>0</v>
          </cell>
          <cell r="T12">
            <v>26</v>
          </cell>
          <cell r="U12">
            <v>33</v>
          </cell>
          <cell r="V12">
            <v>0</v>
          </cell>
          <cell r="W12">
            <v>0</v>
          </cell>
          <cell r="X12">
            <v>38</v>
          </cell>
          <cell r="Y12">
            <v>38</v>
          </cell>
          <cell r="Z12">
            <v>40</v>
          </cell>
          <cell r="AA12">
            <v>43</v>
          </cell>
          <cell r="AB12">
            <v>0</v>
          </cell>
          <cell r="AC12">
            <v>0</v>
          </cell>
          <cell r="AD12">
            <v>41</v>
          </cell>
          <cell r="AE12">
            <v>41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40</v>
          </cell>
          <cell r="AK12">
            <v>40</v>
          </cell>
          <cell r="AL12">
            <v>40</v>
          </cell>
        </row>
        <row r="13">
          <cell r="B13">
            <v>160000</v>
          </cell>
          <cell r="C13">
            <v>0</v>
          </cell>
          <cell r="E13">
            <v>100250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127500</v>
          </cell>
          <cell r="L13">
            <v>99240</v>
          </cell>
          <cell r="M13">
            <v>0</v>
          </cell>
          <cell r="N13">
            <v>166700</v>
          </cell>
          <cell r="O13">
            <v>131447</v>
          </cell>
          <cell r="P13">
            <v>176000</v>
          </cell>
          <cell r="Q13">
            <v>0</v>
          </cell>
          <cell r="R13">
            <v>0</v>
          </cell>
          <cell r="T13">
            <v>114000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B14">
            <v>89000</v>
          </cell>
          <cell r="C14">
            <v>0</v>
          </cell>
          <cell r="E14">
            <v>0</v>
          </cell>
          <cell r="F14">
            <v>48300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66000</v>
          </cell>
          <cell r="N14">
            <v>69000</v>
          </cell>
          <cell r="O14">
            <v>56070</v>
          </cell>
          <cell r="P14">
            <v>68000</v>
          </cell>
          <cell r="Q14">
            <v>58400</v>
          </cell>
          <cell r="R14">
            <v>0</v>
          </cell>
          <cell r="T14">
            <v>80000</v>
          </cell>
          <cell r="U14">
            <v>0</v>
          </cell>
          <cell r="V14">
            <v>62.25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64.3</v>
          </cell>
          <cell r="AG14">
            <v>0</v>
          </cell>
          <cell r="AH14">
            <v>0</v>
          </cell>
          <cell r="AI14">
            <v>0</v>
          </cell>
          <cell r="AJ14">
            <v>54900</v>
          </cell>
          <cell r="AK14">
            <v>54900</v>
          </cell>
          <cell r="AL14">
            <v>0</v>
          </cell>
        </row>
        <row r="15">
          <cell r="B15">
            <v>133000</v>
          </cell>
          <cell r="C15">
            <v>0</v>
          </cell>
          <cell r="E15">
            <v>124660</v>
          </cell>
          <cell r="F15">
            <v>137000</v>
          </cell>
          <cell r="G15">
            <v>95522</v>
          </cell>
          <cell r="H15">
            <v>62750</v>
          </cell>
          <cell r="I15">
            <v>95522</v>
          </cell>
          <cell r="J15">
            <v>135000</v>
          </cell>
          <cell r="L15">
            <v>177220</v>
          </cell>
          <cell r="M15">
            <v>109000</v>
          </cell>
          <cell r="N15">
            <v>91600</v>
          </cell>
          <cell r="O15">
            <v>139550</v>
          </cell>
          <cell r="P15">
            <v>87000</v>
          </cell>
          <cell r="Q15">
            <v>126400</v>
          </cell>
          <cell r="R15">
            <v>0</v>
          </cell>
          <cell r="T15">
            <v>68500</v>
          </cell>
          <cell r="U15">
            <v>77500</v>
          </cell>
          <cell r="V15">
            <v>82.6</v>
          </cell>
          <cell r="W15">
            <v>0</v>
          </cell>
          <cell r="X15">
            <v>76500</v>
          </cell>
          <cell r="Y15">
            <v>76500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63.07</v>
          </cell>
          <cell r="AG15">
            <v>72413</v>
          </cell>
          <cell r="AH15">
            <v>69000</v>
          </cell>
          <cell r="AI15">
            <v>69000</v>
          </cell>
          <cell r="AJ15">
            <v>106700</v>
          </cell>
          <cell r="AK15">
            <v>106700</v>
          </cell>
          <cell r="AL15">
            <v>106700</v>
          </cell>
        </row>
        <row r="16">
          <cell r="B16">
            <v>9000</v>
          </cell>
          <cell r="C16">
            <v>0</v>
          </cell>
          <cell r="E16">
            <v>27930</v>
          </cell>
          <cell r="F16">
            <v>0</v>
          </cell>
          <cell r="G16">
            <v>6461</v>
          </cell>
          <cell r="H16">
            <v>20227</v>
          </cell>
          <cell r="I16">
            <v>6461</v>
          </cell>
          <cell r="J16">
            <v>0</v>
          </cell>
          <cell r="L16">
            <v>0</v>
          </cell>
          <cell r="M16">
            <v>0</v>
          </cell>
          <cell r="N16">
            <v>15500</v>
          </cell>
          <cell r="O16">
            <v>8268</v>
          </cell>
          <cell r="P16">
            <v>12000</v>
          </cell>
          <cell r="Q16">
            <v>12500</v>
          </cell>
          <cell r="R16">
            <v>0</v>
          </cell>
          <cell r="T16">
            <v>16500</v>
          </cell>
          <cell r="U16">
            <v>8400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11.33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12400</v>
          </cell>
          <cell r="AL16">
            <v>0</v>
          </cell>
        </row>
        <row r="17">
          <cell r="B17">
            <v>800</v>
          </cell>
          <cell r="C17">
            <v>0</v>
          </cell>
          <cell r="E17">
            <v>0</v>
          </cell>
          <cell r="F17">
            <v>1230</v>
          </cell>
          <cell r="G17">
            <v>0</v>
          </cell>
          <cell r="H17">
            <v>0</v>
          </cell>
          <cell r="I17">
            <v>0</v>
          </cell>
          <cell r="J17">
            <v>1870</v>
          </cell>
          <cell r="L17">
            <v>1797</v>
          </cell>
          <cell r="M17">
            <v>979</v>
          </cell>
          <cell r="N17">
            <v>1500</v>
          </cell>
          <cell r="O17">
            <v>566</v>
          </cell>
          <cell r="P17">
            <v>1000</v>
          </cell>
          <cell r="Q17">
            <v>328</v>
          </cell>
          <cell r="R17">
            <v>0</v>
          </cell>
          <cell r="T17">
            <v>1450</v>
          </cell>
          <cell r="U17">
            <v>250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980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1.08</v>
          </cell>
          <cell r="AG17">
            <v>0</v>
          </cell>
          <cell r="AH17">
            <v>815</v>
          </cell>
          <cell r="AI17">
            <v>815</v>
          </cell>
          <cell r="AJ17">
            <v>980</v>
          </cell>
          <cell r="AK17">
            <v>980</v>
          </cell>
          <cell r="AL17">
            <v>0</v>
          </cell>
        </row>
        <row r="18">
          <cell r="B18">
            <v>130</v>
          </cell>
          <cell r="C18">
            <v>0</v>
          </cell>
          <cell r="E18">
            <v>1045</v>
          </cell>
          <cell r="F18">
            <v>980</v>
          </cell>
          <cell r="G18">
            <v>139</v>
          </cell>
          <cell r="H18">
            <v>153</v>
          </cell>
          <cell r="I18">
            <v>139</v>
          </cell>
          <cell r="J18">
            <v>980</v>
          </cell>
          <cell r="L18">
            <v>0</v>
          </cell>
          <cell r="M18">
            <v>537</v>
          </cell>
          <cell r="N18">
            <v>257</v>
          </cell>
          <cell r="O18">
            <v>470</v>
          </cell>
          <cell r="P18">
            <v>300</v>
          </cell>
          <cell r="Q18">
            <v>151</v>
          </cell>
          <cell r="R18">
            <v>0</v>
          </cell>
          <cell r="T18">
            <v>300</v>
          </cell>
          <cell r="U18">
            <v>503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0.23</v>
          </cell>
          <cell r="AG18">
            <v>0</v>
          </cell>
          <cell r="AH18">
            <v>211</v>
          </cell>
          <cell r="AI18">
            <v>211</v>
          </cell>
          <cell r="AJ18">
            <v>345</v>
          </cell>
          <cell r="AK18">
            <v>345</v>
          </cell>
          <cell r="AL18">
            <v>345</v>
          </cell>
        </row>
        <row r="19">
          <cell r="B19">
            <v>75</v>
          </cell>
          <cell r="E19">
            <v>0</v>
          </cell>
          <cell r="F19">
            <v>120</v>
          </cell>
          <cell r="G19">
            <v>95</v>
          </cell>
          <cell r="I19">
            <v>95</v>
          </cell>
          <cell r="L19">
            <v>190</v>
          </cell>
          <cell r="M19">
            <v>103</v>
          </cell>
          <cell r="N19">
            <v>113</v>
          </cell>
          <cell r="O19">
            <v>86</v>
          </cell>
          <cell r="P19">
            <v>90</v>
          </cell>
          <cell r="Q19">
            <v>112</v>
          </cell>
        </row>
        <row r="20">
          <cell r="B20">
            <v>110</v>
          </cell>
          <cell r="E20">
            <v>0</v>
          </cell>
          <cell r="F20">
            <v>168</v>
          </cell>
          <cell r="G20">
            <v>160</v>
          </cell>
          <cell r="I20">
            <v>160</v>
          </cell>
          <cell r="L20">
            <v>242</v>
          </cell>
          <cell r="M20">
            <v>129</v>
          </cell>
          <cell r="N20">
            <v>154</v>
          </cell>
          <cell r="O20">
            <v>148</v>
          </cell>
          <cell r="P20">
            <v>148</v>
          </cell>
          <cell r="Q20">
            <v>130</v>
          </cell>
        </row>
        <row r="21">
          <cell r="B21">
            <v>185</v>
          </cell>
          <cell r="E21">
            <v>0</v>
          </cell>
          <cell r="F21">
            <v>256</v>
          </cell>
          <cell r="G21">
            <v>249</v>
          </cell>
          <cell r="I21">
            <v>249</v>
          </cell>
          <cell r="L21">
            <v>384</v>
          </cell>
          <cell r="M21">
            <v>260</v>
          </cell>
          <cell r="N21">
            <v>264</v>
          </cell>
          <cell r="O21">
            <v>293</v>
          </cell>
          <cell r="P21">
            <v>0</v>
          </cell>
          <cell r="Q21">
            <v>0</v>
          </cell>
        </row>
        <row r="22">
          <cell r="B22">
            <v>150</v>
          </cell>
          <cell r="E22">
            <v>218</v>
          </cell>
          <cell r="F22">
            <v>208</v>
          </cell>
          <cell r="G22">
            <v>127</v>
          </cell>
          <cell r="I22">
            <v>127</v>
          </cell>
          <cell r="L22">
            <v>223</v>
          </cell>
          <cell r="M22">
            <v>0</v>
          </cell>
          <cell r="N22">
            <v>237</v>
          </cell>
          <cell r="O22">
            <v>140</v>
          </cell>
          <cell r="P22">
            <v>129</v>
          </cell>
          <cell r="Q22">
            <v>0</v>
          </cell>
        </row>
        <row r="23">
          <cell r="B23">
            <v>180</v>
          </cell>
          <cell r="E23">
            <v>292</v>
          </cell>
          <cell r="F23">
            <v>275</v>
          </cell>
          <cell r="G23">
            <v>215</v>
          </cell>
          <cell r="I23">
            <v>215</v>
          </cell>
          <cell r="L23">
            <v>270</v>
          </cell>
          <cell r="M23">
            <v>0</v>
          </cell>
          <cell r="N23">
            <v>311</v>
          </cell>
          <cell r="O23">
            <v>211</v>
          </cell>
          <cell r="P23">
            <v>185</v>
          </cell>
          <cell r="Q23">
            <v>0</v>
          </cell>
        </row>
        <row r="24">
          <cell r="B24">
            <v>235</v>
          </cell>
          <cell r="E24">
            <v>454</v>
          </cell>
          <cell r="F24">
            <v>388</v>
          </cell>
          <cell r="G24">
            <v>320</v>
          </cell>
          <cell r="I24">
            <v>320</v>
          </cell>
          <cell r="L24">
            <v>414</v>
          </cell>
          <cell r="M24">
            <v>0</v>
          </cell>
          <cell r="N24">
            <v>494</v>
          </cell>
          <cell r="O24">
            <v>304</v>
          </cell>
          <cell r="P24">
            <v>0</v>
          </cell>
          <cell r="Q24">
            <v>0</v>
          </cell>
        </row>
        <row r="25">
          <cell r="B25">
            <v>0</v>
          </cell>
          <cell r="E25">
            <v>0</v>
          </cell>
          <cell r="F25">
            <v>0</v>
          </cell>
          <cell r="G25">
            <v>111</v>
          </cell>
          <cell r="I25">
            <v>111</v>
          </cell>
          <cell r="L25">
            <v>273</v>
          </cell>
          <cell r="M25">
            <v>0</v>
          </cell>
          <cell r="N25">
            <v>0</v>
          </cell>
          <cell r="O25">
            <v>141</v>
          </cell>
          <cell r="P25">
            <v>148</v>
          </cell>
          <cell r="Q25">
            <v>178</v>
          </cell>
        </row>
        <row r="26">
          <cell r="B26">
            <v>425</v>
          </cell>
          <cell r="E26">
            <v>300</v>
          </cell>
          <cell r="F26">
            <v>315.7</v>
          </cell>
          <cell r="G26">
            <v>292</v>
          </cell>
          <cell r="I26">
            <v>292</v>
          </cell>
          <cell r="L26">
            <v>0</v>
          </cell>
          <cell r="M26">
            <v>418</v>
          </cell>
          <cell r="N26">
            <v>464</v>
          </cell>
          <cell r="O26">
            <v>230.4</v>
          </cell>
          <cell r="P26">
            <v>240</v>
          </cell>
          <cell r="Q26">
            <v>503.1</v>
          </cell>
        </row>
        <row r="27">
          <cell r="B27">
            <v>300</v>
          </cell>
          <cell r="E27">
            <v>3761</v>
          </cell>
          <cell r="F27">
            <v>1834</v>
          </cell>
          <cell r="G27">
            <v>1087</v>
          </cell>
          <cell r="I27">
            <v>1087</v>
          </cell>
          <cell r="L27">
            <v>0</v>
          </cell>
          <cell r="M27">
            <v>2299</v>
          </cell>
          <cell r="N27">
            <v>0</v>
          </cell>
          <cell r="O27">
            <v>1328</v>
          </cell>
          <cell r="P27">
            <v>2400</v>
          </cell>
          <cell r="Q27">
            <v>1570</v>
          </cell>
        </row>
        <row r="28">
          <cell r="B28">
            <v>1100</v>
          </cell>
          <cell r="E28">
            <v>1505</v>
          </cell>
          <cell r="F28">
            <v>0</v>
          </cell>
          <cell r="G28">
            <v>1580</v>
          </cell>
          <cell r="I28">
            <v>1580</v>
          </cell>
          <cell r="L28">
            <v>0</v>
          </cell>
          <cell r="M28">
            <v>1371</v>
          </cell>
          <cell r="N28">
            <v>1700</v>
          </cell>
          <cell r="O28">
            <v>0</v>
          </cell>
          <cell r="P28">
            <v>2100</v>
          </cell>
          <cell r="Q28">
            <v>2091</v>
          </cell>
        </row>
        <row r="29">
          <cell r="B29">
            <v>800</v>
          </cell>
          <cell r="E29">
            <v>0</v>
          </cell>
          <cell r="F29">
            <v>942</v>
          </cell>
          <cell r="G29">
            <v>882</v>
          </cell>
          <cell r="I29">
            <v>882</v>
          </cell>
          <cell r="L29">
            <v>1074</v>
          </cell>
          <cell r="M29">
            <v>717</v>
          </cell>
          <cell r="N29">
            <v>780</v>
          </cell>
          <cell r="O29">
            <v>910</v>
          </cell>
          <cell r="P29">
            <v>700</v>
          </cell>
          <cell r="Q29">
            <v>665</v>
          </cell>
        </row>
        <row r="30">
          <cell r="B30">
            <v>3100</v>
          </cell>
          <cell r="E30">
            <v>5400</v>
          </cell>
          <cell r="F30">
            <v>6751</v>
          </cell>
          <cell r="G30">
            <v>6906</v>
          </cell>
          <cell r="I30">
            <v>6906</v>
          </cell>
          <cell r="L30">
            <v>6109</v>
          </cell>
          <cell r="M30">
            <v>7170</v>
          </cell>
          <cell r="N30">
            <v>6800</v>
          </cell>
          <cell r="O30">
            <v>6728</v>
          </cell>
          <cell r="P30">
            <v>6500</v>
          </cell>
          <cell r="Q30">
            <v>0</v>
          </cell>
        </row>
        <row r="31">
          <cell r="B31">
            <v>1600</v>
          </cell>
          <cell r="E31">
            <v>0</v>
          </cell>
          <cell r="F31">
            <v>2346</v>
          </cell>
          <cell r="G31">
            <v>2254</v>
          </cell>
          <cell r="I31">
            <v>2254</v>
          </cell>
          <cell r="L31">
            <v>3256</v>
          </cell>
          <cell r="M31">
            <v>2142</v>
          </cell>
          <cell r="N31">
            <v>2180</v>
          </cell>
          <cell r="O31">
            <v>2386</v>
          </cell>
          <cell r="P31">
            <v>0</v>
          </cell>
          <cell r="Q31">
            <v>0</v>
          </cell>
        </row>
      </sheetData>
      <sheetData sheetId="1">
        <row r="5">
          <cell r="B5" t="str">
            <v>ANG</v>
          </cell>
          <cell r="C5" t="str">
            <v>HPL</v>
          </cell>
          <cell r="D5" t="str">
            <v>ANH</v>
          </cell>
          <cell r="E5" t="str">
            <v>WSH</v>
          </cell>
          <cell r="F5" t="str">
            <v>NWT</v>
          </cell>
          <cell r="G5" t="str">
            <v>NBN</v>
          </cell>
          <cell r="H5" t="str">
            <v>NEW</v>
          </cell>
          <cell r="I5" t="str">
            <v>NNE</v>
          </cell>
          <cell r="J5" t="str">
            <v>ESK</v>
          </cell>
          <cell r="K5" t="str">
            <v>NES</v>
          </cell>
          <cell r="L5" t="str">
            <v>SVT</v>
          </cell>
          <cell r="M5" t="str">
            <v>SWT</v>
          </cell>
          <cell r="N5" t="str">
            <v>SRN</v>
          </cell>
          <cell r="O5" t="str">
            <v>TMS</v>
          </cell>
          <cell r="P5" t="str">
            <v>WSX</v>
          </cell>
          <cell r="Q5" t="str">
            <v>YKS</v>
          </cell>
          <cell r="R5" t="str">
            <v>YRK</v>
          </cell>
          <cell r="S5" t="str">
            <v>YKY</v>
          </cell>
          <cell r="T5" t="str">
            <v>BWH</v>
          </cell>
          <cell r="U5" t="str">
            <v>BRL</v>
          </cell>
          <cell r="V5" t="str">
            <v>CAM</v>
          </cell>
          <cell r="W5" t="str">
            <v>CHR</v>
          </cell>
          <cell r="X5" t="str">
            <v>WRX</v>
          </cell>
          <cell r="Y5" t="str">
            <v>DVW</v>
          </cell>
          <cell r="Z5" t="str">
            <v>FLK</v>
          </cell>
          <cell r="AA5" t="str">
            <v>MKT</v>
          </cell>
          <cell r="AB5" t="str">
            <v>PRT</v>
          </cell>
          <cell r="AC5" t="str">
            <v>MSN</v>
          </cell>
          <cell r="AD5" t="str">
            <v>SEW</v>
          </cell>
          <cell r="AE5" t="str">
            <v>MSE</v>
          </cell>
          <cell r="AF5" t="str">
            <v>SST</v>
          </cell>
          <cell r="AG5" t="str">
            <v>SUT</v>
          </cell>
          <cell r="AH5" t="str">
            <v>ESY</v>
          </cell>
          <cell r="AI5" t="str">
            <v>SES</v>
          </cell>
          <cell r="AJ5" t="str">
            <v>THD</v>
          </cell>
          <cell r="AK5" t="str">
            <v>TVW</v>
          </cell>
          <cell r="AL5" t="str">
            <v>NSY</v>
          </cell>
          <cell r="AM5" t="str">
            <v>TVN</v>
          </cell>
        </row>
        <row r="6">
          <cell r="B6">
            <v>36.1</v>
          </cell>
          <cell r="C6">
            <v>44</v>
          </cell>
          <cell r="F6">
            <v>46.1</v>
          </cell>
          <cell r="I6">
            <v>44.2</v>
          </cell>
          <cell r="J6">
            <v>48</v>
          </cell>
          <cell r="L6">
            <v>50</v>
          </cell>
          <cell r="M6">
            <v>38.5</v>
          </cell>
          <cell r="N6">
            <v>53.8</v>
          </cell>
          <cell r="O6">
            <v>52</v>
          </cell>
          <cell r="P6">
            <v>30.5</v>
          </cell>
          <cell r="Q6">
            <v>40.200000000000003</v>
          </cell>
          <cell r="R6">
            <v>32.6</v>
          </cell>
          <cell r="T6">
            <v>37.299999999999997</v>
          </cell>
          <cell r="U6">
            <v>34.700000000000003</v>
          </cell>
          <cell r="V6">
            <v>29.09</v>
          </cell>
          <cell r="Y6">
            <v>22.8</v>
          </cell>
          <cell r="Z6">
            <v>58.7</v>
          </cell>
          <cell r="AA6">
            <v>57</v>
          </cell>
          <cell r="AB6">
            <v>38.69</v>
          </cell>
          <cell r="AE6">
            <v>55.51</v>
          </cell>
          <cell r="AF6">
            <v>53.46</v>
          </cell>
          <cell r="AI6">
            <v>30.3</v>
          </cell>
          <cell r="AJ6">
            <v>58.7</v>
          </cell>
          <cell r="AK6">
            <v>58.7</v>
          </cell>
          <cell r="AL6">
            <v>58.7</v>
          </cell>
        </row>
        <row r="7">
          <cell r="B7">
            <v>52.1</v>
          </cell>
          <cell r="C7">
            <v>61</v>
          </cell>
          <cell r="I7">
            <v>92</v>
          </cell>
          <cell r="J7">
            <v>75</v>
          </cell>
          <cell r="L7">
            <v>67.400000000000006</v>
          </cell>
          <cell r="M7">
            <v>52.6</v>
          </cell>
          <cell r="N7">
            <v>65</v>
          </cell>
          <cell r="O7">
            <v>99</v>
          </cell>
          <cell r="P7">
            <v>47.6</v>
          </cell>
          <cell r="Q7">
            <v>58.8</v>
          </cell>
          <cell r="R7">
            <v>57.2</v>
          </cell>
          <cell r="T7">
            <v>51.4</v>
          </cell>
          <cell r="U7">
            <v>88.1</v>
          </cell>
          <cell r="V7">
            <v>47.22</v>
          </cell>
          <cell r="Y7">
            <v>64.7</v>
          </cell>
          <cell r="Z7">
            <v>70.2</v>
          </cell>
          <cell r="AA7">
            <v>108.4</v>
          </cell>
          <cell r="AB7">
            <v>72.7</v>
          </cell>
          <cell r="AE7">
            <v>84.26</v>
          </cell>
          <cell r="AF7">
            <v>77.16</v>
          </cell>
          <cell r="AI7">
            <v>48.5</v>
          </cell>
          <cell r="AJ7">
            <v>70.2</v>
          </cell>
          <cell r="AK7">
            <v>70.2</v>
          </cell>
          <cell r="AL7">
            <v>70.2</v>
          </cell>
        </row>
        <row r="8">
          <cell r="B8">
            <v>110</v>
          </cell>
          <cell r="F8">
            <v>154.9</v>
          </cell>
          <cell r="I8">
            <v>66.900000000000006</v>
          </cell>
          <cell r="J8">
            <v>130</v>
          </cell>
          <cell r="L8">
            <v>122.5</v>
          </cell>
          <cell r="M8">
            <v>119.7</v>
          </cell>
          <cell r="N8">
            <v>128.6</v>
          </cell>
          <cell r="O8">
            <v>153</v>
          </cell>
          <cell r="P8">
            <v>77</v>
          </cell>
          <cell r="Q8">
            <v>114</v>
          </cell>
          <cell r="T8">
            <v>93.8</v>
          </cell>
          <cell r="U8">
            <v>122.1</v>
          </cell>
          <cell r="V8">
            <v>100.2</v>
          </cell>
          <cell r="Y8">
            <v>72.400000000000006</v>
          </cell>
          <cell r="Z8">
            <v>102.5</v>
          </cell>
          <cell r="AA8">
            <v>146.30000000000001</v>
          </cell>
          <cell r="AF8">
            <v>148.80000000000001</v>
          </cell>
          <cell r="AI8">
            <v>61.67</v>
          </cell>
          <cell r="AJ8">
            <v>102.5</v>
          </cell>
          <cell r="AK8">
            <v>102.5</v>
          </cell>
          <cell r="AL8">
            <v>102.5</v>
          </cell>
        </row>
        <row r="9">
          <cell r="B9">
            <v>78</v>
          </cell>
          <cell r="C9">
            <v>60</v>
          </cell>
          <cell r="E9">
            <v>78.900000000000006</v>
          </cell>
          <cell r="F9">
            <v>71.8</v>
          </cell>
          <cell r="I9">
            <v>96.1</v>
          </cell>
          <cell r="J9">
            <v>0</v>
          </cell>
          <cell r="L9">
            <v>80</v>
          </cell>
          <cell r="M9">
            <v>77.8</v>
          </cell>
          <cell r="N9">
            <v>96.3</v>
          </cell>
          <cell r="O9">
            <v>107</v>
          </cell>
          <cell r="P9">
            <v>69.3</v>
          </cell>
          <cell r="Q9">
            <v>71</v>
          </cell>
          <cell r="R9">
            <v>81.900000000000006</v>
          </cell>
          <cell r="T9">
            <v>88.5</v>
          </cell>
          <cell r="U9">
            <v>83</v>
          </cell>
          <cell r="V9">
            <v>76.95</v>
          </cell>
          <cell r="Y9">
            <v>81</v>
          </cell>
          <cell r="Z9">
            <v>72.8</v>
          </cell>
          <cell r="AA9">
            <v>95.6</v>
          </cell>
          <cell r="AB9">
            <v>80.900002000000001</v>
          </cell>
          <cell r="AE9">
            <v>95.27</v>
          </cell>
          <cell r="AF9">
            <v>76.569999999999993</v>
          </cell>
          <cell r="AI9">
            <v>67.88</v>
          </cell>
          <cell r="AJ9">
            <v>72.8</v>
          </cell>
          <cell r="AK9">
            <v>72.8</v>
          </cell>
          <cell r="AL9">
            <v>72.8</v>
          </cell>
        </row>
        <row r="10">
          <cell r="B10">
            <v>101.3</v>
          </cell>
          <cell r="C10">
            <v>77</v>
          </cell>
          <cell r="E10">
            <v>115.2</v>
          </cell>
          <cell r="I10">
            <v>139.30000000000001</v>
          </cell>
          <cell r="J10">
            <v>0</v>
          </cell>
          <cell r="L10">
            <v>105</v>
          </cell>
          <cell r="M10">
            <v>109.4</v>
          </cell>
          <cell r="N10">
            <v>121.6</v>
          </cell>
          <cell r="O10">
            <v>159</v>
          </cell>
          <cell r="P10">
            <v>92.1</v>
          </cell>
          <cell r="Q10">
            <v>99.9</v>
          </cell>
          <cell r="R10">
            <v>150.30000000000001</v>
          </cell>
          <cell r="T10">
            <v>135.4</v>
          </cell>
          <cell r="U10">
            <v>148.5</v>
          </cell>
          <cell r="V10">
            <v>82.71</v>
          </cell>
          <cell r="Y10">
            <v>101.6</v>
          </cell>
          <cell r="Z10">
            <v>95.6</v>
          </cell>
          <cell r="AA10">
            <v>151.5</v>
          </cell>
          <cell r="AB10">
            <v>118.5</v>
          </cell>
          <cell r="AE10">
            <v>125.2</v>
          </cell>
          <cell r="AF10">
            <v>107.17</v>
          </cell>
          <cell r="AI10">
            <v>95.21</v>
          </cell>
          <cell r="AJ10">
            <v>95.6</v>
          </cell>
          <cell r="AK10">
            <v>95.6</v>
          </cell>
          <cell r="AL10">
            <v>95.6</v>
          </cell>
        </row>
        <row r="11">
          <cell r="B11">
            <v>190</v>
          </cell>
          <cell r="E11">
            <v>288.5</v>
          </cell>
          <cell r="F11">
            <v>254.8</v>
          </cell>
          <cell r="I11">
            <v>122.5</v>
          </cell>
          <cell r="J11">
            <v>0</v>
          </cell>
          <cell r="L11">
            <v>182.1</v>
          </cell>
          <cell r="M11">
            <v>213.3</v>
          </cell>
          <cell r="N11">
            <v>212</v>
          </cell>
          <cell r="O11">
            <v>237</v>
          </cell>
          <cell r="Q11">
            <v>241.2</v>
          </cell>
          <cell r="T11">
            <v>246.7</v>
          </cell>
          <cell r="U11">
            <v>211.7</v>
          </cell>
          <cell r="V11">
            <v>168.53</v>
          </cell>
          <cell r="Y11">
            <v>108.9</v>
          </cell>
          <cell r="Z11">
            <v>132.6</v>
          </cell>
          <cell r="AA11">
            <v>189.9</v>
          </cell>
          <cell r="AF11">
            <v>235.69</v>
          </cell>
          <cell r="AI11">
            <v>109.82</v>
          </cell>
          <cell r="AJ11">
            <v>132.6</v>
          </cell>
          <cell r="AK11">
            <v>132.6</v>
          </cell>
          <cell r="AL11">
            <v>132.6</v>
          </cell>
        </row>
        <row r="12">
          <cell r="E12">
            <v>40</v>
          </cell>
          <cell r="I12">
            <v>32.1</v>
          </cell>
          <cell r="J12">
            <v>38</v>
          </cell>
          <cell r="L12">
            <v>35.5</v>
          </cell>
          <cell r="M12">
            <v>38.799999999999997</v>
          </cell>
          <cell r="N12">
            <v>38.9</v>
          </cell>
          <cell r="O12">
            <v>32.200000000000003</v>
          </cell>
          <cell r="P12">
            <v>34.799999999999997</v>
          </cell>
          <cell r="Q12">
            <v>37.9</v>
          </cell>
          <cell r="T12">
            <v>45.4</v>
          </cell>
          <cell r="U12">
            <v>0</v>
          </cell>
          <cell r="V12">
            <v>0</v>
          </cell>
          <cell r="Y12">
            <v>39.1</v>
          </cell>
          <cell r="Z12">
            <v>43</v>
          </cell>
          <cell r="AA12">
            <v>37.6</v>
          </cell>
          <cell r="AE12">
            <v>33</v>
          </cell>
          <cell r="AF12">
            <v>0</v>
          </cell>
          <cell r="AJ12">
            <v>43</v>
          </cell>
          <cell r="AK12">
            <v>43</v>
          </cell>
          <cell r="AL12">
            <v>43</v>
          </cell>
        </row>
        <row r="13">
          <cell r="B13">
            <v>157000</v>
          </cell>
          <cell r="E13">
            <v>8500</v>
          </cell>
          <cell r="I13">
            <v>0</v>
          </cell>
          <cell r="J13">
            <v>90200</v>
          </cell>
          <cell r="L13">
            <v>86001</v>
          </cell>
          <cell r="M13">
            <v>0</v>
          </cell>
          <cell r="N13">
            <v>105252</v>
          </cell>
          <cell r="O13">
            <v>158046.29999999999</v>
          </cell>
          <cell r="Q13">
            <v>0</v>
          </cell>
          <cell r="R13">
            <v>131000</v>
          </cell>
          <cell r="T13">
            <v>61435.5</v>
          </cell>
          <cell r="U13">
            <v>0</v>
          </cell>
          <cell r="V13">
            <v>0</v>
          </cell>
          <cell r="Z13">
            <v>0</v>
          </cell>
          <cell r="AF13">
            <v>0</v>
          </cell>
          <cell r="AJ13">
            <v>0</v>
          </cell>
          <cell r="AK13">
            <v>0</v>
          </cell>
        </row>
        <row r="14">
          <cell r="B14">
            <v>51400</v>
          </cell>
          <cell r="I14">
            <v>0</v>
          </cell>
          <cell r="J14">
            <v>0</v>
          </cell>
          <cell r="M14">
            <v>67428</v>
          </cell>
          <cell r="N14">
            <v>88189</v>
          </cell>
          <cell r="O14">
            <v>80709.2</v>
          </cell>
          <cell r="P14">
            <v>68800</v>
          </cell>
          <cell r="Q14">
            <v>56243.6</v>
          </cell>
          <cell r="T14">
            <v>102546.5</v>
          </cell>
          <cell r="U14">
            <v>0</v>
          </cell>
          <cell r="V14">
            <v>73.62</v>
          </cell>
          <cell r="Z14">
            <v>0</v>
          </cell>
          <cell r="AF14">
            <v>0</v>
          </cell>
          <cell r="AJ14">
            <v>37773</v>
          </cell>
          <cell r="AK14">
            <v>37773</v>
          </cell>
        </row>
        <row r="15">
          <cell r="B15">
            <v>77665</v>
          </cell>
          <cell r="E15">
            <v>113742</v>
          </cell>
          <cell r="F15">
            <v>134766.9</v>
          </cell>
          <cell r="I15">
            <v>112343.3</v>
          </cell>
          <cell r="J15">
            <v>82000</v>
          </cell>
          <cell r="L15">
            <v>78466.070000000007</v>
          </cell>
          <cell r="M15">
            <v>113630</v>
          </cell>
          <cell r="N15">
            <v>116291</v>
          </cell>
          <cell r="O15">
            <v>113945.8</v>
          </cell>
          <cell r="P15">
            <v>94700</v>
          </cell>
          <cell r="Q15">
            <v>108949.6</v>
          </cell>
          <cell r="T15">
            <v>90329.7</v>
          </cell>
          <cell r="U15">
            <v>104360</v>
          </cell>
          <cell r="V15">
            <v>0</v>
          </cell>
          <cell r="Z15">
            <v>0</v>
          </cell>
          <cell r="AF15">
            <v>0</v>
          </cell>
          <cell r="AJ15">
            <v>91456</v>
          </cell>
          <cell r="AK15">
            <v>91456</v>
          </cell>
          <cell r="AL15">
            <v>91456</v>
          </cell>
        </row>
        <row r="16">
          <cell r="B16">
            <v>9667</v>
          </cell>
          <cell r="E16">
            <v>10786</v>
          </cell>
          <cell r="F16">
            <v>18587.2</v>
          </cell>
          <cell r="I16">
            <v>9317</v>
          </cell>
          <cell r="J16">
            <v>0</v>
          </cell>
          <cell r="L16">
            <v>10301.69</v>
          </cell>
          <cell r="M16">
            <v>11281</v>
          </cell>
          <cell r="N16">
            <v>12263</v>
          </cell>
          <cell r="O16">
            <v>13529.8</v>
          </cell>
          <cell r="P16">
            <v>8510</v>
          </cell>
          <cell r="Q16">
            <v>6686.8</v>
          </cell>
          <cell r="R16">
            <v>10153</v>
          </cell>
          <cell r="U16">
            <v>12438</v>
          </cell>
          <cell r="V16">
            <v>11.378</v>
          </cell>
          <cell r="Y16">
            <v>7537.34</v>
          </cell>
          <cell r="Z16">
            <v>0</v>
          </cell>
          <cell r="AA16">
            <v>19811.099999999999</v>
          </cell>
          <cell r="AF16">
            <v>0</v>
          </cell>
          <cell r="AI16">
            <v>10738</v>
          </cell>
          <cell r="AJ16">
            <v>15153</v>
          </cell>
          <cell r="AK16">
            <v>15153</v>
          </cell>
          <cell r="AL16">
            <v>15153</v>
          </cell>
        </row>
        <row r="17">
          <cell r="B17">
            <v>680</v>
          </cell>
          <cell r="F17">
            <v>559.29999999999995</v>
          </cell>
          <cell r="I17">
            <v>0</v>
          </cell>
          <cell r="J17">
            <v>2100</v>
          </cell>
          <cell r="L17">
            <v>1726</v>
          </cell>
          <cell r="M17">
            <v>928.9</v>
          </cell>
          <cell r="N17">
            <v>1376</v>
          </cell>
          <cell r="O17">
            <v>647.4</v>
          </cell>
          <cell r="P17">
            <v>920</v>
          </cell>
          <cell r="Q17">
            <v>609.5</v>
          </cell>
          <cell r="T17">
            <v>1043.21</v>
          </cell>
          <cell r="U17">
            <v>289</v>
          </cell>
          <cell r="V17">
            <v>0</v>
          </cell>
          <cell r="Z17">
            <v>901</v>
          </cell>
          <cell r="AF17">
            <v>1.4</v>
          </cell>
          <cell r="AI17">
            <v>1232</v>
          </cell>
          <cell r="AJ17">
            <v>901</v>
          </cell>
          <cell r="AK17">
            <v>901</v>
          </cell>
        </row>
        <row r="18">
          <cell r="B18">
            <v>421</v>
          </cell>
          <cell r="E18">
            <v>901</v>
          </cell>
          <cell r="F18">
            <v>218.2</v>
          </cell>
          <cell r="I18">
            <v>150.30000000000001</v>
          </cell>
          <cell r="J18">
            <v>244</v>
          </cell>
          <cell r="M18">
            <v>512</v>
          </cell>
          <cell r="N18">
            <v>221.4</v>
          </cell>
          <cell r="O18">
            <v>417.4</v>
          </cell>
          <cell r="P18">
            <v>280</v>
          </cell>
          <cell r="Q18">
            <v>95</v>
          </cell>
          <cell r="R18">
            <v>258.3</v>
          </cell>
          <cell r="T18">
            <v>165.1</v>
          </cell>
          <cell r="U18">
            <v>282</v>
          </cell>
          <cell r="V18">
            <v>0</v>
          </cell>
          <cell r="Z18">
            <v>0</v>
          </cell>
          <cell r="AF18">
            <v>0</v>
          </cell>
          <cell r="AJ18">
            <v>353</v>
          </cell>
          <cell r="AK18">
            <v>353</v>
          </cell>
          <cell r="AL18">
            <v>353</v>
          </cell>
        </row>
        <row r="19">
          <cell r="B19">
            <v>104</v>
          </cell>
          <cell r="F19">
            <v>140.30000000000001</v>
          </cell>
          <cell r="I19">
            <v>126.3</v>
          </cell>
          <cell r="L19">
            <v>159</v>
          </cell>
          <cell r="M19">
            <v>94.1</v>
          </cell>
          <cell r="N19">
            <v>143.19999999999999</v>
          </cell>
          <cell r="O19">
            <v>74.099999999999994</v>
          </cell>
          <cell r="P19">
            <v>75</v>
          </cell>
          <cell r="Q19">
            <v>84.6</v>
          </cell>
        </row>
        <row r="20">
          <cell r="B20">
            <v>167</v>
          </cell>
          <cell r="F20">
            <v>148.30000000000001</v>
          </cell>
          <cell r="I20">
            <v>155.4</v>
          </cell>
          <cell r="L20">
            <v>214.8</v>
          </cell>
          <cell r="M20">
            <v>162.69999999999999</v>
          </cell>
          <cell r="N20">
            <v>185.7</v>
          </cell>
          <cell r="O20">
            <v>124.8</v>
          </cell>
          <cell r="P20">
            <v>130</v>
          </cell>
          <cell r="Q20">
            <v>162.19999999999999</v>
          </cell>
        </row>
        <row r="21">
          <cell r="B21">
            <v>267</v>
          </cell>
          <cell r="F21">
            <v>218.2</v>
          </cell>
          <cell r="I21">
            <v>238</v>
          </cell>
          <cell r="L21">
            <v>395.4</v>
          </cell>
          <cell r="M21">
            <v>242.3</v>
          </cell>
          <cell r="N21">
            <v>235.1</v>
          </cell>
          <cell r="O21">
            <v>208.3</v>
          </cell>
          <cell r="Q21">
            <v>0</v>
          </cell>
        </row>
        <row r="22">
          <cell r="B22">
            <v>188</v>
          </cell>
          <cell r="E22">
            <v>172.5</v>
          </cell>
          <cell r="F22">
            <v>137.1</v>
          </cell>
          <cell r="I22">
            <v>214</v>
          </cell>
          <cell r="L22">
            <v>219.8</v>
          </cell>
          <cell r="M22">
            <v>0</v>
          </cell>
          <cell r="N22">
            <v>224.8</v>
          </cell>
          <cell r="O22">
            <v>186.4</v>
          </cell>
          <cell r="P22">
            <v>155</v>
          </cell>
          <cell r="Q22">
            <v>0</v>
          </cell>
        </row>
        <row r="23">
          <cell r="B23">
            <v>248</v>
          </cell>
          <cell r="E23">
            <v>241.2</v>
          </cell>
          <cell r="F23">
            <v>190.2</v>
          </cell>
          <cell r="I23">
            <v>244.9</v>
          </cell>
          <cell r="L23">
            <v>268.10000000000002</v>
          </cell>
          <cell r="M23">
            <v>0</v>
          </cell>
          <cell r="N23">
            <v>269.60000000000002</v>
          </cell>
          <cell r="O23">
            <v>312</v>
          </cell>
          <cell r="P23">
            <v>215</v>
          </cell>
          <cell r="Q23">
            <v>0</v>
          </cell>
        </row>
        <row r="24">
          <cell r="B24">
            <v>414</v>
          </cell>
          <cell r="E24">
            <v>336.1</v>
          </cell>
          <cell r="F24">
            <v>328.3</v>
          </cell>
          <cell r="I24">
            <v>380.4</v>
          </cell>
          <cell r="L24">
            <v>399.5</v>
          </cell>
          <cell r="M24">
            <v>0</v>
          </cell>
          <cell r="N24">
            <v>363.5</v>
          </cell>
          <cell r="O24">
            <v>521.79999999999995</v>
          </cell>
          <cell r="Q24">
            <v>0</v>
          </cell>
        </row>
        <row r="25">
          <cell r="I25">
            <v>81.400000000000006</v>
          </cell>
          <cell r="L25">
            <v>163.69999999999999</v>
          </cell>
          <cell r="M25">
            <v>0</v>
          </cell>
          <cell r="N25">
            <v>0</v>
          </cell>
          <cell r="O25">
            <v>139</v>
          </cell>
          <cell r="P25">
            <v>150</v>
          </cell>
          <cell r="Q25">
            <v>241.9</v>
          </cell>
        </row>
        <row r="26">
          <cell r="B26">
            <v>450</v>
          </cell>
          <cell r="F26">
            <v>341.9</v>
          </cell>
          <cell r="I26">
            <v>377.6</v>
          </cell>
          <cell r="M26">
            <v>371398</v>
          </cell>
          <cell r="N26">
            <v>727</v>
          </cell>
          <cell r="O26">
            <v>230000</v>
          </cell>
          <cell r="P26">
            <v>279000</v>
          </cell>
          <cell r="Q26">
            <v>480</v>
          </cell>
        </row>
        <row r="27">
          <cell r="B27">
            <v>1768.2</v>
          </cell>
          <cell r="E27">
            <v>4187</v>
          </cell>
          <cell r="F27">
            <v>1754</v>
          </cell>
          <cell r="I27">
            <v>864.3</v>
          </cell>
          <cell r="M27">
            <v>1803</v>
          </cell>
          <cell r="N27">
            <v>0</v>
          </cell>
          <cell r="O27">
            <v>2057.5</v>
          </cell>
          <cell r="P27">
            <v>2200</v>
          </cell>
          <cell r="Q27">
            <v>1426.8</v>
          </cell>
        </row>
        <row r="28">
          <cell r="B28">
            <v>1402</v>
          </cell>
          <cell r="F28">
            <v>2623</v>
          </cell>
          <cell r="I28">
            <v>1746.9</v>
          </cell>
          <cell r="M28">
            <v>1369</v>
          </cell>
          <cell r="N28">
            <v>1861</v>
          </cell>
          <cell r="P28">
            <v>2000</v>
          </cell>
          <cell r="Q28">
            <v>2269</v>
          </cell>
        </row>
        <row r="29">
          <cell r="B29">
            <v>941</v>
          </cell>
          <cell r="F29">
            <v>972</v>
          </cell>
          <cell r="I29">
            <v>641.5</v>
          </cell>
          <cell r="L29">
            <v>1155</v>
          </cell>
          <cell r="M29">
            <v>680</v>
          </cell>
          <cell r="N29">
            <v>728</v>
          </cell>
          <cell r="O29">
            <v>1169.4000000000001</v>
          </cell>
          <cell r="P29">
            <v>815</v>
          </cell>
          <cell r="Q29">
            <v>691.2</v>
          </cell>
        </row>
        <row r="30">
          <cell r="B30">
            <v>4788</v>
          </cell>
          <cell r="E30">
            <v>5309.5</v>
          </cell>
          <cell r="F30">
            <v>6649</v>
          </cell>
          <cell r="I30">
            <v>7114.6</v>
          </cell>
          <cell r="L30">
            <v>6426.88</v>
          </cell>
          <cell r="M30">
            <v>6020</v>
          </cell>
          <cell r="N30">
            <v>6893</v>
          </cell>
          <cell r="O30">
            <v>7029.5</v>
          </cell>
          <cell r="P30">
            <v>6600</v>
          </cell>
          <cell r="Q30">
            <v>0</v>
          </cell>
        </row>
        <row r="31">
          <cell r="B31">
            <v>1879</v>
          </cell>
          <cell r="F31">
            <v>2142</v>
          </cell>
          <cell r="I31">
            <v>2098</v>
          </cell>
          <cell r="L31">
            <v>2594</v>
          </cell>
          <cell r="M31">
            <v>2016</v>
          </cell>
          <cell r="N31">
            <v>2007</v>
          </cell>
          <cell r="O31">
            <v>2114.6999999999998</v>
          </cell>
          <cell r="Q31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8.85546875" bestFit="1" customWidth="1"/>
    <col min="2" max="2" width="14.28515625" bestFit="1" customWidth="1"/>
    <col min="3" max="3" width="83.140625" bestFit="1" customWidth="1"/>
    <col min="4" max="4" width="4.7109375" bestFit="1" customWidth="1"/>
    <col min="5" max="5" width="17" bestFit="1" customWidth="1"/>
    <col min="6" max="16" width="7.7109375" bestFit="1" customWidth="1"/>
    <col min="22" max="22" width="17.85546875" style="268" bestFit="1" customWidth="1"/>
    <col min="23" max="23" width="19.5703125" style="268" bestFit="1" customWidth="1"/>
    <col min="25" max="25" width="17.85546875" bestFit="1" customWidth="1"/>
  </cols>
  <sheetData>
    <row r="1" spans="1:18">
      <c r="C1" t="s">
        <v>467</v>
      </c>
    </row>
    <row r="2" spans="1:18">
      <c r="A2" t="s">
        <v>372</v>
      </c>
      <c r="B2" t="s">
        <v>373</v>
      </c>
      <c r="C2" t="s">
        <v>374</v>
      </c>
      <c r="D2" t="s">
        <v>375</v>
      </c>
      <c r="E2" t="s">
        <v>376</v>
      </c>
      <c r="F2" t="s">
        <v>324</v>
      </c>
      <c r="G2" t="s">
        <v>359</v>
      </c>
      <c r="H2" t="s">
        <v>360</v>
      </c>
      <c r="I2" t="s">
        <v>361</v>
      </c>
      <c r="J2" t="s">
        <v>362</v>
      </c>
      <c r="K2" t="s">
        <v>363</v>
      </c>
      <c r="L2" t="s">
        <v>364</v>
      </c>
      <c r="M2" t="s">
        <v>365</v>
      </c>
      <c r="N2" t="s">
        <v>366</v>
      </c>
      <c r="O2" t="s">
        <v>367</v>
      </c>
      <c r="P2" t="s">
        <v>377</v>
      </c>
    </row>
    <row r="4" spans="1:18">
      <c r="A4" t="s">
        <v>469</v>
      </c>
      <c r="B4" t="s">
        <v>378</v>
      </c>
      <c r="C4" t="s">
        <v>9</v>
      </c>
      <c r="D4" t="s">
        <v>126</v>
      </c>
      <c r="E4" t="s">
        <v>404</v>
      </c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>
        <v>2</v>
      </c>
    </row>
    <row r="5" spans="1:18">
      <c r="A5" t="s">
        <v>469</v>
      </c>
      <c r="B5" t="s">
        <v>379</v>
      </c>
      <c r="C5" t="s">
        <v>380</v>
      </c>
      <c r="D5" t="s">
        <v>381</v>
      </c>
      <c r="E5" t="s">
        <v>404</v>
      </c>
      <c r="F5" s="226"/>
      <c r="G5" s="226"/>
      <c r="H5" s="226"/>
      <c r="I5" s="226"/>
      <c r="J5" s="226">
        <v>4.5425319525929302</v>
      </c>
      <c r="K5" s="226">
        <v>4.5425319525929302</v>
      </c>
      <c r="L5" s="226">
        <v>4.5425319525929302</v>
      </c>
      <c r="M5" s="226">
        <v>4.5425319525929302</v>
      </c>
      <c r="N5" s="226">
        <v>4.5425319525929302</v>
      </c>
      <c r="O5" s="226"/>
      <c r="P5" s="226"/>
    </row>
    <row r="6" spans="1:18">
      <c r="A6" t="s">
        <v>469</v>
      </c>
      <c r="B6" t="s">
        <v>382</v>
      </c>
      <c r="C6" t="s">
        <v>383</v>
      </c>
      <c r="D6" t="s">
        <v>381</v>
      </c>
      <c r="E6" t="s">
        <v>404</v>
      </c>
      <c r="F6" s="226"/>
      <c r="G6" s="226"/>
      <c r="H6" s="226"/>
      <c r="I6" s="226"/>
      <c r="J6" s="226">
        <v>5.9340959397839903</v>
      </c>
      <c r="K6" s="226">
        <v>5.9340959397839903</v>
      </c>
      <c r="L6" s="226">
        <v>5.9340959397839903</v>
      </c>
      <c r="M6" s="226">
        <v>5.9340959397839903</v>
      </c>
      <c r="N6" s="226">
        <v>5.9340959397839903</v>
      </c>
      <c r="O6" s="226"/>
      <c r="P6" s="226"/>
    </row>
    <row r="7" spans="1:18">
      <c r="A7" t="s">
        <v>469</v>
      </c>
      <c r="B7" t="s">
        <v>384</v>
      </c>
      <c r="C7" t="s">
        <v>385</v>
      </c>
      <c r="D7" t="s">
        <v>126</v>
      </c>
      <c r="E7" t="s">
        <v>404</v>
      </c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>
        <v>94.332281295570397</v>
      </c>
    </row>
    <row r="8" spans="1:18">
      <c r="A8" t="s">
        <v>469</v>
      </c>
      <c r="B8" t="s">
        <v>386</v>
      </c>
      <c r="C8" t="s">
        <v>387</v>
      </c>
      <c r="D8" t="s">
        <v>126</v>
      </c>
      <c r="E8" t="s">
        <v>404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>
        <v>99.504869880768695</v>
      </c>
    </row>
    <row r="9" spans="1:18">
      <c r="A9" t="s">
        <v>469</v>
      </c>
      <c r="B9" t="s">
        <v>417</v>
      </c>
      <c r="C9" t="s">
        <v>418</v>
      </c>
      <c r="D9" t="s">
        <v>419</v>
      </c>
      <c r="E9" t="s">
        <v>404</v>
      </c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>
        <v>94.332281295570397</v>
      </c>
    </row>
    <row r="10" spans="1:18">
      <c r="A10" t="s">
        <v>469</v>
      </c>
      <c r="B10" t="s">
        <v>420</v>
      </c>
      <c r="C10" t="s">
        <v>421</v>
      </c>
      <c r="D10" t="s">
        <v>419</v>
      </c>
      <c r="E10" t="s">
        <v>404</v>
      </c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>
        <f>+P8</f>
        <v>99.504869880768695</v>
      </c>
    </row>
    <row r="11" spans="1:18">
      <c r="A11" t="s">
        <v>469</v>
      </c>
      <c r="B11" t="s">
        <v>388</v>
      </c>
      <c r="C11" t="s">
        <v>389</v>
      </c>
      <c r="D11" t="s">
        <v>381</v>
      </c>
      <c r="E11" t="s">
        <v>404</v>
      </c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</row>
    <row r="12" spans="1:18">
      <c r="A12" t="s">
        <v>469</v>
      </c>
      <c r="B12" t="s">
        <v>390</v>
      </c>
      <c r="C12" t="s">
        <v>391</v>
      </c>
      <c r="D12" t="s">
        <v>381</v>
      </c>
      <c r="E12" t="s">
        <v>404</v>
      </c>
      <c r="F12" s="226"/>
      <c r="G12" s="226"/>
      <c r="H12" s="226"/>
      <c r="I12" s="226"/>
      <c r="J12" s="226">
        <v>346.174889850238</v>
      </c>
      <c r="K12" s="226">
        <v>311.26652548710899</v>
      </c>
      <c r="L12" s="226">
        <v>283.87716549867002</v>
      </c>
      <c r="M12" s="226">
        <v>284.388164744893</v>
      </c>
      <c r="N12" s="226">
        <v>290.70878628068601</v>
      </c>
      <c r="O12" s="226"/>
      <c r="P12" s="226"/>
    </row>
    <row r="13" spans="1:18">
      <c r="A13" t="s">
        <v>469</v>
      </c>
      <c r="B13" t="s">
        <v>392</v>
      </c>
      <c r="C13" t="s">
        <v>393</v>
      </c>
      <c r="D13" t="s">
        <v>381</v>
      </c>
      <c r="E13" t="s">
        <v>404</v>
      </c>
      <c r="F13" s="226"/>
      <c r="G13" s="226"/>
      <c r="H13" s="226"/>
      <c r="I13" s="226"/>
      <c r="J13" s="226">
        <v>387.88780320255398</v>
      </c>
      <c r="K13" s="226">
        <v>387.65270264732601</v>
      </c>
      <c r="L13" s="226">
        <v>387.65270264732601</v>
      </c>
      <c r="M13" s="226">
        <v>387.65270264732601</v>
      </c>
      <c r="N13" s="226">
        <v>387.65270264732601</v>
      </c>
      <c r="O13" s="226"/>
      <c r="P13" s="226"/>
    </row>
    <row r="14" spans="1:18">
      <c r="A14" t="s">
        <v>469</v>
      </c>
      <c r="B14" t="s">
        <v>402</v>
      </c>
      <c r="C14" t="s">
        <v>408</v>
      </c>
      <c r="D14" t="s">
        <v>381</v>
      </c>
      <c r="E14" t="s">
        <v>404</v>
      </c>
      <c r="F14" s="226"/>
      <c r="G14" s="226"/>
      <c r="H14" s="226"/>
      <c r="I14" s="226"/>
      <c r="J14" s="226">
        <v>344.339237461952</v>
      </c>
      <c r="K14" s="226">
        <v>309.13944048344501</v>
      </c>
      <c r="L14" s="226">
        <v>281.35641455571698</v>
      </c>
      <c r="M14" s="226">
        <v>281.87475836925802</v>
      </c>
      <c r="N14" s="226">
        <v>288.286225891041</v>
      </c>
      <c r="O14" s="226"/>
      <c r="P14" s="226"/>
    </row>
    <row r="15" spans="1:18">
      <c r="A15" t="s">
        <v>469</v>
      </c>
      <c r="B15" t="s">
        <v>403</v>
      </c>
      <c r="C15" t="s">
        <v>407</v>
      </c>
      <c r="D15" t="s">
        <v>381</v>
      </c>
      <c r="E15" t="s">
        <v>404</v>
      </c>
      <c r="F15" s="226"/>
      <c r="G15" s="226"/>
      <c r="H15" s="226"/>
      <c r="I15" s="226"/>
      <c r="J15" s="226">
        <v>388.12764331233097</v>
      </c>
      <c r="K15" s="226">
        <v>388.12764331233097</v>
      </c>
      <c r="L15" s="226">
        <v>388.12764331233097</v>
      </c>
      <c r="M15" s="226">
        <v>388.12764331233097</v>
      </c>
      <c r="N15" s="226">
        <v>388.12764331233097</v>
      </c>
      <c r="O15" s="226"/>
    </row>
    <row r="16" spans="1:18">
      <c r="A16" t="s">
        <v>469</v>
      </c>
      <c r="B16" t="s">
        <v>416</v>
      </c>
      <c r="C16" t="s">
        <v>54</v>
      </c>
      <c r="D16" t="s">
        <v>381</v>
      </c>
      <c r="E16" t="s">
        <v>404</v>
      </c>
      <c r="F16" s="226"/>
      <c r="G16" s="226"/>
      <c r="H16" s="226"/>
      <c r="I16" s="226"/>
      <c r="J16" s="226">
        <v>279.79500000000002</v>
      </c>
      <c r="K16" s="226">
        <v>328.92353147038801</v>
      </c>
      <c r="L16" s="226">
        <v>369.596</v>
      </c>
      <c r="M16" s="267">
        <v>439.154</v>
      </c>
      <c r="N16" s="267">
        <v>456.14800000000002</v>
      </c>
      <c r="O16" s="226"/>
      <c r="R16" s="226"/>
    </row>
    <row r="17" spans="1:16">
      <c r="A17" t="s">
        <v>469</v>
      </c>
      <c r="B17" t="s">
        <v>415</v>
      </c>
      <c r="C17" t="s">
        <v>57</v>
      </c>
      <c r="D17" t="s">
        <v>381</v>
      </c>
      <c r="E17" t="s">
        <v>404</v>
      </c>
      <c r="F17" s="226"/>
      <c r="G17" s="226"/>
      <c r="H17" s="226"/>
      <c r="I17" s="226"/>
      <c r="J17" s="226">
        <v>320.91750000000002</v>
      </c>
      <c r="K17" s="226">
        <v>417.545672484345</v>
      </c>
      <c r="L17" s="226">
        <v>423.85951915999999</v>
      </c>
      <c r="M17" s="267">
        <v>528.88800000000003</v>
      </c>
      <c r="N17" s="267">
        <v>471.57799999999997</v>
      </c>
      <c r="O17" s="226"/>
    </row>
    <row r="18" spans="1:16">
      <c r="A18" t="s">
        <v>469</v>
      </c>
      <c r="B18" t="s">
        <v>405</v>
      </c>
      <c r="C18" t="s">
        <v>62</v>
      </c>
      <c r="D18" t="s">
        <v>381</v>
      </c>
      <c r="E18" t="s">
        <v>404</v>
      </c>
      <c r="F18" s="226"/>
      <c r="G18" s="226"/>
      <c r="H18" s="226"/>
      <c r="I18" s="226"/>
      <c r="J18" s="226">
        <v>1.6279999999999999</v>
      </c>
      <c r="K18" s="226">
        <v>1.7050000000000001</v>
      </c>
      <c r="L18" s="226">
        <v>2.2509999999999999</v>
      </c>
      <c r="M18" s="267">
        <v>2.8279999999999998</v>
      </c>
      <c r="N18" s="267">
        <v>2.66</v>
      </c>
      <c r="O18" s="226"/>
    </row>
    <row r="19" spans="1:16">
      <c r="A19" t="s">
        <v>469</v>
      </c>
      <c r="B19" t="s">
        <v>406</v>
      </c>
      <c r="C19" t="s">
        <v>63</v>
      </c>
      <c r="D19" t="s">
        <v>381</v>
      </c>
      <c r="E19" t="s">
        <v>404</v>
      </c>
      <c r="F19" s="226"/>
      <c r="G19" s="226"/>
      <c r="H19" s="226"/>
      <c r="I19" s="226"/>
      <c r="J19" s="226">
        <v>0</v>
      </c>
      <c r="K19" s="226">
        <v>0</v>
      </c>
      <c r="L19" s="226">
        <v>0</v>
      </c>
      <c r="M19" s="267">
        <v>0</v>
      </c>
      <c r="N19" s="267">
        <v>0</v>
      </c>
      <c r="O19" s="226"/>
    </row>
    <row r="20" spans="1:16">
      <c r="A20" t="s">
        <v>469</v>
      </c>
      <c r="B20" t="s">
        <v>394</v>
      </c>
      <c r="C20" t="s">
        <v>395</v>
      </c>
      <c r="D20" t="s">
        <v>381</v>
      </c>
      <c r="E20" t="s">
        <v>404</v>
      </c>
      <c r="F20" s="226"/>
      <c r="G20" s="226"/>
      <c r="H20" s="226"/>
      <c r="I20" s="226"/>
      <c r="J20" s="226">
        <v>7.5090000000000003</v>
      </c>
      <c r="K20" s="226">
        <v>5.1779999999999999</v>
      </c>
      <c r="L20" s="226">
        <v>5.5620000000000003</v>
      </c>
      <c r="M20" s="267">
        <v>6.1420000000000003</v>
      </c>
      <c r="N20" s="267">
        <v>5.9089999999999998</v>
      </c>
      <c r="O20" s="226"/>
    </row>
    <row r="21" spans="1:16">
      <c r="A21" t="s">
        <v>469</v>
      </c>
      <c r="B21" t="s">
        <v>430</v>
      </c>
      <c r="C21" t="s">
        <v>431</v>
      </c>
      <c r="D21" t="s">
        <v>381</v>
      </c>
      <c r="E21" t="s">
        <v>404</v>
      </c>
      <c r="F21" s="226"/>
      <c r="G21" s="226"/>
      <c r="H21" s="226"/>
      <c r="I21" s="226"/>
      <c r="J21" s="226">
        <v>0.40100000000000002</v>
      </c>
      <c r="K21" s="226">
        <v>0.65300000000000002</v>
      </c>
      <c r="L21" s="226">
        <v>1.0143428730996</v>
      </c>
      <c r="M21" s="267">
        <v>1.702</v>
      </c>
      <c r="N21" s="267">
        <v>1.079</v>
      </c>
      <c r="O21" s="226"/>
    </row>
    <row r="22" spans="1:16">
      <c r="A22" t="s">
        <v>469</v>
      </c>
      <c r="B22" t="s">
        <v>409</v>
      </c>
      <c r="C22" t="s">
        <v>69</v>
      </c>
      <c r="D22" t="s">
        <v>381</v>
      </c>
      <c r="E22" t="s">
        <v>404</v>
      </c>
      <c r="F22" s="226"/>
      <c r="G22" s="226"/>
      <c r="H22" s="226"/>
      <c r="I22" s="226"/>
      <c r="J22" s="226">
        <v>2E-3</v>
      </c>
      <c r="K22" s="226">
        <v>0</v>
      </c>
      <c r="L22" s="226">
        <v>0</v>
      </c>
      <c r="M22" s="267">
        <v>0</v>
      </c>
      <c r="N22" s="267">
        <v>0</v>
      </c>
      <c r="O22" s="226"/>
    </row>
    <row r="23" spans="1:16">
      <c r="A23" t="s">
        <v>469</v>
      </c>
      <c r="B23" t="s">
        <v>410</v>
      </c>
      <c r="C23" t="s">
        <v>70</v>
      </c>
      <c r="D23" t="s">
        <v>381</v>
      </c>
      <c r="E23" t="s">
        <v>404</v>
      </c>
      <c r="F23" s="226"/>
      <c r="G23" s="226"/>
      <c r="H23" s="226"/>
      <c r="I23" s="226"/>
      <c r="J23" s="226">
        <v>0</v>
      </c>
      <c r="K23" s="226">
        <v>0</v>
      </c>
      <c r="L23" s="226">
        <v>0</v>
      </c>
      <c r="M23" s="267">
        <v>0</v>
      </c>
      <c r="N23" s="267">
        <v>0</v>
      </c>
      <c r="O23" s="226"/>
    </row>
    <row r="24" spans="1:16">
      <c r="A24" t="s">
        <v>469</v>
      </c>
      <c r="B24" t="s">
        <v>396</v>
      </c>
      <c r="C24" t="s">
        <v>397</v>
      </c>
      <c r="D24" t="s">
        <v>381</v>
      </c>
      <c r="E24" t="s">
        <v>404</v>
      </c>
      <c r="F24" s="226"/>
      <c r="G24" s="226"/>
      <c r="H24" s="226"/>
      <c r="I24" s="226"/>
      <c r="J24" s="226">
        <v>9.7859999999999996</v>
      </c>
      <c r="K24" s="226">
        <v>6.4820000000000002</v>
      </c>
      <c r="L24" s="226">
        <v>6.0860000000000003</v>
      </c>
      <c r="M24" s="267">
        <v>5.6769999999999996</v>
      </c>
      <c r="N24" s="267">
        <v>6.4649999999999999</v>
      </c>
      <c r="O24" s="226"/>
    </row>
    <row r="25" spans="1:16">
      <c r="A25" t="s">
        <v>469</v>
      </c>
      <c r="B25" t="s">
        <v>432</v>
      </c>
      <c r="C25" t="s">
        <v>433</v>
      </c>
      <c r="D25" t="s">
        <v>381</v>
      </c>
      <c r="E25" t="s">
        <v>404</v>
      </c>
      <c r="F25" s="226"/>
      <c r="G25" s="226"/>
      <c r="H25" s="226"/>
      <c r="I25" s="226"/>
      <c r="J25" s="226">
        <v>0.54400000000000004</v>
      </c>
      <c r="K25" s="226">
        <v>0.88300000000000001</v>
      </c>
      <c r="L25" s="226">
        <v>1.3886171269004</v>
      </c>
      <c r="M25" s="267">
        <v>2.3620000000000001</v>
      </c>
      <c r="N25" s="267">
        <v>1.4770000000000001</v>
      </c>
      <c r="O25" s="226"/>
    </row>
    <row r="26" spans="1:16">
      <c r="A26" t="s">
        <v>469</v>
      </c>
      <c r="B26" t="s">
        <v>411</v>
      </c>
      <c r="C26" t="s">
        <v>412</v>
      </c>
      <c r="D26" t="s">
        <v>381</v>
      </c>
      <c r="E26" t="s">
        <v>404</v>
      </c>
      <c r="F26" s="226"/>
      <c r="G26" s="226"/>
      <c r="H26" s="226"/>
      <c r="I26" s="226">
        <v>9.6880000000000006</v>
      </c>
      <c r="J26" s="226"/>
      <c r="K26" s="226"/>
      <c r="L26" s="226"/>
      <c r="M26" s="226"/>
      <c r="N26" s="226"/>
      <c r="O26" s="226"/>
    </row>
    <row r="27" spans="1:16">
      <c r="A27" t="s">
        <v>469</v>
      </c>
      <c r="B27" t="s">
        <v>413</v>
      </c>
      <c r="C27" t="s">
        <v>414</v>
      </c>
      <c r="D27" t="s">
        <v>381</v>
      </c>
      <c r="E27" t="s">
        <v>404</v>
      </c>
      <c r="F27" s="226"/>
      <c r="G27" s="226"/>
      <c r="H27" s="226"/>
      <c r="I27" s="226">
        <v>4.79</v>
      </c>
      <c r="J27" s="226"/>
      <c r="K27" s="226"/>
      <c r="L27" s="226"/>
      <c r="M27" s="226"/>
      <c r="N27" s="226"/>
      <c r="O27" s="226"/>
      <c r="P27" s="226"/>
    </row>
    <row r="28" spans="1:16">
      <c r="A28" t="s">
        <v>469</v>
      </c>
      <c r="B28" t="s">
        <v>398</v>
      </c>
      <c r="C28" t="s">
        <v>399</v>
      </c>
      <c r="D28" t="s">
        <v>147</v>
      </c>
      <c r="E28" t="s">
        <v>404</v>
      </c>
      <c r="F28" s="227"/>
      <c r="G28" s="227"/>
      <c r="H28" s="227"/>
      <c r="I28" s="227"/>
      <c r="J28" s="227">
        <v>0.59762000000000004</v>
      </c>
      <c r="K28" s="227">
        <v>0.60158</v>
      </c>
      <c r="L28" s="227">
        <v>0.64469999999999805</v>
      </c>
      <c r="M28" s="227">
        <v>0.65680000000000005</v>
      </c>
      <c r="N28" s="227">
        <v>0.64770000000000005</v>
      </c>
      <c r="O28" s="227"/>
      <c r="P28" s="227"/>
    </row>
    <row r="29" spans="1:16">
      <c r="A29" t="s">
        <v>469</v>
      </c>
      <c r="B29" t="s">
        <v>400</v>
      </c>
      <c r="C29" t="s">
        <v>401</v>
      </c>
      <c r="D29" t="s">
        <v>147</v>
      </c>
      <c r="E29" t="s">
        <v>404</v>
      </c>
      <c r="F29" s="227"/>
      <c r="G29" s="227"/>
      <c r="H29" s="227"/>
      <c r="I29" s="227"/>
      <c r="J29" s="227">
        <v>0.46616999999999997</v>
      </c>
      <c r="K29" s="227">
        <v>0.43584000000000001</v>
      </c>
      <c r="L29" s="227">
        <v>0.45222000000000001</v>
      </c>
      <c r="M29" s="227">
        <v>0.50477000000000005</v>
      </c>
      <c r="N29" s="227">
        <v>0.61278999999999995</v>
      </c>
      <c r="O29" s="227"/>
      <c r="P29" s="227"/>
    </row>
    <row r="30" spans="1:16">
      <c r="A30" t="s">
        <v>469</v>
      </c>
      <c r="B30" t="s">
        <v>422</v>
      </c>
      <c r="C30" t="s">
        <v>426</v>
      </c>
      <c r="D30" t="s">
        <v>381</v>
      </c>
      <c r="E30" t="s">
        <v>404</v>
      </c>
      <c r="F30" s="226"/>
      <c r="G30" s="226"/>
      <c r="H30" s="226"/>
      <c r="I30" s="226"/>
      <c r="J30" s="226">
        <v>0</v>
      </c>
      <c r="K30" s="226">
        <v>0</v>
      </c>
      <c r="L30" s="226">
        <v>0</v>
      </c>
      <c r="M30" s="267">
        <v>7.6120000000000001</v>
      </c>
      <c r="N30" s="267">
        <v>12.734999999999999</v>
      </c>
      <c r="O30" s="226"/>
      <c r="P30" s="226"/>
    </row>
    <row r="31" spans="1:16">
      <c r="A31" t="s">
        <v>469</v>
      </c>
      <c r="B31" t="s">
        <v>423</v>
      </c>
      <c r="C31" t="s">
        <v>427</v>
      </c>
      <c r="D31" t="s">
        <v>381</v>
      </c>
      <c r="E31" t="s">
        <v>404</v>
      </c>
      <c r="F31" s="226"/>
      <c r="G31" s="226"/>
      <c r="H31" s="226"/>
      <c r="I31" s="226"/>
      <c r="J31" s="226">
        <v>10</v>
      </c>
      <c r="K31" s="226">
        <v>46</v>
      </c>
      <c r="L31" s="226">
        <v>0</v>
      </c>
      <c r="M31" s="226">
        <v>0</v>
      </c>
      <c r="N31" s="226">
        <v>0</v>
      </c>
      <c r="O31" s="226"/>
      <c r="P31" s="226"/>
    </row>
    <row r="32" spans="1:16">
      <c r="A32" t="s">
        <v>469</v>
      </c>
      <c r="B32" t="s">
        <v>424</v>
      </c>
      <c r="C32" t="s">
        <v>428</v>
      </c>
      <c r="D32" t="s">
        <v>381</v>
      </c>
      <c r="E32" t="s">
        <v>404</v>
      </c>
      <c r="F32" s="226"/>
      <c r="G32" s="226"/>
      <c r="H32" s="226"/>
      <c r="I32" s="226"/>
      <c r="J32" s="226">
        <v>0</v>
      </c>
      <c r="K32" s="226">
        <v>0</v>
      </c>
      <c r="L32" s="226">
        <v>0</v>
      </c>
      <c r="M32" s="226">
        <v>0</v>
      </c>
      <c r="N32" s="226">
        <v>0</v>
      </c>
      <c r="O32" s="226"/>
      <c r="P32" s="226"/>
    </row>
    <row r="33" spans="1:16">
      <c r="A33" t="s">
        <v>469</v>
      </c>
      <c r="B33" t="s">
        <v>425</v>
      </c>
      <c r="C33" t="s">
        <v>429</v>
      </c>
      <c r="D33" t="s">
        <v>381</v>
      </c>
      <c r="E33" t="s">
        <v>404</v>
      </c>
      <c r="F33" s="226"/>
      <c r="G33" s="226"/>
      <c r="H33" s="226"/>
      <c r="I33" s="226"/>
      <c r="J33" s="226">
        <v>0</v>
      </c>
      <c r="K33" s="226">
        <v>0</v>
      </c>
      <c r="L33" s="226">
        <v>0</v>
      </c>
      <c r="M33" s="226">
        <v>0</v>
      </c>
      <c r="N33" s="226">
        <v>0</v>
      </c>
      <c r="O33" s="226"/>
      <c r="P33" s="226"/>
    </row>
    <row r="34" spans="1:16">
      <c r="A34" t="s">
        <v>469</v>
      </c>
      <c r="B34" t="s">
        <v>442</v>
      </c>
      <c r="C34" t="s">
        <v>454</v>
      </c>
      <c r="D34" t="s">
        <v>419</v>
      </c>
      <c r="E34" t="s">
        <v>404</v>
      </c>
      <c r="F34" s="229">
        <v>234.4</v>
      </c>
      <c r="G34" s="229">
        <v>242.5</v>
      </c>
      <c r="H34" s="229">
        <v>249.5</v>
      </c>
      <c r="I34" s="229">
        <v>255.7</v>
      </c>
      <c r="J34" s="229">
        <v>258</v>
      </c>
      <c r="K34" s="229">
        <v>261.39999999999998</v>
      </c>
      <c r="L34" s="229">
        <v>270.60000000000002</v>
      </c>
      <c r="M34" s="269">
        <v>279.7</v>
      </c>
      <c r="N34" s="269">
        <v>287.60000000000002</v>
      </c>
      <c r="O34" s="269">
        <v>296.22800000000001</v>
      </c>
      <c r="P34" s="229"/>
    </row>
    <row r="35" spans="1:16">
      <c r="A35" t="s">
        <v>469</v>
      </c>
      <c r="B35" t="s">
        <v>443</v>
      </c>
      <c r="C35" t="s">
        <v>455</v>
      </c>
      <c r="D35" t="s">
        <v>419</v>
      </c>
      <c r="E35" t="s">
        <v>404</v>
      </c>
      <c r="F35" s="229">
        <v>235.2</v>
      </c>
      <c r="G35" s="229">
        <v>242.4</v>
      </c>
      <c r="H35" s="229">
        <v>250</v>
      </c>
      <c r="I35" s="229">
        <v>255.9</v>
      </c>
      <c r="J35" s="229">
        <v>258.5</v>
      </c>
      <c r="K35" s="229">
        <v>262.10000000000002</v>
      </c>
      <c r="L35" s="229">
        <v>271.7</v>
      </c>
      <c r="M35" s="269">
        <v>280.7</v>
      </c>
      <c r="N35" s="269">
        <v>288.3</v>
      </c>
      <c r="O35" s="269">
        <v>296.94900000000001</v>
      </c>
      <c r="P35" s="229"/>
    </row>
    <row r="36" spans="1:16">
      <c r="A36" t="s">
        <v>469</v>
      </c>
      <c r="B36" t="s">
        <v>444</v>
      </c>
      <c r="C36" t="s">
        <v>456</v>
      </c>
      <c r="D36" t="s">
        <v>419</v>
      </c>
      <c r="E36" t="s">
        <v>404</v>
      </c>
      <c r="F36" s="229">
        <v>235.2</v>
      </c>
      <c r="G36" s="229">
        <v>241.8</v>
      </c>
      <c r="H36" s="229">
        <v>249.7</v>
      </c>
      <c r="I36" s="229">
        <v>256.3</v>
      </c>
      <c r="J36" s="229">
        <v>258.89999999999998</v>
      </c>
      <c r="K36" s="229">
        <v>263.10000000000002</v>
      </c>
      <c r="L36" s="229">
        <v>272.3</v>
      </c>
      <c r="M36" s="269">
        <v>281.5</v>
      </c>
      <c r="N36" s="269">
        <v>289.10000000000002</v>
      </c>
      <c r="O36" s="269">
        <v>297.77300000000002</v>
      </c>
      <c r="P36" s="229"/>
    </row>
    <row r="37" spans="1:16">
      <c r="A37" t="s">
        <v>469</v>
      </c>
      <c r="B37" t="s">
        <v>445</v>
      </c>
      <c r="C37" t="s">
        <v>457</v>
      </c>
      <c r="D37" t="s">
        <v>419</v>
      </c>
      <c r="E37" t="s">
        <v>404</v>
      </c>
      <c r="F37" s="229">
        <v>234.7</v>
      </c>
      <c r="G37" s="229">
        <v>242.1</v>
      </c>
      <c r="H37" s="229">
        <v>249.7</v>
      </c>
      <c r="I37" s="229">
        <v>256</v>
      </c>
      <c r="J37" s="229">
        <v>258.60000000000002</v>
      </c>
      <c r="K37" s="229">
        <v>263.39999999999998</v>
      </c>
      <c r="L37" s="229">
        <v>272.89999999999998</v>
      </c>
      <c r="M37" s="269">
        <v>281.7</v>
      </c>
      <c r="N37" s="269">
        <v>289.2</v>
      </c>
      <c r="O37" s="269">
        <v>297.87599999999998</v>
      </c>
      <c r="P37" s="229"/>
    </row>
    <row r="38" spans="1:16">
      <c r="A38" t="s">
        <v>469</v>
      </c>
      <c r="B38" t="s">
        <v>446</v>
      </c>
      <c r="C38" t="s">
        <v>439</v>
      </c>
      <c r="D38" t="s">
        <v>419</v>
      </c>
      <c r="E38" t="s">
        <v>404</v>
      </c>
      <c r="F38" s="229">
        <v>236.1</v>
      </c>
      <c r="G38" s="229">
        <v>243</v>
      </c>
      <c r="H38" s="229">
        <v>251</v>
      </c>
      <c r="I38" s="229">
        <v>257</v>
      </c>
      <c r="J38" s="229">
        <v>259.8</v>
      </c>
      <c r="K38" s="229">
        <v>264.39999999999998</v>
      </c>
      <c r="L38" s="229">
        <v>274.7</v>
      </c>
      <c r="M38" s="269">
        <v>284.2</v>
      </c>
      <c r="N38" s="269">
        <v>291.3</v>
      </c>
      <c r="O38" s="269">
        <v>300.03900000000004</v>
      </c>
      <c r="P38" s="229"/>
    </row>
    <row r="39" spans="1:16">
      <c r="A39" t="s">
        <v>469</v>
      </c>
      <c r="B39" t="s">
        <v>447</v>
      </c>
      <c r="C39" t="s">
        <v>440</v>
      </c>
      <c r="D39" t="s">
        <v>419</v>
      </c>
      <c r="E39" t="s">
        <v>404</v>
      </c>
      <c r="F39" s="229">
        <v>237.9</v>
      </c>
      <c r="G39" s="229">
        <v>244.2</v>
      </c>
      <c r="H39" s="229">
        <v>251.9</v>
      </c>
      <c r="I39" s="229">
        <v>257.60000000000002</v>
      </c>
      <c r="J39" s="229">
        <v>259.60000000000002</v>
      </c>
      <c r="K39" s="229">
        <v>264.89999999999998</v>
      </c>
      <c r="L39" s="229">
        <v>275.10000000000002</v>
      </c>
      <c r="M39" s="269">
        <v>284.10000000000002</v>
      </c>
      <c r="N39" s="269">
        <v>291.2</v>
      </c>
      <c r="O39" s="269">
        <v>299.93599999999998</v>
      </c>
      <c r="P39" s="229"/>
    </row>
    <row r="40" spans="1:16">
      <c r="A40" t="s">
        <v>469</v>
      </c>
      <c r="B40" t="s">
        <v>448</v>
      </c>
      <c r="C40" t="s">
        <v>441</v>
      </c>
      <c r="D40" t="s">
        <v>419</v>
      </c>
      <c r="E40" t="s">
        <v>404</v>
      </c>
      <c r="F40" s="229">
        <v>238</v>
      </c>
      <c r="G40" s="229">
        <v>245.6</v>
      </c>
      <c r="H40" s="229">
        <v>251.9</v>
      </c>
      <c r="I40" s="229">
        <v>257.7</v>
      </c>
      <c r="J40" s="229">
        <v>259.5</v>
      </c>
      <c r="K40" s="229">
        <v>264.8</v>
      </c>
      <c r="L40" s="229">
        <v>275.3</v>
      </c>
      <c r="M40" s="269">
        <v>284.5</v>
      </c>
      <c r="N40" s="269">
        <v>291.10000000000002</v>
      </c>
      <c r="O40" s="269">
        <v>299.83300000000003</v>
      </c>
      <c r="P40" s="229"/>
    </row>
    <row r="41" spans="1:16">
      <c r="A41" t="s">
        <v>469</v>
      </c>
      <c r="B41" t="s">
        <v>449</v>
      </c>
      <c r="C41" t="s">
        <v>458</v>
      </c>
      <c r="D41" t="s">
        <v>419</v>
      </c>
      <c r="E41" t="s">
        <v>404</v>
      </c>
      <c r="F41" s="229">
        <v>238.5</v>
      </c>
      <c r="G41" s="229">
        <v>245.6</v>
      </c>
      <c r="H41" s="229">
        <v>252.1</v>
      </c>
      <c r="I41" s="229">
        <v>257.10000000000002</v>
      </c>
      <c r="J41" s="229">
        <v>259.8</v>
      </c>
      <c r="K41" s="229">
        <v>265.5</v>
      </c>
      <c r="L41" s="229">
        <v>275.8</v>
      </c>
      <c r="M41" s="269">
        <v>284.60000000000002</v>
      </c>
      <c r="N41" s="269">
        <v>291.2</v>
      </c>
      <c r="O41" s="269">
        <v>299.93599999999998</v>
      </c>
      <c r="P41" s="229"/>
    </row>
    <row r="42" spans="1:16">
      <c r="A42" t="s">
        <v>469</v>
      </c>
      <c r="B42" t="s">
        <v>450</v>
      </c>
      <c r="C42" t="s">
        <v>459</v>
      </c>
      <c r="D42" t="s">
        <v>419</v>
      </c>
      <c r="E42" t="s">
        <v>404</v>
      </c>
      <c r="F42" s="229">
        <v>239.4</v>
      </c>
      <c r="G42" s="229">
        <v>246.8</v>
      </c>
      <c r="H42" s="229">
        <v>253.4</v>
      </c>
      <c r="I42" s="229">
        <v>257.5</v>
      </c>
      <c r="J42" s="229">
        <v>260.60000000000002</v>
      </c>
      <c r="K42" s="229">
        <v>267.10000000000002</v>
      </c>
      <c r="L42" s="229">
        <v>278.10000000000002</v>
      </c>
      <c r="M42" s="269">
        <v>285.60000000000002</v>
      </c>
      <c r="N42" s="269">
        <v>292.8</v>
      </c>
      <c r="O42" s="269">
        <v>301.584</v>
      </c>
      <c r="P42" s="229"/>
    </row>
    <row r="43" spans="1:16">
      <c r="A43" t="s">
        <v>469</v>
      </c>
      <c r="B43" t="s">
        <v>451</v>
      </c>
      <c r="C43" t="s">
        <v>460</v>
      </c>
      <c r="D43" t="s">
        <v>419</v>
      </c>
      <c r="E43" t="s">
        <v>404</v>
      </c>
      <c r="F43" s="229">
        <v>238</v>
      </c>
      <c r="G43" s="229">
        <v>245.8</v>
      </c>
      <c r="H43" s="229">
        <v>252.6</v>
      </c>
      <c r="I43" s="229">
        <v>255.4</v>
      </c>
      <c r="J43" s="229">
        <v>258.8</v>
      </c>
      <c r="K43" s="229">
        <v>265.5</v>
      </c>
      <c r="L43" s="229">
        <v>276</v>
      </c>
      <c r="M43" s="269">
        <v>283</v>
      </c>
      <c r="N43" s="269">
        <v>290.7</v>
      </c>
      <c r="O43" s="269">
        <v>299.42099999999999</v>
      </c>
      <c r="P43" s="229"/>
    </row>
    <row r="44" spans="1:16">
      <c r="A44" t="s">
        <v>469</v>
      </c>
      <c r="B44" t="s">
        <v>452</v>
      </c>
      <c r="C44" t="s">
        <v>461</v>
      </c>
      <c r="D44" t="s">
        <v>419</v>
      </c>
      <c r="E44" t="s">
        <v>404</v>
      </c>
      <c r="F44" s="229">
        <v>239.9</v>
      </c>
      <c r="G44" s="229">
        <v>247.6</v>
      </c>
      <c r="H44" s="229">
        <v>254.2</v>
      </c>
      <c r="I44" s="229">
        <v>256.7</v>
      </c>
      <c r="J44" s="229">
        <v>260</v>
      </c>
      <c r="K44" s="229">
        <v>268.39999999999998</v>
      </c>
      <c r="L44" s="229">
        <v>278.10000000000002</v>
      </c>
      <c r="M44" s="269">
        <v>285</v>
      </c>
      <c r="N44" s="269">
        <v>292.8</v>
      </c>
      <c r="O44" s="269">
        <v>301.584</v>
      </c>
      <c r="P44" s="229"/>
    </row>
    <row r="45" spans="1:16">
      <c r="A45" t="s">
        <v>469</v>
      </c>
      <c r="B45" t="s">
        <v>453</v>
      </c>
      <c r="C45" t="s">
        <v>462</v>
      </c>
      <c r="D45" t="s">
        <v>419</v>
      </c>
      <c r="E45" t="s">
        <v>404</v>
      </c>
      <c r="F45" s="229">
        <v>240.8</v>
      </c>
      <c r="G45" s="229">
        <v>248.7</v>
      </c>
      <c r="H45" s="229">
        <v>254.8</v>
      </c>
      <c r="I45" s="229">
        <v>257.10000000000002</v>
      </c>
      <c r="J45" s="229">
        <v>261.10000000000002</v>
      </c>
      <c r="K45" s="229">
        <v>269.3</v>
      </c>
      <c r="L45" s="229">
        <v>278.3</v>
      </c>
      <c r="M45" s="269">
        <v>285.10000000000002</v>
      </c>
      <c r="N45" s="269">
        <v>293.2</v>
      </c>
      <c r="O45" s="269">
        <v>301.99599999999998</v>
      </c>
      <c r="P45" s="229"/>
    </row>
    <row r="46" spans="1:16">
      <c r="M46" s="268"/>
      <c r="N46" s="268"/>
      <c r="O46" s="268"/>
    </row>
  </sheetData>
  <sheetProtection sort="0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AA165"/>
  <sheetViews>
    <sheetView showGridLines="0" zoomScale="80" zoomScaleNormal="80" workbookViewId="0">
      <pane xSplit="7" ySplit="7" topLeftCell="H8" activePane="bottomRight" state="frozen"/>
      <selection pane="topRight"/>
      <selection pane="bottomLeft"/>
      <selection pane="bottomRight" activeCell="H8" sqref="H8"/>
    </sheetView>
  </sheetViews>
  <sheetFormatPr defaultColWidth="0" defaultRowHeight="12.75" zeroHeight="1"/>
  <cols>
    <col min="1" max="3" width="3.140625" style="30" customWidth="1"/>
    <col min="4" max="4" width="10" style="30" customWidth="1"/>
    <col min="5" max="5" width="45" style="39" customWidth="1"/>
    <col min="6" max="6" width="6" style="30" customWidth="1"/>
    <col min="7" max="7" width="10.140625" style="30" customWidth="1"/>
    <col min="8" max="8" width="12.140625" style="30" customWidth="1"/>
    <col min="9" max="16" width="14.5703125" style="30" customWidth="1"/>
    <col min="17" max="21" width="13.5703125" style="30" customWidth="1"/>
    <col min="22" max="22" width="10.5703125" style="45" customWidth="1"/>
    <col min="23" max="24" width="9.140625" style="30" customWidth="1"/>
    <col min="25" max="25" width="9.140625" style="30" hidden="1" customWidth="1"/>
    <col min="26" max="27" width="13.140625" style="30" hidden="1" customWidth="1"/>
    <col min="28" max="16384" width="9.140625" style="30" hidden="1"/>
  </cols>
  <sheetData>
    <row r="1" spans="1:24" s="2" customFormat="1" ht="33.75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/>
    <row r="3" spans="1:24" s="12" customFormat="1" ht="12.75" customHeight="1">
      <c r="A3" s="4"/>
      <c r="B3" s="4"/>
      <c r="C3" s="5"/>
      <c r="D3" s="6"/>
      <c r="E3" s="7" t="s">
        <v>1</v>
      </c>
      <c r="F3" s="8"/>
      <c r="G3" s="8"/>
      <c r="H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11"/>
      <c r="W3" s="11"/>
      <c r="X3" s="11"/>
    </row>
    <row r="4" spans="1:24" s="3" customFormat="1">
      <c r="E4" s="7"/>
    </row>
    <row r="5" spans="1:24" s="12" customFormat="1">
      <c r="A5" s="13"/>
      <c r="B5" s="13"/>
      <c r="C5" s="14"/>
      <c r="D5" s="13"/>
      <c r="E5" s="7" t="s">
        <v>2</v>
      </c>
      <c r="F5" s="13"/>
      <c r="G5" s="13"/>
      <c r="H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5"/>
      <c r="W5" s="15"/>
      <c r="X5" s="15"/>
    </row>
    <row r="6" spans="1:24" s="12" customFormat="1">
      <c r="A6" s="13"/>
      <c r="B6" s="13"/>
      <c r="C6" s="14"/>
      <c r="D6" s="13"/>
      <c r="E6" s="7" t="s">
        <v>3</v>
      </c>
      <c r="F6" s="13"/>
      <c r="G6" s="13"/>
      <c r="H6" s="13"/>
      <c r="I6" s="16">
        <v>-2</v>
      </c>
      <c r="J6" s="16">
        <v>-1</v>
      </c>
      <c r="K6" s="16">
        <v>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V6" s="15"/>
      <c r="W6" s="15"/>
      <c r="X6" s="15"/>
    </row>
    <row r="7" spans="1:24" s="12" customFormat="1">
      <c r="A7" s="13"/>
      <c r="B7" s="13"/>
      <c r="C7" s="14"/>
      <c r="D7" s="13"/>
      <c r="E7" s="3" t="s">
        <v>4</v>
      </c>
      <c r="F7" s="3"/>
      <c r="G7" s="3"/>
      <c r="H7" s="3"/>
      <c r="I7" s="3"/>
      <c r="J7" s="3"/>
      <c r="K7" s="3"/>
      <c r="L7" s="83">
        <v>4</v>
      </c>
      <c r="M7" s="83">
        <v>3</v>
      </c>
      <c r="N7" s="83">
        <v>2</v>
      </c>
      <c r="O7" s="83">
        <v>1</v>
      </c>
      <c r="P7" s="83">
        <f t="shared" ref="P7" si="2">O7-1</f>
        <v>0</v>
      </c>
      <c r="Q7" s="13"/>
      <c r="R7" s="13"/>
      <c r="S7" s="13"/>
      <c r="T7" s="13"/>
      <c r="U7" s="13"/>
      <c r="V7" s="15"/>
      <c r="W7" s="15"/>
      <c r="X7" s="15"/>
    </row>
    <row r="8" spans="1:24" s="12" customFormat="1">
      <c r="A8" s="13"/>
      <c r="B8" s="13"/>
      <c r="C8" s="14"/>
      <c r="D8" s="13"/>
      <c r="E8" s="3"/>
      <c r="F8" s="3"/>
      <c r="G8" s="3"/>
      <c r="H8" s="3"/>
      <c r="I8" s="3"/>
      <c r="J8" s="3"/>
      <c r="K8" s="3"/>
      <c r="L8" s="83"/>
      <c r="M8" s="83"/>
      <c r="N8" s="83"/>
      <c r="O8" s="83"/>
      <c r="P8" s="83"/>
      <c r="Q8" s="13"/>
      <c r="R8" s="13"/>
      <c r="S8" s="13"/>
      <c r="T8" s="13"/>
      <c r="U8" s="13"/>
      <c r="V8" s="15"/>
      <c r="W8" s="15"/>
      <c r="X8" s="15"/>
    </row>
    <row r="9" spans="1:24" s="22" customFormat="1" ht="15">
      <c r="A9" s="18"/>
      <c r="B9" s="19"/>
      <c r="C9" s="19"/>
      <c r="D9" s="20"/>
      <c r="E9" s="21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s="12" customFormat="1">
      <c r="A10" s="13"/>
      <c r="B10" s="13"/>
      <c r="C10" s="14"/>
      <c r="D10" s="13"/>
      <c r="E10" s="17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/>
      <c r="W10" s="15"/>
      <c r="X10" s="15"/>
    </row>
    <row r="11" spans="1:24" s="12" customFormat="1">
      <c r="A11" s="13"/>
      <c r="B11" s="13"/>
      <c r="C11" s="14"/>
      <c r="D11" s="13" t="s">
        <v>6</v>
      </c>
      <c r="E11" s="17" t="s">
        <v>7</v>
      </c>
      <c r="H11" s="23" t="s">
        <v>469</v>
      </c>
      <c r="I11" s="150" t="s">
        <v>8</v>
      </c>
      <c r="M11" s="13"/>
      <c r="N11" s="13"/>
      <c r="O11" s="13"/>
      <c r="P11" s="13"/>
      <c r="Q11" s="13"/>
      <c r="R11" s="13"/>
      <c r="S11" s="13"/>
      <c r="T11" s="13"/>
      <c r="U11" s="13"/>
      <c r="V11" s="15"/>
      <c r="W11" s="15"/>
      <c r="X11" s="15"/>
    </row>
    <row r="12" spans="1:24" s="12" customFormat="1">
      <c r="A12" s="13"/>
      <c r="B12" s="13"/>
      <c r="C12" s="14"/>
      <c r="D12" s="13" t="s">
        <v>6</v>
      </c>
      <c r="E12" s="17" t="s">
        <v>9</v>
      </c>
      <c r="H12" s="23" t="str">
        <f>IF(F_Inputs!P4=1,"WoC","WaSC")</f>
        <v>WaSC</v>
      </c>
      <c r="I12" s="150" t="s">
        <v>10</v>
      </c>
      <c r="K12" s="24" t="b">
        <f>CompanyType="WoC"</f>
        <v>0</v>
      </c>
      <c r="M12" s="150" t="s">
        <v>11</v>
      </c>
      <c r="N12" s="13"/>
      <c r="O12" s="13"/>
      <c r="P12" s="13"/>
      <c r="Q12" s="13"/>
      <c r="R12" s="13"/>
      <c r="S12" s="13"/>
      <c r="T12" s="13"/>
      <c r="U12" s="13"/>
      <c r="V12" s="15"/>
      <c r="W12" s="15"/>
      <c r="X12" s="15"/>
    </row>
    <row r="13" spans="1:24" s="12" customFormat="1">
      <c r="A13" s="13"/>
      <c r="B13" s="13"/>
      <c r="C13" s="14"/>
      <c r="D13" s="13" t="s">
        <v>6</v>
      </c>
      <c r="E13" s="17" t="s">
        <v>12</v>
      </c>
      <c r="H13" s="23" t="str">
        <f>IF(CompanyName="AFW","Yes",IF(CompanyName="SWT","Yes","No"))</f>
        <v>No</v>
      </c>
      <c r="I13" s="150" t="s">
        <v>13</v>
      </c>
      <c r="K13" s="24" t="b">
        <f>CompanyEnhanced="Yes"</f>
        <v>0</v>
      </c>
      <c r="M13" s="150" t="s">
        <v>14</v>
      </c>
      <c r="N13" s="13"/>
      <c r="O13" s="13"/>
      <c r="P13" s="13"/>
      <c r="Q13" s="13"/>
      <c r="R13" s="13"/>
      <c r="S13" s="13"/>
      <c r="T13" s="13"/>
      <c r="U13" s="13"/>
      <c r="V13" s="15"/>
      <c r="W13" s="15"/>
      <c r="X13" s="15"/>
    </row>
    <row r="14" spans="1:24" s="12" customFormat="1">
      <c r="A14" s="13"/>
      <c r="B14" s="13"/>
      <c r="C14" s="14"/>
      <c r="D14" s="13"/>
      <c r="E14" s="17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5"/>
      <c r="W14" s="15"/>
      <c r="X14" s="15"/>
    </row>
    <row r="15" spans="1:24" s="12" customFormat="1">
      <c r="A15" s="13"/>
      <c r="B15" s="13"/>
      <c r="C15" s="14"/>
      <c r="D15" s="13" t="s">
        <v>15</v>
      </c>
      <c r="E15" s="17" t="s">
        <v>16</v>
      </c>
      <c r="F15" s="13"/>
      <c r="G15" s="13"/>
      <c r="H15" s="158">
        <f>IF(CompanyName="BRL","Input value",IF(CompanyEnhanced="Yes",3.7%,3.6%))</f>
        <v>3.6000000000000004E-2</v>
      </c>
      <c r="I15" s="150" t="s">
        <v>17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5"/>
      <c r="W15" s="15"/>
      <c r="X15" s="15"/>
    </row>
    <row r="16" spans="1:24" s="12" customFormat="1">
      <c r="A16" s="13"/>
      <c r="B16" s="13"/>
      <c r="C16" s="14"/>
      <c r="D16" s="13"/>
      <c r="E16" s="17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/>
      <c r="W16" s="15"/>
      <c r="X16" s="15"/>
    </row>
    <row r="17" spans="1:27" s="22" customFormat="1" ht="15">
      <c r="A17" s="18"/>
      <c r="B17" s="19"/>
      <c r="C17" s="19"/>
      <c r="D17" s="20"/>
      <c r="E17" s="21" t="s">
        <v>18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7" s="3" customFormat="1"/>
    <row r="19" spans="1:27" s="22" customFormat="1" ht="15">
      <c r="A19" s="18"/>
      <c r="B19" s="19"/>
      <c r="C19" s="19"/>
      <c r="D19" s="20"/>
      <c r="E19" s="21" t="s">
        <v>19</v>
      </c>
      <c r="F19" s="16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7" s="22" customFormat="1" ht="15">
      <c r="A20" s="172"/>
      <c r="B20" s="172"/>
      <c r="C20" s="172"/>
      <c r="D20" s="173"/>
      <c r="E20" s="174"/>
      <c r="F20" s="175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</row>
    <row r="21" spans="1:27" s="3" customFormat="1">
      <c r="E21" s="90" t="s">
        <v>20</v>
      </c>
    </row>
    <row r="22" spans="1:27" s="193" customFormat="1">
      <c r="A22" s="3"/>
      <c r="B22" s="3"/>
      <c r="C22" s="3"/>
      <c r="D22" s="3" t="s">
        <v>21</v>
      </c>
      <c r="E22" s="3" t="s">
        <v>22</v>
      </c>
      <c r="F22" s="3"/>
      <c r="G22" s="3"/>
      <c r="H22" s="228">
        <f>F_Inputs!P7</f>
        <v>94.332281295570397</v>
      </c>
      <c r="I22" s="89" t="s">
        <v>23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7" s="193" customFormat="1">
      <c r="A23" s="3"/>
      <c r="B23" s="3"/>
      <c r="C23" s="3"/>
      <c r="D23" s="3" t="s">
        <v>21</v>
      </c>
      <c r="E23" s="3" t="s">
        <v>24</v>
      </c>
      <c r="F23" s="3"/>
      <c r="G23" s="3"/>
      <c r="H23" s="228">
        <f>F_Inputs!P8</f>
        <v>99.504869880768695</v>
      </c>
      <c r="I23" s="89" t="s">
        <v>25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7" s="193" customFormat="1">
      <c r="A24" s="3"/>
      <c r="B24" s="3"/>
      <c r="C24" s="3"/>
      <c r="D24" s="3"/>
      <c r="E24" s="3"/>
      <c r="F24" s="89"/>
      <c r="G24" s="89"/>
      <c r="H24" s="89"/>
      <c r="I24" s="8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7" s="193" customFormat="1">
      <c r="A25" s="3"/>
      <c r="B25" s="3"/>
      <c r="C25" s="3"/>
      <c r="D25" s="3"/>
      <c r="E25" s="90" t="s">
        <v>26</v>
      </c>
      <c r="F25" s="33"/>
      <c r="G25" s="3"/>
      <c r="H25" s="89"/>
      <c r="I25" s="8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7" s="193" customFormat="1">
      <c r="A26" s="3"/>
      <c r="B26" s="3"/>
      <c r="C26" s="3"/>
      <c r="D26" s="3" t="s">
        <v>21</v>
      </c>
      <c r="E26" s="3" t="s">
        <v>27</v>
      </c>
      <c r="F26" s="33" t="s">
        <v>28</v>
      </c>
      <c r="G26" s="3"/>
      <c r="H26" s="89"/>
      <c r="I26" s="89"/>
      <c r="J26" s="3"/>
      <c r="K26" s="3"/>
      <c r="L26" s="35">
        <f>+F_Inputs!J5</f>
        <v>4.5425319525929302</v>
      </c>
      <c r="M26" s="35">
        <f>+F_Inputs!K5</f>
        <v>4.5425319525929302</v>
      </c>
      <c r="N26" s="35">
        <f>+F_Inputs!L5</f>
        <v>4.5425319525929302</v>
      </c>
      <c r="O26" s="35">
        <f>+F_Inputs!M5</f>
        <v>4.5425319525929302</v>
      </c>
      <c r="P26" s="35">
        <f>+F_Inputs!N5</f>
        <v>4.5425319525929302</v>
      </c>
      <c r="Q26" s="59" t="s">
        <v>29</v>
      </c>
      <c r="R26" s="3"/>
      <c r="S26" s="3"/>
      <c r="T26" s="3"/>
      <c r="U26" s="3"/>
      <c r="V26" s="3"/>
      <c r="W26" s="3"/>
      <c r="X26" s="3"/>
    </row>
    <row r="27" spans="1:27" s="193" customFormat="1">
      <c r="A27" s="3"/>
      <c r="B27" s="3"/>
      <c r="C27" s="3"/>
      <c r="D27" s="3" t="s">
        <v>21</v>
      </c>
      <c r="E27" s="3" t="s">
        <v>30</v>
      </c>
      <c r="F27" s="33" t="s">
        <v>28</v>
      </c>
      <c r="G27" s="3"/>
      <c r="H27" s="89"/>
      <c r="I27" s="89"/>
      <c r="J27" s="3"/>
      <c r="K27" s="3"/>
      <c r="L27" s="35">
        <f>+F_Inputs!J6</f>
        <v>5.9340959397839903</v>
      </c>
      <c r="M27" s="35">
        <f>+F_Inputs!K6</f>
        <v>5.9340959397839903</v>
      </c>
      <c r="N27" s="35">
        <f>+F_Inputs!L6</f>
        <v>5.9340959397839903</v>
      </c>
      <c r="O27" s="35">
        <f>+F_Inputs!M6</f>
        <v>5.9340959397839903</v>
      </c>
      <c r="P27" s="35">
        <f>+F_Inputs!N6</f>
        <v>5.9340959397839903</v>
      </c>
      <c r="Q27" s="59" t="s">
        <v>31</v>
      </c>
      <c r="R27" s="3"/>
      <c r="S27" s="3"/>
      <c r="T27" s="3"/>
      <c r="U27" s="3"/>
      <c r="V27" s="3"/>
      <c r="W27" s="3"/>
      <c r="X27" s="3"/>
    </row>
    <row r="28" spans="1:27" s="193" customFormat="1">
      <c r="A28" s="3"/>
      <c r="B28" s="3"/>
      <c r="C28" s="3"/>
      <c r="D28" s="3"/>
      <c r="E28" s="3"/>
      <c r="F28" s="33"/>
      <c r="G28" s="3"/>
      <c r="H28" s="89"/>
      <c r="I28" s="89"/>
      <c r="J28" s="3"/>
      <c r="K28" s="3"/>
      <c r="L28" s="209"/>
      <c r="M28" s="209"/>
      <c r="N28" s="209"/>
      <c r="O28" s="209"/>
      <c r="P28" s="209"/>
      <c r="Q28" s="59"/>
      <c r="R28" s="3"/>
      <c r="S28" s="3"/>
      <c r="T28" s="3"/>
      <c r="U28" s="3"/>
      <c r="V28" s="3"/>
      <c r="W28" s="3"/>
      <c r="X28" s="3"/>
    </row>
    <row r="29" spans="1:27" s="22" customFormat="1" ht="15">
      <c r="A29" s="18"/>
      <c r="B29" s="19"/>
      <c r="C29" s="19"/>
      <c r="D29" s="20"/>
      <c r="E29" s="21" t="s">
        <v>32</v>
      </c>
      <c r="F29" s="16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7" s="22" customFormat="1" ht="12.75" customHeight="1">
      <c r="A30" s="172"/>
      <c r="B30" s="172"/>
      <c r="C30" s="172"/>
      <c r="D30" s="173"/>
      <c r="E30" s="174"/>
      <c r="F30" s="175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</row>
    <row r="31" spans="1:27" s="12" customFormat="1" ht="12" customHeight="1">
      <c r="A31" s="30"/>
      <c r="B31" s="30"/>
      <c r="C31" s="31"/>
      <c r="D31" s="3"/>
      <c r="E31" s="90" t="s">
        <v>33</v>
      </c>
      <c r="F31" s="3"/>
      <c r="G31" s="3"/>
      <c r="H31" s="3"/>
      <c r="I31" s="3"/>
      <c r="J31" s="30"/>
      <c r="K31" s="30"/>
      <c r="R31" s="30"/>
      <c r="S31" s="30"/>
      <c r="T31" s="30"/>
      <c r="U31" s="30"/>
      <c r="V31" s="45"/>
      <c r="W31" s="30"/>
      <c r="X31" s="30"/>
      <c r="Y31" s="30"/>
      <c r="Z31" s="30"/>
      <c r="AA31" s="30"/>
    </row>
    <row r="32" spans="1:27" s="12" customFormat="1">
      <c r="A32" s="30"/>
      <c r="B32" s="30"/>
      <c r="C32" s="31"/>
      <c r="D32" s="3" t="s">
        <v>21</v>
      </c>
      <c r="E32" s="3" t="s">
        <v>34</v>
      </c>
      <c r="F32" s="3"/>
      <c r="G32" s="3"/>
      <c r="H32" s="35">
        <f>F_Inputs!P9</f>
        <v>94.332281295570397</v>
      </c>
      <c r="I32" s="89" t="s">
        <v>35</v>
      </c>
      <c r="J32" s="30"/>
      <c r="K32" s="30"/>
      <c r="R32" s="30"/>
      <c r="S32" s="30"/>
      <c r="T32" s="30"/>
      <c r="U32" s="30"/>
      <c r="V32" s="45"/>
      <c r="W32" s="30"/>
      <c r="X32" s="30"/>
      <c r="Y32" s="30"/>
      <c r="Z32" s="30"/>
      <c r="AA32" s="30"/>
    </row>
    <row r="33" spans="1:27" s="12" customFormat="1">
      <c r="A33" s="30"/>
      <c r="B33" s="30"/>
      <c r="C33" s="31"/>
      <c r="D33" s="3" t="s">
        <v>21</v>
      </c>
      <c r="E33" s="3" t="s">
        <v>36</v>
      </c>
      <c r="F33" s="3"/>
      <c r="G33" s="3"/>
      <c r="H33" s="35">
        <f>F_Inputs!P10</f>
        <v>99.504869880768695</v>
      </c>
      <c r="I33" s="89" t="s">
        <v>37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5"/>
      <c r="W33" s="30"/>
      <c r="X33" s="30"/>
      <c r="Y33" s="30"/>
      <c r="Z33" s="30"/>
      <c r="AA33" s="30"/>
    </row>
    <row r="34" spans="1:27" s="12" customFormat="1">
      <c r="A34" s="30"/>
      <c r="B34" s="30"/>
      <c r="C34" s="31"/>
      <c r="D34" s="30"/>
      <c r="E34" s="3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45"/>
      <c r="W34" s="30"/>
      <c r="X34" s="30"/>
      <c r="Y34" s="30"/>
      <c r="Z34" s="30"/>
      <c r="AA34" s="30"/>
    </row>
    <row r="35" spans="1:27" s="22" customFormat="1" ht="15">
      <c r="A35" s="18"/>
      <c r="B35" s="19"/>
      <c r="C35" s="19"/>
      <c r="D35" s="20"/>
      <c r="E35" s="21" t="s">
        <v>38</v>
      </c>
      <c r="F35" s="16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7" s="22" customFormat="1" ht="15">
      <c r="A36" s="167"/>
      <c r="B36" s="168"/>
      <c r="C36" s="168"/>
      <c r="D36" s="169"/>
      <c r="E36" s="170"/>
      <c r="F36" s="171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</row>
    <row r="37" spans="1:27" s="22" customFormat="1" ht="15">
      <c r="A37" s="18"/>
      <c r="B37" s="19"/>
      <c r="C37" s="19"/>
      <c r="D37" s="20"/>
      <c r="E37" s="21" t="s">
        <v>39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7" s="12" customFormat="1">
      <c r="A38" s="25"/>
      <c r="B38" s="25"/>
      <c r="C38" s="26"/>
      <c r="D38" s="25"/>
      <c r="E38" s="27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41"/>
      <c r="W38" s="30"/>
      <c r="X38" s="30"/>
      <c r="Y38" s="30"/>
      <c r="Z38" s="30"/>
      <c r="AA38" s="30"/>
    </row>
    <row r="39" spans="1:27" s="12" customFormat="1">
      <c r="A39" s="25"/>
      <c r="B39" s="25"/>
      <c r="C39" s="26"/>
      <c r="D39" s="25"/>
      <c r="E39" s="27" t="s">
        <v>40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41"/>
      <c r="W39" s="30"/>
      <c r="X39" s="30"/>
      <c r="Y39" s="30"/>
      <c r="Z39" s="30"/>
      <c r="AA39" s="30"/>
    </row>
    <row r="40" spans="1:27" s="12" customFormat="1">
      <c r="A40" s="30"/>
      <c r="B40" s="30"/>
      <c r="C40" s="31"/>
      <c r="D40" s="30" t="s">
        <v>41</v>
      </c>
      <c r="E40" s="32" t="s">
        <v>42</v>
      </c>
      <c r="F40" s="33" t="s">
        <v>28</v>
      </c>
      <c r="G40" s="42"/>
      <c r="H40" s="42"/>
      <c r="I40" s="34"/>
      <c r="J40" s="34"/>
      <c r="K40" s="34"/>
      <c r="L40" s="35">
        <f>+F_Inputs!J14</f>
        <v>344.339237461952</v>
      </c>
      <c r="M40" s="35">
        <f>+F_Inputs!K14</f>
        <v>309.13944048344501</v>
      </c>
      <c r="N40" s="35">
        <f>+F_Inputs!L14</f>
        <v>281.35641455571698</v>
      </c>
      <c r="O40" s="35">
        <f>+F_Inputs!M14</f>
        <v>281.87475836925802</v>
      </c>
      <c r="P40" s="35">
        <f>+F_Inputs!N14</f>
        <v>288.286225891041</v>
      </c>
      <c r="Q40" s="59" t="s">
        <v>43</v>
      </c>
      <c r="R40" s="34"/>
      <c r="S40" s="34"/>
      <c r="T40" s="34"/>
      <c r="U40" s="34"/>
      <c r="V40" s="37"/>
      <c r="W40" s="30"/>
      <c r="X40" s="30"/>
      <c r="Y40" s="30"/>
      <c r="Z40" s="30"/>
      <c r="AA40" s="30"/>
    </row>
    <row r="41" spans="1:27" s="12" customFormat="1">
      <c r="A41" s="25"/>
      <c r="B41" s="25"/>
      <c r="C41" s="31"/>
      <c r="D41" s="30" t="s">
        <v>41</v>
      </c>
      <c r="E41" s="32" t="s">
        <v>44</v>
      </c>
      <c r="F41" s="33" t="s">
        <v>28</v>
      </c>
      <c r="G41" s="28"/>
      <c r="H41" s="28"/>
      <c r="I41" s="34"/>
      <c r="J41" s="34"/>
      <c r="K41" s="34"/>
      <c r="L41" s="35">
        <f>+F_Inputs!J15</f>
        <v>388.12764331233097</v>
      </c>
      <c r="M41" s="35">
        <f>+F_Inputs!K15</f>
        <v>388.12764331233097</v>
      </c>
      <c r="N41" s="35">
        <f>+F_Inputs!L15</f>
        <v>388.12764331233097</v>
      </c>
      <c r="O41" s="35">
        <f>+F_Inputs!M15</f>
        <v>388.12764331233097</v>
      </c>
      <c r="P41" s="35">
        <f>+F_Inputs!N15</f>
        <v>388.12764331233097</v>
      </c>
      <c r="Q41" s="59" t="s">
        <v>45</v>
      </c>
      <c r="R41" s="28"/>
      <c r="S41" s="28"/>
      <c r="T41" s="28"/>
      <c r="U41" s="28"/>
      <c r="V41" s="37"/>
      <c r="W41" s="30"/>
      <c r="X41" s="30"/>
      <c r="Y41" s="30"/>
      <c r="Z41" s="30"/>
      <c r="AA41" s="30"/>
    </row>
    <row r="42" spans="1:27" s="12" customFormat="1">
      <c r="A42" s="25"/>
      <c r="B42" s="25"/>
      <c r="C42" s="31"/>
      <c r="D42" s="30"/>
      <c r="E42" s="38"/>
      <c r="F42" s="28"/>
      <c r="G42" s="28"/>
      <c r="H42" s="28"/>
      <c r="I42" s="34"/>
      <c r="J42" s="34"/>
      <c r="K42" s="34"/>
      <c r="L42" s="28"/>
      <c r="M42" s="28"/>
      <c r="N42" s="28"/>
      <c r="O42" s="28"/>
      <c r="P42" s="28"/>
      <c r="R42" s="28"/>
      <c r="S42" s="28"/>
      <c r="T42" s="28"/>
      <c r="U42" s="28"/>
      <c r="V42" s="37"/>
      <c r="W42" s="30"/>
      <c r="X42" s="30"/>
      <c r="Y42" s="30"/>
      <c r="Z42" s="30"/>
      <c r="AA42" s="30"/>
    </row>
    <row r="43" spans="1:27" s="198" customFormat="1" ht="15.75" customHeight="1">
      <c r="A43" s="195"/>
      <c r="B43" s="196"/>
      <c r="C43" s="196"/>
      <c r="D43" s="197"/>
      <c r="E43" s="203" t="s">
        <v>46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</row>
    <row r="44" spans="1:27" s="12" customFormat="1">
      <c r="A44" s="25"/>
      <c r="B44" s="25"/>
      <c r="C44" s="44"/>
      <c r="D44" s="25"/>
      <c r="E44" s="2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7"/>
      <c r="R44" s="48"/>
      <c r="S44" s="48"/>
      <c r="T44" s="48"/>
      <c r="U44" s="25"/>
      <c r="V44" s="41"/>
      <c r="W44" s="30"/>
      <c r="X44" s="30"/>
      <c r="Y44" s="30"/>
      <c r="Z44" s="30"/>
      <c r="AA44" s="30"/>
    </row>
    <row r="45" spans="1:27" s="12" customFormat="1">
      <c r="A45" s="25"/>
      <c r="B45" s="25"/>
      <c r="C45" s="44"/>
      <c r="D45" s="25"/>
      <c r="E45" s="27" t="s">
        <v>47</v>
      </c>
      <c r="F45" s="25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7"/>
      <c r="R45" s="48"/>
      <c r="S45" s="48"/>
      <c r="T45" s="48"/>
      <c r="U45" s="25"/>
      <c r="V45" s="41"/>
      <c r="W45" s="30"/>
      <c r="X45" s="30"/>
      <c r="Y45" s="30"/>
      <c r="Z45" s="30"/>
      <c r="AA45" s="30"/>
    </row>
    <row r="46" spans="1:27" s="207" customFormat="1">
      <c r="A46" s="25"/>
      <c r="B46" s="25"/>
      <c r="C46" s="44"/>
      <c r="D46" s="30" t="s">
        <v>41</v>
      </c>
      <c r="E46" s="32" t="s">
        <v>48</v>
      </c>
      <c r="F46" s="33" t="s">
        <v>28</v>
      </c>
      <c r="G46" s="40"/>
      <c r="H46" s="178"/>
      <c r="I46" s="40"/>
      <c r="J46" s="40"/>
      <c r="K46" s="40"/>
      <c r="L46" s="35">
        <f>+F_Inputs!J12</f>
        <v>346.174889850238</v>
      </c>
      <c r="M46" s="35">
        <f>+F_Inputs!K12</f>
        <v>311.26652548710899</v>
      </c>
      <c r="N46" s="35">
        <f>+F_Inputs!L12</f>
        <v>283.87716549867002</v>
      </c>
      <c r="O46" s="35">
        <f>+F_Inputs!M12</f>
        <v>284.388164744893</v>
      </c>
      <c r="P46" s="35">
        <f>+F_Inputs!N12</f>
        <v>290.70878628068601</v>
      </c>
      <c r="Q46" s="59" t="s">
        <v>49</v>
      </c>
      <c r="R46" s="48"/>
      <c r="S46" s="48"/>
      <c r="T46" s="48"/>
      <c r="U46" s="25"/>
      <c r="V46" s="41"/>
      <c r="W46" s="32"/>
      <c r="X46" s="30"/>
      <c r="Y46" s="208"/>
      <c r="Z46" s="208"/>
      <c r="AA46" s="208"/>
    </row>
    <row r="47" spans="1:27" s="207" customFormat="1">
      <c r="A47" s="25"/>
      <c r="B47" s="25"/>
      <c r="C47" s="44"/>
      <c r="D47" s="30" t="s">
        <v>41</v>
      </c>
      <c r="E47" s="32" t="s">
        <v>50</v>
      </c>
      <c r="F47" s="33" t="s">
        <v>28</v>
      </c>
      <c r="G47" s="40"/>
      <c r="H47" s="178"/>
      <c r="I47" s="40"/>
      <c r="J47" s="40"/>
      <c r="K47" s="40"/>
      <c r="L47" s="35">
        <f>+F_Inputs!J13</f>
        <v>387.88780320255398</v>
      </c>
      <c r="M47" s="35">
        <f>+F_Inputs!K13</f>
        <v>387.65270264732601</v>
      </c>
      <c r="N47" s="35">
        <f>+F_Inputs!L13</f>
        <v>387.65270264732601</v>
      </c>
      <c r="O47" s="35">
        <f>+F_Inputs!M13</f>
        <v>387.65270264732601</v>
      </c>
      <c r="P47" s="35">
        <f>+F_Inputs!N13</f>
        <v>387.65270264732601</v>
      </c>
      <c r="Q47" s="59" t="s">
        <v>51</v>
      </c>
      <c r="R47" s="48"/>
      <c r="S47" s="48"/>
      <c r="T47" s="48"/>
      <c r="U47" s="25"/>
      <c r="V47" s="41"/>
      <c r="W47" s="32"/>
      <c r="X47" s="30"/>
      <c r="Y47" s="208"/>
      <c r="Z47" s="208"/>
      <c r="AA47" s="208"/>
    </row>
    <row r="48" spans="1:27" s="12" customFormat="1">
      <c r="A48" s="30"/>
      <c r="B48" s="30"/>
      <c r="C48" s="31"/>
      <c r="D48" s="30"/>
      <c r="E48" s="39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45"/>
      <c r="W48" s="30"/>
      <c r="X48" s="30"/>
      <c r="Y48" s="30"/>
      <c r="Z48" s="30"/>
      <c r="AA48" s="30"/>
    </row>
    <row r="49" spans="1:27" s="22" customFormat="1" ht="15">
      <c r="A49" s="18"/>
      <c r="B49" s="19"/>
      <c r="C49" s="19"/>
      <c r="D49" s="20"/>
      <c r="E49" s="21" t="s">
        <v>52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:27" s="12" customFormat="1">
      <c r="A50" s="25"/>
      <c r="B50" s="25"/>
      <c r="C50" s="44"/>
      <c r="D50" s="25"/>
      <c r="E50" s="2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7"/>
      <c r="R50" s="48"/>
      <c r="S50" s="48"/>
      <c r="T50" s="48"/>
      <c r="U50" s="25"/>
      <c r="V50" s="41"/>
      <c r="W50" s="30"/>
      <c r="X50" s="30"/>
      <c r="Y50" s="30"/>
      <c r="Z50" s="30"/>
      <c r="AA50" s="30"/>
    </row>
    <row r="51" spans="1:27" s="12" customFormat="1">
      <c r="A51" s="25"/>
      <c r="B51" s="25"/>
      <c r="C51" s="44"/>
      <c r="D51" s="25"/>
      <c r="E51" s="27" t="s">
        <v>53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7"/>
      <c r="R51" s="48"/>
      <c r="S51" s="48"/>
      <c r="T51" s="48"/>
      <c r="U51" s="25"/>
      <c r="V51" s="41"/>
      <c r="W51" s="30"/>
      <c r="X51" s="30"/>
      <c r="Y51" s="30"/>
      <c r="Z51" s="30"/>
      <c r="AA51" s="30"/>
    </row>
    <row r="52" spans="1:27" s="12" customFormat="1">
      <c r="A52" s="25"/>
      <c r="B52" s="25"/>
      <c r="C52" s="44"/>
      <c r="D52" s="30" t="s">
        <v>41</v>
      </c>
      <c r="E52" s="32" t="s">
        <v>54</v>
      </c>
      <c r="F52" s="33" t="s">
        <v>55</v>
      </c>
      <c r="G52" s="40"/>
      <c r="H52" s="178"/>
      <c r="I52" s="40"/>
      <c r="J52" s="40"/>
      <c r="K52" s="40"/>
      <c r="L52" s="35">
        <f>+F_Inputs!J16</f>
        <v>279.79500000000002</v>
      </c>
      <c r="M52" s="35">
        <f>+F_Inputs!K16</f>
        <v>328.92353147038801</v>
      </c>
      <c r="N52" s="35">
        <f>+F_Inputs!L16</f>
        <v>369.596</v>
      </c>
      <c r="O52" s="35">
        <f>+F_Inputs!M16</f>
        <v>439.154</v>
      </c>
      <c r="P52" s="35">
        <f>+F_Inputs!N16</f>
        <v>456.14800000000002</v>
      </c>
      <c r="Q52" s="59" t="s">
        <v>56</v>
      </c>
      <c r="R52" s="48"/>
      <c r="S52" s="48"/>
      <c r="T52" s="48"/>
      <c r="U52" s="25"/>
      <c r="V52" s="41"/>
      <c r="W52" s="30"/>
      <c r="X52" s="30"/>
      <c r="Y52" s="30"/>
      <c r="Z52" s="30"/>
      <c r="AA52" s="30"/>
    </row>
    <row r="53" spans="1:27" s="12" customFormat="1">
      <c r="A53" s="25"/>
      <c r="B53" s="25"/>
      <c r="C53" s="44"/>
      <c r="D53" s="30" t="s">
        <v>41</v>
      </c>
      <c r="E53" s="32" t="s">
        <v>57</v>
      </c>
      <c r="F53" s="33" t="s">
        <v>55</v>
      </c>
      <c r="G53" s="40"/>
      <c r="H53" s="178"/>
      <c r="I53" s="40"/>
      <c r="J53" s="40"/>
      <c r="K53" s="40"/>
      <c r="L53" s="35">
        <f>+F_Inputs!J17</f>
        <v>320.91750000000002</v>
      </c>
      <c r="M53" s="35">
        <f>+F_Inputs!K17</f>
        <v>417.545672484345</v>
      </c>
      <c r="N53" s="35">
        <f>+F_Inputs!L17</f>
        <v>423.85951915999999</v>
      </c>
      <c r="O53" s="35">
        <f>+F_Inputs!M17</f>
        <v>528.88800000000003</v>
      </c>
      <c r="P53" s="35">
        <f>+F_Inputs!N17</f>
        <v>471.57799999999997</v>
      </c>
      <c r="Q53" s="59" t="s">
        <v>58</v>
      </c>
      <c r="R53" s="48"/>
      <c r="S53" s="48"/>
      <c r="T53" s="48"/>
      <c r="U53" s="25"/>
      <c r="V53" s="41"/>
      <c r="W53" s="30"/>
      <c r="X53" s="30"/>
      <c r="Y53" s="30"/>
      <c r="Z53" s="30"/>
      <c r="AA53" s="30"/>
    </row>
    <row r="54" spans="1:27">
      <c r="A54" s="25"/>
      <c r="B54" s="25"/>
      <c r="C54" s="26"/>
      <c r="D54" s="25"/>
      <c r="E54" s="27"/>
      <c r="F54" s="25"/>
      <c r="G54" s="25"/>
      <c r="H54" s="25"/>
      <c r="I54" s="25"/>
      <c r="J54" s="25"/>
      <c r="K54" s="25"/>
      <c r="L54" s="205"/>
      <c r="M54" s="25"/>
      <c r="N54" s="25"/>
      <c r="O54" s="25"/>
      <c r="P54" s="25"/>
      <c r="Q54" s="25"/>
      <c r="R54" s="28"/>
      <c r="S54" s="28"/>
      <c r="T54" s="28"/>
      <c r="U54" s="28"/>
      <c r="V54" s="29"/>
      <c r="W54" s="29"/>
      <c r="X54" s="29"/>
      <c r="Y54" s="29"/>
      <c r="Z54" s="29"/>
      <c r="AA54" s="29"/>
    </row>
    <row r="55" spans="1:27" s="22" customFormat="1" ht="15">
      <c r="A55" s="18"/>
      <c r="B55" s="19"/>
      <c r="C55" s="19"/>
      <c r="D55" s="20"/>
      <c r="E55" s="21" t="s">
        <v>59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7" s="12" customFormat="1">
      <c r="A56" s="30"/>
      <c r="B56" s="30"/>
      <c r="C56" s="31"/>
      <c r="D56" s="30"/>
      <c r="E56" s="39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45"/>
      <c r="W56" s="30"/>
      <c r="X56" s="30"/>
      <c r="Y56" s="30"/>
      <c r="Z56" s="30"/>
      <c r="AA56" s="30"/>
    </row>
    <row r="57" spans="1:27" s="22" customFormat="1" ht="15">
      <c r="A57" s="18"/>
      <c r="B57" s="19"/>
      <c r="C57" s="19"/>
      <c r="D57" s="20"/>
      <c r="E57" s="21" t="s">
        <v>60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7" s="22" customFormat="1" ht="15">
      <c r="A58" s="172"/>
      <c r="B58" s="172"/>
      <c r="C58" s="172"/>
      <c r="D58" s="173"/>
      <c r="E58" s="174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</row>
    <row r="59" spans="1:27" s="12" customFormat="1">
      <c r="A59" s="30"/>
      <c r="B59" s="30"/>
      <c r="C59" s="31"/>
      <c r="D59" s="30"/>
      <c r="E59" s="49" t="s">
        <v>61</v>
      </c>
      <c r="F59" s="30"/>
      <c r="G59" s="30"/>
      <c r="H59" s="30"/>
      <c r="I59" s="30"/>
      <c r="J59" s="30"/>
      <c r="K59" s="5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45"/>
      <c r="W59" s="30"/>
      <c r="X59" s="30"/>
      <c r="Y59" s="30"/>
      <c r="Z59" s="30"/>
      <c r="AA59" s="30"/>
    </row>
    <row r="60" spans="1:27" s="12" customFormat="1">
      <c r="A60" s="30"/>
      <c r="B60" s="30"/>
      <c r="C60" s="31"/>
      <c r="D60" s="30" t="s">
        <v>41</v>
      </c>
      <c r="E60" s="32" t="s">
        <v>62</v>
      </c>
      <c r="F60" s="33" t="s">
        <v>55</v>
      </c>
      <c r="G60" s="30"/>
      <c r="H60" s="30"/>
      <c r="I60" s="30"/>
      <c r="J60" s="30"/>
      <c r="K60" s="50"/>
      <c r="L60" s="35">
        <f>+F_Inputs!J18</f>
        <v>1.6279999999999999</v>
      </c>
      <c r="M60" s="35">
        <f>+F_Inputs!K18</f>
        <v>1.7050000000000001</v>
      </c>
      <c r="N60" s="35">
        <f>+F_Inputs!L18</f>
        <v>2.2509999999999999</v>
      </c>
      <c r="O60" s="35">
        <f>+F_Inputs!M18</f>
        <v>2.8279999999999998</v>
      </c>
      <c r="P60" s="35">
        <f>+F_Inputs!N18</f>
        <v>2.66</v>
      </c>
      <c r="Q60" s="30"/>
      <c r="R60" s="30"/>
      <c r="S60" s="30"/>
      <c r="T60" s="30"/>
      <c r="U60" s="30"/>
      <c r="V60" s="45"/>
      <c r="W60" s="30"/>
      <c r="X60" s="30"/>
      <c r="Y60" s="30"/>
      <c r="Z60" s="30"/>
      <c r="AA60" s="30"/>
    </row>
    <row r="61" spans="1:27" s="12" customFormat="1">
      <c r="A61" s="30"/>
      <c r="B61" s="30"/>
      <c r="C61" s="31"/>
      <c r="D61" s="30" t="s">
        <v>41</v>
      </c>
      <c r="E61" s="32" t="s">
        <v>63</v>
      </c>
      <c r="F61" s="33" t="s">
        <v>55</v>
      </c>
      <c r="G61" s="30"/>
      <c r="H61" s="30"/>
      <c r="I61" s="30"/>
      <c r="J61" s="30"/>
      <c r="K61" s="50"/>
      <c r="L61" s="35">
        <f>+F_Inputs!J19</f>
        <v>0</v>
      </c>
      <c r="M61" s="35">
        <f>+F_Inputs!K19</f>
        <v>0</v>
      </c>
      <c r="N61" s="35">
        <f>+F_Inputs!L19</f>
        <v>0</v>
      </c>
      <c r="O61" s="35">
        <f>+F_Inputs!M19</f>
        <v>0</v>
      </c>
      <c r="P61" s="35">
        <f>+F_Inputs!N19</f>
        <v>0</v>
      </c>
      <c r="Q61" s="36"/>
      <c r="R61" s="30"/>
      <c r="S61" s="30"/>
      <c r="T61" s="30"/>
      <c r="U61" s="30"/>
      <c r="V61" s="45"/>
      <c r="W61" s="30"/>
      <c r="X61" s="30"/>
      <c r="Y61" s="30"/>
      <c r="Z61" s="30"/>
      <c r="AA61" s="30"/>
    </row>
    <row r="62" spans="1:27" s="12" customFormat="1">
      <c r="A62" s="30"/>
      <c r="B62" s="30"/>
      <c r="C62" s="31"/>
      <c r="D62" s="30" t="s">
        <v>41</v>
      </c>
      <c r="E62" s="32" t="s">
        <v>64</v>
      </c>
      <c r="F62" s="33" t="s">
        <v>55</v>
      </c>
      <c r="G62" s="30"/>
      <c r="H62" s="30"/>
      <c r="I62" s="30"/>
      <c r="J62" s="30"/>
      <c r="K62" s="50"/>
      <c r="L62" s="35">
        <f>+F_Inputs!J20</f>
        <v>7.5090000000000003</v>
      </c>
      <c r="M62" s="35">
        <f>+F_Inputs!K20</f>
        <v>5.1779999999999999</v>
      </c>
      <c r="N62" s="35">
        <f>+F_Inputs!L20</f>
        <v>5.5620000000000003</v>
      </c>
      <c r="O62" s="35">
        <f>+F_Inputs!M20</f>
        <v>6.1420000000000003</v>
      </c>
      <c r="P62" s="35">
        <f>+F_Inputs!N20</f>
        <v>5.9089999999999998</v>
      </c>
      <c r="Q62" s="36" t="s">
        <v>65</v>
      </c>
      <c r="R62" s="30"/>
      <c r="S62" s="30"/>
      <c r="T62" s="30"/>
      <c r="U62" s="30"/>
      <c r="V62" s="45"/>
      <c r="W62" s="30"/>
      <c r="X62" s="30"/>
      <c r="Y62" s="30"/>
      <c r="Z62" s="30"/>
      <c r="AA62" s="30"/>
    </row>
    <row r="63" spans="1:27" s="12" customFormat="1">
      <c r="A63" s="30"/>
      <c r="B63" s="30"/>
      <c r="C63" s="31"/>
      <c r="D63" s="30" t="s">
        <v>41</v>
      </c>
      <c r="E63" s="32" t="s">
        <v>66</v>
      </c>
      <c r="F63" s="33" t="s">
        <v>55</v>
      </c>
      <c r="G63" s="30"/>
      <c r="H63" s="30"/>
      <c r="I63" s="30"/>
      <c r="J63" s="30"/>
      <c r="K63" s="50"/>
      <c r="L63" s="35">
        <f>+F_Inputs!J21</f>
        <v>0.40100000000000002</v>
      </c>
      <c r="M63" s="35">
        <f>+F_Inputs!K21</f>
        <v>0.65300000000000002</v>
      </c>
      <c r="N63" s="35">
        <f>+F_Inputs!L21</f>
        <v>1.0143428730996</v>
      </c>
      <c r="O63" s="35">
        <f>+F_Inputs!M21</f>
        <v>1.702</v>
      </c>
      <c r="P63" s="35">
        <f>+F_Inputs!N21</f>
        <v>1.079</v>
      </c>
      <c r="Q63" s="30"/>
      <c r="R63" s="30"/>
      <c r="S63" s="30"/>
      <c r="T63" s="30"/>
      <c r="U63" s="30"/>
      <c r="V63" s="45"/>
      <c r="W63" s="30"/>
      <c r="X63" s="30"/>
      <c r="Y63" s="30"/>
      <c r="Z63" s="30"/>
      <c r="AA63" s="30"/>
    </row>
    <row r="64" spans="1:27" s="12" customFormat="1">
      <c r="A64" s="30"/>
      <c r="B64" s="30"/>
      <c r="C64" s="31"/>
      <c r="D64" s="30" t="s">
        <v>41</v>
      </c>
      <c r="E64" s="32" t="s">
        <v>67</v>
      </c>
      <c r="F64" s="33" t="s">
        <v>55</v>
      </c>
      <c r="G64" s="30"/>
      <c r="H64" s="30"/>
      <c r="I64" s="30"/>
      <c r="J64" s="30"/>
      <c r="K64" s="50"/>
      <c r="L64" s="230">
        <f>+F_Inputs!J30</f>
        <v>0</v>
      </c>
      <c r="M64" s="230">
        <f>+F_Inputs!K30</f>
        <v>0</v>
      </c>
      <c r="N64" s="230">
        <f>+F_Inputs!L30</f>
        <v>0</v>
      </c>
      <c r="O64" s="230">
        <f>+F_Inputs!M30</f>
        <v>7.6120000000000001</v>
      </c>
      <c r="P64" s="230">
        <f>+F_Inputs!N30</f>
        <v>12.734999999999999</v>
      </c>
      <c r="Q64" s="36" t="s">
        <v>68</v>
      </c>
      <c r="R64" s="30"/>
      <c r="S64" s="30"/>
      <c r="T64" s="30"/>
      <c r="U64" s="30"/>
      <c r="V64" s="45"/>
      <c r="W64" s="30"/>
      <c r="X64" s="30"/>
      <c r="Y64" s="30"/>
      <c r="Z64" s="30"/>
      <c r="AA64" s="30"/>
    </row>
    <row r="65" spans="1:27" s="12" customFormat="1">
      <c r="A65" s="30"/>
      <c r="B65" s="30"/>
      <c r="C65" s="31"/>
      <c r="D65" s="30"/>
      <c r="E65" s="39"/>
      <c r="F65" s="30"/>
      <c r="G65" s="30"/>
      <c r="H65" s="30"/>
      <c r="I65" s="30"/>
      <c r="J65" s="30"/>
      <c r="K65" s="50"/>
      <c r="L65" s="30"/>
      <c r="M65" s="30"/>
      <c r="N65" s="30"/>
      <c r="O65" s="30"/>
      <c r="P65" s="30"/>
      <c r="Q65" s="36"/>
      <c r="R65" s="30"/>
      <c r="S65" s="30"/>
      <c r="T65" s="30"/>
      <c r="U65" s="30"/>
      <c r="V65" s="45"/>
      <c r="W65" s="30"/>
      <c r="X65" s="30"/>
      <c r="Y65" s="30"/>
      <c r="Z65" s="30"/>
      <c r="AA65" s="30"/>
    </row>
    <row r="66" spans="1:27" s="12" customFormat="1">
      <c r="A66" s="30"/>
      <c r="B66" s="30"/>
      <c r="C66" s="31"/>
      <c r="D66" s="30" t="s">
        <v>41</v>
      </c>
      <c r="E66" s="32" t="s">
        <v>69</v>
      </c>
      <c r="F66" s="33" t="s">
        <v>55</v>
      </c>
      <c r="G66" s="30"/>
      <c r="H66" s="30"/>
      <c r="I66" s="30"/>
      <c r="J66" s="30"/>
      <c r="K66" s="50"/>
      <c r="L66" s="35">
        <f>+F_Inputs!J22</f>
        <v>2E-3</v>
      </c>
      <c r="M66" s="35">
        <f>+F_Inputs!K22</f>
        <v>0</v>
      </c>
      <c r="N66" s="35">
        <f>+F_Inputs!L22</f>
        <v>0</v>
      </c>
      <c r="O66" s="35">
        <f>+F_Inputs!M22</f>
        <v>0</v>
      </c>
      <c r="P66" s="35">
        <f>+F_Inputs!N22</f>
        <v>0</v>
      </c>
      <c r="Q66" s="30"/>
      <c r="R66" s="30"/>
      <c r="S66" s="30"/>
      <c r="T66" s="30"/>
      <c r="U66" s="30"/>
      <c r="V66" s="45"/>
      <c r="W66" s="30"/>
      <c r="X66" s="30"/>
      <c r="Y66" s="30"/>
      <c r="Z66" s="30"/>
      <c r="AA66" s="30"/>
    </row>
    <row r="67" spans="1:27" s="12" customFormat="1">
      <c r="A67" s="30"/>
      <c r="B67" s="30"/>
      <c r="C67" s="31"/>
      <c r="D67" s="30" t="s">
        <v>41</v>
      </c>
      <c r="E67" s="32" t="s">
        <v>70</v>
      </c>
      <c r="F67" s="33" t="s">
        <v>55</v>
      </c>
      <c r="G67" s="30"/>
      <c r="H67" s="30"/>
      <c r="I67" s="30"/>
      <c r="J67" s="30"/>
      <c r="K67" s="50"/>
      <c r="L67" s="35">
        <f>+F_Inputs!J23</f>
        <v>0</v>
      </c>
      <c r="M67" s="35">
        <f>+F_Inputs!K23</f>
        <v>0</v>
      </c>
      <c r="N67" s="35">
        <f>+F_Inputs!L23</f>
        <v>0</v>
      </c>
      <c r="O67" s="35">
        <f>+F_Inputs!M23</f>
        <v>0</v>
      </c>
      <c r="P67" s="35">
        <f>+F_Inputs!N23</f>
        <v>0</v>
      </c>
      <c r="Q67" s="30"/>
      <c r="R67" s="30"/>
      <c r="S67" s="30"/>
      <c r="T67" s="30"/>
      <c r="U67" s="30"/>
      <c r="V67" s="45"/>
      <c r="W67" s="30"/>
      <c r="X67" s="30"/>
      <c r="Y67" s="30"/>
      <c r="Z67" s="30"/>
      <c r="AA67" s="30"/>
    </row>
    <row r="68" spans="1:27" s="12" customFormat="1">
      <c r="A68" s="30"/>
      <c r="B68" s="30"/>
      <c r="C68" s="31"/>
      <c r="D68" s="30" t="s">
        <v>41</v>
      </c>
      <c r="E68" s="32" t="s">
        <v>71</v>
      </c>
      <c r="F68" s="33" t="s">
        <v>55</v>
      </c>
      <c r="G68" s="30"/>
      <c r="H68" s="30"/>
      <c r="I68" s="30"/>
      <c r="J68" s="30"/>
      <c r="K68" s="50"/>
      <c r="L68" s="35">
        <f>+F_Inputs!J24</f>
        <v>9.7859999999999996</v>
      </c>
      <c r="M68" s="35">
        <f>+F_Inputs!K24</f>
        <v>6.4820000000000002</v>
      </c>
      <c r="N68" s="35">
        <f>+F_Inputs!L24</f>
        <v>6.0860000000000003</v>
      </c>
      <c r="O68" s="35">
        <f>+F_Inputs!M24</f>
        <v>5.6769999999999996</v>
      </c>
      <c r="P68" s="35">
        <f>+F_Inputs!N24</f>
        <v>6.4649999999999999</v>
      </c>
      <c r="Q68" s="36" t="s">
        <v>72</v>
      </c>
      <c r="R68" s="30"/>
      <c r="S68" s="30"/>
      <c r="T68" s="30"/>
      <c r="U68" s="30"/>
      <c r="V68" s="45"/>
      <c r="W68" s="30"/>
      <c r="X68" s="30"/>
      <c r="Y68" s="30"/>
      <c r="Z68" s="30"/>
      <c r="AA68" s="30"/>
    </row>
    <row r="69" spans="1:27" s="12" customFormat="1">
      <c r="A69" s="30"/>
      <c r="B69" s="30"/>
      <c r="C69" s="31"/>
      <c r="D69" s="30" t="s">
        <v>41</v>
      </c>
      <c r="E69" s="32" t="s">
        <v>73</v>
      </c>
      <c r="F69" s="33" t="s">
        <v>55</v>
      </c>
      <c r="G69" s="30"/>
      <c r="H69" s="30"/>
      <c r="I69" s="30"/>
      <c r="J69" s="30"/>
      <c r="K69" s="50"/>
      <c r="L69" s="35">
        <f>+F_Inputs!J25</f>
        <v>0.54400000000000004</v>
      </c>
      <c r="M69" s="35">
        <f>+F_Inputs!K25</f>
        <v>0.88300000000000001</v>
      </c>
      <c r="N69" s="35">
        <f>+F_Inputs!L25</f>
        <v>1.3886171269004</v>
      </c>
      <c r="O69" s="35">
        <f>+F_Inputs!M25</f>
        <v>2.3620000000000001</v>
      </c>
      <c r="P69" s="35">
        <f>+F_Inputs!N25</f>
        <v>1.4770000000000001</v>
      </c>
      <c r="Q69" s="30"/>
      <c r="R69" s="30"/>
      <c r="S69" s="30"/>
      <c r="T69" s="30"/>
      <c r="U69" s="30"/>
      <c r="V69" s="45"/>
      <c r="W69" s="30"/>
      <c r="X69" s="30"/>
      <c r="Y69" s="30"/>
      <c r="Z69" s="30"/>
      <c r="AA69" s="30"/>
    </row>
    <row r="70" spans="1:27" s="12" customFormat="1">
      <c r="A70" s="30"/>
      <c r="B70" s="30"/>
      <c r="C70" s="31"/>
      <c r="D70" s="30" t="s">
        <v>41</v>
      </c>
      <c r="E70" s="32" t="s">
        <v>74</v>
      </c>
      <c r="F70" s="33" t="s">
        <v>55</v>
      </c>
      <c r="G70" s="30"/>
      <c r="H70" s="30"/>
      <c r="I70" s="30"/>
      <c r="J70" s="30"/>
      <c r="K70" s="50"/>
      <c r="L70" s="230">
        <f>+F_Inputs!J31</f>
        <v>10</v>
      </c>
      <c r="M70" s="230">
        <f>+F_Inputs!K31</f>
        <v>46</v>
      </c>
      <c r="N70" s="230">
        <f>+F_Inputs!L31</f>
        <v>0</v>
      </c>
      <c r="O70" s="230">
        <f>+F_Inputs!M31</f>
        <v>0</v>
      </c>
      <c r="P70" s="230">
        <f>+F_Inputs!N31</f>
        <v>0</v>
      </c>
      <c r="Q70" s="36" t="s">
        <v>75</v>
      </c>
      <c r="R70" s="30"/>
      <c r="S70" s="30"/>
      <c r="T70" s="30"/>
      <c r="U70" s="30"/>
      <c r="V70" s="45"/>
      <c r="W70" s="30"/>
      <c r="X70" s="30"/>
      <c r="Y70" s="30"/>
      <c r="Z70" s="30"/>
      <c r="AA70" s="30"/>
    </row>
    <row r="71" spans="1:27" s="12" customFormat="1">
      <c r="A71" s="30"/>
      <c r="B71" s="30"/>
      <c r="C71" s="31"/>
      <c r="D71" s="30" t="s">
        <v>41</v>
      </c>
      <c r="E71" s="32" t="s">
        <v>76</v>
      </c>
      <c r="F71" s="33" t="s">
        <v>55</v>
      </c>
      <c r="G71" s="30"/>
      <c r="H71" s="30"/>
      <c r="I71" s="30"/>
      <c r="J71" s="30"/>
      <c r="K71" s="50"/>
      <c r="L71" s="230">
        <f>+F_Inputs!J32</f>
        <v>0</v>
      </c>
      <c r="M71" s="230">
        <f>+F_Inputs!K32</f>
        <v>0</v>
      </c>
      <c r="N71" s="230">
        <f>+F_Inputs!L32</f>
        <v>0</v>
      </c>
      <c r="O71" s="230">
        <f>+F_Inputs!M32</f>
        <v>0</v>
      </c>
      <c r="P71" s="230">
        <f>+F_Inputs!N32</f>
        <v>0</v>
      </c>
      <c r="Q71" s="36" t="s">
        <v>77</v>
      </c>
      <c r="R71" s="30"/>
      <c r="S71" s="30"/>
      <c r="T71" s="30"/>
      <c r="U71" s="30"/>
      <c r="V71" s="45"/>
      <c r="W71" s="30"/>
      <c r="X71" s="30"/>
      <c r="Y71" s="30"/>
      <c r="Z71" s="30"/>
      <c r="AA71" s="30"/>
    </row>
    <row r="72" spans="1:27" s="12" customFormat="1">
      <c r="A72" s="30"/>
      <c r="B72" s="30"/>
      <c r="C72" s="31"/>
      <c r="D72" s="30" t="s">
        <v>41</v>
      </c>
      <c r="E72" s="32" t="s">
        <v>78</v>
      </c>
      <c r="F72" s="33" t="s">
        <v>55</v>
      </c>
      <c r="G72" s="30"/>
      <c r="H72" s="30"/>
      <c r="I72" s="30"/>
      <c r="J72" s="30"/>
      <c r="K72" s="50"/>
      <c r="L72" s="230">
        <f>+F_Inputs!J33</f>
        <v>0</v>
      </c>
      <c r="M72" s="230">
        <f>+F_Inputs!K33</f>
        <v>0</v>
      </c>
      <c r="N72" s="230">
        <f>+F_Inputs!L33</f>
        <v>0</v>
      </c>
      <c r="O72" s="230">
        <f>+F_Inputs!M33</f>
        <v>0</v>
      </c>
      <c r="P72" s="230">
        <f>+F_Inputs!N33</f>
        <v>0</v>
      </c>
      <c r="Q72" s="36" t="s">
        <v>79</v>
      </c>
      <c r="R72" s="30"/>
      <c r="S72" s="30"/>
      <c r="T72" s="30"/>
      <c r="U72" s="30"/>
      <c r="V72" s="45"/>
      <c r="W72" s="30"/>
      <c r="X72" s="30"/>
      <c r="Y72" s="30"/>
      <c r="Z72" s="30"/>
      <c r="AA72" s="30"/>
    </row>
    <row r="73" spans="1:27" s="12" customFormat="1">
      <c r="A73" s="30"/>
      <c r="B73" s="30"/>
      <c r="C73" s="31"/>
      <c r="D73" s="30"/>
      <c r="E73" s="39"/>
      <c r="F73" s="30"/>
      <c r="G73" s="30"/>
      <c r="H73" s="30"/>
      <c r="I73" s="30"/>
      <c r="J73" s="30"/>
      <c r="K73" s="50"/>
      <c r="L73" s="30"/>
      <c r="M73" s="30"/>
      <c r="N73" s="30"/>
      <c r="O73" s="30"/>
      <c r="P73" s="30"/>
      <c r="R73" s="30"/>
      <c r="S73" s="30"/>
      <c r="T73" s="30"/>
      <c r="U73" s="30"/>
      <c r="V73" s="45"/>
      <c r="W73" s="30"/>
      <c r="X73" s="30"/>
      <c r="Y73" s="30"/>
      <c r="Z73" s="30"/>
      <c r="AA73" s="30"/>
    </row>
    <row r="74" spans="1:27" s="12" customFormat="1">
      <c r="A74" s="30"/>
      <c r="B74" s="30"/>
      <c r="C74" s="31"/>
      <c r="D74" s="30"/>
      <c r="E74" s="49" t="s">
        <v>80</v>
      </c>
      <c r="F74" s="30"/>
      <c r="G74" s="30"/>
      <c r="H74" s="30"/>
      <c r="I74" s="30"/>
      <c r="J74" s="30"/>
      <c r="K74" s="50"/>
      <c r="L74" s="30"/>
      <c r="M74" s="30"/>
      <c r="N74" s="30"/>
      <c r="O74" s="30"/>
      <c r="P74" s="30"/>
      <c r="Q74" s="36"/>
      <c r="R74" s="30"/>
      <c r="S74" s="30"/>
      <c r="T74" s="30"/>
      <c r="U74" s="30"/>
      <c r="V74" s="45"/>
      <c r="W74" s="30"/>
      <c r="X74" s="30"/>
      <c r="Y74" s="30"/>
      <c r="Z74" s="30"/>
      <c r="AA74" s="30"/>
    </row>
    <row r="75" spans="1:27" s="191" customFormat="1">
      <c r="A75" s="30"/>
      <c r="B75" s="30"/>
      <c r="C75" s="31"/>
      <c r="D75" s="30" t="s">
        <v>41</v>
      </c>
      <c r="E75" s="32" t="s">
        <v>81</v>
      </c>
      <c r="F75" s="33" t="s">
        <v>28</v>
      </c>
      <c r="G75" s="30"/>
      <c r="H75" s="30"/>
      <c r="I75" s="30"/>
      <c r="J75" s="30"/>
      <c r="K75" s="35">
        <f>F_Inputs!I26</f>
        <v>9.6880000000000006</v>
      </c>
      <c r="L75" s="30"/>
      <c r="M75" s="30"/>
      <c r="N75" s="30"/>
      <c r="O75" s="30"/>
      <c r="P75" s="30"/>
      <c r="Q75" s="36" t="s">
        <v>82</v>
      </c>
      <c r="R75" s="30"/>
      <c r="S75" s="30"/>
      <c r="T75" s="30"/>
      <c r="U75" s="30"/>
      <c r="V75" s="45"/>
      <c r="W75" s="30"/>
      <c r="X75" s="30"/>
      <c r="Y75" s="189"/>
      <c r="Z75" s="189"/>
      <c r="AA75" s="189"/>
    </row>
    <row r="76" spans="1:27" s="12" customFormat="1">
      <c r="A76" s="30"/>
      <c r="B76" s="30"/>
      <c r="C76" s="31"/>
      <c r="D76" s="30"/>
      <c r="E76" s="216"/>
      <c r="F76" s="217"/>
      <c r="G76" s="189"/>
      <c r="H76" s="189"/>
      <c r="I76" s="189"/>
      <c r="J76" s="189"/>
      <c r="K76" s="221"/>
      <c r="L76" s="218"/>
      <c r="M76" s="218"/>
      <c r="N76" s="218"/>
      <c r="O76" s="218"/>
      <c r="P76" s="218"/>
      <c r="Q76" s="36"/>
      <c r="R76" s="30"/>
      <c r="S76" s="30"/>
      <c r="T76" s="30"/>
      <c r="U76" s="30"/>
      <c r="V76" s="45"/>
      <c r="W76" s="30"/>
      <c r="X76" s="30"/>
      <c r="Y76" s="30"/>
      <c r="Z76" s="30"/>
      <c r="AA76" s="30"/>
    </row>
    <row r="77" spans="1:27" s="12" customFormat="1">
      <c r="A77" s="30"/>
      <c r="B77" s="30"/>
      <c r="C77" s="31"/>
      <c r="D77" s="30"/>
      <c r="E77" s="39"/>
      <c r="F77" s="30"/>
      <c r="G77" s="30"/>
      <c r="H77" s="30"/>
      <c r="I77" s="30"/>
      <c r="J77" s="30"/>
      <c r="K77" s="50"/>
      <c r="L77" s="30"/>
      <c r="M77" s="30"/>
      <c r="N77" s="30"/>
      <c r="O77" s="30"/>
      <c r="P77" s="30"/>
      <c r="Q77" s="36"/>
      <c r="R77" s="30"/>
      <c r="S77" s="30"/>
      <c r="T77" s="30"/>
      <c r="U77" s="30"/>
      <c r="V77" s="45"/>
      <c r="W77" s="30"/>
      <c r="X77" s="30"/>
      <c r="Y77" s="30"/>
      <c r="Z77" s="30"/>
      <c r="AA77" s="30"/>
    </row>
    <row r="78" spans="1:27" s="191" customFormat="1">
      <c r="A78" s="30"/>
      <c r="B78" s="30"/>
      <c r="C78" s="31"/>
      <c r="D78" s="30" t="s">
        <v>41</v>
      </c>
      <c r="E78" s="32" t="s">
        <v>83</v>
      </c>
      <c r="F78" s="33" t="s">
        <v>28</v>
      </c>
      <c r="G78" s="30"/>
      <c r="H78" s="30"/>
      <c r="I78" s="30"/>
      <c r="J78" s="30"/>
      <c r="K78" s="35">
        <f>F_Inputs!I27</f>
        <v>4.79</v>
      </c>
      <c r="L78" s="30"/>
      <c r="M78" s="30"/>
      <c r="N78" s="30"/>
      <c r="O78" s="30"/>
      <c r="P78" s="30"/>
      <c r="Q78" s="36" t="s">
        <v>84</v>
      </c>
      <c r="R78" s="30"/>
      <c r="S78" s="30"/>
      <c r="T78" s="30"/>
      <c r="U78" s="30"/>
      <c r="V78" s="45"/>
      <c r="W78" s="30"/>
      <c r="X78" s="30"/>
      <c r="Y78" s="189"/>
      <c r="Z78" s="189"/>
      <c r="AA78" s="189"/>
    </row>
    <row r="79" spans="1:27" s="12" customFormat="1">
      <c r="A79" s="30"/>
      <c r="B79" s="30"/>
      <c r="C79" s="31"/>
      <c r="D79" s="30"/>
      <c r="E79" s="216"/>
      <c r="F79" s="217"/>
      <c r="G79" s="189"/>
      <c r="H79" s="189"/>
      <c r="I79" s="189"/>
      <c r="J79" s="189"/>
      <c r="K79" s="221"/>
      <c r="L79" s="218"/>
      <c r="M79" s="218"/>
      <c r="N79" s="218"/>
      <c r="O79" s="218"/>
      <c r="P79" s="218"/>
      <c r="Q79" s="36"/>
      <c r="R79" s="30"/>
      <c r="S79" s="30"/>
      <c r="T79" s="30"/>
      <c r="U79" s="30"/>
      <c r="V79" s="45"/>
      <c r="W79" s="30"/>
      <c r="X79" s="30"/>
      <c r="Y79" s="30"/>
      <c r="Z79" s="30"/>
      <c r="AA79" s="30"/>
    </row>
    <row r="80" spans="1:27" customFormat="1" ht="15"/>
    <row r="81" spans="1:24" s="22" customFormat="1" ht="15">
      <c r="A81" s="18"/>
      <c r="B81" s="19"/>
      <c r="C81" s="19"/>
      <c r="D81" s="20"/>
      <c r="E81" s="21" t="s">
        <v>85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>
      <c r="A82" s="25"/>
      <c r="B82" s="25"/>
      <c r="C82" s="51"/>
      <c r="D82" s="25"/>
      <c r="E82" s="27"/>
      <c r="F82" s="25"/>
      <c r="G82" s="25"/>
      <c r="H82" s="25"/>
      <c r="I82" s="25"/>
      <c r="J82" s="25"/>
      <c r="K82" s="25"/>
      <c r="Q82" s="25"/>
      <c r="R82" s="25"/>
      <c r="S82" s="25"/>
      <c r="T82" s="25"/>
      <c r="U82" s="25"/>
      <c r="V82" s="41"/>
    </row>
    <row r="83" spans="1:24" s="22" customFormat="1" ht="15">
      <c r="A83" s="18"/>
      <c r="B83" s="19"/>
      <c r="C83" s="19"/>
      <c r="D83" s="20"/>
      <c r="E83" s="21" t="s">
        <v>86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:24">
      <c r="A84" s="25"/>
      <c r="B84" s="25"/>
      <c r="C84" s="51"/>
      <c r="D84" s="25"/>
      <c r="E84" s="27"/>
      <c r="F84" s="25"/>
      <c r="G84" s="25"/>
      <c r="H84" s="25"/>
      <c r="I84" s="25"/>
      <c r="J84" s="25"/>
      <c r="K84" s="25"/>
      <c r="Q84" s="25"/>
      <c r="R84" s="25"/>
      <c r="S84" s="25"/>
      <c r="T84" s="25"/>
      <c r="U84" s="25"/>
      <c r="V84" s="41"/>
    </row>
    <row r="85" spans="1:24">
      <c r="A85" s="25"/>
      <c r="B85" s="25"/>
      <c r="C85" s="51"/>
      <c r="D85" s="12"/>
      <c r="E85" s="49" t="s">
        <v>87</v>
      </c>
      <c r="F85" s="12"/>
      <c r="G85" s="12"/>
      <c r="H85" s="12"/>
      <c r="I85" s="25"/>
      <c r="J85" s="25"/>
      <c r="K85" s="25"/>
      <c r="Q85" s="25"/>
      <c r="R85" s="25"/>
      <c r="S85" s="25"/>
      <c r="T85" s="25"/>
      <c r="U85" s="25"/>
      <c r="V85" s="41"/>
    </row>
    <row r="86" spans="1:24">
      <c r="A86" s="25"/>
      <c r="B86" s="25"/>
      <c r="C86" s="51"/>
      <c r="D86" s="28" t="s">
        <v>88</v>
      </c>
      <c r="E86" s="32" t="s">
        <v>89</v>
      </c>
      <c r="F86" s="12"/>
      <c r="G86" s="12"/>
      <c r="H86" s="57">
        <v>0.55000000000000004</v>
      </c>
      <c r="I86" s="36" t="s">
        <v>90</v>
      </c>
      <c r="J86" s="25"/>
      <c r="K86" s="159"/>
      <c r="Q86" s="25"/>
      <c r="R86" s="25"/>
      <c r="S86" s="25"/>
      <c r="T86" s="25"/>
      <c r="U86" s="25"/>
      <c r="V86" s="41"/>
    </row>
    <row r="87" spans="1:24">
      <c r="A87" s="25"/>
      <c r="B87" s="25"/>
      <c r="C87" s="51"/>
      <c r="D87" s="28" t="s">
        <v>88</v>
      </c>
      <c r="E87" s="32" t="s">
        <v>91</v>
      </c>
      <c r="F87" s="12"/>
      <c r="G87" s="12"/>
      <c r="H87" s="57">
        <v>0.5</v>
      </c>
      <c r="I87" s="36" t="s">
        <v>92</v>
      </c>
      <c r="J87" s="25"/>
      <c r="K87" s="25"/>
      <c r="Q87" s="25"/>
      <c r="R87" s="25"/>
      <c r="S87" s="25"/>
      <c r="T87" s="25"/>
      <c r="U87" s="25"/>
      <c r="V87" s="41"/>
    </row>
    <row r="88" spans="1:24">
      <c r="A88" s="25"/>
      <c r="B88" s="25"/>
      <c r="C88" s="51"/>
      <c r="D88" s="28"/>
      <c r="E88" s="27"/>
      <c r="F88" s="25"/>
      <c r="G88" s="25"/>
      <c r="H88" s="25"/>
      <c r="I88" s="52"/>
      <c r="J88" s="25"/>
      <c r="K88" s="25"/>
      <c r="Q88" s="25"/>
      <c r="R88" s="25"/>
      <c r="S88" s="25"/>
      <c r="T88" s="25"/>
      <c r="U88" s="25"/>
      <c r="V88" s="41"/>
    </row>
    <row r="89" spans="1:24">
      <c r="A89" s="25"/>
      <c r="B89" s="25"/>
      <c r="C89" s="51"/>
      <c r="D89" s="25"/>
      <c r="E89" s="49" t="s">
        <v>93</v>
      </c>
      <c r="F89" s="25"/>
      <c r="G89" s="25"/>
      <c r="H89" s="25"/>
      <c r="I89" s="52"/>
      <c r="J89" s="25"/>
      <c r="K89" s="25"/>
      <c r="Q89" s="25"/>
      <c r="R89" s="25"/>
      <c r="S89" s="25"/>
      <c r="T89" s="25"/>
      <c r="U89" s="25"/>
      <c r="V89" s="41"/>
    </row>
    <row r="90" spans="1:24">
      <c r="A90" s="25"/>
      <c r="B90" s="25"/>
      <c r="C90" s="51"/>
      <c r="D90" s="28" t="s">
        <v>94</v>
      </c>
      <c r="E90" s="32" t="s">
        <v>95</v>
      </c>
      <c r="F90" s="25"/>
      <c r="G90" s="25"/>
      <c r="H90" s="53">
        <v>115</v>
      </c>
      <c r="I90" s="36" t="s">
        <v>96</v>
      </c>
      <c r="J90" s="25"/>
      <c r="K90" s="25"/>
      <c r="Q90" s="25"/>
      <c r="R90" s="25"/>
      <c r="S90" s="25"/>
      <c r="T90" s="25"/>
      <c r="U90" s="25"/>
      <c r="V90" s="41"/>
    </row>
    <row r="91" spans="1:24">
      <c r="A91" s="25"/>
      <c r="B91" s="25"/>
      <c r="C91" s="51"/>
      <c r="D91" s="28" t="s">
        <v>94</v>
      </c>
      <c r="E91" s="32" t="s">
        <v>97</v>
      </c>
      <c r="H91" s="53">
        <v>130</v>
      </c>
      <c r="I91" s="36" t="s">
        <v>98</v>
      </c>
      <c r="J91" s="25"/>
      <c r="K91" s="25"/>
      <c r="Q91" s="25"/>
      <c r="R91" s="25"/>
      <c r="S91" s="25"/>
      <c r="T91" s="25"/>
      <c r="U91" s="25"/>
      <c r="V91" s="41"/>
    </row>
    <row r="92" spans="1:24">
      <c r="A92" s="25"/>
      <c r="B92" s="25"/>
      <c r="C92" s="51"/>
      <c r="D92" s="25"/>
      <c r="E92" s="27"/>
      <c r="F92" s="25"/>
      <c r="G92" s="25"/>
      <c r="H92" s="25"/>
      <c r="I92" s="36"/>
      <c r="J92" s="25"/>
      <c r="K92" s="25"/>
      <c r="Q92" s="25"/>
      <c r="R92" s="25"/>
      <c r="S92" s="25"/>
      <c r="T92" s="25"/>
      <c r="U92" s="25"/>
      <c r="V92" s="41"/>
    </row>
    <row r="93" spans="1:24">
      <c r="A93" s="25"/>
      <c r="B93" s="25"/>
      <c r="C93" s="51"/>
      <c r="D93" s="28" t="s">
        <v>94</v>
      </c>
      <c r="E93" s="32" t="s">
        <v>99</v>
      </c>
      <c r="F93" s="25"/>
      <c r="G93" s="25"/>
      <c r="H93" s="53">
        <v>80</v>
      </c>
      <c r="I93" s="36" t="s">
        <v>100</v>
      </c>
      <c r="J93" s="25"/>
      <c r="K93" s="25"/>
      <c r="Q93" s="25"/>
      <c r="R93" s="25"/>
      <c r="S93" s="25"/>
      <c r="T93" s="25"/>
      <c r="U93" s="25"/>
      <c r="V93" s="41"/>
    </row>
    <row r="94" spans="1:24">
      <c r="A94" s="25"/>
      <c r="B94" s="25"/>
      <c r="C94" s="51"/>
      <c r="D94" s="28" t="s">
        <v>94</v>
      </c>
      <c r="E94" s="32" t="s">
        <v>101</v>
      </c>
      <c r="F94" s="25"/>
      <c r="G94" s="25"/>
      <c r="H94" s="53">
        <v>80</v>
      </c>
      <c r="I94" s="36" t="s">
        <v>102</v>
      </c>
      <c r="J94" s="25"/>
      <c r="K94" s="25"/>
      <c r="Q94" s="25"/>
      <c r="R94" s="25"/>
      <c r="S94" s="25"/>
      <c r="T94" s="25"/>
      <c r="U94" s="25"/>
      <c r="V94" s="41"/>
    </row>
    <row r="95" spans="1:24">
      <c r="A95" s="25"/>
      <c r="B95" s="25"/>
      <c r="C95" s="51"/>
      <c r="D95" s="25"/>
      <c r="E95" s="27"/>
      <c r="F95" s="25"/>
      <c r="G95" s="25"/>
      <c r="H95" s="25"/>
      <c r="I95" s="52"/>
      <c r="J95" s="25"/>
      <c r="K95" s="25"/>
      <c r="Q95" s="25"/>
      <c r="R95" s="25"/>
      <c r="S95" s="25"/>
      <c r="T95" s="25"/>
      <c r="U95" s="25"/>
      <c r="V95" s="41"/>
    </row>
    <row r="96" spans="1:24">
      <c r="A96" s="25"/>
      <c r="B96" s="25"/>
      <c r="C96" s="51"/>
      <c r="D96" s="28" t="s">
        <v>94</v>
      </c>
      <c r="E96" s="46" t="s">
        <v>103</v>
      </c>
      <c r="F96" s="25"/>
      <c r="G96" s="25"/>
      <c r="H96" s="53">
        <f>IF(Enhanced.Flag,UB.Enhanced,UB.NonEnhanced)</f>
        <v>130</v>
      </c>
      <c r="I96" s="36" t="s">
        <v>104</v>
      </c>
      <c r="J96" s="25"/>
      <c r="K96" s="25"/>
      <c r="Q96" s="25"/>
      <c r="R96" s="25"/>
      <c r="S96" s="25"/>
      <c r="T96" s="25"/>
      <c r="U96" s="25"/>
      <c r="V96" s="41"/>
    </row>
    <row r="97" spans="1:24">
      <c r="A97" s="25"/>
      <c r="B97" s="25"/>
      <c r="C97" s="51"/>
      <c r="D97" s="28" t="s">
        <v>94</v>
      </c>
      <c r="E97" s="46" t="s">
        <v>105</v>
      </c>
      <c r="F97" s="25"/>
      <c r="G97" s="25"/>
      <c r="H97" s="53">
        <f>IF(Enhanced.Flag,LB.Enhanced,LB.NonEnhanced)</f>
        <v>80</v>
      </c>
      <c r="I97" s="36" t="s">
        <v>106</v>
      </c>
      <c r="J97" s="25"/>
      <c r="K97" s="25"/>
      <c r="Q97" s="25"/>
      <c r="R97" s="25"/>
      <c r="S97" s="25"/>
      <c r="T97" s="25"/>
      <c r="U97" s="25"/>
      <c r="V97" s="41"/>
    </row>
    <row r="98" spans="1:24">
      <c r="A98" s="25"/>
      <c r="B98" s="25"/>
      <c r="C98" s="51"/>
      <c r="D98" s="25"/>
      <c r="E98" s="27"/>
      <c r="F98" s="25"/>
      <c r="G98" s="25"/>
      <c r="H98" s="25"/>
      <c r="I98" s="52"/>
      <c r="J98" s="25"/>
      <c r="K98" s="25"/>
      <c r="Q98" s="25"/>
      <c r="R98" s="25"/>
      <c r="S98" s="25"/>
      <c r="T98" s="25"/>
      <c r="U98" s="25"/>
      <c r="V98" s="41"/>
    </row>
    <row r="99" spans="1:24">
      <c r="A99" s="25"/>
      <c r="B99" s="25"/>
      <c r="C99" s="51"/>
      <c r="D99" s="25"/>
      <c r="E99" s="54" t="s">
        <v>107</v>
      </c>
      <c r="F99" s="12"/>
      <c r="G99" s="12"/>
      <c r="I99" s="52"/>
      <c r="J99" s="25"/>
      <c r="K99" s="25"/>
      <c r="Q99" s="25"/>
      <c r="R99" s="25"/>
      <c r="S99" s="25"/>
      <c r="T99" s="25"/>
      <c r="U99" s="25"/>
      <c r="V99" s="41"/>
    </row>
    <row r="100" spans="1:24">
      <c r="A100" s="25"/>
      <c r="B100" s="25"/>
      <c r="C100" s="51"/>
      <c r="D100" s="28" t="s">
        <v>94</v>
      </c>
      <c r="E100" s="55" t="s">
        <v>108</v>
      </c>
      <c r="F100" s="12"/>
      <c r="G100" s="12"/>
      <c r="H100" s="53">
        <v>100</v>
      </c>
      <c r="I100" s="36" t="s">
        <v>109</v>
      </c>
      <c r="J100" s="25"/>
      <c r="K100" s="25"/>
      <c r="Q100" s="25"/>
      <c r="R100" s="25"/>
      <c r="S100" s="25"/>
      <c r="T100" s="25"/>
      <c r="U100" s="25"/>
      <c r="V100" s="41"/>
    </row>
    <row r="101" spans="1:24">
      <c r="A101" s="25"/>
      <c r="B101" s="25"/>
      <c r="C101" s="51"/>
      <c r="D101" s="28" t="s">
        <v>94</v>
      </c>
      <c r="E101" s="55" t="s">
        <v>110</v>
      </c>
      <c r="F101" s="12"/>
      <c r="G101" s="12"/>
      <c r="H101" s="53">
        <v>100</v>
      </c>
      <c r="I101" s="36" t="s">
        <v>111</v>
      </c>
      <c r="J101" s="25"/>
      <c r="K101" s="25"/>
      <c r="Q101" s="25"/>
      <c r="R101" s="25"/>
      <c r="S101" s="25"/>
      <c r="T101" s="25"/>
      <c r="U101" s="25"/>
      <c r="V101" s="41"/>
    </row>
    <row r="102" spans="1:24">
      <c r="A102" s="25"/>
      <c r="B102" s="25"/>
      <c r="C102" s="51"/>
      <c r="D102" s="25"/>
      <c r="E102" s="55"/>
      <c r="F102" s="12"/>
      <c r="G102" s="12"/>
      <c r="I102" s="52"/>
      <c r="J102" s="25"/>
      <c r="K102" s="25"/>
      <c r="Q102" s="25"/>
      <c r="R102" s="25"/>
      <c r="S102" s="25"/>
      <c r="T102" s="25"/>
      <c r="U102" s="25"/>
      <c r="V102" s="41"/>
    </row>
    <row r="103" spans="1:24">
      <c r="A103" s="25"/>
      <c r="B103" s="25"/>
      <c r="C103" s="51"/>
      <c r="D103" s="12"/>
      <c r="E103" s="54" t="s">
        <v>112</v>
      </c>
      <c r="F103" s="12"/>
      <c r="G103" s="12"/>
      <c r="I103" s="52"/>
      <c r="J103" s="25"/>
      <c r="K103" s="25"/>
      <c r="Q103" s="25"/>
      <c r="R103" s="25"/>
      <c r="S103" s="25"/>
      <c r="T103" s="25"/>
      <c r="U103" s="25"/>
      <c r="V103" s="41"/>
    </row>
    <row r="104" spans="1:24">
      <c r="A104" s="25"/>
      <c r="B104" s="25"/>
      <c r="C104" s="51"/>
      <c r="D104" s="30" t="s">
        <v>88</v>
      </c>
      <c r="E104" s="56" t="s">
        <v>113</v>
      </c>
      <c r="F104" s="12"/>
      <c r="G104" s="12"/>
      <c r="H104" s="57">
        <f>IF(Enhanced.Flag,Enhanced.Baseline,NonEnhanced.Baseline)</f>
        <v>0.5</v>
      </c>
      <c r="I104" s="36" t="s">
        <v>114</v>
      </c>
      <c r="J104" s="25"/>
      <c r="K104" s="25"/>
      <c r="Q104" s="25"/>
      <c r="R104" s="25"/>
      <c r="S104" s="25"/>
      <c r="T104" s="25"/>
      <c r="U104" s="25"/>
      <c r="V104" s="41"/>
    </row>
    <row r="105" spans="1:24">
      <c r="A105" s="25"/>
      <c r="B105" s="25"/>
      <c r="C105" s="51"/>
      <c r="D105" s="30" t="s">
        <v>115</v>
      </c>
      <c r="E105" s="56" t="s">
        <v>116</v>
      </c>
      <c r="F105" s="12"/>
      <c r="G105" s="12"/>
      <c r="H105" s="62">
        <f>-0.2%</f>
        <v>-2E-3</v>
      </c>
      <c r="I105" s="36" t="s">
        <v>117</v>
      </c>
      <c r="J105" s="25"/>
      <c r="K105" s="25"/>
      <c r="Q105" s="25"/>
      <c r="R105" s="25"/>
      <c r="S105" s="25"/>
      <c r="T105" s="25"/>
      <c r="U105" s="25"/>
      <c r="V105" s="41"/>
    </row>
    <row r="106" spans="1:24" s="3" customFormat="1">
      <c r="I106" s="58"/>
    </row>
    <row r="107" spans="1:24" s="3" customFormat="1">
      <c r="E107" s="54" t="s">
        <v>118</v>
      </c>
      <c r="I107" s="58"/>
    </row>
    <row r="108" spans="1:24" s="3" customFormat="1">
      <c r="D108" s="3" t="s">
        <v>119</v>
      </c>
      <c r="E108" s="56" t="s">
        <v>120</v>
      </c>
      <c r="F108" s="30"/>
      <c r="G108" s="30"/>
      <c r="H108" s="194">
        <v>0.75</v>
      </c>
      <c r="I108" s="59" t="s">
        <v>121</v>
      </c>
    </row>
    <row r="109" spans="1:24" s="3" customFormat="1">
      <c r="D109" s="3" t="s">
        <v>119</v>
      </c>
      <c r="E109" s="56" t="s">
        <v>122</v>
      </c>
      <c r="F109" s="30"/>
      <c r="G109" s="30"/>
      <c r="H109" s="194">
        <v>0.25</v>
      </c>
      <c r="I109" s="59" t="s">
        <v>123</v>
      </c>
    </row>
    <row r="110" spans="1:24" s="3" customFormat="1">
      <c r="H110" s="30"/>
    </row>
    <row r="111" spans="1:24" s="3" customFormat="1"/>
    <row r="112" spans="1:24" s="22" customFormat="1" ht="15">
      <c r="A112" s="18"/>
      <c r="B112" s="19"/>
      <c r="C112" s="19"/>
      <c r="D112" s="20"/>
      <c r="E112" s="21" t="s">
        <v>124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</row>
    <row r="113" spans="1:27" s="12" customFormat="1">
      <c r="A113" s="25"/>
      <c r="B113" s="25"/>
      <c r="C113" s="44"/>
      <c r="D113" s="25"/>
      <c r="E113" s="33"/>
      <c r="F113" s="25"/>
      <c r="G113" s="25"/>
      <c r="H113" s="25"/>
      <c r="I113" s="25"/>
      <c r="J113" s="25"/>
      <c r="K113" s="25"/>
      <c r="L113" s="30"/>
      <c r="M113" s="30"/>
      <c r="N113" s="30"/>
      <c r="O113" s="30"/>
      <c r="P113" s="30"/>
      <c r="Q113" s="25"/>
      <c r="R113" s="25"/>
      <c r="S113" s="25"/>
      <c r="T113" s="25"/>
      <c r="U113" s="25"/>
      <c r="V113" s="41"/>
      <c r="W113" s="30"/>
      <c r="X113" s="30"/>
      <c r="Y113" s="30"/>
      <c r="Z113" s="30"/>
      <c r="AA113" s="30"/>
    </row>
    <row r="114" spans="1:27" s="12" customFormat="1">
      <c r="A114" s="30"/>
      <c r="B114" s="30"/>
      <c r="C114" s="31"/>
      <c r="D114" s="30"/>
      <c r="E114" s="49" t="s">
        <v>125</v>
      </c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45"/>
      <c r="W114" s="30"/>
      <c r="X114" s="30"/>
      <c r="Y114" s="30"/>
      <c r="Z114" s="30"/>
      <c r="AA114" s="30"/>
    </row>
    <row r="115" spans="1:27" s="12" customFormat="1">
      <c r="A115" s="30"/>
      <c r="B115" s="30"/>
      <c r="C115" s="31"/>
      <c r="D115" s="30" t="s">
        <v>126</v>
      </c>
      <c r="E115" s="32" t="s">
        <v>127</v>
      </c>
      <c r="G115" s="30"/>
      <c r="H115" s="60">
        <f>Company.Baseline-(100*Company.Slope)</f>
        <v>0.7</v>
      </c>
      <c r="I115" s="61" t="s">
        <v>128</v>
      </c>
      <c r="J115" s="30"/>
      <c r="K115" s="30"/>
      <c r="L115" s="30"/>
      <c r="M115" s="30"/>
      <c r="N115" s="30"/>
      <c r="R115" s="30"/>
      <c r="S115" s="30"/>
      <c r="T115" s="30"/>
      <c r="U115" s="30"/>
      <c r="V115" s="45"/>
      <c r="W115" s="30"/>
      <c r="X115" s="30"/>
      <c r="Y115" s="30"/>
      <c r="Z115" s="30"/>
      <c r="AA115" s="30"/>
    </row>
    <row r="116" spans="1:27" s="12" customFormat="1">
      <c r="A116" s="30"/>
      <c r="B116" s="30"/>
      <c r="C116" s="31"/>
      <c r="D116" s="30" t="s">
        <v>126</v>
      </c>
      <c r="E116" s="32" t="s">
        <v>129</v>
      </c>
      <c r="F116" s="33"/>
      <c r="G116" s="30"/>
      <c r="H116" s="62">
        <f>Company.Slope</f>
        <v>-2E-3</v>
      </c>
      <c r="I116" s="61" t="s">
        <v>130</v>
      </c>
      <c r="J116" s="30"/>
      <c r="K116" s="30"/>
      <c r="L116" s="30"/>
      <c r="M116" s="30"/>
      <c r="N116" s="30"/>
      <c r="Q116" s="30"/>
      <c r="R116" s="30"/>
      <c r="S116" s="30"/>
      <c r="T116" s="30"/>
      <c r="U116" s="30"/>
      <c r="V116" s="45"/>
      <c r="W116" s="30"/>
      <c r="X116" s="30"/>
      <c r="Y116" s="30"/>
      <c r="Z116" s="30"/>
      <c r="AA116" s="30"/>
    </row>
    <row r="117" spans="1:27" s="207" customFormat="1">
      <c r="A117" s="30"/>
      <c r="B117" s="30"/>
      <c r="C117" s="31"/>
      <c r="D117" s="30" t="s">
        <v>126</v>
      </c>
      <c r="E117" s="32" t="s">
        <v>131</v>
      </c>
      <c r="F117" s="33"/>
      <c r="G117" s="30"/>
      <c r="H117" s="60">
        <f>100*OfwatBaseline.Int</f>
        <v>75</v>
      </c>
      <c r="I117" s="61" t="s">
        <v>132</v>
      </c>
      <c r="J117" s="30"/>
      <c r="K117" s="30"/>
      <c r="L117" s="30"/>
      <c r="M117" s="30"/>
      <c r="N117" s="30"/>
      <c r="O117" s="12"/>
      <c r="P117" s="12"/>
      <c r="Q117" s="30"/>
      <c r="R117" s="30"/>
      <c r="S117" s="30"/>
      <c r="T117" s="30"/>
      <c r="U117" s="30"/>
      <c r="V117" s="45"/>
      <c r="W117" s="30"/>
      <c r="X117" s="30"/>
      <c r="Y117" s="208"/>
      <c r="Z117" s="208"/>
      <c r="AA117" s="208"/>
    </row>
    <row r="118" spans="1:27" s="12" customFormat="1">
      <c r="A118" s="30"/>
      <c r="B118" s="30"/>
      <c r="C118" s="31"/>
      <c r="D118" s="30" t="s">
        <v>126</v>
      </c>
      <c r="E118" s="32" t="s">
        <v>133</v>
      </c>
      <c r="F118" s="33"/>
      <c r="G118" s="30"/>
      <c r="H118" s="60">
        <f>CompanyForecase.Int</f>
        <v>0.25</v>
      </c>
      <c r="I118" s="61" t="s">
        <v>134</v>
      </c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45"/>
      <c r="W118" s="30"/>
      <c r="X118" s="30"/>
      <c r="Y118" s="30"/>
      <c r="Z118" s="30"/>
      <c r="AA118" s="30"/>
    </row>
    <row r="119" spans="1:27" s="12" customFormat="1">
      <c r="A119" s="30"/>
      <c r="B119" s="30"/>
      <c r="C119" s="31"/>
      <c r="D119" s="30" t="s">
        <v>126</v>
      </c>
      <c r="E119" s="32" t="s">
        <v>135</v>
      </c>
      <c r="F119" s="33"/>
      <c r="G119" s="30"/>
      <c r="H119" s="60">
        <f>(Outturn.BP+0-(OfwatBaseline.Int*100 + CompanyForecase.Int*Choice.BP))*(Eff.Inc.Constant + Eff.Inc.Slope*Choice.BP)+0-(Add.Income.1stOrder*Choice.BP)+0-(Add.Income.2ndOrder*(Choice.BP)^2)</f>
        <v>7.5</v>
      </c>
      <c r="I119" s="61" t="s">
        <v>136</v>
      </c>
      <c r="J119" s="30"/>
      <c r="K119" s="30"/>
      <c r="L119" s="30"/>
      <c r="M119" s="30"/>
      <c r="N119" s="30"/>
      <c r="O119" s="30"/>
      <c r="P119" s="30"/>
      <c r="S119" s="30"/>
      <c r="T119" s="30"/>
      <c r="U119" s="30"/>
      <c r="V119" s="45"/>
      <c r="W119" s="30"/>
      <c r="X119" s="30"/>
      <c r="Y119" s="30"/>
      <c r="Z119" s="30"/>
      <c r="AA119" s="30"/>
    </row>
    <row r="120" spans="1:27" s="12" customFormat="1">
      <c r="A120" s="30"/>
      <c r="B120" s="30"/>
      <c r="C120" s="31"/>
      <c r="D120" s="30" t="s">
        <v>126</v>
      </c>
      <c r="E120" s="32" t="s">
        <v>137</v>
      </c>
      <c r="F120" s="33"/>
      <c r="G120" s="30"/>
      <c r="H120" s="63">
        <f>0-Eff.Inc.Slope*Allowed.Exp.Constant+0-Allowed.Exp.Slope*Eff.Inc.Constant</f>
        <v>-2.4999999999999994E-2</v>
      </c>
      <c r="I120" s="61" t="s">
        <v>138</v>
      </c>
      <c r="J120" s="30"/>
      <c r="K120" s="30"/>
      <c r="L120" s="30"/>
      <c r="M120" s="30"/>
      <c r="N120" s="30"/>
      <c r="O120" s="30"/>
      <c r="P120" s="30"/>
      <c r="S120" s="30"/>
      <c r="T120" s="30"/>
      <c r="U120" s="30"/>
      <c r="V120" s="45"/>
      <c r="W120" s="30"/>
      <c r="X120" s="30"/>
      <c r="Y120" s="30"/>
      <c r="Z120" s="30"/>
      <c r="AA120" s="30"/>
    </row>
    <row r="121" spans="1:27" s="12" customFormat="1">
      <c r="A121" s="30"/>
      <c r="B121" s="30"/>
      <c r="C121" s="31"/>
      <c r="D121" s="30" t="s">
        <v>126</v>
      </c>
      <c r="E121" s="32" t="s">
        <v>139</v>
      </c>
      <c r="F121" s="33"/>
      <c r="G121" s="30"/>
      <c r="H121" s="63">
        <f>(0-Allowed.Exp.Slope+0.5)*Eff.Inc.Slope</f>
        <v>-5.0000000000000001E-4</v>
      </c>
      <c r="I121" s="61" t="s">
        <v>140</v>
      </c>
      <c r="J121" s="30"/>
      <c r="K121" s="30"/>
      <c r="L121" s="30"/>
      <c r="M121" s="30"/>
      <c r="N121" s="30"/>
      <c r="O121" s="30"/>
      <c r="P121" s="30"/>
      <c r="R121" s="30"/>
      <c r="S121" s="30"/>
      <c r="T121" s="30"/>
      <c r="U121" s="30"/>
      <c r="V121" s="45"/>
      <c r="W121" s="30"/>
      <c r="X121" s="30"/>
      <c r="Y121" s="30"/>
      <c r="Z121" s="30"/>
      <c r="AA121" s="30"/>
    </row>
    <row r="122" spans="1:27" s="12" customFormat="1">
      <c r="A122" s="30"/>
      <c r="B122" s="30"/>
      <c r="C122" s="31"/>
      <c r="D122" s="30"/>
      <c r="E122" s="32"/>
      <c r="F122" s="33"/>
      <c r="G122" s="30"/>
      <c r="H122" s="30"/>
      <c r="I122" s="64"/>
      <c r="J122" s="30"/>
      <c r="K122" s="30"/>
      <c r="L122" s="30"/>
      <c r="M122" s="30"/>
      <c r="N122" s="30"/>
      <c r="O122" s="30"/>
      <c r="P122" s="30"/>
      <c r="R122" s="30"/>
      <c r="S122" s="30"/>
      <c r="T122" s="30"/>
      <c r="U122" s="30"/>
      <c r="V122" s="45"/>
      <c r="W122" s="30"/>
      <c r="X122" s="30"/>
      <c r="Y122" s="30"/>
      <c r="Z122" s="30"/>
      <c r="AA122" s="30"/>
    </row>
    <row r="123" spans="1:27" s="22" customFormat="1" ht="15">
      <c r="A123" s="18"/>
      <c r="B123" s="19"/>
      <c r="C123" s="19"/>
      <c r="D123" s="20"/>
      <c r="E123" s="21" t="s">
        <v>141</v>
      </c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</row>
    <row r="124" spans="1:27"/>
    <row r="125" spans="1:27">
      <c r="D125" s="30" t="s">
        <v>15</v>
      </c>
      <c r="E125" s="39" t="s">
        <v>142</v>
      </c>
      <c r="F125" s="33"/>
      <c r="L125" s="179">
        <f>+F_Inputs!J28</f>
        <v>0.59762000000000004</v>
      </c>
      <c r="M125" s="179">
        <f>+F_Inputs!K28</f>
        <v>0.60158</v>
      </c>
      <c r="N125" s="179">
        <f>+F_Inputs!L28</f>
        <v>0.64469999999999805</v>
      </c>
      <c r="O125" s="179">
        <f>+F_Inputs!M28</f>
        <v>0.65680000000000005</v>
      </c>
      <c r="P125" s="179">
        <f>+F_Inputs!N28</f>
        <v>0.64770000000000005</v>
      </c>
      <c r="Q125" s="61" t="s">
        <v>143</v>
      </c>
    </row>
    <row r="126" spans="1:27">
      <c r="D126" s="30" t="s">
        <v>15</v>
      </c>
      <c r="E126" s="39" t="s">
        <v>144</v>
      </c>
      <c r="F126" s="33"/>
      <c r="L126" s="179">
        <f>+F_Inputs!J29</f>
        <v>0.46616999999999997</v>
      </c>
      <c r="M126" s="179">
        <f>+F_Inputs!K29</f>
        <v>0.43584000000000001</v>
      </c>
      <c r="N126" s="179">
        <f>+F_Inputs!L29</f>
        <v>0.45222000000000001</v>
      </c>
      <c r="O126" s="179">
        <f>+F_Inputs!M29</f>
        <v>0.50477000000000005</v>
      </c>
      <c r="P126" s="179">
        <f>+F_Inputs!N29</f>
        <v>0.61278999999999995</v>
      </c>
      <c r="Q126" s="61" t="s">
        <v>145</v>
      </c>
    </row>
    <row r="127" spans="1:27"/>
    <row r="128" spans="1:27" s="22" customFormat="1" ht="15">
      <c r="A128" s="18"/>
      <c r="B128" s="19"/>
      <c r="C128" s="19"/>
      <c r="D128" s="20"/>
      <c r="E128" s="21" t="s">
        <v>146</v>
      </c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</row>
    <row r="129" spans="1:24"/>
    <row r="130" spans="1:24">
      <c r="D130" s="30" t="s">
        <v>147</v>
      </c>
      <c r="E130" s="39" t="s">
        <v>148</v>
      </c>
      <c r="H130" s="179"/>
    </row>
    <row r="131" spans="1:24">
      <c r="D131" s="3" t="s">
        <v>126</v>
      </c>
      <c r="E131" s="39" t="s">
        <v>149</v>
      </c>
      <c r="H131" s="60">
        <f>EffInc.Coeff.Water</f>
        <v>0.51133543740885912</v>
      </c>
    </row>
    <row r="132" spans="1:24" ht="12" customHeight="1">
      <c r="D132" s="30" t="s">
        <v>147</v>
      </c>
      <c r="E132" s="39" t="s">
        <v>150</v>
      </c>
      <c r="H132" s="164">
        <f>AllExp.Coeff.Water/100</f>
        <v>0.98583070323892596</v>
      </c>
    </row>
    <row r="133" spans="1:24" ht="15">
      <c r="E133" s="177"/>
      <c r="F133"/>
    </row>
    <row r="134" spans="1:24">
      <c r="D134" s="3" t="s">
        <v>21</v>
      </c>
      <c r="E134" s="39" t="s">
        <v>151</v>
      </c>
      <c r="F134" s="33" t="s">
        <v>28</v>
      </c>
      <c r="L134" s="165"/>
      <c r="M134" s="165"/>
      <c r="N134" s="166"/>
      <c r="O134" s="166"/>
      <c r="P134" s="166"/>
      <c r="V134" s="30"/>
    </row>
    <row r="135" spans="1:24">
      <c r="D135" s="3" t="s">
        <v>21</v>
      </c>
      <c r="E135" s="39" t="s">
        <v>151</v>
      </c>
      <c r="F135" s="33" t="s">
        <v>152</v>
      </c>
      <c r="L135" s="165"/>
      <c r="M135" s="165"/>
      <c r="N135" s="176">
        <f>N134*Indexation.Average</f>
        <v>0</v>
      </c>
      <c r="O135" s="176">
        <f>O134*Indexation.Average</f>
        <v>0</v>
      </c>
      <c r="P135" s="176">
        <f>P134*Indexation.Average</f>
        <v>0</v>
      </c>
      <c r="V135" s="30"/>
    </row>
    <row r="136" spans="1:24" customFormat="1" ht="15"/>
    <row r="137" spans="1:24">
      <c r="D137" s="3" t="s">
        <v>21</v>
      </c>
      <c r="E137" s="39" t="s">
        <v>153</v>
      </c>
      <c r="F137" s="33" t="s">
        <v>152</v>
      </c>
      <c r="L137" s="165"/>
      <c r="M137" s="165"/>
      <c r="N137" s="166"/>
      <c r="O137" s="166"/>
      <c r="P137" s="166"/>
      <c r="V137" s="30"/>
    </row>
    <row r="138" spans="1:24">
      <c r="E138" s="30"/>
      <c r="F138" s="33"/>
      <c r="V138" s="30"/>
    </row>
    <row r="139" spans="1:24">
      <c r="E139" s="49" t="s">
        <v>154</v>
      </c>
      <c r="V139" s="30"/>
    </row>
    <row r="140" spans="1:24">
      <c r="D140" s="3" t="s">
        <v>21</v>
      </c>
      <c r="E140" s="32" t="s">
        <v>155</v>
      </c>
      <c r="F140" s="33" t="s">
        <v>152</v>
      </c>
      <c r="L140" s="165"/>
      <c r="M140" s="165"/>
      <c r="N140" s="88">
        <f>($H130-$H131)*(N137-(N135*$H132))</f>
        <v>0</v>
      </c>
      <c r="O140" s="88">
        <f t="shared" ref="O140:P140" si="3">($H130-$H131)*(O137-(O135*$H132))</f>
        <v>0</v>
      </c>
      <c r="P140" s="88">
        <f t="shared" si="3"/>
        <v>0</v>
      </c>
      <c r="Q140" s="61" t="s">
        <v>156</v>
      </c>
      <c r="V140" s="30"/>
    </row>
    <row r="141" spans="1:24">
      <c r="D141" s="3"/>
      <c r="E141" s="32"/>
      <c r="F141" s="33"/>
      <c r="V141" s="30"/>
    </row>
    <row r="142" spans="1:24" s="22" customFormat="1" ht="15">
      <c r="A142" s="18"/>
      <c r="B142" s="19"/>
      <c r="C142" s="19"/>
      <c r="D142" s="20"/>
      <c r="E142" s="21" t="s">
        <v>157</v>
      </c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</row>
    <row r="143" spans="1:24">
      <c r="D143" s="3"/>
      <c r="F143" s="33"/>
      <c r="Q143" s="61"/>
      <c r="V143" s="30"/>
    </row>
    <row r="144" spans="1:24">
      <c r="D144" s="30" t="s">
        <v>147</v>
      </c>
      <c r="E144" s="39" t="s">
        <v>158</v>
      </c>
      <c r="F144" s="33"/>
      <c r="H144" s="188">
        <v>0.75</v>
      </c>
      <c r="Q144" s="61"/>
      <c r="V144" s="30"/>
    </row>
    <row r="145" spans="1:27">
      <c r="D145" s="3"/>
      <c r="F145" s="33"/>
      <c r="Q145" s="61"/>
      <c r="V145" s="30"/>
    </row>
    <row r="146" spans="1:27">
      <c r="D146" s="3" t="s">
        <v>21</v>
      </c>
      <c r="E146" s="186" t="s">
        <v>159</v>
      </c>
      <c r="F146" s="33" t="s">
        <v>152</v>
      </c>
      <c r="L146" s="43"/>
      <c r="M146" s="43"/>
      <c r="N146" s="43"/>
      <c r="O146" s="43"/>
      <c r="P146" s="43"/>
      <c r="Q146" s="61"/>
      <c r="V146" s="30"/>
    </row>
    <row r="147" spans="1:27" ht="13.5" customHeight="1">
      <c r="D147" s="3" t="s">
        <v>21</v>
      </c>
      <c r="E147" s="187" t="s">
        <v>160</v>
      </c>
      <c r="F147" s="33" t="s">
        <v>152</v>
      </c>
      <c r="L147" s="88">
        <f>L146*$H144</f>
        <v>0</v>
      </c>
      <c r="M147" s="88">
        <f t="shared" ref="M147:P147" si="4">M146*$H144</f>
        <v>0</v>
      </c>
      <c r="N147" s="88">
        <f t="shared" si="4"/>
        <v>0</v>
      </c>
      <c r="O147" s="88">
        <f t="shared" si="4"/>
        <v>0</v>
      </c>
      <c r="P147" s="88">
        <f t="shared" si="4"/>
        <v>0</v>
      </c>
      <c r="Q147" s="61" t="s">
        <v>161</v>
      </c>
      <c r="V147" s="30"/>
    </row>
    <row r="148" spans="1:27">
      <c r="E148" s="30"/>
      <c r="F148" s="33"/>
      <c r="Q148" s="61"/>
      <c r="V148" s="30"/>
    </row>
    <row r="149" spans="1:27" s="22" customFormat="1" ht="15">
      <c r="A149" s="18"/>
      <c r="B149" s="19"/>
      <c r="C149" s="19"/>
      <c r="D149" s="20"/>
      <c r="E149" s="21" t="s">
        <v>162</v>
      </c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</row>
    <row r="150" spans="1:27">
      <c r="D150" s="3"/>
      <c r="F150" s="33"/>
      <c r="Q150" s="61"/>
      <c r="V150" s="30"/>
    </row>
    <row r="151" spans="1:27">
      <c r="D151" s="3" t="s">
        <v>21</v>
      </c>
      <c r="E151" s="186" t="s">
        <v>163</v>
      </c>
      <c r="F151" s="33" t="s">
        <v>28</v>
      </c>
      <c r="L151" s="35"/>
      <c r="M151" s="43"/>
      <c r="N151" s="43"/>
      <c r="O151" s="43"/>
      <c r="P151" s="43"/>
      <c r="Q151" s="61"/>
      <c r="V151" s="30"/>
    </row>
    <row r="152" spans="1:27" ht="13.5" thickBot="1">
      <c r="E152" s="30"/>
      <c r="F152" s="33"/>
      <c r="Q152" s="61"/>
      <c r="V152" s="30"/>
    </row>
    <row r="153" spans="1:27" ht="13.5" thickBot="1">
      <c r="A153" s="65" t="s">
        <v>164</v>
      </c>
      <c r="B153" s="66"/>
      <c r="C153" s="66"/>
      <c r="D153" s="66"/>
      <c r="E153" s="67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8"/>
      <c r="W153" s="66"/>
      <c r="X153" s="66"/>
      <c r="Y153" s="66"/>
      <c r="Z153" s="66"/>
      <c r="AA153" s="66"/>
    </row>
    <row r="154" spans="1:27"/>
    <row r="155" spans="1:27" hidden="1"/>
    <row r="156" spans="1:27" hidden="1"/>
    <row r="157" spans="1:27" hidden="1"/>
    <row r="158" spans="1:27" hidden="1"/>
    <row r="159" spans="1:27" hidden="1"/>
    <row r="160" spans="1:27" hidden="1"/>
    <row r="161" spans="5:22" hidden="1"/>
    <row r="162" spans="5:22" hidden="1"/>
    <row r="163" spans="5:22" hidden="1"/>
    <row r="164" spans="5:22" s="189" customFormat="1" hidden="1">
      <c r="E164" s="202"/>
      <c r="V164" s="190"/>
    </row>
    <row r="165" spans="5:22" s="189" customFormat="1" hidden="1">
      <c r="E165" s="202"/>
      <c r="V165" s="190"/>
    </row>
  </sheetData>
  <conditionalFormatting sqref="K12:K13">
    <cfRule type="cellIs" dxfId="2" priority="1" operator="equal">
      <formula>TRUE</formula>
    </cfRule>
  </conditionalFormatting>
  <dataValidations count="2">
    <dataValidation type="decimal" operator="greaterThanOrEqual" allowBlank="1" showInputMessage="1" showErrorMessage="1" sqref="L80:P80" xr:uid="{00000000-0002-0000-0100-000000000000}">
      <formula1>0</formula1>
    </dataValidation>
    <dataValidation showInputMessage="1" showErrorMessage="1" sqref="H12" xr:uid="{00000000-0002-0000-0100-000001000000}"/>
  </dataValidations>
  <pageMargins left="0.70866141732283472" right="0.70866141732283472" top="0.74803149606299213" bottom="0.74803149606299213" header="0.31496062992125984" footer="0.31496062992125984"/>
  <pageSetup paperSize="9" scale="23" orientation="landscape" r:id="rId1"/>
  <headerFooter>
    <oddHeader>&amp;L&amp;F&amp;CSheet: &amp;A&amp;ROFFICIAL</oddHeader>
    <oddFooter>&amp;LPrinted on &amp;D at &amp;T&amp;CPage &amp;P of &amp;N&amp;ROfwat</oddFooter>
  </headerFooter>
  <ignoredErrors>
    <ignoredError sqref="I5:U5 H96:H104 O140:P140 N135:P136 H116:H126 N138:P139 H127 H113:H114 H106:H1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M333"/>
  <sheetViews>
    <sheetView showGridLines="0" zoomScale="80" zoomScaleNormal="80" workbookViewId="0">
      <pane xSplit="6" ySplit="7" topLeftCell="G8" activePane="bottomRight" state="frozen"/>
      <selection pane="topRight"/>
      <selection pane="bottomLeft"/>
      <selection pane="bottomRight" activeCell="G8" sqref="G8"/>
    </sheetView>
  </sheetViews>
  <sheetFormatPr defaultColWidth="0" defaultRowHeight="12.75" zeroHeight="1"/>
  <cols>
    <col min="1" max="3" width="2.5703125" style="3" customWidth="1"/>
    <col min="4" max="4" width="9.42578125" style="3" bestFit="1" customWidth="1"/>
    <col min="5" max="5" width="49.7109375" style="91" customWidth="1"/>
    <col min="6" max="6" width="20.42578125" style="91" customWidth="1"/>
    <col min="7" max="7" width="14.5703125" style="91" customWidth="1"/>
    <col min="8" max="8" width="14.42578125" style="3" customWidth="1"/>
    <col min="9" max="9" width="11.42578125" style="3" customWidth="1"/>
    <col min="10" max="10" width="11.5703125" style="3" customWidth="1"/>
    <col min="11" max="17" width="11.140625" style="3" customWidth="1"/>
    <col min="18" max="20" width="11.5703125" style="3" customWidth="1"/>
    <col min="21" max="21" width="9.5703125" style="3" customWidth="1"/>
    <col min="22" max="22" width="3.5703125" style="3" customWidth="1"/>
    <col min="23" max="23" width="106.140625" style="3" bestFit="1" customWidth="1"/>
    <col min="24" max="24" width="3.5703125" style="74" customWidth="1"/>
    <col min="25" max="25" width="13.5703125" style="3" hidden="1" customWidth="1"/>
    <col min="26" max="38" width="9.140625" style="3" hidden="1" customWidth="1"/>
    <col min="39" max="39" width="10.140625" style="3" hidden="1" customWidth="1"/>
    <col min="40" max="16384" width="9.140625" style="3" hidden="1"/>
  </cols>
  <sheetData>
    <row r="1" spans="1:29" s="2" customFormat="1" ht="33.75">
      <c r="A1" s="1"/>
      <c r="B1" s="1"/>
      <c r="C1" s="1"/>
      <c r="D1" s="181"/>
      <c r="E1" s="1" t="s">
        <v>165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ht="14.25" customHeight="1">
      <c r="A2" s="231"/>
      <c r="B2" s="232"/>
      <c r="C2" s="233"/>
      <c r="D2" s="234"/>
      <c r="E2" s="235"/>
      <c r="F2" s="235"/>
      <c r="G2" s="235"/>
      <c r="H2" s="236"/>
      <c r="I2" s="237"/>
      <c r="J2" s="237"/>
      <c r="K2" s="237"/>
      <c r="L2" s="237"/>
      <c r="M2" s="237"/>
      <c r="N2" s="237"/>
      <c r="O2" s="237"/>
      <c r="P2" s="237"/>
      <c r="Q2" s="237"/>
      <c r="R2" s="238"/>
      <c r="S2" s="238"/>
      <c r="T2" s="238"/>
      <c r="U2" s="237"/>
      <c r="V2" s="237"/>
      <c r="W2" s="237"/>
      <c r="X2" s="239"/>
      <c r="Y2" s="69"/>
      <c r="Z2" s="69"/>
      <c r="AA2" s="69"/>
      <c r="AB2" s="69"/>
      <c r="AC2" s="69"/>
    </row>
    <row r="3" spans="1:29" ht="12.75" customHeight="1">
      <c r="A3" s="240"/>
      <c r="B3" s="241"/>
      <c r="C3" s="242"/>
      <c r="D3" s="243" t="s">
        <v>1</v>
      </c>
      <c r="E3" s="244" t="s">
        <v>1</v>
      </c>
      <c r="F3" s="245"/>
      <c r="G3" s="245"/>
      <c r="H3" s="238"/>
      <c r="I3" s="246" t="str">
        <f t="shared" ref="I3:U3" si="0">AMP.Years</f>
        <v>2012-13</v>
      </c>
      <c r="J3" s="246" t="str">
        <f t="shared" si="0"/>
        <v>2013-14</v>
      </c>
      <c r="K3" s="246" t="str">
        <f t="shared" si="0"/>
        <v>2014-15</v>
      </c>
      <c r="L3" s="247" t="str">
        <f t="shared" si="0"/>
        <v>2015-16</v>
      </c>
      <c r="M3" s="247" t="str">
        <f t="shared" si="0"/>
        <v>2016-17</v>
      </c>
      <c r="N3" s="247" t="str">
        <f t="shared" si="0"/>
        <v>2017-18</v>
      </c>
      <c r="O3" s="247" t="str">
        <f t="shared" si="0"/>
        <v>2018-19</v>
      </c>
      <c r="P3" s="247" t="str">
        <f t="shared" si="0"/>
        <v>2019-20</v>
      </c>
      <c r="Q3" s="246" t="str">
        <f t="shared" si="0"/>
        <v>2020-21</v>
      </c>
      <c r="R3" s="246" t="str">
        <f t="shared" si="0"/>
        <v>2021-22</v>
      </c>
      <c r="S3" s="246" t="str">
        <f t="shared" si="0"/>
        <v>2022-23</v>
      </c>
      <c r="T3" s="246" t="str">
        <f t="shared" si="0"/>
        <v>2023-24</v>
      </c>
      <c r="U3" s="246" t="str">
        <f t="shared" si="0"/>
        <v>2024-25</v>
      </c>
      <c r="V3" s="248"/>
      <c r="W3" s="248"/>
      <c r="X3" s="248"/>
      <c r="Y3" s="69"/>
      <c r="Z3" s="69"/>
      <c r="AA3" s="70"/>
      <c r="AB3" s="71"/>
      <c r="AC3" s="71"/>
    </row>
    <row r="4" spans="1:29">
      <c r="A4" s="249"/>
      <c r="B4" s="250"/>
      <c r="C4" s="251"/>
      <c r="D4" s="252"/>
      <c r="E4" s="244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53"/>
      <c r="W4" s="253"/>
      <c r="X4" s="254"/>
      <c r="Y4" s="72"/>
      <c r="Z4" s="72"/>
      <c r="AA4" s="70"/>
      <c r="AB4" s="71"/>
      <c r="AC4" s="71"/>
    </row>
    <row r="5" spans="1:29">
      <c r="A5" s="255"/>
      <c r="B5" s="250"/>
      <c r="C5" s="256"/>
      <c r="D5" s="252" t="s">
        <v>94</v>
      </c>
      <c r="E5" s="244" t="s">
        <v>2</v>
      </c>
      <c r="F5" s="257"/>
      <c r="G5" s="257"/>
      <c r="H5" s="238"/>
      <c r="I5" s="257">
        <f t="shared" ref="I5:U5" si="1">Calendar.Years</f>
        <v>2012</v>
      </c>
      <c r="J5" s="257">
        <f t="shared" si="1"/>
        <v>2013</v>
      </c>
      <c r="K5" s="257">
        <f t="shared" si="1"/>
        <v>2014</v>
      </c>
      <c r="L5" s="257">
        <f t="shared" si="1"/>
        <v>2015</v>
      </c>
      <c r="M5" s="257">
        <f t="shared" si="1"/>
        <v>2016</v>
      </c>
      <c r="N5" s="257">
        <f t="shared" si="1"/>
        <v>2017</v>
      </c>
      <c r="O5" s="257">
        <f t="shared" si="1"/>
        <v>2018</v>
      </c>
      <c r="P5" s="257">
        <f t="shared" si="1"/>
        <v>2019</v>
      </c>
      <c r="Q5" s="257">
        <f t="shared" si="1"/>
        <v>2020</v>
      </c>
      <c r="R5" s="257">
        <f t="shared" si="1"/>
        <v>2021</v>
      </c>
      <c r="S5" s="257">
        <f t="shared" si="1"/>
        <v>2022</v>
      </c>
      <c r="T5" s="257">
        <f t="shared" si="1"/>
        <v>2023</v>
      </c>
      <c r="U5" s="257">
        <f t="shared" si="1"/>
        <v>2024</v>
      </c>
      <c r="V5" s="250"/>
      <c r="W5" s="250"/>
      <c r="X5" s="254"/>
      <c r="Y5" s="72"/>
      <c r="Z5" s="72"/>
      <c r="AA5" s="73"/>
      <c r="AB5" s="71"/>
      <c r="AC5" s="71"/>
    </row>
    <row r="6" spans="1:29" ht="12.75" customHeight="1">
      <c r="A6" s="238"/>
      <c r="B6" s="238"/>
      <c r="C6" s="238"/>
      <c r="D6" s="238"/>
      <c r="E6" s="244" t="s">
        <v>3</v>
      </c>
      <c r="F6" s="257"/>
      <c r="G6" s="257"/>
      <c r="H6" s="238"/>
      <c r="I6" s="258">
        <v>-2</v>
      </c>
      <c r="J6" s="258">
        <v>-1</v>
      </c>
      <c r="K6" s="258">
        <v>0</v>
      </c>
      <c r="L6" s="258">
        <v>1</v>
      </c>
      <c r="M6" s="258">
        <v>2</v>
      </c>
      <c r="N6" s="258">
        <v>3</v>
      </c>
      <c r="O6" s="258">
        <v>4</v>
      </c>
      <c r="P6" s="258">
        <v>5</v>
      </c>
      <c r="Q6" s="258">
        <v>6</v>
      </c>
      <c r="R6" s="258">
        <v>7</v>
      </c>
      <c r="S6" s="258">
        <v>8</v>
      </c>
      <c r="T6" s="258">
        <v>9</v>
      </c>
      <c r="U6" s="258">
        <v>10</v>
      </c>
      <c r="V6" s="238"/>
      <c r="W6" s="259" t="s">
        <v>166</v>
      </c>
      <c r="X6" s="260"/>
    </row>
    <row r="7" spans="1:29" ht="12.75" customHeight="1">
      <c r="A7" s="238"/>
      <c r="B7" s="238"/>
      <c r="C7" s="238"/>
      <c r="D7" s="238"/>
      <c r="E7" s="238" t="s">
        <v>4</v>
      </c>
      <c r="F7" s="238"/>
      <c r="G7" s="238"/>
      <c r="H7" s="238"/>
      <c r="I7" s="238"/>
      <c r="J7" s="238"/>
      <c r="K7" s="238"/>
      <c r="L7" s="261">
        <v>4</v>
      </c>
      <c r="M7" s="261">
        <v>3</v>
      </c>
      <c r="N7" s="261">
        <v>2</v>
      </c>
      <c r="O7" s="261">
        <v>1</v>
      </c>
      <c r="P7" s="261">
        <v>0</v>
      </c>
      <c r="Q7" s="238"/>
      <c r="R7" s="238"/>
      <c r="S7" s="238"/>
      <c r="T7" s="238"/>
      <c r="U7" s="238"/>
      <c r="V7" s="238"/>
      <c r="W7" s="238"/>
      <c r="X7" s="238"/>
    </row>
    <row r="8" spans="1:29" ht="12.75" customHeight="1">
      <c r="E8" s="3"/>
      <c r="F8" s="3"/>
      <c r="G8" s="3"/>
      <c r="L8" s="83"/>
      <c r="M8" s="83"/>
      <c r="N8" s="83"/>
      <c r="O8" s="83"/>
      <c r="P8" s="83"/>
      <c r="X8" s="3"/>
    </row>
    <row r="9" spans="1:29" s="22" customFormat="1" ht="15">
      <c r="A9" s="19"/>
      <c r="B9" s="19"/>
      <c r="C9" s="19"/>
      <c r="D9" s="182"/>
      <c r="E9" s="21" t="s">
        <v>167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9" s="75" customFormat="1">
      <c r="Q10" s="3"/>
      <c r="R10" s="3"/>
      <c r="S10" s="3"/>
      <c r="T10" s="3"/>
      <c r="X10" s="76"/>
    </row>
    <row r="11" spans="1:29" s="22" customFormat="1" ht="15">
      <c r="A11" s="19"/>
      <c r="B11" s="19"/>
      <c r="C11" s="19"/>
      <c r="D11" s="182"/>
      <c r="E11" s="21" t="s">
        <v>168</v>
      </c>
      <c r="F11" s="16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9" s="75" customFormat="1">
      <c r="D12" s="12"/>
      <c r="E12" s="12"/>
      <c r="F12" s="77"/>
      <c r="G12" s="77"/>
      <c r="I12" s="79"/>
      <c r="J12" s="79"/>
      <c r="K12" s="79"/>
      <c r="L12" s="79"/>
      <c r="M12" s="79"/>
      <c r="N12" s="79"/>
      <c r="O12" s="79"/>
      <c r="P12" s="79"/>
      <c r="Q12" s="3"/>
      <c r="R12" s="3"/>
      <c r="S12" s="3"/>
      <c r="T12" s="3"/>
      <c r="X12" s="76"/>
    </row>
    <row r="13" spans="1:29" s="75" customFormat="1">
      <c r="D13" s="30"/>
      <c r="E13" s="78" t="s">
        <v>53</v>
      </c>
      <c r="F13" s="77"/>
      <c r="G13" s="77"/>
      <c r="I13" s="79"/>
      <c r="J13" s="79"/>
      <c r="K13" s="79"/>
      <c r="L13" s="79"/>
      <c r="M13" s="79"/>
      <c r="N13" s="79"/>
      <c r="O13" s="79"/>
      <c r="P13" s="79"/>
      <c r="Q13" s="3"/>
      <c r="R13" s="3"/>
      <c r="S13" s="3"/>
      <c r="T13" s="3"/>
      <c r="X13" s="76"/>
    </row>
    <row r="14" spans="1:29" s="75" customFormat="1">
      <c r="D14" s="30" t="s">
        <v>41</v>
      </c>
      <c r="E14" s="32" t="s">
        <v>169</v>
      </c>
      <c r="F14" s="33" t="s">
        <v>28</v>
      </c>
      <c r="G14" s="77"/>
      <c r="I14" s="79"/>
      <c r="J14" s="79"/>
      <c r="K14" s="79"/>
      <c r="L14" s="50">
        <f>Actual.Totex.Water/Indexation.Average</f>
        <v>263.87835651419755</v>
      </c>
      <c r="M14" s="50">
        <f>Actual.Totex.Water/Indexation.Average</f>
        <v>303.70526769716218</v>
      </c>
      <c r="N14" s="50">
        <f>Actual.Totex.Water/Indexation.Average</f>
        <v>328.94929085452719</v>
      </c>
      <c r="O14" s="50">
        <f>Actual.Totex.Water/Indexation.Average</f>
        <v>379.26877648027761</v>
      </c>
      <c r="P14" s="50">
        <f>Actual.Totex.Water/Indexation.Average</f>
        <v>383.91748396158806</v>
      </c>
      <c r="Q14" s="3"/>
      <c r="R14" s="3"/>
      <c r="S14" s="3"/>
      <c r="T14" s="3"/>
      <c r="X14" s="76"/>
    </row>
    <row r="15" spans="1:29" s="75" customFormat="1">
      <c r="D15" s="30" t="s">
        <v>41</v>
      </c>
      <c r="E15" s="32" t="s">
        <v>170</v>
      </c>
      <c r="F15" s="33" t="s">
        <v>28</v>
      </c>
      <c r="G15" s="77"/>
      <c r="I15" s="79"/>
      <c r="J15" s="79"/>
      <c r="K15" s="79"/>
      <c r="L15" s="50">
        <f>Actual.Totex.Sewerage/Indexation.Average</f>
        <v>302.6615288931003</v>
      </c>
      <c r="M15" s="50">
        <f>Actual.Totex.Sewerage/Indexation.Average</f>
        <v>385.53283090074689</v>
      </c>
      <c r="N15" s="50">
        <f>Actual.Totex.Sewerage/Indexation.Average</f>
        <v>377.2451223758452</v>
      </c>
      <c r="O15" s="50">
        <f>Actual.Totex.Sewerage/Indexation.Average</f>
        <v>456.76620195899636</v>
      </c>
      <c r="P15" s="50">
        <f>Actual.Totex.Sewerage/Indexation.Average</f>
        <v>396.90416104342836</v>
      </c>
      <c r="Q15" s="3"/>
      <c r="R15" s="3"/>
      <c r="S15" s="3"/>
      <c r="T15" s="3"/>
      <c r="X15" s="76"/>
    </row>
    <row r="16" spans="1:29" s="75" customFormat="1">
      <c r="D16" s="30"/>
      <c r="E16" s="32"/>
      <c r="F16" s="33"/>
      <c r="G16" s="77"/>
      <c r="I16" s="79"/>
      <c r="J16" s="79"/>
      <c r="K16" s="79"/>
      <c r="L16" s="50"/>
      <c r="M16" s="50"/>
      <c r="N16" s="50"/>
      <c r="O16" s="50"/>
      <c r="P16" s="50"/>
      <c r="Q16" s="3"/>
      <c r="R16" s="3"/>
      <c r="S16" s="3"/>
      <c r="T16" s="3"/>
      <c r="X16" s="76"/>
    </row>
    <row r="17" spans="1:24" s="75" customFormat="1">
      <c r="D17" s="30"/>
      <c r="E17" s="78" t="s">
        <v>171</v>
      </c>
      <c r="F17" s="77"/>
      <c r="G17" s="77"/>
      <c r="I17" s="79"/>
      <c r="J17" s="79"/>
      <c r="K17" s="79"/>
      <c r="L17" s="79"/>
      <c r="M17" s="79"/>
      <c r="N17" s="79"/>
      <c r="O17" s="79"/>
      <c r="P17" s="79"/>
      <c r="Q17" s="3"/>
      <c r="R17" s="3"/>
      <c r="S17" s="3"/>
      <c r="T17" s="3"/>
      <c r="X17" s="76"/>
    </row>
    <row r="18" spans="1:24" s="75" customFormat="1">
      <c r="D18" s="30" t="s">
        <v>41</v>
      </c>
      <c r="E18" s="32" t="s">
        <v>172</v>
      </c>
      <c r="F18" s="33" t="s">
        <v>28</v>
      </c>
      <c r="G18" s="77"/>
      <c r="I18" s="79"/>
      <c r="J18" s="79"/>
      <c r="K18" s="79"/>
      <c r="L18" s="50">
        <f>SUM(INDEX(Actual.Exclusions.Water,,L6))/Indexation.Average</f>
        <v>8.9954136579725024</v>
      </c>
      <c r="M18" s="50">
        <f>SUM(INDEX(Actual.Exclusions.Water,,M6))/Indexation.Average</f>
        <v>6.958221830875182</v>
      </c>
      <c r="N18" s="50">
        <f>SUM(INDEX(Actual.Exclusions.Water,,N6))/Indexation.Average</f>
        <v>7.8565465487610222</v>
      </c>
      <c r="O18" s="50">
        <f>SUM(INDEX(Actual.Exclusions.Water,,O6))/Indexation.Average</f>
        <v>15.790702826720002</v>
      </c>
      <c r="P18" s="50">
        <f>SUM(INDEX(Actual.Exclusions.Water,,P6))/Indexation.Average</f>
        <v>18.838677454493332</v>
      </c>
      <c r="Q18" s="3"/>
      <c r="R18" s="3"/>
      <c r="S18" s="3"/>
      <c r="T18" s="3"/>
      <c r="X18" s="76"/>
    </row>
    <row r="19" spans="1:24" s="75" customFormat="1">
      <c r="D19" s="30" t="s">
        <v>41</v>
      </c>
      <c r="E19" s="32" t="s">
        <v>173</v>
      </c>
      <c r="F19" s="33" t="s">
        <v>28</v>
      </c>
      <c r="G19" s="77"/>
      <c r="I19" s="79"/>
      <c r="J19" s="79"/>
      <c r="K19" s="79"/>
      <c r="L19" s="221">
        <f>SUM(Inputs!L66:L72)/Indexation.Average</f>
        <v>19.17537748939997</v>
      </c>
      <c r="M19" s="221">
        <f>SUM(Inputs!M66:M72)/Indexation.Average</f>
        <v>49.27355467153054</v>
      </c>
      <c r="N19" s="221">
        <f>SUM(Inputs!N66:N72)/Indexation.Average</f>
        <v>6.6525882404111254</v>
      </c>
      <c r="O19" s="221">
        <f>SUM(Inputs!O66:O72)/Indexation.Average</f>
        <v>6.9427619789981456</v>
      </c>
      <c r="P19" s="221">
        <f>SUM(Inputs!P66:P72)/Indexation.Average</f>
        <v>6.6843933495771815</v>
      </c>
      <c r="Q19" s="3"/>
      <c r="R19" s="3"/>
      <c r="S19" s="3"/>
      <c r="T19" s="3"/>
      <c r="X19" s="76"/>
    </row>
    <row r="20" spans="1:24" s="75" customFormat="1">
      <c r="D20" s="12"/>
      <c r="E20" s="12"/>
      <c r="F20" s="77"/>
      <c r="G20" s="77"/>
      <c r="I20" s="79"/>
      <c r="J20" s="79"/>
      <c r="K20" s="79"/>
      <c r="L20" s="79"/>
      <c r="M20" s="79"/>
      <c r="N20" s="79"/>
      <c r="O20" s="79"/>
      <c r="P20" s="79"/>
      <c r="Q20" s="3"/>
      <c r="R20" s="3"/>
      <c r="S20" s="3"/>
      <c r="T20" s="3"/>
      <c r="X20" s="76"/>
    </row>
    <row r="21" spans="1:24" s="75" customFormat="1">
      <c r="D21" s="30"/>
      <c r="E21" s="78" t="s">
        <v>174</v>
      </c>
      <c r="F21" s="77"/>
      <c r="G21" s="77"/>
      <c r="I21" s="79"/>
      <c r="J21" s="79"/>
      <c r="K21" s="79"/>
      <c r="L21" s="79"/>
      <c r="M21" s="79"/>
      <c r="N21" s="79"/>
      <c r="O21" s="79"/>
      <c r="P21" s="79"/>
      <c r="Q21" s="3"/>
      <c r="R21" s="3"/>
      <c r="S21" s="3"/>
      <c r="T21" s="3"/>
      <c r="X21" s="76"/>
    </row>
    <row r="22" spans="1:24" s="192" customFormat="1">
      <c r="A22" s="75"/>
      <c r="B22" s="75"/>
      <c r="C22" s="75"/>
      <c r="D22" s="30" t="s">
        <v>41</v>
      </c>
      <c r="E22" s="32" t="str">
        <f>Inputs!E75</f>
        <v xml:space="preserve">Water: Transition expenditure </v>
      </c>
      <c r="F22" s="33" t="s">
        <v>28</v>
      </c>
      <c r="G22" s="77"/>
      <c r="H22" s="75"/>
      <c r="I22" s="79"/>
      <c r="J22" s="79"/>
      <c r="K22" s="79"/>
      <c r="L22" s="50">
        <f>TransitionExp.Water</f>
        <v>9.6880000000000006</v>
      </c>
      <c r="M22" s="50"/>
      <c r="N22" s="50"/>
      <c r="O22" s="50"/>
      <c r="P22" s="50"/>
      <c r="Q22" s="3"/>
      <c r="R22" s="3"/>
      <c r="S22" s="3"/>
      <c r="T22" s="3"/>
      <c r="U22" s="75"/>
      <c r="V22" s="75"/>
      <c r="W22" s="75"/>
      <c r="X22" s="76"/>
    </row>
    <row r="23" spans="1:24" s="192" customFormat="1">
      <c r="A23" s="75"/>
      <c r="B23" s="75"/>
      <c r="C23" s="75"/>
      <c r="D23" s="30" t="s">
        <v>41</v>
      </c>
      <c r="E23" s="32" t="str">
        <f>Inputs!E78</f>
        <v xml:space="preserve">Sewerage: Transition expenditure </v>
      </c>
      <c r="F23" s="33" t="s">
        <v>28</v>
      </c>
      <c r="G23" s="77"/>
      <c r="H23" s="75"/>
      <c r="I23" s="79"/>
      <c r="J23" s="79"/>
      <c r="K23" s="79"/>
      <c r="L23" s="50">
        <f>TransitionExp.Sewerage</f>
        <v>4.79</v>
      </c>
      <c r="M23" s="50"/>
      <c r="N23" s="50"/>
      <c r="O23" s="50"/>
      <c r="P23" s="50"/>
      <c r="Q23" s="3"/>
      <c r="R23" s="3"/>
      <c r="S23" s="3"/>
      <c r="T23" s="3"/>
      <c r="U23" s="75"/>
      <c r="V23" s="75"/>
      <c r="W23" s="75"/>
      <c r="X23" s="76"/>
    </row>
    <row r="24" spans="1:24" s="75" customFormat="1">
      <c r="D24" s="12"/>
      <c r="E24" s="12"/>
      <c r="F24" s="77"/>
      <c r="G24" s="77"/>
      <c r="I24" s="79"/>
      <c r="J24" s="79"/>
      <c r="K24" s="79"/>
      <c r="L24" s="79"/>
      <c r="M24" s="79"/>
      <c r="N24" s="79"/>
      <c r="O24" s="79"/>
      <c r="P24" s="79"/>
      <c r="Q24" s="3"/>
      <c r="R24" s="3"/>
      <c r="S24" s="3"/>
      <c r="T24" s="3"/>
      <c r="X24" s="76"/>
    </row>
    <row r="25" spans="1:24" s="75" customFormat="1">
      <c r="D25" s="30"/>
      <c r="E25" s="78" t="s">
        <v>175</v>
      </c>
      <c r="F25" s="77"/>
      <c r="G25" s="77"/>
      <c r="I25" s="79"/>
      <c r="J25" s="79"/>
      <c r="K25" s="79"/>
      <c r="L25" s="79"/>
      <c r="M25" s="79"/>
      <c r="N25" s="79"/>
      <c r="O25" s="79"/>
      <c r="P25" s="79"/>
      <c r="Q25" s="3"/>
      <c r="R25" s="3"/>
      <c r="S25" s="3"/>
      <c r="T25" s="3"/>
      <c r="X25" s="76"/>
    </row>
    <row r="26" spans="1:24" s="192" customFormat="1">
      <c r="A26" s="75"/>
      <c r="B26" s="75"/>
      <c r="C26" s="75"/>
      <c r="D26" s="189"/>
      <c r="E26" s="216"/>
      <c r="F26" s="217"/>
      <c r="G26" s="214"/>
      <c r="I26" s="222"/>
      <c r="J26" s="222"/>
      <c r="K26" s="222"/>
      <c r="L26" s="221"/>
      <c r="M26" s="221"/>
      <c r="N26" s="221"/>
      <c r="O26" s="221"/>
      <c r="P26" s="221"/>
      <c r="Q26" s="3"/>
      <c r="R26" s="3"/>
      <c r="S26" s="3"/>
      <c r="T26" s="3"/>
      <c r="U26" s="75"/>
      <c r="V26" s="75"/>
      <c r="W26" s="75"/>
      <c r="X26" s="76"/>
    </row>
    <row r="27" spans="1:24" s="192" customFormat="1">
      <c r="A27" s="75"/>
      <c r="B27" s="75"/>
      <c r="C27" s="75"/>
      <c r="D27" s="189"/>
      <c r="E27" s="216"/>
      <c r="F27" s="217"/>
      <c r="G27" s="214"/>
      <c r="I27" s="222"/>
      <c r="J27" s="222"/>
      <c r="K27" s="222"/>
      <c r="L27" s="221"/>
      <c r="M27" s="221"/>
      <c r="N27" s="221"/>
      <c r="O27" s="221"/>
      <c r="P27" s="221"/>
      <c r="Q27" s="3"/>
      <c r="R27" s="3"/>
      <c r="S27" s="3"/>
      <c r="T27" s="3"/>
      <c r="U27" s="75"/>
      <c r="V27" s="75"/>
      <c r="W27" s="75"/>
      <c r="X27" s="76"/>
    </row>
    <row r="28" spans="1:24" s="75" customFormat="1">
      <c r="D28" s="12"/>
      <c r="E28" s="12"/>
      <c r="F28" s="77"/>
      <c r="G28" s="77"/>
      <c r="I28" s="79"/>
      <c r="J28" s="79"/>
      <c r="K28" s="79"/>
      <c r="L28" s="79"/>
      <c r="M28" s="79"/>
      <c r="N28" s="79"/>
      <c r="O28" s="79"/>
      <c r="P28" s="79"/>
      <c r="Q28" s="3"/>
      <c r="R28" s="3"/>
      <c r="S28" s="3"/>
      <c r="T28" s="3"/>
      <c r="X28" s="76"/>
    </row>
    <row r="29" spans="1:24" s="75" customFormat="1">
      <c r="D29" s="30"/>
      <c r="E29" s="78" t="s">
        <v>176</v>
      </c>
      <c r="F29" s="77"/>
      <c r="G29" s="77"/>
      <c r="I29" s="79"/>
      <c r="J29" s="79"/>
      <c r="K29" s="79"/>
      <c r="L29" s="79"/>
      <c r="M29" s="79"/>
      <c r="N29" s="79"/>
      <c r="O29" s="79"/>
      <c r="P29" s="79"/>
      <c r="Q29" s="3"/>
      <c r="R29" s="3"/>
      <c r="S29" s="3"/>
      <c r="T29" s="3"/>
      <c r="X29" s="76"/>
    </row>
    <row r="30" spans="1:24" s="75" customFormat="1">
      <c r="D30" s="30" t="s">
        <v>41</v>
      </c>
      <c r="E30" s="32" t="s">
        <v>177</v>
      </c>
      <c r="F30" s="33" t="s">
        <v>28</v>
      </c>
      <c r="G30" s="77"/>
      <c r="I30" s="79"/>
      <c r="J30" s="79"/>
      <c r="K30" s="79"/>
      <c r="L30" s="221">
        <f>L14-L18+L22</f>
        <v>264.57094285622503</v>
      </c>
      <c r="M30" s="221">
        <f t="shared" ref="M30:P30" si="2">M14-M18+M22</f>
        <v>296.74704586628701</v>
      </c>
      <c r="N30" s="221">
        <f t="shared" si="2"/>
        <v>321.09274430576619</v>
      </c>
      <c r="O30" s="221">
        <f t="shared" si="2"/>
        <v>363.4780736535576</v>
      </c>
      <c r="P30" s="221">
        <f t="shared" si="2"/>
        <v>365.07880650709473</v>
      </c>
      <c r="Q30" s="59" t="s">
        <v>178</v>
      </c>
      <c r="R30" s="3"/>
      <c r="S30" s="3"/>
      <c r="T30" s="3"/>
      <c r="X30" s="76"/>
    </row>
    <row r="31" spans="1:24" s="75" customFormat="1">
      <c r="D31" s="30" t="s">
        <v>41</v>
      </c>
      <c r="E31" s="32" t="s">
        <v>179</v>
      </c>
      <c r="F31" s="33" t="s">
        <v>28</v>
      </c>
      <c r="G31" s="77"/>
      <c r="I31" s="79"/>
      <c r="J31" s="79"/>
      <c r="K31" s="79"/>
      <c r="L31" s="221">
        <f>L15-L19+L23</f>
        <v>288.27615140370034</v>
      </c>
      <c r="M31" s="221">
        <f t="shared" ref="M31:P31" si="3">M15-M19+M23</f>
        <v>336.25927622921637</v>
      </c>
      <c r="N31" s="221">
        <f t="shared" si="3"/>
        <v>370.59253413543405</v>
      </c>
      <c r="O31" s="221">
        <f t="shared" si="3"/>
        <v>449.82343997999823</v>
      </c>
      <c r="P31" s="221">
        <f t="shared" si="3"/>
        <v>390.21976769385117</v>
      </c>
      <c r="Q31" s="59" t="s">
        <v>180</v>
      </c>
      <c r="R31" s="3"/>
      <c r="S31" s="3"/>
      <c r="T31" s="3"/>
      <c r="X31" s="76"/>
    </row>
    <row r="32" spans="1:24" s="75" customFormat="1">
      <c r="D32" s="30" t="s">
        <v>41</v>
      </c>
      <c r="E32" s="157" t="s">
        <v>181</v>
      </c>
      <c r="F32" s="33" t="s">
        <v>28</v>
      </c>
      <c r="G32" s="77"/>
      <c r="I32" s="79"/>
      <c r="J32" s="79"/>
      <c r="K32" s="79"/>
      <c r="L32" s="81">
        <f>SUM(L30:L31)</f>
        <v>552.84709425992537</v>
      </c>
      <c r="M32" s="81">
        <f>SUM(M30:M31)</f>
        <v>633.00632209550338</v>
      </c>
      <c r="N32" s="81">
        <f t="shared" ref="N32:P32" si="4">SUM(N30:N31)</f>
        <v>691.68527844120024</v>
      </c>
      <c r="O32" s="81">
        <f t="shared" si="4"/>
        <v>813.30151363355583</v>
      </c>
      <c r="P32" s="81">
        <f t="shared" si="4"/>
        <v>755.29857420094595</v>
      </c>
      <c r="Q32" s="59" t="s">
        <v>182</v>
      </c>
      <c r="R32" s="3"/>
      <c r="S32" s="3"/>
      <c r="T32" s="3"/>
      <c r="X32" s="76"/>
    </row>
    <row r="33" spans="1:24" s="75" customFormat="1">
      <c r="D33" s="30"/>
      <c r="E33" s="39"/>
      <c r="F33" s="39"/>
      <c r="G33" s="39"/>
      <c r="H33" s="83"/>
      <c r="I33" s="79"/>
      <c r="J33" s="79"/>
      <c r="K33" s="79"/>
      <c r="L33" s="50"/>
      <c r="M33" s="50"/>
      <c r="N33" s="50"/>
      <c r="O33" s="50"/>
      <c r="P33" s="50"/>
      <c r="Q33" s="3"/>
      <c r="R33" s="3"/>
      <c r="S33" s="3"/>
      <c r="T33" s="3"/>
      <c r="X33" s="76"/>
    </row>
    <row r="34" spans="1:24" s="22" customFormat="1" ht="15">
      <c r="A34" s="19"/>
      <c r="B34" s="19"/>
      <c r="C34" s="19"/>
      <c r="D34" s="182"/>
      <c r="E34" s="21" t="s">
        <v>183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s="75" customFormat="1" ht="10.5" customHeight="1">
      <c r="A35" s="3"/>
      <c r="B35" s="3"/>
      <c r="C35" s="3"/>
      <c r="D35" s="30"/>
      <c r="E35" s="39"/>
      <c r="F35" s="39"/>
      <c r="G35" s="39"/>
      <c r="H35" s="83"/>
      <c r="I35" s="84"/>
      <c r="J35" s="84"/>
      <c r="K35" s="84"/>
      <c r="L35" s="84"/>
      <c r="M35" s="84"/>
      <c r="N35" s="84"/>
      <c r="O35" s="84"/>
      <c r="P35" s="84"/>
      <c r="Q35" s="3"/>
      <c r="R35" s="3"/>
      <c r="S35" s="3"/>
      <c r="T35" s="3"/>
      <c r="X35" s="76"/>
    </row>
    <row r="36" spans="1:24" s="22" customFormat="1" ht="15">
      <c r="A36" s="19"/>
      <c r="B36" s="19"/>
      <c r="C36" s="19"/>
      <c r="D36" s="182"/>
      <c r="E36" s="21" t="s">
        <v>184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>
      <c r="E37" s="3"/>
      <c r="F37" s="3"/>
      <c r="G37" s="3"/>
      <c r="X37" s="3"/>
    </row>
    <row r="38" spans="1:24" s="75" customFormat="1">
      <c r="A38" s="3"/>
      <c r="B38" s="3"/>
      <c r="C38" s="3"/>
      <c r="D38" s="30"/>
      <c r="E38" s="80" t="s">
        <v>185</v>
      </c>
      <c r="F38" s="39"/>
      <c r="G38" s="39"/>
      <c r="H38" s="83"/>
      <c r="I38" s="85"/>
      <c r="J38" s="85"/>
      <c r="K38" s="86"/>
      <c r="L38" s="84"/>
      <c r="M38" s="84"/>
      <c r="N38" s="84"/>
      <c r="O38" s="84"/>
      <c r="P38" s="84"/>
      <c r="Q38" s="3"/>
      <c r="R38" s="3"/>
      <c r="S38" s="3"/>
      <c r="T38" s="3"/>
      <c r="X38" s="76"/>
    </row>
    <row r="39" spans="1:24" s="75" customFormat="1">
      <c r="A39" s="3"/>
      <c r="B39" s="3"/>
      <c r="C39" s="3"/>
      <c r="D39" s="183" t="s">
        <v>15</v>
      </c>
      <c r="E39" s="82" t="s">
        <v>186</v>
      </c>
      <c r="F39" s="39"/>
      <c r="G39" s="87">
        <f>Company.Baseline+Company.Slope*(UB.Chosen-100)</f>
        <v>0.44</v>
      </c>
      <c r="H39" s="89" t="s">
        <v>187</v>
      </c>
      <c r="I39" s="85"/>
      <c r="J39" s="85"/>
      <c r="K39" s="86"/>
      <c r="L39" s="84"/>
      <c r="M39" s="84"/>
      <c r="N39" s="84"/>
      <c r="O39" s="84"/>
      <c r="P39" s="84"/>
      <c r="Q39" s="3"/>
      <c r="R39" s="3"/>
      <c r="S39" s="3"/>
      <c r="T39" s="3"/>
      <c r="X39" s="76"/>
    </row>
    <row r="40" spans="1:24" s="75" customFormat="1">
      <c r="A40" s="3"/>
      <c r="B40" s="3"/>
      <c r="C40" s="3"/>
      <c r="D40" s="30" t="s">
        <v>21</v>
      </c>
      <c r="E40" s="82" t="s">
        <v>188</v>
      </c>
      <c r="F40" s="39"/>
      <c r="G40" s="88">
        <f>Allowed.Exp.Slope*UB.Chosen+Allowed.Exp.Constant</f>
        <v>107.5</v>
      </c>
      <c r="H40" s="89" t="s">
        <v>189</v>
      </c>
      <c r="I40" s="85"/>
      <c r="J40" s="85"/>
      <c r="K40" s="86"/>
      <c r="L40" s="84"/>
      <c r="M40" s="84"/>
      <c r="N40" s="84"/>
      <c r="O40" s="84"/>
      <c r="P40" s="84"/>
      <c r="Q40" s="3"/>
      <c r="R40" s="3"/>
      <c r="S40" s="3"/>
      <c r="T40" s="3"/>
      <c r="X40" s="76"/>
    </row>
    <row r="41" spans="1:24" s="75" customFormat="1">
      <c r="A41" s="3"/>
      <c r="B41" s="3"/>
      <c r="C41" s="3"/>
      <c r="D41" s="30" t="s">
        <v>21</v>
      </c>
      <c r="E41" s="82" t="s">
        <v>190</v>
      </c>
      <c r="F41" s="39"/>
      <c r="G41" s="88">
        <f>Add.Income.2ndOrder*(UB.Chosen^2)+Add.Income.1stOrder*UB.Chosen+Add.Income.Constant</f>
        <v>-4.1999999999999993</v>
      </c>
      <c r="H41" s="89" t="s">
        <v>191</v>
      </c>
      <c r="I41" s="85"/>
      <c r="J41" s="85"/>
      <c r="K41" s="86"/>
      <c r="L41" s="84"/>
      <c r="M41" s="84"/>
      <c r="N41" s="84"/>
      <c r="O41" s="84"/>
      <c r="P41" s="84"/>
      <c r="Q41" s="3"/>
      <c r="R41" s="3"/>
      <c r="S41" s="3"/>
      <c r="T41" s="3"/>
      <c r="X41" s="76"/>
    </row>
    <row r="42" spans="1:24" s="75" customFormat="1">
      <c r="A42" s="3"/>
      <c r="B42" s="3"/>
      <c r="C42" s="3"/>
      <c r="D42" s="30"/>
      <c r="E42" s="32"/>
      <c r="F42" s="39"/>
      <c r="G42" s="39"/>
      <c r="H42" s="39"/>
      <c r="I42" s="85"/>
      <c r="J42" s="85"/>
      <c r="K42" s="86"/>
      <c r="L42" s="84"/>
      <c r="M42" s="84"/>
      <c r="N42" s="84"/>
      <c r="O42" s="84"/>
      <c r="P42" s="84"/>
      <c r="Q42" s="3"/>
      <c r="R42" s="3"/>
      <c r="S42" s="3"/>
      <c r="T42" s="3"/>
      <c r="X42" s="76"/>
    </row>
    <row r="43" spans="1:24" s="75" customFormat="1">
      <c r="A43" s="3"/>
      <c r="B43" s="3"/>
      <c r="C43" s="3"/>
      <c r="D43" s="30"/>
      <c r="E43" s="80" t="s">
        <v>192</v>
      </c>
      <c r="F43" s="39"/>
      <c r="G43" s="39"/>
      <c r="H43" s="39"/>
      <c r="I43" s="85"/>
      <c r="J43" s="85"/>
      <c r="K43" s="86"/>
      <c r="L43" s="84"/>
      <c r="M43" s="84"/>
      <c r="N43" s="84"/>
      <c r="O43" s="84"/>
      <c r="P43" s="84"/>
      <c r="Q43" s="3"/>
      <c r="R43" s="3"/>
      <c r="S43" s="3"/>
      <c r="T43" s="3"/>
      <c r="X43" s="76"/>
    </row>
    <row r="44" spans="1:24" s="75" customFormat="1">
      <c r="A44" s="3"/>
      <c r="B44" s="3"/>
      <c r="C44" s="3"/>
      <c r="D44" s="183" t="s">
        <v>15</v>
      </c>
      <c r="E44" s="82" t="s">
        <v>193</v>
      </c>
      <c r="F44" s="39"/>
      <c r="G44" s="87">
        <f>Company.Baseline+Company.Slope*(LB.Chosen-100)</f>
        <v>0.54</v>
      </c>
      <c r="H44" s="89" t="s">
        <v>194</v>
      </c>
      <c r="I44" s="85"/>
      <c r="J44" s="85"/>
      <c r="K44" s="86"/>
      <c r="L44" s="84"/>
      <c r="M44" s="84"/>
      <c r="N44" s="84"/>
      <c r="O44" s="84"/>
      <c r="P44" s="84"/>
      <c r="Q44" s="3"/>
      <c r="R44" s="3"/>
      <c r="S44" s="3"/>
      <c r="T44" s="3"/>
      <c r="X44" s="76"/>
    </row>
    <row r="45" spans="1:24" s="75" customFormat="1">
      <c r="A45" s="3"/>
      <c r="B45" s="3"/>
      <c r="C45" s="3"/>
      <c r="D45" s="30" t="s">
        <v>21</v>
      </c>
      <c r="E45" s="82" t="s">
        <v>195</v>
      </c>
      <c r="F45" s="39"/>
      <c r="G45" s="88">
        <f>Allowed.Exp.Slope*LB.Chosen+Allowed.Exp.Constant</f>
        <v>95</v>
      </c>
      <c r="H45" s="89" t="s">
        <v>196</v>
      </c>
      <c r="I45" s="85"/>
      <c r="J45" s="85"/>
      <c r="K45" s="86"/>
      <c r="L45" s="84"/>
      <c r="M45" s="84"/>
      <c r="N45" s="84"/>
      <c r="O45" s="84"/>
      <c r="P45" s="84"/>
      <c r="Q45" s="3"/>
      <c r="R45" s="3"/>
      <c r="S45" s="3"/>
      <c r="T45" s="3"/>
      <c r="X45" s="76"/>
    </row>
    <row r="46" spans="1:24" s="75" customFormat="1" ht="13.5" customHeight="1">
      <c r="A46" s="3"/>
      <c r="B46" s="3"/>
      <c r="C46" s="3"/>
      <c r="D46" s="30" t="s">
        <v>21</v>
      </c>
      <c r="E46" s="82" t="s">
        <v>197</v>
      </c>
      <c r="F46" s="39"/>
      <c r="G46" s="88">
        <f>Add.Income.2ndOrder*(LB.Chosen^2)+Add.Income.1stOrder*LB.Chosen+Add.Income.Constant</f>
        <v>2.3000000000000007</v>
      </c>
      <c r="H46" s="89" t="s">
        <v>198</v>
      </c>
      <c r="I46" s="85"/>
      <c r="J46" s="85"/>
      <c r="K46" s="86"/>
      <c r="L46" s="84"/>
      <c r="M46" s="84"/>
      <c r="N46" s="84"/>
      <c r="O46" s="84"/>
      <c r="P46" s="84"/>
      <c r="Q46" s="3"/>
      <c r="R46" s="3"/>
      <c r="S46" s="3"/>
      <c r="T46" s="3"/>
      <c r="X46" s="76"/>
    </row>
    <row r="47" spans="1:24" s="75" customFormat="1" ht="13.5" customHeight="1">
      <c r="A47" s="3"/>
      <c r="B47" s="3"/>
      <c r="C47" s="3"/>
      <c r="D47" s="30"/>
      <c r="E47" s="82"/>
      <c r="F47" s="39"/>
      <c r="G47" s="89"/>
      <c r="H47" s="89"/>
      <c r="I47" s="85"/>
      <c r="J47" s="85"/>
      <c r="K47" s="86"/>
      <c r="L47" s="84"/>
      <c r="M47" s="84"/>
      <c r="N47" s="84"/>
      <c r="O47" s="84"/>
      <c r="P47" s="84"/>
      <c r="Q47" s="3"/>
      <c r="R47" s="3"/>
      <c r="S47" s="3"/>
      <c r="T47" s="3"/>
      <c r="X47" s="76"/>
    </row>
    <row r="48" spans="1:24" s="22" customFormat="1" ht="15">
      <c r="A48" s="19"/>
      <c r="B48" s="19"/>
      <c r="C48" s="19"/>
      <c r="D48" s="182"/>
      <c r="E48" s="21" t="s">
        <v>199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s="193" customFormat="1" ht="12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s="192" customFormat="1">
      <c r="A50" s="3"/>
      <c r="B50" s="3"/>
      <c r="C50" s="3"/>
      <c r="D50" s="30"/>
      <c r="E50" s="49" t="s">
        <v>200</v>
      </c>
      <c r="F50" s="39"/>
      <c r="G50" s="39"/>
      <c r="H50" s="83"/>
      <c r="I50" s="85"/>
      <c r="J50" s="85"/>
      <c r="K50" s="86"/>
      <c r="L50" s="84"/>
      <c r="M50" s="84"/>
      <c r="N50" s="84"/>
      <c r="O50" s="84"/>
      <c r="P50" s="84"/>
      <c r="Q50" s="3"/>
      <c r="R50" s="3"/>
      <c r="S50" s="3"/>
      <c r="T50" s="3"/>
      <c r="U50" s="75"/>
      <c r="V50" s="75"/>
      <c r="W50" s="75"/>
      <c r="X50" s="76"/>
    </row>
    <row r="51" spans="1:24" s="192" customFormat="1">
      <c r="A51" s="3"/>
      <c r="B51" s="3"/>
      <c r="C51" s="3"/>
      <c r="D51" s="183" t="s">
        <v>15</v>
      </c>
      <c r="E51" s="32" t="s">
        <v>201</v>
      </c>
      <c r="F51" s="39"/>
      <c r="G51" s="87">
        <f>MIN(MAX(Eff.Inc.Constant+Eff.Inc.Slope*FD.Menu.Choice.Water,UB.EffInc),LB.EffInc)</f>
        <v>0.51133543740885912</v>
      </c>
      <c r="H51" s="89" t="s">
        <v>202</v>
      </c>
      <c r="I51" s="85"/>
      <c r="J51" s="85"/>
      <c r="K51" s="86"/>
      <c r="L51" s="84"/>
      <c r="M51" s="84"/>
      <c r="N51" s="84"/>
      <c r="O51" s="84"/>
      <c r="P51" s="84"/>
      <c r="Q51" s="3"/>
      <c r="R51" s="3"/>
      <c r="S51" s="3"/>
      <c r="T51" s="3"/>
      <c r="U51" s="75"/>
      <c r="V51" s="75"/>
      <c r="W51" s="75"/>
      <c r="X51" s="76"/>
    </row>
    <row r="52" spans="1:24" s="192" customFormat="1">
      <c r="A52" s="3"/>
      <c r="B52" s="3"/>
      <c r="C52" s="3"/>
      <c r="D52" s="30" t="s">
        <v>21</v>
      </c>
      <c r="E52" s="32" t="s">
        <v>203</v>
      </c>
      <c r="F52" s="39"/>
      <c r="G52" s="88">
        <f>MIN(MAX(Allowed.Exp.Constant+Allowed.Exp.Slope*FD.Menu.Choice.Water,LB.AllExp),UB.AllExp)</f>
        <v>98.583070323892599</v>
      </c>
      <c r="H52" s="89" t="s">
        <v>204</v>
      </c>
      <c r="I52" s="85"/>
      <c r="J52" s="85"/>
      <c r="K52" s="86"/>
      <c r="L52" s="84"/>
      <c r="M52" s="84"/>
      <c r="N52" s="84"/>
      <c r="O52" s="84"/>
      <c r="P52" s="84"/>
      <c r="Q52" s="3"/>
      <c r="R52" s="3"/>
      <c r="S52" s="3"/>
      <c r="T52" s="3"/>
      <c r="U52" s="75"/>
      <c r="V52" s="75"/>
      <c r="W52" s="75"/>
      <c r="X52" s="76"/>
    </row>
    <row r="53" spans="1:24" s="192" customFormat="1">
      <c r="A53" s="3"/>
      <c r="B53" s="3"/>
      <c r="C53" s="3"/>
      <c r="D53" s="30" t="s">
        <v>21</v>
      </c>
      <c r="E53" s="32" t="s">
        <v>205</v>
      </c>
      <c r="F53" s="39"/>
      <c r="G53" s="88">
        <f>MIN(MAX(Add.Income.Constant+Add.Income.1stOrder*FD.Menu.Choice.Water+Add.Income.2ndOrder*(FD.Menu.Choice.Water^2),UB.AddInc),LB.AddInc)</f>
        <v>0.69240332039743002</v>
      </c>
      <c r="H53" s="89" t="s">
        <v>206</v>
      </c>
      <c r="I53" s="85"/>
      <c r="J53" s="85"/>
      <c r="K53" s="86"/>
      <c r="L53" s="84"/>
      <c r="M53" s="84"/>
      <c r="N53" s="84"/>
      <c r="O53" s="84"/>
      <c r="P53" s="84"/>
      <c r="Q53" s="3"/>
      <c r="R53" s="3"/>
      <c r="S53" s="3"/>
      <c r="T53" s="3"/>
      <c r="U53" s="75"/>
      <c r="V53" s="75"/>
      <c r="W53" s="75"/>
      <c r="X53" s="76"/>
    </row>
    <row r="54" spans="1:24" s="192" customFormat="1">
      <c r="A54" s="3"/>
      <c r="B54" s="3"/>
      <c r="C54" s="3"/>
      <c r="D54" s="30"/>
      <c r="E54" s="39"/>
      <c r="F54" s="39"/>
      <c r="G54" s="83"/>
      <c r="H54" s="83"/>
      <c r="I54" s="85"/>
      <c r="J54" s="85"/>
      <c r="K54" s="86"/>
      <c r="L54" s="84"/>
      <c r="M54" s="84"/>
      <c r="N54" s="84"/>
      <c r="O54" s="84"/>
      <c r="P54" s="84"/>
      <c r="Q54" s="3"/>
      <c r="R54" s="3"/>
      <c r="S54" s="3"/>
      <c r="T54" s="3"/>
      <c r="U54" s="75"/>
      <c r="V54" s="75"/>
      <c r="W54" s="75"/>
      <c r="X54" s="76"/>
    </row>
    <row r="55" spans="1:24" s="192" customFormat="1">
      <c r="A55" s="3"/>
      <c r="B55" s="3"/>
      <c r="C55" s="3"/>
      <c r="D55" s="30"/>
      <c r="E55" s="49" t="s">
        <v>207</v>
      </c>
      <c r="F55" s="39"/>
      <c r="G55" s="39"/>
      <c r="H55" s="83"/>
      <c r="I55" s="85"/>
      <c r="J55" s="85"/>
      <c r="K55" s="86"/>
      <c r="L55" s="84"/>
      <c r="M55" s="84"/>
      <c r="N55" s="84"/>
      <c r="O55" s="84"/>
      <c r="P55" s="84"/>
      <c r="Q55" s="3"/>
      <c r="R55" s="3"/>
      <c r="S55" s="3"/>
      <c r="T55" s="3"/>
      <c r="U55" s="75"/>
      <c r="V55" s="75"/>
      <c r="W55" s="75"/>
      <c r="X55" s="76"/>
    </row>
    <row r="56" spans="1:24" s="192" customFormat="1">
      <c r="A56" s="3"/>
      <c r="B56" s="3"/>
      <c r="C56" s="3"/>
      <c r="D56" s="183" t="s">
        <v>15</v>
      </c>
      <c r="E56" s="32" t="s">
        <v>208</v>
      </c>
      <c r="F56" s="39"/>
      <c r="G56" s="87">
        <f>MIN(MAX(Eff.Inc.Constant+Eff.Inc.Slope*FD.Menu.Choice.Sewerage,UB.EffInc),LB.EffInc)</f>
        <v>0.5009902602384626</v>
      </c>
      <c r="H56" s="89" t="s">
        <v>209</v>
      </c>
      <c r="I56" s="85"/>
      <c r="J56" s="85"/>
      <c r="K56" s="86"/>
      <c r="L56" s="84"/>
      <c r="M56" s="84"/>
      <c r="N56" s="84"/>
      <c r="O56" s="84"/>
      <c r="P56" s="84"/>
      <c r="Q56" s="3"/>
      <c r="R56" s="3"/>
      <c r="S56" s="3"/>
      <c r="T56" s="3"/>
      <c r="U56" s="75"/>
      <c r="V56" s="75"/>
      <c r="W56" s="75"/>
      <c r="X56" s="76"/>
    </row>
    <row r="57" spans="1:24" s="192" customFormat="1">
      <c r="A57" s="3"/>
      <c r="B57" s="3"/>
      <c r="C57" s="3"/>
      <c r="D57" s="30" t="s">
        <v>21</v>
      </c>
      <c r="E57" s="32" t="s">
        <v>210</v>
      </c>
      <c r="F57" s="39"/>
      <c r="G57" s="88">
        <f>MIN(MAX(Allowed.Exp.Constant+Allowed.Exp.Slope*FD.Menu.Choice.Sewerage,LB.AllExp),UB.AllExp)</f>
        <v>99.876217470192174</v>
      </c>
      <c r="H57" s="89" t="s">
        <v>211</v>
      </c>
      <c r="I57" s="85"/>
      <c r="J57" s="85"/>
      <c r="K57" s="86"/>
      <c r="L57" s="84"/>
      <c r="M57" s="84"/>
      <c r="N57" s="84"/>
      <c r="O57" s="84"/>
      <c r="P57" s="84"/>
      <c r="Q57" s="3"/>
      <c r="R57" s="3"/>
      <c r="S57" s="3"/>
      <c r="T57" s="3"/>
      <c r="U57" s="75"/>
      <c r="V57" s="75"/>
      <c r="W57" s="75"/>
      <c r="X57" s="76"/>
    </row>
    <row r="58" spans="1:24" s="192" customFormat="1">
      <c r="A58" s="3"/>
      <c r="B58" s="3"/>
      <c r="C58" s="3"/>
      <c r="D58" s="30" t="s">
        <v>21</v>
      </c>
      <c r="E58" s="32" t="s">
        <v>212</v>
      </c>
      <c r="F58" s="39"/>
      <c r="G58" s="88">
        <f>MIN(MAX(Add.Income.Constant+Add.Income.1stOrder*FD.Menu.Choice.Sewerage+Add.Income.2ndOrder*(FD.Menu.Choice.Sewerage^2),UB.AddInc),LB.AddInc)</f>
        <v>6.1768687986428539E-2</v>
      </c>
      <c r="H58" s="89" t="s">
        <v>213</v>
      </c>
      <c r="I58" s="85"/>
      <c r="J58" s="85"/>
      <c r="K58" s="86"/>
      <c r="L58" s="84"/>
      <c r="M58" s="84"/>
      <c r="N58" s="84"/>
      <c r="O58" s="84"/>
      <c r="P58" s="84"/>
      <c r="Q58" s="3"/>
      <c r="R58" s="3"/>
      <c r="S58" s="3"/>
      <c r="T58" s="3"/>
      <c r="U58" s="75"/>
      <c r="V58" s="75"/>
      <c r="W58" s="75"/>
      <c r="X58" s="76"/>
    </row>
    <row r="59" spans="1:24" s="192" customFormat="1">
      <c r="A59" s="3"/>
      <c r="B59" s="3"/>
      <c r="C59" s="3"/>
      <c r="D59" s="30"/>
      <c r="E59" s="39"/>
      <c r="F59" s="39"/>
      <c r="G59" s="83"/>
      <c r="H59" s="83"/>
      <c r="I59" s="85"/>
      <c r="J59" s="85"/>
      <c r="K59" s="86"/>
      <c r="L59" s="84"/>
      <c r="M59" s="84"/>
      <c r="N59" s="84"/>
      <c r="O59" s="84"/>
      <c r="P59" s="84"/>
      <c r="Q59" s="3"/>
      <c r="R59" s="3"/>
      <c r="S59" s="3"/>
      <c r="T59" s="3"/>
      <c r="U59" s="75"/>
      <c r="V59" s="75"/>
      <c r="W59" s="75"/>
      <c r="X59" s="76"/>
    </row>
    <row r="60" spans="1:24" s="22" customFormat="1" ht="15">
      <c r="A60" s="19"/>
      <c r="B60" s="19"/>
      <c r="C60" s="19"/>
      <c r="D60" s="182"/>
      <c r="E60" s="21" t="s">
        <v>214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ht="12" customHeight="1">
      <c r="E61" s="3"/>
      <c r="F61" s="3"/>
      <c r="G61" s="3"/>
      <c r="X61" s="3"/>
    </row>
    <row r="62" spans="1:24" s="75" customFormat="1">
      <c r="A62" s="3"/>
      <c r="B62" s="3"/>
      <c r="C62" s="3"/>
      <c r="D62" s="30"/>
      <c r="E62" s="49" t="s">
        <v>200</v>
      </c>
      <c r="F62" s="39"/>
      <c r="G62" s="39"/>
      <c r="H62" s="83"/>
      <c r="I62" s="85"/>
      <c r="J62" s="85"/>
      <c r="K62" s="86"/>
      <c r="L62" s="84"/>
      <c r="M62" s="84"/>
      <c r="N62" s="84"/>
      <c r="O62" s="84"/>
      <c r="P62" s="84"/>
      <c r="Q62" s="3"/>
      <c r="R62" s="3"/>
      <c r="S62" s="3"/>
      <c r="T62" s="3"/>
      <c r="X62" s="76"/>
    </row>
    <row r="63" spans="1:24" s="75" customFormat="1">
      <c r="A63" s="3"/>
      <c r="B63" s="3"/>
      <c r="C63" s="3"/>
      <c r="D63" s="183" t="s">
        <v>15</v>
      </c>
      <c r="E63" s="32" t="s">
        <v>201</v>
      </c>
      <c r="F63" s="39"/>
      <c r="G63" s="87">
        <f>MIN(MAX(Eff.Inc.Constant+Eff.Inc.Slope*Menu.Choice.Water,UB.EffInc),LB.EffInc)</f>
        <v>0.51133543740885912</v>
      </c>
      <c r="H63" s="89" t="s">
        <v>215</v>
      </c>
      <c r="I63" s="85"/>
      <c r="J63" s="85"/>
      <c r="K63" s="86"/>
      <c r="L63" s="84"/>
      <c r="M63" s="84"/>
      <c r="N63" s="84"/>
      <c r="O63" s="84"/>
      <c r="P63" s="84"/>
      <c r="Q63" s="3"/>
      <c r="R63" s="3"/>
      <c r="S63" s="3"/>
      <c r="T63" s="3"/>
      <c r="X63" s="76"/>
    </row>
    <row r="64" spans="1:24" s="75" customFormat="1">
      <c r="A64" s="3"/>
      <c r="B64" s="3"/>
      <c r="C64" s="3"/>
      <c r="D64" s="30" t="s">
        <v>21</v>
      </c>
      <c r="E64" s="32" t="s">
        <v>203</v>
      </c>
      <c r="F64" s="39"/>
      <c r="G64" s="88">
        <f>MIN(MAX(Allowed.Exp.Constant+Allowed.Exp.Slope*Menu.Choice.Water,LB.AllExp),UB.AllExp)</f>
        <v>98.583070323892599</v>
      </c>
      <c r="H64" s="89" t="s">
        <v>216</v>
      </c>
      <c r="I64" s="85"/>
      <c r="J64" s="199"/>
      <c r="K64" s="86"/>
      <c r="L64" s="84"/>
      <c r="M64" s="84"/>
      <c r="N64" s="84"/>
      <c r="O64" s="84"/>
      <c r="P64" s="84"/>
      <c r="Q64" s="3"/>
      <c r="R64" s="3"/>
      <c r="S64" s="3"/>
      <c r="T64" s="3"/>
      <c r="X64" s="76"/>
    </row>
    <row r="65" spans="1:24" s="75" customFormat="1">
      <c r="A65" s="3"/>
      <c r="B65" s="3"/>
      <c r="C65" s="3"/>
      <c r="D65" s="30" t="s">
        <v>21</v>
      </c>
      <c r="E65" s="32" t="s">
        <v>205</v>
      </c>
      <c r="F65" s="39"/>
      <c r="G65" s="88">
        <f>MIN(MAX(Add.Income.Constant+Add.Income.1stOrder*Menu.Choice.Water+Add.Income.2ndOrder*(Menu.Choice.Water^2),UB.AddInc),LB.AddInc)</f>
        <v>0.69240332039743002</v>
      </c>
      <c r="H65" s="89" t="s">
        <v>217</v>
      </c>
      <c r="I65" s="85"/>
      <c r="J65" s="85"/>
      <c r="K65" s="86"/>
      <c r="L65" s="84"/>
      <c r="M65" s="84"/>
      <c r="N65" s="84"/>
      <c r="O65" s="84"/>
      <c r="P65" s="84"/>
      <c r="Q65" s="3"/>
      <c r="R65" s="3"/>
      <c r="S65" s="3"/>
      <c r="T65" s="3"/>
      <c r="X65" s="76"/>
    </row>
    <row r="66" spans="1:24" s="75" customFormat="1">
      <c r="A66" s="3"/>
      <c r="B66" s="3"/>
      <c r="C66" s="3"/>
      <c r="D66" s="30"/>
      <c r="E66" s="39"/>
      <c r="F66" s="39"/>
      <c r="G66" s="83"/>
      <c r="H66" s="83"/>
      <c r="I66" s="85"/>
      <c r="J66" s="85"/>
      <c r="K66" s="86"/>
      <c r="L66" s="84"/>
      <c r="M66" s="84"/>
      <c r="N66" s="84"/>
      <c r="O66" s="84"/>
      <c r="P66" s="84"/>
      <c r="Q66" s="3"/>
      <c r="R66" s="3"/>
      <c r="S66" s="3"/>
      <c r="T66" s="3"/>
      <c r="X66" s="76"/>
    </row>
    <row r="67" spans="1:24" s="75" customFormat="1">
      <c r="A67" s="3"/>
      <c r="B67" s="3"/>
      <c r="C67" s="3"/>
      <c r="D67" s="30"/>
      <c r="E67" s="49" t="s">
        <v>207</v>
      </c>
      <c r="F67" s="39"/>
      <c r="G67" s="39"/>
      <c r="H67" s="83"/>
      <c r="I67" s="85"/>
      <c r="J67" s="85"/>
      <c r="K67" s="86"/>
      <c r="L67" s="84"/>
      <c r="M67" s="84"/>
      <c r="N67" s="84"/>
      <c r="O67" s="84"/>
      <c r="P67" s="84"/>
      <c r="Q67" s="3"/>
      <c r="R67" s="3"/>
      <c r="S67" s="3"/>
      <c r="T67" s="3"/>
      <c r="X67" s="76"/>
    </row>
    <row r="68" spans="1:24" s="75" customFormat="1">
      <c r="A68" s="3"/>
      <c r="B68" s="3"/>
      <c r="C68" s="3"/>
      <c r="D68" s="183" t="s">
        <v>15</v>
      </c>
      <c r="E68" s="32" t="s">
        <v>208</v>
      </c>
      <c r="F68" s="39"/>
      <c r="G68" s="87">
        <f>MIN(MAX(Eff.Inc.Constant+Eff.Inc.Slope*Menu.Choice.Sewerage,UB.EffInc),LB.EffInc)</f>
        <v>0.5009902602384626</v>
      </c>
      <c r="H68" s="89" t="s">
        <v>218</v>
      </c>
      <c r="I68" s="85"/>
      <c r="J68" s="85"/>
      <c r="K68" s="86"/>
      <c r="L68" s="84"/>
      <c r="M68" s="84"/>
      <c r="N68" s="84"/>
      <c r="O68" s="84"/>
      <c r="P68" s="84"/>
      <c r="Q68" s="3"/>
      <c r="R68" s="3"/>
      <c r="S68" s="3"/>
      <c r="T68" s="3"/>
      <c r="X68" s="76"/>
    </row>
    <row r="69" spans="1:24" s="75" customFormat="1">
      <c r="A69" s="3"/>
      <c r="B69" s="3"/>
      <c r="C69" s="3"/>
      <c r="D69" s="30" t="s">
        <v>21</v>
      </c>
      <c r="E69" s="32" t="s">
        <v>210</v>
      </c>
      <c r="F69" s="39"/>
      <c r="G69" s="88">
        <f>MIN(MAX(Allowed.Exp.Constant+Allowed.Exp.Slope*Menu.Choice.Sewerage,LB.AllExp),UB.AllExp)</f>
        <v>99.876217470192174</v>
      </c>
      <c r="H69" s="89" t="s">
        <v>219</v>
      </c>
      <c r="I69" s="85"/>
      <c r="J69" s="85"/>
      <c r="K69" s="86"/>
      <c r="L69" s="84"/>
      <c r="M69" s="84"/>
      <c r="N69" s="84"/>
      <c r="O69" s="84"/>
      <c r="P69" s="84"/>
      <c r="Q69" s="3"/>
      <c r="R69" s="3"/>
      <c r="S69" s="3"/>
      <c r="T69" s="3"/>
      <c r="X69" s="76"/>
    </row>
    <row r="70" spans="1:24" s="75" customFormat="1">
      <c r="A70" s="3"/>
      <c r="B70" s="3"/>
      <c r="C70" s="3"/>
      <c r="D70" s="30" t="s">
        <v>21</v>
      </c>
      <c r="E70" s="32" t="s">
        <v>212</v>
      </c>
      <c r="F70" s="39"/>
      <c r="G70" s="88">
        <f>MIN(MAX(Add.Income.Constant+Add.Income.1stOrder*Menu.Choice.Sewerage+Add.Income.2ndOrder*(Menu.Choice.Sewerage^2),UB.AddInc),LB.AddInc)</f>
        <v>6.1768687986428539E-2</v>
      </c>
      <c r="H70" s="89" t="s">
        <v>220</v>
      </c>
      <c r="I70" s="85"/>
      <c r="J70" s="85"/>
      <c r="K70" s="86"/>
      <c r="L70" s="84"/>
      <c r="M70" s="84"/>
      <c r="N70" s="84"/>
      <c r="O70" s="84"/>
      <c r="P70" s="84"/>
      <c r="Q70" s="3"/>
      <c r="R70" s="3"/>
      <c r="S70" s="3"/>
      <c r="T70" s="3"/>
      <c r="X70" s="76"/>
    </row>
    <row r="71" spans="1:24" s="75" customFormat="1">
      <c r="A71" s="3"/>
      <c r="B71" s="3"/>
      <c r="C71" s="3"/>
      <c r="D71" s="30"/>
      <c r="E71" s="39"/>
      <c r="F71" s="39"/>
      <c r="G71" s="83"/>
      <c r="H71" s="83"/>
      <c r="I71" s="85"/>
      <c r="J71" s="85"/>
      <c r="K71" s="86"/>
      <c r="L71" s="84"/>
      <c r="M71" s="84"/>
      <c r="N71" s="84"/>
      <c r="O71" s="84"/>
      <c r="P71" s="84"/>
      <c r="Q71" s="3"/>
      <c r="R71" s="3"/>
      <c r="S71" s="3"/>
      <c r="T71" s="3"/>
      <c r="X71" s="76"/>
    </row>
    <row r="72" spans="1:24" s="22" customFormat="1" ht="15">
      <c r="A72" s="19"/>
      <c r="B72" s="19"/>
      <c r="C72" s="19"/>
      <c r="D72" s="182"/>
      <c r="E72" s="21" t="s">
        <v>221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4">
      <c r="E73" s="3"/>
      <c r="F73" s="3"/>
      <c r="G73" s="3"/>
      <c r="X73" s="3"/>
    </row>
    <row r="74" spans="1:24" s="22" customFormat="1" ht="15">
      <c r="A74" s="19"/>
      <c r="B74" s="19"/>
      <c r="C74" s="19"/>
      <c r="D74" s="182"/>
      <c r="E74" s="21" t="s">
        <v>222</v>
      </c>
      <c r="F74" s="16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s="75" customFormat="1">
      <c r="A75" s="3"/>
      <c r="B75" s="3"/>
      <c r="C75" s="3"/>
      <c r="Q75" s="3"/>
      <c r="R75" s="3"/>
      <c r="S75" s="3"/>
      <c r="T75" s="3"/>
      <c r="X75" s="76"/>
    </row>
    <row r="76" spans="1:24" s="75" customFormat="1">
      <c r="A76" s="3"/>
      <c r="B76" s="3"/>
      <c r="C76" s="3"/>
      <c r="D76" s="30"/>
      <c r="E76" s="49" t="s">
        <v>223</v>
      </c>
      <c r="F76" s="161"/>
      <c r="G76" s="3"/>
      <c r="L76" s="3"/>
      <c r="M76" s="3"/>
      <c r="N76" s="3"/>
      <c r="R76" s="76"/>
    </row>
    <row r="77" spans="1:24" s="75" customFormat="1">
      <c r="B77" s="3"/>
      <c r="C77" s="3"/>
      <c r="D77" s="183" t="s">
        <v>15</v>
      </c>
      <c r="E77" s="32" t="s">
        <v>224</v>
      </c>
      <c r="F77" s="3"/>
      <c r="G77" s="201">
        <f>IF(SUM(Baseline.Totex.Water)&lt;&gt;0,SUM(Menu.Totex.Water)/SUM(Baseline.Totex.Water),0)</f>
        <v>1.0704131645682138</v>
      </c>
      <c r="L77" s="3"/>
      <c r="M77" s="3"/>
      <c r="N77" s="3"/>
      <c r="R77" s="76"/>
    </row>
    <row r="78" spans="1:24" s="75" customFormat="1">
      <c r="B78" s="3"/>
      <c r="C78" s="3"/>
      <c r="D78" s="30" t="s">
        <v>21</v>
      </c>
      <c r="E78" s="32" t="s">
        <v>225</v>
      </c>
      <c r="F78" s="39"/>
      <c r="G78" s="88">
        <f>G77*100</f>
        <v>107.04131645682138</v>
      </c>
      <c r="L78" s="3"/>
      <c r="M78" s="3"/>
      <c r="N78" s="3"/>
      <c r="R78" s="76"/>
    </row>
    <row r="79" spans="1:24" s="75" customFormat="1">
      <c r="B79" s="3"/>
      <c r="C79" s="3"/>
      <c r="D79" s="3"/>
      <c r="E79" s="3"/>
      <c r="F79" s="3"/>
      <c r="G79" s="3"/>
      <c r="L79" s="3"/>
      <c r="M79" s="3"/>
      <c r="N79" s="3"/>
      <c r="R79" s="76"/>
    </row>
    <row r="80" spans="1:24" s="75" customFormat="1">
      <c r="B80" s="3"/>
      <c r="C80" s="3"/>
      <c r="D80" s="30" t="s">
        <v>21</v>
      </c>
      <c r="E80" s="32" t="s">
        <v>226</v>
      </c>
      <c r="F80" s="161"/>
      <c r="G80" s="163">
        <f>(AllExp.Coeff.Water-G78)*EffInc.Coeff.Water+AddInc.Coeff.Water</f>
        <v>-3.6325976656954975</v>
      </c>
      <c r="L80" s="3"/>
      <c r="M80" s="3"/>
      <c r="N80" s="3"/>
      <c r="R80" s="76"/>
    </row>
    <row r="81" spans="1:24" s="75" customFormat="1">
      <c r="B81" s="3"/>
      <c r="C81" s="3"/>
      <c r="D81" s="183" t="s">
        <v>15</v>
      </c>
      <c r="E81" s="32" t="s">
        <v>227</v>
      </c>
      <c r="F81" s="39"/>
      <c r="G81" s="200">
        <f>G80/100</f>
        <v>-3.6325976656954972E-2</v>
      </c>
      <c r="L81" s="3"/>
      <c r="M81" s="3"/>
      <c r="N81" s="3"/>
      <c r="R81" s="76"/>
    </row>
    <row r="82" spans="1:24" s="75" customFormat="1">
      <c r="B82" s="3"/>
      <c r="C82" s="3"/>
      <c r="L82" s="3"/>
      <c r="M82" s="3"/>
      <c r="N82" s="3"/>
      <c r="R82" s="76"/>
    </row>
    <row r="83" spans="1:24" s="75" customFormat="1">
      <c r="B83" s="3"/>
      <c r="C83" s="3"/>
      <c r="D83" s="30"/>
      <c r="E83" s="49" t="s">
        <v>228</v>
      </c>
      <c r="F83" s="3"/>
      <c r="G83" s="3"/>
      <c r="L83" s="3"/>
      <c r="M83" s="3"/>
      <c r="N83" s="3"/>
      <c r="R83" s="76"/>
    </row>
    <row r="84" spans="1:24" s="75" customFormat="1">
      <c r="B84" s="3"/>
      <c r="C84" s="3"/>
      <c r="D84" s="183" t="s">
        <v>15</v>
      </c>
      <c r="E84" s="32" t="s">
        <v>229</v>
      </c>
      <c r="F84" s="3"/>
      <c r="G84" s="201">
        <f>IF(SUM(Baseline.Totex.Sewerage)&lt;&gt;0,SUM(Menu.Totex.Sewerage)/SUM(Baseline.Totex.Sewerage),0)</f>
        <v>0.94565342152937859</v>
      </c>
      <c r="L84" s="3"/>
      <c r="M84" s="3"/>
      <c r="N84" s="3"/>
      <c r="R84" s="76"/>
    </row>
    <row r="85" spans="1:24" s="75" customFormat="1">
      <c r="B85" s="3"/>
      <c r="C85" s="3"/>
      <c r="D85" s="30" t="s">
        <v>21</v>
      </c>
      <c r="E85" s="32" t="s">
        <v>230</v>
      </c>
      <c r="F85" s="39"/>
      <c r="G85" s="88">
        <f>G84*100</f>
        <v>94.565342152937859</v>
      </c>
      <c r="L85" s="3"/>
      <c r="M85" s="3"/>
      <c r="N85" s="3"/>
      <c r="R85" s="76"/>
    </row>
    <row r="86" spans="1:24" s="75" customFormat="1">
      <c r="B86" s="3"/>
      <c r="C86" s="3"/>
      <c r="D86" s="3"/>
      <c r="E86" s="3"/>
      <c r="F86" s="3"/>
      <c r="G86" s="3"/>
      <c r="L86" s="3"/>
      <c r="M86" s="3"/>
      <c r="N86" s="3"/>
      <c r="R86" s="76"/>
    </row>
    <row r="87" spans="1:24" s="75" customFormat="1">
      <c r="B87" s="3"/>
      <c r="C87" s="3"/>
      <c r="D87" s="30" t="s">
        <v>21</v>
      </c>
      <c r="E87" s="32" t="s">
        <v>231</v>
      </c>
      <c r="F87" s="39"/>
      <c r="G87" s="162">
        <f>(AllExp.Coeff.Sewerage-G85)*EffInc.Coeff.Sewerage+AddInc.Coeff.Sewerage</f>
        <v>2.7224654952716953</v>
      </c>
      <c r="H87" s="79"/>
      <c r="L87" s="3"/>
      <c r="M87" s="3"/>
      <c r="N87" s="3"/>
      <c r="R87" s="76"/>
    </row>
    <row r="88" spans="1:24" s="75" customFormat="1">
      <c r="B88" s="3"/>
      <c r="C88" s="3"/>
      <c r="D88" s="183" t="s">
        <v>15</v>
      </c>
      <c r="E88" s="32" t="s">
        <v>232</v>
      </c>
      <c r="F88" s="39"/>
      <c r="G88" s="200">
        <f>G87/100</f>
        <v>2.7224654952716955E-2</v>
      </c>
      <c r="H88" s="79"/>
      <c r="L88" s="3"/>
      <c r="M88" s="3"/>
      <c r="N88" s="3"/>
      <c r="R88" s="76"/>
    </row>
    <row r="89" spans="1:24" s="75" customFormat="1">
      <c r="A89" s="3"/>
      <c r="B89" s="3"/>
      <c r="C89" s="3"/>
      <c r="Q89" s="3"/>
      <c r="R89" s="3"/>
      <c r="S89" s="3"/>
      <c r="T89" s="3"/>
      <c r="X89" s="76"/>
    </row>
    <row r="90" spans="1:24" s="22" customFormat="1" ht="15">
      <c r="A90" s="19"/>
      <c r="B90" s="19"/>
      <c r="C90" s="19"/>
      <c r="D90" s="182"/>
      <c r="E90" s="21" t="s">
        <v>233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1:24" s="75" customFormat="1">
      <c r="A91" s="3"/>
      <c r="B91" s="3"/>
      <c r="C91" s="3"/>
      <c r="Q91" s="3"/>
      <c r="R91" s="3"/>
      <c r="S91" s="3"/>
      <c r="T91" s="3"/>
      <c r="X91" s="76"/>
    </row>
    <row r="92" spans="1:24" s="75" customFormat="1">
      <c r="A92" s="3"/>
      <c r="B92" s="3"/>
      <c r="C92" s="3"/>
      <c r="E92" s="49" t="s">
        <v>234</v>
      </c>
      <c r="F92" s="161"/>
      <c r="L92" s="3"/>
      <c r="M92" s="3"/>
      <c r="N92" s="3"/>
      <c r="R92" s="76"/>
    </row>
    <row r="93" spans="1:24" s="75" customFormat="1">
      <c r="B93" s="3"/>
      <c r="C93" s="3"/>
      <c r="D93" s="30" t="s">
        <v>41</v>
      </c>
      <c r="E93" s="32" t="s">
        <v>235</v>
      </c>
      <c r="F93" s="33" t="s">
        <v>28</v>
      </c>
      <c r="G93" s="153">
        <f>G81*SUM(Baseline.Totex.Water)</f>
        <v>-54.670452353243903</v>
      </c>
      <c r="L93" s="3"/>
      <c r="M93" s="3"/>
      <c r="N93" s="3"/>
      <c r="R93" s="76"/>
    </row>
    <row r="94" spans="1:24" s="75" customFormat="1">
      <c r="B94" s="3"/>
      <c r="C94" s="3"/>
      <c r="D94" s="30" t="s">
        <v>41</v>
      </c>
      <c r="E94" s="32" t="s">
        <v>236</v>
      </c>
      <c r="F94" s="33" t="s">
        <v>28</v>
      </c>
      <c r="G94" s="153">
        <f>G88*SUM(Baseline.Totex.Sewerage)</f>
        <v>52.833205833947055</v>
      </c>
      <c r="L94" s="3"/>
      <c r="M94" s="3"/>
      <c r="N94" s="3"/>
      <c r="R94" s="76"/>
    </row>
    <row r="95" spans="1:24" s="75" customFormat="1">
      <c r="B95" s="3"/>
      <c r="C95" s="3"/>
      <c r="D95" s="30"/>
      <c r="E95" s="32"/>
      <c r="F95" s="33"/>
      <c r="G95" s="153"/>
      <c r="L95" s="3"/>
      <c r="M95" s="3"/>
      <c r="N95" s="3"/>
      <c r="R95" s="76"/>
    </row>
    <row r="96" spans="1:24" s="192" customFormat="1">
      <c r="A96" s="75"/>
      <c r="B96" s="3"/>
      <c r="C96" s="3"/>
      <c r="D96" s="75"/>
      <c r="E96" s="49" t="s">
        <v>237</v>
      </c>
      <c r="F96" s="161"/>
      <c r="G96" s="75"/>
      <c r="H96" s="75"/>
      <c r="I96" s="75"/>
      <c r="J96" s="75"/>
      <c r="K96" s="75"/>
      <c r="L96" s="3"/>
      <c r="M96" s="3"/>
      <c r="N96" s="3"/>
      <c r="O96" s="75"/>
      <c r="P96" s="75"/>
      <c r="Q96" s="75"/>
      <c r="R96" s="76"/>
      <c r="S96" s="75"/>
      <c r="T96" s="75"/>
      <c r="U96" s="75"/>
      <c r="V96" s="75"/>
      <c r="W96" s="75"/>
      <c r="X96" s="75"/>
    </row>
    <row r="97" spans="1:24" s="192" customFormat="1">
      <c r="A97" s="75"/>
      <c r="B97" s="3"/>
      <c r="C97" s="3"/>
      <c r="D97" s="30" t="s">
        <v>41</v>
      </c>
      <c r="E97" s="32" t="s">
        <v>238</v>
      </c>
      <c r="F97" s="33" t="s">
        <v>28</v>
      </c>
      <c r="G97" s="75"/>
      <c r="H97" s="75"/>
      <c r="I97" s="75"/>
      <c r="J97" s="75"/>
      <c r="K97" s="75"/>
      <c r="L97" s="153">
        <f>FD.AddInc.Coeff.Water/100*Baseline.Totex.Water</f>
        <v>2.3842163136177468</v>
      </c>
      <c r="M97" s="153">
        <f>FD.AddInc.Coeff.Water/100*Baseline.Totex.Water</f>
        <v>2.1404917505654102</v>
      </c>
      <c r="N97" s="153">
        <f>FD.AddInc.Coeff.Water/100*Baseline.Totex.Water</f>
        <v>1.9481211565349426</v>
      </c>
      <c r="O97" s="153">
        <f>FD.AddInc.Coeff.Water/100*Baseline.Totex.Water</f>
        <v>1.9517101863109754</v>
      </c>
      <c r="P97" s="153">
        <f>FD.AddInc.Coeff.Water/100*Baseline.Totex.Water</f>
        <v>1.9961034003180036</v>
      </c>
      <c r="Q97" s="75"/>
      <c r="R97" s="76"/>
      <c r="S97" s="75"/>
      <c r="T97" s="75"/>
      <c r="U97" s="75"/>
      <c r="V97" s="75"/>
      <c r="W97" s="75"/>
      <c r="X97" s="75"/>
    </row>
    <row r="98" spans="1:24" s="192" customFormat="1">
      <c r="A98" s="75"/>
      <c r="B98" s="3"/>
      <c r="C98" s="3"/>
      <c r="D98" s="30" t="s">
        <v>41</v>
      </c>
      <c r="E98" s="32" t="s">
        <v>239</v>
      </c>
      <c r="F98" s="33" t="s">
        <v>28</v>
      </c>
      <c r="G98" s="75"/>
      <c r="H98" s="75"/>
      <c r="I98" s="75"/>
      <c r="J98" s="75"/>
      <c r="K98" s="75"/>
      <c r="L98" s="153">
        <f>FD.AddInc.Coeff.Sewerage/100*Baseline.Totex.Sewerage</f>
        <v>0.23974135298667199</v>
      </c>
      <c r="M98" s="153">
        <f>FD.AddInc.Coeff.Sewerage/100*Baseline.Totex.Sewerage</f>
        <v>0.23974135298667199</v>
      </c>
      <c r="N98" s="153">
        <f>FD.AddInc.Coeff.Sewerage/100*Baseline.Totex.Sewerage</f>
        <v>0.23974135298667199</v>
      </c>
      <c r="O98" s="153">
        <f>FD.AddInc.Coeff.Sewerage/100*Baseline.Totex.Sewerage</f>
        <v>0.23974135298667199</v>
      </c>
      <c r="P98" s="153">
        <f>FD.AddInc.Coeff.Sewerage/100*Baseline.Totex.Sewerage</f>
        <v>0.23974135298667199</v>
      </c>
      <c r="Q98" s="75"/>
      <c r="R98" s="76"/>
      <c r="S98" s="75"/>
      <c r="T98" s="75"/>
      <c r="U98" s="75"/>
      <c r="V98" s="75"/>
      <c r="W98" s="75"/>
      <c r="X98" s="75"/>
    </row>
    <row r="99" spans="1:24" s="75" customFormat="1">
      <c r="B99" s="3"/>
      <c r="C99" s="3"/>
      <c r="D99" s="30"/>
      <c r="E99" s="32"/>
      <c r="F99" s="33"/>
      <c r="G99" s="153"/>
      <c r="L99" s="3"/>
      <c r="M99" s="3"/>
      <c r="N99" s="3"/>
      <c r="R99" s="76"/>
    </row>
    <row r="100" spans="1:24" s="192" customFormat="1">
      <c r="A100" s="75"/>
      <c r="B100" s="3"/>
      <c r="C100" s="3"/>
      <c r="D100" s="75"/>
      <c r="E100" s="49" t="s">
        <v>240</v>
      </c>
      <c r="F100" s="161"/>
      <c r="G100" s="75"/>
      <c r="H100" s="75"/>
      <c r="I100" s="75"/>
      <c r="J100" s="75"/>
      <c r="K100" s="75"/>
      <c r="L100" s="3"/>
      <c r="M100" s="3"/>
      <c r="N100" s="3"/>
      <c r="O100" s="75"/>
      <c r="P100" s="75"/>
      <c r="Q100" s="75"/>
      <c r="R100" s="76"/>
      <c r="S100" s="75"/>
      <c r="T100" s="75"/>
      <c r="U100" s="75"/>
      <c r="V100" s="75"/>
      <c r="W100" s="75"/>
      <c r="X100" s="75"/>
    </row>
    <row r="101" spans="1:24" s="192" customFormat="1">
      <c r="A101" s="75"/>
      <c r="B101" s="3"/>
      <c r="C101" s="3"/>
      <c r="D101" s="30" t="s">
        <v>41</v>
      </c>
      <c r="E101" s="32" t="s">
        <v>241</v>
      </c>
      <c r="F101" s="33" t="s">
        <v>28</v>
      </c>
      <c r="G101" s="153">
        <f>G93-SUM(L97:P97)</f>
        <v>-65.091095160590982</v>
      </c>
      <c r="H101" s="75"/>
      <c r="I101" s="75"/>
      <c r="J101" s="75"/>
      <c r="K101" s="75"/>
      <c r="L101" s="3"/>
      <c r="M101" s="3"/>
      <c r="N101" s="3"/>
      <c r="O101" s="75"/>
      <c r="P101" s="75"/>
      <c r="Q101" s="75"/>
      <c r="R101" s="76"/>
      <c r="S101" s="75"/>
      <c r="T101" s="75"/>
      <c r="U101" s="75"/>
      <c r="V101" s="75"/>
      <c r="W101" s="75"/>
      <c r="X101" s="75"/>
    </row>
    <row r="102" spans="1:24" s="192" customFormat="1">
      <c r="A102" s="75"/>
      <c r="B102" s="3"/>
      <c r="C102" s="3"/>
      <c r="D102" s="30" t="s">
        <v>41</v>
      </c>
      <c r="E102" s="32" t="s">
        <v>242</v>
      </c>
      <c r="F102" s="33" t="s">
        <v>28</v>
      </c>
      <c r="G102" s="153">
        <f>G94-SUM(L98:P98)</f>
        <v>51.634499069013692</v>
      </c>
      <c r="H102" s="75"/>
      <c r="I102" s="75"/>
      <c r="J102" s="75"/>
      <c r="K102" s="75"/>
      <c r="L102" s="3"/>
      <c r="M102" s="3"/>
      <c r="N102" s="3"/>
      <c r="O102" s="75"/>
      <c r="P102" s="75"/>
      <c r="Q102" s="75"/>
      <c r="R102" s="76"/>
      <c r="S102" s="75"/>
      <c r="T102" s="75"/>
      <c r="U102" s="75"/>
      <c r="V102" s="75"/>
      <c r="W102" s="75"/>
      <c r="X102" s="75"/>
    </row>
    <row r="103" spans="1:24" s="75" customFormat="1">
      <c r="B103" s="3"/>
      <c r="C103" s="3"/>
      <c r="D103" s="30"/>
      <c r="E103" s="32"/>
      <c r="F103" s="33"/>
      <c r="G103" s="153"/>
      <c r="H103" s="75" t="s">
        <v>243</v>
      </c>
      <c r="L103" s="3"/>
      <c r="M103" s="3"/>
      <c r="N103" s="3"/>
      <c r="R103" s="76"/>
    </row>
    <row r="104" spans="1:24" s="75" customFormat="1">
      <c r="B104" s="3"/>
      <c r="C104" s="3"/>
      <c r="E104" s="49" t="s">
        <v>244</v>
      </c>
      <c r="F104" s="161"/>
      <c r="G104" s="153"/>
      <c r="L104" s="153"/>
      <c r="M104" s="153"/>
      <c r="N104" s="153"/>
      <c r="O104" s="153"/>
      <c r="P104" s="153"/>
      <c r="R104" s="3"/>
      <c r="S104" s="3"/>
      <c r="T104" s="3"/>
      <c r="X104" s="76"/>
    </row>
    <row r="105" spans="1:24" s="75" customFormat="1">
      <c r="B105" s="3"/>
      <c r="C105" s="3"/>
      <c r="D105" s="30" t="s">
        <v>41</v>
      </c>
      <c r="E105" s="32" t="s">
        <v>245</v>
      </c>
      <c r="F105" s="33" t="s">
        <v>28</v>
      </c>
      <c r="G105" s="153"/>
      <c r="L105" s="153">
        <f>IF(SUM(Baseline.Totex.Water)=0,0,$G101*(Baseline.Totex.Water/SUM(Baseline.Totex.Water)))</f>
        <v>-14.892675415734292</v>
      </c>
      <c r="M105" s="153">
        <f>IF(SUM(Baseline.Totex.Water)=0,0,$G101*(Baseline.Totex.Water/SUM(Baseline.Totex.Water)))</f>
        <v>-13.370283849311155</v>
      </c>
      <c r="N105" s="153">
        <f>IF(SUM(Baseline.Totex.Water)=0,0,$G101*(Baseline.Totex.Water/SUM(Baseline.Totex.Water)))</f>
        <v>-12.168667703970465</v>
      </c>
      <c r="O105" s="153">
        <f>IF(SUM(Baseline.Totex.Water)=0,0,$G101*(Baseline.Totex.Water/SUM(Baseline.Totex.Water)))</f>
        <v>-12.191086079017467</v>
      </c>
      <c r="P105" s="153">
        <f>IF(SUM(Baseline.Totex.Water)=0,0,$G101*(Baseline.Totex.Water/SUM(Baseline.Totex.Water)))</f>
        <v>-12.468382112557608</v>
      </c>
      <c r="R105" s="3"/>
      <c r="S105" s="3"/>
      <c r="T105" s="3"/>
      <c r="X105" s="76"/>
    </row>
    <row r="106" spans="1:24" s="75" customFormat="1">
      <c r="B106" s="3"/>
      <c r="C106" s="3"/>
      <c r="D106" s="30" t="s">
        <v>41</v>
      </c>
      <c r="E106" s="32" t="s">
        <v>246</v>
      </c>
      <c r="F106" s="33" t="s">
        <v>28</v>
      </c>
      <c r="G106" s="153"/>
      <c r="L106" s="153">
        <f>IF(SUM(Baseline.Totex.Sewerage)=0,0,$G102*(Baseline.Totex.Sewerage/SUM(Baseline.Totex.Sewerage)))</f>
        <v>10.32689981380274</v>
      </c>
      <c r="M106" s="153">
        <f>IF(SUM(Baseline.Totex.Sewerage)=0,0,$G102*(Baseline.Totex.Sewerage/SUM(Baseline.Totex.Sewerage)))</f>
        <v>10.32689981380274</v>
      </c>
      <c r="N106" s="153">
        <f>IF(SUM(Baseline.Totex.Sewerage)=0,0,$G102*(Baseline.Totex.Sewerage/SUM(Baseline.Totex.Sewerage)))</f>
        <v>10.32689981380274</v>
      </c>
      <c r="O106" s="153">
        <f>IF(SUM(Baseline.Totex.Sewerage)=0,0,$G102*(Baseline.Totex.Sewerage/SUM(Baseline.Totex.Sewerage)))</f>
        <v>10.32689981380274</v>
      </c>
      <c r="P106" s="153">
        <f>IF(SUM(Baseline.Totex.Sewerage)=0,0,$G102*(Baseline.Totex.Sewerage/SUM(Baseline.Totex.Sewerage)))</f>
        <v>10.32689981380274</v>
      </c>
      <c r="R106" s="3"/>
      <c r="S106" s="3"/>
      <c r="T106" s="3"/>
      <c r="X106" s="76"/>
    </row>
    <row r="107" spans="1:24" s="75" customFormat="1">
      <c r="B107" s="3"/>
      <c r="C107" s="3"/>
      <c r="D107" s="30"/>
      <c r="E107" s="32"/>
      <c r="F107" s="33"/>
      <c r="G107" s="153"/>
      <c r="L107" s="153"/>
      <c r="M107" s="153"/>
      <c r="N107" s="153"/>
      <c r="O107" s="153"/>
      <c r="P107" s="153"/>
      <c r="R107" s="3"/>
      <c r="S107" s="3"/>
      <c r="T107" s="3"/>
      <c r="X107" s="76"/>
    </row>
    <row r="108" spans="1:24" s="192" customFormat="1">
      <c r="A108" s="75"/>
      <c r="B108" s="3"/>
      <c r="C108" s="3"/>
      <c r="D108" s="75"/>
      <c r="E108" s="49" t="s">
        <v>247</v>
      </c>
      <c r="F108" s="161"/>
      <c r="G108" s="153"/>
      <c r="H108" s="75"/>
      <c r="I108" s="75"/>
      <c r="J108" s="75"/>
      <c r="K108" s="75"/>
      <c r="L108" s="153"/>
      <c r="M108" s="153"/>
      <c r="N108" s="153"/>
      <c r="O108" s="153"/>
      <c r="P108" s="153"/>
      <c r="Q108" s="75"/>
      <c r="R108" s="3"/>
      <c r="S108" s="3"/>
      <c r="T108" s="3"/>
      <c r="U108" s="75"/>
      <c r="V108" s="75"/>
      <c r="W108" s="75"/>
      <c r="X108" s="76"/>
    </row>
    <row r="109" spans="1:24" s="192" customFormat="1">
      <c r="A109" s="75"/>
      <c r="B109" s="3"/>
      <c r="C109" s="3"/>
      <c r="D109" s="30" t="s">
        <v>41</v>
      </c>
      <c r="E109" s="32" t="s">
        <v>245</v>
      </c>
      <c r="F109" s="33" t="s">
        <v>28</v>
      </c>
      <c r="G109" s="153"/>
      <c r="H109" s="75"/>
      <c r="I109" s="75"/>
      <c r="J109" s="75"/>
      <c r="K109" s="75"/>
      <c r="L109" s="153">
        <f>L105*(1+WACC)^Calcs!L7</f>
        <v>-17.155830464265478</v>
      </c>
      <c r="M109" s="153">
        <f>M105*(1+WACC)^Calcs!M7</f>
        <v>-14.866881972606157</v>
      </c>
      <c r="N109" s="153">
        <f>N105*(1+WACC)^Calcs!N7</f>
        <v>-13.060582372000685</v>
      </c>
      <c r="O109" s="153">
        <f>O105*(1+WACC)^Calcs!O7</f>
        <v>-12.629965177862095</v>
      </c>
      <c r="P109" s="153">
        <f>P105*(1+WACC)^Calcs!P7</f>
        <v>-12.468382112557608</v>
      </c>
      <c r="Q109" s="75"/>
      <c r="R109" s="3"/>
      <c r="S109" s="3"/>
      <c r="T109" s="3"/>
      <c r="U109" s="75"/>
      <c r="V109" s="75"/>
      <c r="W109" s="75"/>
      <c r="X109" s="76"/>
    </row>
    <row r="110" spans="1:24" s="192" customFormat="1">
      <c r="A110" s="75"/>
      <c r="B110" s="3"/>
      <c r="C110" s="3"/>
      <c r="D110" s="30" t="s">
        <v>41</v>
      </c>
      <c r="E110" s="32" t="s">
        <v>246</v>
      </c>
      <c r="F110" s="33" t="s">
        <v>28</v>
      </c>
      <c r="G110" s="153"/>
      <c r="H110" s="75"/>
      <c r="I110" s="75"/>
      <c r="J110" s="75"/>
      <c r="K110" s="75"/>
      <c r="L110" s="153">
        <f>L106*(1+WACC)^Calcs!L7</f>
        <v>11.896219952519475</v>
      </c>
      <c r="M110" s="153">
        <f>M106*(1+WACC)^Calcs!M7</f>
        <v>11.482837792007215</v>
      </c>
      <c r="N110" s="153">
        <f>N106*(1+WACC)^Calcs!N7</f>
        <v>11.083820262555227</v>
      </c>
      <c r="O110" s="153">
        <f>O106*(1+WACC)^Calcs!O7</f>
        <v>10.698668207099638</v>
      </c>
      <c r="P110" s="153">
        <f>P106*(1+WACC)^Calcs!P7</f>
        <v>10.32689981380274</v>
      </c>
      <c r="Q110" s="75"/>
      <c r="R110" s="3"/>
      <c r="S110" s="3"/>
      <c r="T110" s="3"/>
      <c r="U110" s="75"/>
      <c r="V110" s="75"/>
      <c r="W110" s="75"/>
      <c r="X110" s="76"/>
    </row>
    <row r="111" spans="1:24" s="192" customFormat="1">
      <c r="A111" s="3"/>
      <c r="B111" s="3"/>
      <c r="C111" s="3"/>
      <c r="D111" s="30"/>
      <c r="E111" s="32"/>
      <c r="F111" s="33"/>
      <c r="G111" s="153"/>
      <c r="H111" s="75"/>
      <c r="I111" s="75"/>
      <c r="J111" s="75"/>
      <c r="K111" s="75"/>
      <c r="L111" s="153"/>
      <c r="M111" s="153"/>
      <c r="N111" s="153"/>
      <c r="O111" s="153"/>
      <c r="P111" s="153"/>
      <c r="Q111" s="75"/>
      <c r="R111" s="3"/>
      <c r="S111" s="3"/>
      <c r="T111" s="3"/>
      <c r="U111" s="75"/>
      <c r="V111" s="75"/>
      <c r="W111" s="75"/>
      <c r="X111" s="76"/>
    </row>
    <row r="112" spans="1:24" s="192" customFormat="1">
      <c r="A112" s="3"/>
      <c r="B112" s="3"/>
      <c r="C112" s="3"/>
      <c r="D112" s="75"/>
      <c r="E112" s="151" t="s">
        <v>127</v>
      </c>
      <c r="F112" s="75"/>
      <c r="G112" s="75"/>
      <c r="H112" s="154"/>
      <c r="I112" s="75"/>
      <c r="J112" s="153"/>
      <c r="K112" s="153"/>
      <c r="L112" s="153"/>
      <c r="M112" s="153"/>
      <c r="N112" s="153"/>
      <c r="O112" s="153"/>
      <c r="P112" s="153"/>
      <c r="Q112" s="75"/>
      <c r="R112" s="3"/>
      <c r="S112" s="3"/>
      <c r="T112" s="3"/>
      <c r="U112" s="75"/>
      <c r="V112" s="75"/>
      <c r="W112" s="75"/>
      <c r="X112" s="76"/>
    </row>
    <row r="113" spans="1:24" s="192" customFormat="1">
      <c r="A113" s="75"/>
      <c r="B113" s="3"/>
      <c r="C113" s="3"/>
      <c r="D113" s="184" t="s">
        <v>41</v>
      </c>
      <c r="E113" s="152" t="s">
        <v>248</v>
      </c>
      <c r="F113" s="33" t="s">
        <v>28</v>
      </c>
      <c r="G113" s="75"/>
      <c r="H113" s="75"/>
      <c r="I113" s="75"/>
      <c r="J113" s="75"/>
      <c r="K113" s="75"/>
      <c r="L113" s="77"/>
      <c r="M113" s="75"/>
      <c r="N113" s="75"/>
      <c r="O113" s="75"/>
      <c r="P113" s="88">
        <f>SUM(L109:P109)</f>
        <v>-70.181642099292034</v>
      </c>
      <c r="Q113" s="75"/>
      <c r="R113" s="3"/>
      <c r="S113" s="3"/>
      <c r="T113" s="3"/>
      <c r="U113" s="75"/>
      <c r="V113" s="75"/>
      <c r="W113" s="75"/>
      <c r="X113" s="76"/>
    </row>
    <row r="114" spans="1:24" s="192" customFormat="1">
      <c r="A114" s="75"/>
      <c r="B114" s="3"/>
      <c r="C114" s="3"/>
      <c r="D114" s="184" t="s">
        <v>41</v>
      </c>
      <c r="E114" s="152" t="s">
        <v>249</v>
      </c>
      <c r="F114" s="33" t="s">
        <v>28</v>
      </c>
      <c r="G114" s="75"/>
      <c r="H114" s="75"/>
      <c r="I114" s="75"/>
      <c r="J114" s="75"/>
      <c r="K114" s="75"/>
      <c r="L114" s="77"/>
      <c r="M114" s="75"/>
      <c r="N114" s="75"/>
      <c r="O114" s="75"/>
      <c r="P114" s="88">
        <f>SUM(L110:P110)</f>
        <v>55.488446027984295</v>
      </c>
      <c r="Q114" s="75"/>
      <c r="R114" s="3"/>
      <c r="S114" s="3"/>
      <c r="T114" s="3"/>
      <c r="U114" s="75"/>
      <c r="V114" s="75"/>
      <c r="W114" s="75"/>
      <c r="X114" s="76"/>
    </row>
    <row r="115" spans="1:24" s="192" customFormat="1">
      <c r="A115" s="3"/>
      <c r="B115" s="3"/>
      <c r="C115" s="3"/>
      <c r="D115" s="184"/>
      <c r="E115" s="152"/>
      <c r="F115" s="33"/>
      <c r="G115" s="75"/>
      <c r="H115" s="75"/>
      <c r="I115" s="75"/>
      <c r="J115" s="75"/>
      <c r="K115" s="75"/>
      <c r="L115" s="77"/>
      <c r="M115" s="75"/>
      <c r="N115" s="75"/>
      <c r="O115" s="75"/>
      <c r="P115" s="75"/>
      <c r="Q115" s="75"/>
      <c r="R115" s="3"/>
      <c r="S115" s="3"/>
      <c r="T115" s="3"/>
      <c r="U115" s="75"/>
      <c r="V115" s="75"/>
      <c r="W115" s="75"/>
      <c r="X115" s="76"/>
    </row>
    <row r="116" spans="1:24" s="22" customFormat="1" ht="15">
      <c r="A116" s="19"/>
      <c r="B116" s="19"/>
      <c r="C116" s="19"/>
      <c r="D116" s="182"/>
      <c r="E116" s="21" t="s">
        <v>250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</row>
    <row r="117" spans="1:24" s="192" customFormat="1">
      <c r="A117" s="3"/>
      <c r="B117" s="3"/>
      <c r="C117" s="3"/>
      <c r="D117" s="30"/>
      <c r="E117" s="32"/>
      <c r="F117" s="33"/>
      <c r="G117" s="153"/>
      <c r="H117" s="75"/>
      <c r="I117" s="75"/>
      <c r="J117" s="75"/>
      <c r="K117" s="75"/>
      <c r="L117" s="153"/>
      <c r="M117" s="153"/>
      <c r="N117" s="153"/>
      <c r="O117" s="153"/>
      <c r="P117" s="153"/>
      <c r="Q117" s="75"/>
      <c r="R117" s="3"/>
      <c r="S117" s="3"/>
      <c r="T117" s="3"/>
      <c r="U117" s="75"/>
      <c r="V117" s="75"/>
      <c r="W117" s="75"/>
      <c r="X117" s="76"/>
    </row>
    <row r="118" spans="1:24" s="192" customFormat="1">
      <c r="A118" s="3"/>
      <c r="B118" s="3"/>
      <c r="C118" s="3"/>
      <c r="E118" s="212"/>
      <c r="F118" s="213"/>
      <c r="G118" s="214"/>
      <c r="L118" s="214"/>
      <c r="M118" s="214"/>
      <c r="N118" s="214"/>
      <c r="O118" s="214"/>
      <c r="P118" s="214"/>
      <c r="Q118" s="193"/>
      <c r="R118" s="193"/>
      <c r="S118" s="193"/>
      <c r="T118" s="193"/>
      <c r="W118" s="75"/>
      <c r="X118" s="215"/>
    </row>
    <row r="119" spans="1:24" s="192" customFormat="1">
      <c r="A119" s="3"/>
      <c r="B119" s="3"/>
      <c r="C119" s="3"/>
      <c r="D119" s="189"/>
      <c r="E119" s="216"/>
      <c r="F119" s="217"/>
      <c r="L119" s="218"/>
      <c r="M119" s="218"/>
      <c r="N119" s="218"/>
      <c r="O119" s="218"/>
      <c r="P119" s="218"/>
      <c r="Q119" s="213"/>
      <c r="R119" s="193"/>
      <c r="S119" s="193"/>
      <c r="T119" s="193"/>
      <c r="W119" s="75"/>
      <c r="X119" s="215"/>
    </row>
    <row r="120" spans="1:24" s="192" customFormat="1">
      <c r="A120" s="3"/>
      <c r="B120" s="3"/>
      <c r="C120" s="3"/>
      <c r="D120" s="189"/>
      <c r="E120" s="216"/>
      <c r="F120" s="217"/>
      <c r="K120" s="218"/>
      <c r="L120" s="218"/>
      <c r="M120" s="218"/>
      <c r="N120" s="218"/>
      <c r="O120" s="218"/>
      <c r="P120" s="218"/>
      <c r="Q120" s="213"/>
      <c r="R120" s="193"/>
      <c r="S120" s="193"/>
      <c r="T120" s="193"/>
      <c r="W120" s="75"/>
      <c r="X120" s="215"/>
    </row>
    <row r="121" spans="1:24" s="192" customFormat="1">
      <c r="A121" s="3"/>
      <c r="B121" s="3"/>
      <c r="C121" s="3"/>
      <c r="D121" s="30"/>
      <c r="E121" s="32"/>
      <c r="F121" s="33"/>
      <c r="G121" s="153"/>
      <c r="H121" s="75"/>
      <c r="I121" s="75"/>
      <c r="J121" s="75"/>
      <c r="K121" s="75"/>
      <c r="L121" s="153"/>
      <c r="M121" s="153"/>
      <c r="N121" s="153"/>
      <c r="O121" s="153"/>
      <c r="P121" s="153"/>
      <c r="Q121" s="75"/>
      <c r="R121" s="3"/>
      <c r="S121" s="3"/>
      <c r="T121" s="3"/>
      <c r="U121" s="75"/>
      <c r="V121" s="75"/>
      <c r="W121" s="75"/>
      <c r="X121" s="76"/>
    </row>
    <row r="122" spans="1:24" s="192" customFormat="1">
      <c r="A122" s="3"/>
      <c r="B122" s="3"/>
      <c r="C122" s="3"/>
      <c r="D122" s="75"/>
      <c r="E122" s="49" t="s">
        <v>251</v>
      </c>
      <c r="F122" s="161"/>
      <c r="G122" s="77"/>
      <c r="H122" s="75"/>
      <c r="I122" s="75"/>
      <c r="J122" s="75"/>
      <c r="K122" s="75"/>
      <c r="L122" s="77"/>
      <c r="M122" s="77"/>
      <c r="N122" s="77"/>
      <c r="O122" s="77"/>
      <c r="P122" s="77"/>
      <c r="Q122" s="75"/>
      <c r="R122" s="3"/>
      <c r="S122" s="3"/>
      <c r="T122" s="3"/>
      <c r="U122" s="75"/>
      <c r="V122" s="75"/>
      <c r="W122" s="75"/>
      <c r="X122" s="76"/>
    </row>
    <row r="123" spans="1:24" s="206" customFormat="1">
      <c r="A123" s="3"/>
      <c r="B123" s="3"/>
      <c r="C123" s="3"/>
      <c r="D123" s="30" t="s">
        <v>41</v>
      </c>
      <c r="E123" s="32" t="s">
        <v>252</v>
      </c>
      <c r="F123" s="33" t="s">
        <v>28</v>
      </c>
      <c r="G123" s="75"/>
      <c r="H123" s="75"/>
      <c r="I123" s="75"/>
      <c r="J123" s="75"/>
      <c r="K123" s="75"/>
      <c r="L123" s="153"/>
      <c r="M123" s="153"/>
      <c r="N123" s="153">
        <f>BR.IDoK.Water/Indexation.Average</f>
        <v>0</v>
      </c>
      <c r="O123" s="153">
        <f>BR.IDoK.Water/Indexation.Average</f>
        <v>0</v>
      </c>
      <c r="P123" s="153">
        <f>BR.IDoK.Water/Indexation.Average</f>
        <v>0</v>
      </c>
      <c r="Q123" s="75"/>
      <c r="R123" s="3"/>
      <c r="S123" s="3"/>
      <c r="T123" s="3"/>
      <c r="U123" s="75"/>
      <c r="V123" s="75"/>
      <c r="W123" s="75"/>
      <c r="X123" s="76"/>
    </row>
    <row r="124" spans="1:24" s="192" customFormat="1">
      <c r="A124" s="3"/>
      <c r="B124" s="3"/>
      <c r="C124" s="3"/>
      <c r="D124" s="30"/>
      <c r="E124" s="32"/>
      <c r="F124" s="33"/>
      <c r="G124" s="75"/>
      <c r="H124" s="75"/>
      <c r="I124" s="75"/>
      <c r="J124" s="75"/>
      <c r="K124" s="153"/>
      <c r="L124" s="153"/>
      <c r="M124" s="153"/>
      <c r="N124" s="153"/>
      <c r="O124" s="153"/>
      <c r="P124" s="153"/>
      <c r="Q124" s="75"/>
      <c r="R124" s="3"/>
      <c r="S124" s="3"/>
      <c r="T124" s="3"/>
      <c r="U124" s="75"/>
      <c r="V124" s="75"/>
      <c r="W124" s="75"/>
      <c r="X124" s="76"/>
    </row>
    <row r="125" spans="1:24" s="192" customFormat="1">
      <c r="A125" s="3"/>
      <c r="B125" s="3"/>
      <c r="C125" s="3"/>
      <c r="D125" s="75"/>
      <c r="E125" s="49" t="s">
        <v>253</v>
      </c>
      <c r="F125" s="161"/>
      <c r="G125" s="153"/>
      <c r="H125" s="75"/>
      <c r="I125" s="75"/>
      <c r="J125" s="75"/>
      <c r="K125" s="75"/>
      <c r="L125" s="153"/>
      <c r="M125" s="153"/>
      <c r="N125" s="153"/>
      <c r="O125" s="153"/>
      <c r="P125" s="153"/>
      <c r="Q125" s="75"/>
      <c r="R125" s="3"/>
      <c r="S125" s="3"/>
      <c r="T125" s="3"/>
      <c r="U125" s="75"/>
      <c r="V125" s="75"/>
      <c r="W125" s="75"/>
      <c r="X125" s="76"/>
    </row>
    <row r="126" spans="1:24" s="192" customFormat="1">
      <c r="A126" s="3"/>
      <c r="B126" s="3"/>
      <c r="C126" s="3"/>
      <c r="D126" s="30" t="s">
        <v>41</v>
      </c>
      <c r="E126" s="32" t="s">
        <v>254</v>
      </c>
      <c r="F126" s="33" t="s">
        <v>28</v>
      </c>
      <c r="G126" s="153"/>
      <c r="H126" s="75"/>
      <c r="I126" s="75"/>
      <c r="J126" s="75"/>
      <c r="K126" s="75"/>
      <c r="L126" s="153">
        <f>(L123)*(1+WACC)^Calcs!L7</f>
        <v>0</v>
      </c>
      <c r="M126" s="153">
        <f>(M123)*(1+WACC)^Calcs!M7</f>
        <v>0</v>
      </c>
      <c r="N126" s="153">
        <f>(N123)*(1+WACC)^Calcs!N7</f>
        <v>0</v>
      </c>
      <c r="O126" s="153">
        <f>(O123)*(1+WACC)^Calcs!O7</f>
        <v>0</v>
      </c>
      <c r="P126" s="153">
        <f>(P123)*(1+WACC)^Calcs!P7</f>
        <v>0</v>
      </c>
      <c r="Q126" s="75"/>
      <c r="R126" s="3"/>
      <c r="S126" s="3"/>
      <c r="T126" s="3"/>
      <c r="U126" s="75"/>
      <c r="V126" s="75"/>
      <c r="W126" s="75"/>
      <c r="X126" s="76"/>
    </row>
    <row r="127" spans="1:24" s="192" customFormat="1">
      <c r="A127" s="3"/>
      <c r="B127" s="3"/>
      <c r="C127" s="3"/>
      <c r="D127" s="189"/>
      <c r="E127" s="216"/>
      <c r="F127" s="217"/>
      <c r="G127" s="218"/>
      <c r="L127" s="218"/>
      <c r="M127" s="218"/>
      <c r="N127" s="218"/>
      <c r="O127" s="218"/>
      <c r="P127" s="218"/>
      <c r="R127" s="193"/>
      <c r="S127" s="193"/>
      <c r="T127" s="193"/>
      <c r="W127" s="75"/>
      <c r="X127" s="215"/>
    </row>
    <row r="128" spans="1:24" s="192" customFormat="1">
      <c r="A128" s="3"/>
      <c r="B128" s="3"/>
      <c r="C128" s="3"/>
      <c r="D128" s="30"/>
      <c r="E128" s="32"/>
      <c r="F128" s="33"/>
      <c r="G128" s="153"/>
      <c r="H128" s="75"/>
      <c r="I128" s="75"/>
      <c r="J128" s="75"/>
      <c r="K128" s="75"/>
      <c r="L128" s="153"/>
      <c r="M128" s="153"/>
      <c r="N128" s="153"/>
      <c r="O128" s="153"/>
      <c r="P128" s="153"/>
      <c r="Q128" s="75"/>
      <c r="R128" s="3"/>
      <c r="S128" s="3"/>
      <c r="T128" s="3"/>
      <c r="U128" s="75"/>
      <c r="V128" s="75"/>
      <c r="W128" s="75"/>
      <c r="X128" s="76"/>
    </row>
    <row r="129" spans="1:24" s="192" customFormat="1">
      <c r="A129" s="3"/>
      <c r="B129" s="3"/>
      <c r="C129" s="3"/>
      <c r="D129" s="75"/>
      <c r="E129" s="151" t="s">
        <v>255</v>
      </c>
      <c r="F129" s="75"/>
      <c r="G129" s="75"/>
      <c r="H129" s="154"/>
      <c r="I129" s="75"/>
      <c r="J129" s="153"/>
      <c r="K129" s="153"/>
      <c r="L129" s="153"/>
      <c r="M129" s="153"/>
      <c r="N129" s="153"/>
      <c r="O129" s="153"/>
      <c r="P129" s="153"/>
      <c r="Q129" s="75"/>
      <c r="R129" s="3"/>
      <c r="S129" s="3"/>
      <c r="T129" s="3"/>
      <c r="U129" s="75"/>
      <c r="V129" s="75"/>
      <c r="W129" s="75"/>
      <c r="X129" s="76"/>
    </row>
    <row r="130" spans="1:24" s="192" customFormat="1">
      <c r="A130" s="3"/>
      <c r="B130" s="3"/>
      <c r="C130" s="3"/>
      <c r="D130" s="184" t="s">
        <v>41</v>
      </c>
      <c r="E130" s="32" t="s">
        <v>254</v>
      </c>
      <c r="F130" s="33" t="s">
        <v>28</v>
      </c>
      <c r="G130" s="75"/>
      <c r="H130" s="75"/>
      <c r="I130" s="75"/>
      <c r="J130" s="75"/>
      <c r="K130" s="75"/>
      <c r="L130" s="77"/>
      <c r="M130" s="75"/>
      <c r="N130" s="75"/>
      <c r="O130" s="75"/>
      <c r="P130" s="88">
        <f>SUM(L126:P126)</f>
        <v>0</v>
      </c>
      <c r="Q130" s="75"/>
      <c r="R130" s="3"/>
      <c r="S130" s="3"/>
      <c r="T130" s="3"/>
      <c r="U130" s="75"/>
      <c r="V130" s="75"/>
      <c r="W130" s="75"/>
      <c r="X130" s="76"/>
    </row>
    <row r="131" spans="1:24" s="192" customFormat="1">
      <c r="A131" s="3"/>
      <c r="B131" s="3"/>
      <c r="C131" s="3"/>
      <c r="D131" s="219"/>
      <c r="E131" s="216"/>
      <c r="F131" s="217"/>
      <c r="L131" s="214"/>
      <c r="R131" s="193"/>
      <c r="S131" s="193"/>
      <c r="T131" s="193"/>
      <c r="W131" s="75"/>
      <c r="X131" s="215"/>
    </row>
    <row r="132" spans="1:24" s="192" customFormat="1">
      <c r="A132" s="3"/>
      <c r="B132" s="3"/>
      <c r="C132" s="3"/>
      <c r="D132" s="30"/>
      <c r="E132" s="32"/>
      <c r="F132" s="33"/>
      <c r="G132" s="153"/>
      <c r="H132" s="75"/>
      <c r="I132" s="75"/>
      <c r="J132" s="75"/>
      <c r="K132" s="75"/>
      <c r="L132" s="153"/>
      <c r="M132" s="153"/>
      <c r="N132" s="153"/>
      <c r="O132" s="153"/>
      <c r="P132" s="153"/>
      <c r="Q132" s="75"/>
      <c r="R132" s="3"/>
      <c r="S132" s="3"/>
      <c r="T132" s="3"/>
      <c r="U132" s="75"/>
      <c r="V132" s="75"/>
      <c r="W132" s="75"/>
      <c r="X132" s="76"/>
    </row>
    <row r="133" spans="1:24" s="22" customFormat="1" ht="15">
      <c r="A133" s="19"/>
      <c r="B133" s="19"/>
      <c r="C133" s="19"/>
      <c r="D133" s="182"/>
      <c r="E133" s="21" t="s">
        <v>256</v>
      </c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</row>
    <row r="134" spans="1:24" s="192" customFormat="1">
      <c r="A134" s="3"/>
      <c r="B134" s="3"/>
      <c r="C134" s="3"/>
      <c r="D134" s="30"/>
      <c r="E134" s="32"/>
      <c r="F134" s="33"/>
      <c r="G134" s="153"/>
      <c r="H134" s="75"/>
      <c r="I134" s="75"/>
      <c r="J134" s="75"/>
      <c r="K134" s="75"/>
      <c r="L134" s="153"/>
      <c r="M134" s="153"/>
      <c r="N134" s="153"/>
      <c r="O134" s="153"/>
      <c r="P134" s="153"/>
      <c r="Q134" s="75"/>
      <c r="R134" s="3"/>
      <c r="S134" s="3"/>
      <c r="T134" s="3"/>
      <c r="U134" s="75"/>
      <c r="V134" s="75"/>
      <c r="W134" s="75"/>
      <c r="X134" s="76"/>
    </row>
    <row r="135" spans="1:24" s="206" customFormat="1">
      <c r="A135" s="3"/>
      <c r="B135" s="3"/>
      <c r="C135" s="3"/>
      <c r="D135" s="25"/>
      <c r="E135" s="27" t="s">
        <v>257</v>
      </c>
      <c r="F135" s="33"/>
      <c r="G135" s="153"/>
      <c r="H135" s="75"/>
      <c r="I135" s="75"/>
      <c r="J135" s="75"/>
      <c r="K135" s="75"/>
      <c r="L135" s="153"/>
      <c r="M135" s="153"/>
      <c r="N135" s="153"/>
      <c r="O135" s="153"/>
      <c r="P135" s="153"/>
      <c r="Q135" s="75"/>
      <c r="R135" s="3"/>
      <c r="S135" s="3"/>
      <c r="T135" s="3"/>
      <c r="U135" s="75"/>
      <c r="V135" s="210"/>
      <c r="W135" s="211" t="s">
        <v>258</v>
      </c>
      <c r="X135" s="76"/>
    </row>
    <row r="136" spans="1:24" s="206" customFormat="1">
      <c r="A136" s="75"/>
      <c r="B136" s="3"/>
      <c r="C136" s="3"/>
      <c r="D136" s="30" t="s">
        <v>41</v>
      </c>
      <c r="E136" s="32" t="s">
        <v>259</v>
      </c>
      <c r="F136" s="33" t="s">
        <v>28</v>
      </c>
      <c r="G136" s="153"/>
      <c r="H136" s="75"/>
      <c r="I136" s="75"/>
      <c r="J136" s="75"/>
      <c r="K136" s="75"/>
      <c r="L136" s="153">
        <f>Baseline.Totex.Water*(FD.AllExp.Coeff.Water/100)</f>
        <v>339.46019261987163</v>
      </c>
      <c r="M136" s="153">
        <f>Baseline.Totex.Water*(FD.AllExp.Coeff.Water/100)</f>
        <v>304.75915201068267</v>
      </c>
      <c r="N136" s="153">
        <f>Baseline.Totex.Water*(FD.AllExp.Coeff.Water/100)</f>
        <v>277.36979202224524</v>
      </c>
      <c r="O136" s="153">
        <f>Baseline.Totex.Water*(FD.AllExp.Coeff.Water/100)</f>
        <v>277.88079126846799</v>
      </c>
      <c r="P136" s="153">
        <f>Baseline.Totex.Water*(FD.AllExp.Coeff.Water/100)</f>
        <v>284.20141280426083</v>
      </c>
      <c r="Q136" s="75"/>
      <c r="R136" s="3"/>
      <c r="S136" s="3"/>
      <c r="T136" s="3"/>
      <c r="U136" s="75"/>
      <c r="V136" s="210"/>
      <c r="W136" s="210"/>
      <c r="X136" s="76"/>
    </row>
    <row r="137" spans="1:24" s="206" customFormat="1">
      <c r="A137" s="75"/>
      <c r="B137" s="3"/>
      <c r="C137" s="3"/>
      <c r="D137" s="30" t="s">
        <v>41</v>
      </c>
      <c r="E137" s="32" t="s">
        <v>260</v>
      </c>
      <c r="F137" s="33" t="s">
        <v>28</v>
      </c>
      <c r="G137" s="153"/>
      <c r="H137" s="75"/>
      <c r="I137" s="75"/>
      <c r="J137" s="75"/>
      <c r="K137" s="75"/>
      <c r="L137" s="153">
        <f>Baseline.Totex.Sewerage*(FD.AllExp.Coeff.Sewerage/100)</f>
        <v>387.64720909655546</v>
      </c>
      <c r="M137" s="153">
        <f>Baseline.Totex.Sewerage*(FD.AllExp.Coeff.Sewerage/100)</f>
        <v>387.64720909655546</v>
      </c>
      <c r="N137" s="153">
        <f>Baseline.Totex.Sewerage*(FD.AllExp.Coeff.Sewerage/100)</f>
        <v>387.64720909655546</v>
      </c>
      <c r="O137" s="153">
        <f>Baseline.Totex.Sewerage*(FD.AllExp.Coeff.Sewerage/100)</f>
        <v>387.64720909655546</v>
      </c>
      <c r="P137" s="153">
        <f>Baseline.Totex.Sewerage*(FD.AllExp.Coeff.Sewerage/100)</f>
        <v>387.64720909655546</v>
      </c>
      <c r="Q137" s="75"/>
      <c r="R137" s="3"/>
      <c r="S137" s="3"/>
      <c r="T137" s="3"/>
      <c r="U137" s="75"/>
      <c r="V137" s="210"/>
      <c r="W137" s="75"/>
      <c r="X137" s="76"/>
    </row>
    <row r="138" spans="1:24" s="206" customFormat="1">
      <c r="A138" s="75"/>
      <c r="B138" s="3"/>
      <c r="C138" s="3"/>
      <c r="D138" s="30"/>
      <c r="E138" s="32"/>
      <c r="F138" s="33"/>
      <c r="G138" s="153"/>
      <c r="H138" s="75"/>
      <c r="I138" s="75"/>
      <c r="J138" s="75"/>
      <c r="K138" s="75"/>
      <c r="L138" s="153"/>
      <c r="M138" s="153"/>
      <c r="N138" s="153"/>
      <c r="O138" s="153"/>
      <c r="P138" s="153"/>
      <c r="Q138" s="75"/>
      <c r="R138" s="3"/>
      <c r="S138" s="3"/>
      <c r="T138" s="3"/>
      <c r="U138" s="75"/>
      <c r="V138" s="210"/>
      <c r="W138" s="75"/>
      <c r="X138" s="76"/>
    </row>
    <row r="139" spans="1:24" s="206" customFormat="1">
      <c r="A139" s="75"/>
      <c r="B139" s="3"/>
      <c r="C139" s="3"/>
      <c r="D139" s="30"/>
      <c r="E139" s="27" t="s">
        <v>47</v>
      </c>
      <c r="F139" s="33"/>
      <c r="G139" s="153"/>
      <c r="H139" s="75"/>
      <c r="I139" s="75"/>
      <c r="J139" s="75"/>
      <c r="K139" s="75"/>
      <c r="L139" s="153"/>
      <c r="M139" s="153"/>
      <c r="N139" s="153"/>
      <c r="O139" s="153"/>
      <c r="P139" s="153"/>
      <c r="Q139" s="75"/>
      <c r="R139" s="3"/>
      <c r="S139" s="3"/>
      <c r="T139" s="3"/>
      <c r="U139" s="75"/>
      <c r="V139" s="210"/>
      <c r="W139" s="211" t="s">
        <v>261</v>
      </c>
      <c r="X139" s="76"/>
    </row>
    <row r="140" spans="1:24" s="206" customFormat="1">
      <c r="A140" s="75"/>
      <c r="B140" s="3"/>
      <c r="C140" s="3"/>
      <c r="D140" s="30" t="s">
        <v>41</v>
      </c>
      <c r="E140" s="32" t="s">
        <v>48</v>
      </c>
      <c r="F140" s="33" t="s">
        <v>28</v>
      </c>
      <c r="G140" s="210"/>
      <c r="H140" s="75"/>
      <c r="I140" s="75"/>
      <c r="J140" s="75"/>
      <c r="K140" s="75"/>
      <c r="L140" s="153">
        <f>Inputs!L46</f>
        <v>346.174889850238</v>
      </c>
      <c r="M140" s="153">
        <f>Inputs!M46</f>
        <v>311.26652548710899</v>
      </c>
      <c r="N140" s="153">
        <f>Inputs!N46</f>
        <v>283.87716549867002</v>
      </c>
      <c r="O140" s="153">
        <f>Inputs!O46</f>
        <v>284.388164744893</v>
      </c>
      <c r="P140" s="153">
        <f>Inputs!P46</f>
        <v>290.70878628068601</v>
      </c>
      <c r="Q140" s="75"/>
      <c r="R140" s="3"/>
      <c r="S140" s="3"/>
      <c r="T140" s="3"/>
      <c r="U140" s="75"/>
      <c r="V140" s="210"/>
      <c r="W140" s="75"/>
      <c r="X140" s="76"/>
    </row>
    <row r="141" spans="1:24" s="206" customFormat="1">
      <c r="A141" s="75"/>
      <c r="B141" s="3"/>
      <c r="C141" s="3"/>
      <c r="D141" s="30" t="s">
        <v>41</v>
      </c>
      <c r="E141" s="32" t="s">
        <v>50</v>
      </c>
      <c r="F141" s="33" t="s">
        <v>28</v>
      </c>
      <c r="G141" s="153"/>
      <c r="H141" s="75"/>
      <c r="I141" s="75"/>
      <c r="J141" s="75"/>
      <c r="K141" s="75"/>
      <c r="L141" s="153">
        <f>Inputs!L47</f>
        <v>387.88780320255398</v>
      </c>
      <c r="M141" s="153">
        <f>Inputs!M47</f>
        <v>387.65270264732601</v>
      </c>
      <c r="N141" s="153">
        <f>Inputs!N47</f>
        <v>387.65270264732601</v>
      </c>
      <c r="O141" s="153">
        <f>Inputs!O47</f>
        <v>387.65270264732601</v>
      </c>
      <c r="P141" s="153">
        <f>Inputs!P47</f>
        <v>387.65270264732601</v>
      </c>
      <c r="Q141" s="75"/>
      <c r="R141" s="3"/>
      <c r="S141" s="3"/>
      <c r="T141" s="3"/>
      <c r="U141" s="75"/>
      <c r="V141" s="75"/>
      <c r="W141" s="75"/>
      <c r="X141" s="76"/>
    </row>
    <row r="142" spans="1:24" s="206" customFormat="1">
      <c r="A142" s="75"/>
      <c r="B142" s="3"/>
      <c r="C142" s="3"/>
      <c r="D142" s="30"/>
      <c r="E142" s="32"/>
      <c r="F142" s="33"/>
      <c r="G142" s="153"/>
      <c r="H142" s="75"/>
      <c r="I142" s="75"/>
      <c r="J142" s="75"/>
      <c r="K142" s="75"/>
      <c r="L142" s="153"/>
      <c r="M142" s="153"/>
      <c r="N142" s="153"/>
      <c r="O142" s="153"/>
      <c r="P142" s="153"/>
      <c r="Q142" s="75"/>
      <c r="R142" s="3"/>
      <c r="S142" s="3"/>
      <c r="T142" s="3"/>
      <c r="U142" s="75"/>
      <c r="V142" s="75"/>
      <c r="W142" s="75"/>
      <c r="X142" s="76"/>
    </row>
    <row r="143" spans="1:24" s="206" customFormat="1">
      <c r="A143" s="75"/>
      <c r="B143" s="3"/>
      <c r="C143" s="3"/>
      <c r="D143" s="30"/>
      <c r="E143" s="27" t="s">
        <v>262</v>
      </c>
      <c r="F143" s="33"/>
      <c r="G143" s="153"/>
      <c r="H143" s="75"/>
      <c r="I143" s="75"/>
      <c r="J143" s="75"/>
      <c r="K143" s="75"/>
      <c r="L143" s="153"/>
      <c r="M143" s="153"/>
      <c r="N143" s="153"/>
      <c r="O143" s="153"/>
      <c r="P143" s="153"/>
      <c r="Q143" s="75"/>
      <c r="R143" s="3"/>
      <c r="S143" s="3"/>
      <c r="T143" s="3"/>
      <c r="U143" s="75"/>
      <c r="V143" s="75"/>
      <c r="W143" s="75"/>
      <c r="X143" s="76"/>
    </row>
    <row r="144" spans="1:24" s="206" customFormat="1">
      <c r="A144" s="75"/>
      <c r="B144" s="3"/>
      <c r="C144" s="3"/>
      <c r="D144" s="30" t="s">
        <v>41</v>
      </c>
      <c r="E144" s="32" t="s">
        <v>263</v>
      </c>
      <c r="F144" s="33" t="s">
        <v>28</v>
      </c>
      <c r="G144" s="32"/>
      <c r="H144" s="75"/>
      <c r="I144" s="75"/>
      <c r="J144" s="75"/>
      <c r="K144" s="75"/>
      <c r="L144" s="153">
        <f>L140-L136</f>
        <v>6.7146972303663688</v>
      </c>
      <c r="M144" s="153">
        <f t="shared" ref="M144:P144" si="5">M140-M136</f>
        <v>6.5073734764263236</v>
      </c>
      <c r="N144" s="153">
        <f t="shared" si="5"/>
        <v>6.5073734764247888</v>
      </c>
      <c r="O144" s="153">
        <f t="shared" si="5"/>
        <v>6.5073734764250162</v>
      </c>
      <c r="P144" s="153">
        <f t="shared" si="5"/>
        <v>6.5073734764251867</v>
      </c>
      <c r="Q144" s="75"/>
      <c r="R144" s="3"/>
      <c r="S144" s="3"/>
      <c r="T144" s="3"/>
      <c r="U144" s="75"/>
      <c r="V144" s="75"/>
      <c r="W144" s="75"/>
      <c r="X144" s="76"/>
    </row>
    <row r="145" spans="1:24" s="206" customFormat="1">
      <c r="A145" s="75"/>
      <c r="B145" s="3"/>
      <c r="C145" s="3"/>
      <c r="D145" s="30" t="s">
        <v>41</v>
      </c>
      <c r="E145" s="32" t="s">
        <v>264</v>
      </c>
      <c r="F145" s="33" t="s">
        <v>28</v>
      </c>
      <c r="G145" s="153"/>
      <c r="H145" s="75"/>
      <c r="I145" s="75"/>
      <c r="J145" s="75"/>
      <c r="K145" s="75"/>
      <c r="L145" s="153">
        <f>L141-L137</f>
        <v>0.24059410599852527</v>
      </c>
      <c r="M145" s="153">
        <f t="shared" ref="M145:P145" si="6">M141-M137</f>
        <v>5.4935507705522468E-3</v>
      </c>
      <c r="N145" s="153">
        <f t="shared" si="6"/>
        <v>5.4935507705522468E-3</v>
      </c>
      <c r="O145" s="153">
        <f t="shared" si="6"/>
        <v>5.4935507705522468E-3</v>
      </c>
      <c r="P145" s="153">
        <f t="shared" si="6"/>
        <v>5.4935507705522468E-3</v>
      </c>
      <c r="Q145" s="75"/>
      <c r="R145" s="3"/>
      <c r="S145" s="3"/>
      <c r="T145" s="3"/>
      <c r="U145" s="75"/>
      <c r="V145" s="75"/>
      <c r="W145" s="75"/>
      <c r="X145" s="76"/>
    </row>
    <row r="146" spans="1:24" s="206" customFormat="1">
      <c r="A146" s="75"/>
      <c r="B146" s="3"/>
      <c r="C146" s="3"/>
      <c r="D146" s="30"/>
      <c r="E146" s="32"/>
      <c r="F146" s="33"/>
      <c r="G146" s="153"/>
      <c r="H146" s="75"/>
      <c r="I146" s="75"/>
      <c r="J146" s="75"/>
      <c r="K146" s="75"/>
      <c r="L146" s="153"/>
      <c r="M146" s="153"/>
      <c r="N146" s="153"/>
      <c r="O146" s="153"/>
      <c r="P146" s="153"/>
      <c r="Q146" s="75"/>
      <c r="R146" s="3"/>
      <c r="S146" s="3"/>
      <c r="T146" s="3"/>
      <c r="U146" s="75"/>
      <c r="V146" s="75"/>
      <c r="W146" s="75"/>
      <c r="X146" s="76"/>
    </row>
    <row r="147" spans="1:24" s="192" customFormat="1">
      <c r="A147" s="75"/>
      <c r="B147" s="3"/>
      <c r="C147" s="3"/>
      <c r="D147" s="30"/>
      <c r="E147" s="27" t="s">
        <v>265</v>
      </c>
      <c r="F147" s="33"/>
      <c r="G147" s="153"/>
      <c r="H147" s="75"/>
      <c r="I147" s="75"/>
      <c r="J147" s="75"/>
      <c r="K147" s="75"/>
      <c r="L147" s="153"/>
      <c r="M147" s="153"/>
      <c r="N147" s="153"/>
      <c r="O147" s="153"/>
      <c r="P147" s="153"/>
      <c r="Q147" s="75"/>
      <c r="R147" s="3"/>
      <c r="S147" s="3"/>
      <c r="T147" s="3"/>
      <c r="U147" s="75"/>
      <c r="V147" s="75"/>
      <c r="W147" s="75"/>
      <c r="X147" s="76"/>
    </row>
    <row r="148" spans="1:24" s="192" customFormat="1">
      <c r="A148" s="75"/>
      <c r="B148" s="3"/>
      <c r="C148" s="3"/>
      <c r="D148" s="30" t="s">
        <v>41</v>
      </c>
      <c r="E148" s="32" t="s">
        <v>266</v>
      </c>
      <c r="F148" s="33" t="s">
        <v>28</v>
      </c>
      <c r="G148" s="153"/>
      <c r="H148" s="75"/>
      <c r="I148" s="75"/>
      <c r="J148" s="75"/>
      <c r="K148" s="75"/>
      <c r="L148" s="153">
        <f>Baseline.Totex.Water*(AllExp.Coeff.Water/100)</f>
        <v>339.46019261987163</v>
      </c>
      <c r="M148" s="153">
        <f>Baseline.Totex.Water*(AllExp.Coeff.Water/100)</f>
        <v>304.75915201068267</v>
      </c>
      <c r="N148" s="153">
        <f>Baseline.Totex.Water*(AllExp.Coeff.Water/100)</f>
        <v>277.36979202224524</v>
      </c>
      <c r="O148" s="153">
        <f>Baseline.Totex.Water*(AllExp.Coeff.Water/100)</f>
        <v>277.88079126846799</v>
      </c>
      <c r="P148" s="153">
        <f>Baseline.Totex.Water*(AllExp.Coeff.Water/100)</f>
        <v>284.20141280426083</v>
      </c>
      <c r="Q148" s="89" t="s">
        <v>267</v>
      </c>
      <c r="R148" s="3"/>
      <c r="S148" s="3"/>
      <c r="T148" s="3"/>
      <c r="U148" s="75"/>
      <c r="V148" s="75"/>
      <c r="W148" s="75"/>
      <c r="X148" s="76"/>
    </row>
    <row r="149" spans="1:24" s="192" customFormat="1">
      <c r="A149" s="75"/>
      <c r="B149" s="3"/>
      <c r="C149" s="3"/>
      <c r="D149" s="30" t="s">
        <v>41</v>
      </c>
      <c r="E149" s="32" t="s">
        <v>268</v>
      </c>
      <c r="F149" s="33" t="s">
        <v>28</v>
      </c>
      <c r="G149" s="153"/>
      <c r="H149" s="75"/>
      <c r="I149" s="75"/>
      <c r="J149" s="75"/>
      <c r="K149" s="75"/>
      <c r="L149" s="153">
        <f>Baseline.Totex.Sewerage*(AllExp.Coeff.Sewerage/100)</f>
        <v>387.64720909655546</v>
      </c>
      <c r="M149" s="153">
        <f>Baseline.Totex.Sewerage*(AllExp.Coeff.Sewerage/100)</f>
        <v>387.64720909655546</v>
      </c>
      <c r="N149" s="153">
        <f>Baseline.Totex.Sewerage*(AllExp.Coeff.Sewerage/100)</f>
        <v>387.64720909655546</v>
      </c>
      <c r="O149" s="153">
        <f>Baseline.Totex.Sewerage*(AllExp.Coeff.Sewerage/100)</f>
        <v>387.64720909655546</v>
      </c>
      <c r="P149" s="153">
        <f>Baseline.Totex.Sewerage*(AllExp.Coeff.Sewerage/100)</f>
        <v>387.64720909655546</v>
      </c>
      <c r="Q149" s="89" t="s">
        <v>269</v>
      </c>
      <c r="R149" s="3"/>
      <c r="S149" s="3"/>
      <c r="T149" s="3"/>
      <c r="U149" s="75"/>
      <c r="V149" s="75"/>
      <c r="W149" s="75"/>
      <c r="X149" s="76"/>
    </row>
    <row r="150" spans="1:24" s="192" customFormat="1">
      <c r="A150" s="75"/>
      <c r="B150" s="3"/>
      <c r="C150" s="3"/>
      <c r="D150" s="30"/>
      <c r="E150" s="32"/>
      <c r="F150" s="33"/>
      <c r="G150" s="153"/>
      <c r="H150" s="75"/>
      <c r="I150" s="75"/>
      <c r="J150" s="75"/>
      <c r="K150" s="75"/>
      <c r="L150" s="153"/>
      <c r="M150" s="153"/>
      <c r="N150" s="153"/>
      <c r="O150" s="153"/>
      <c r="P150" s="153"/>
      <c r="Q150" s="75"/>
      <c r="R150" s="3"/>
      <c r="S150" s="3"/>
      <c r="T150" s="3"/>
      <c r="U150" s="75"/>
      <c r="V150" s="75"/>
      <c r="W150" s="75"/>
      <c r="X150" s="76"/>
    </row>
    <row r="151" spans="1:24" s="192" customFormat="1">
      <c r="A151" s="75"/>
      <c r="B151" s="3"/>
      <c r="C151" s="3"/>
      <c r="D151" s="30"/>
      <c r="E151" s="27" t="s">
        <v>270</v>
      </c>
      <c r="F151" s="33"/>
      <c r="G151" s="153"/>
      <c r="H151" s="75"/>
      <c r="I151" s="75"/>
      <c r="J151" s="75"/>
      <c r="K151" s="75"/>
      <c r="L151" s="153"/>
      <c r="M151" s="153"/>
      <c r="N151" s="153"/>
      <c r="O151" s="153"/>
      <c r="P151" s="153"/>
      <c r="Q151" s="75"/>
      <c r="R151" s="3"/>
      <c r="S151" s="3"/>
      <c r="T151" s="3"/>
      <c r="U151" s="75"/>
      <c r="V151" s="75"/>
      <c r="W151" s="75"/>
      <c r="X151" s="76"/>
    </row>
    <row r="152" spans="1:24" s="192" customFormat="1">
      <c r="A152" s="75"/>
      <c r="B152" s="3"/>
      <c r="C152" s="3"/>
      <c r="D152" s="30" t="s">
        <v>41</v>
      </c>
      <c r="E152" s="32" t="s">
        <v>271</v>
      </c>
      <c r="F152" s="33" t="s">
        <v>28</v>
      </c>
      <c r="G152" s="153"/>
      <c r="H152" s="75"/>
      <c r="I152" s="75"/>
      <c r="J152" s="75"/>
      <c r="K152" s="75"/>
      <c r="L152" s="153">
        <f>L148+L144</f>
        <v>346.174889850238</v>
      </c>
      <c r="M152" s="153">
        <f t="shared" ref="M152:P152" si="7">M148+M144</f>
        <v>311.26652548710899</v>
      </c>
      <c r="N152" s="153">
        <f t="shared" si="7"/>
        <v>283.87716549867002</v>
      </c>
      <c r="O152" s="153">
        <f t="shared" si="7"/>
        <v>284.388164744893</v>
      </c>
      <c r="P152" s="153">
        <f t="shared" si="7"/>
        <v>290.70878628068601</v>
      </c>
      <c r="Q152" s="75"/>
      <c r="R152" s="3"/>
      <c r="S152" s="3"/>
      <c r="T152" s="3"/>
      <c r="U152" s="75"/>
      <c r="V152" s="75"/>
      <c r="W152" s="75"/>
      <c r="X152" s="76"/>
    </row>
    <row r="153" spans="1:24" s="192" customFormat="1">
      <c r="A153" s="75"/>
      <c r="B153" s="3"/>
      <c r="C153" s="3"/>
      <c r="D153" s="30" t="s">
        <v>41</v>
      </c>
      <c r="E153" s="32" t="s">
        <v>272</v>
      </c>
      <c r="F153" s="33" t="s">
        <v>28</v>
      </c>
      <c r="G153" s="153"/>
      <c r="H153" s="75"/>
      <c r="I153" s="75"/>
      <c r="J153" s="75"/>
      <c r="K153" s="75"/>
      <c r="L153" s="153">
        <f>L149+L145</f>
        <v>387.88780320255398</v>
      </c>
      <c r="M153" s="153">
        <f t="shared" ref="M153:P153" si="8">M149+M145</f>
        <v>387.65270264732601</v>
      </c>
      <c r="N153" s="153">
        <f t="shared" si="8"/>
        <v>387.65270264732601</v>
      </c>
      <c r="O153" s="153">
        <f t="shared" si="8"/>
        <v>387.65270264732601</v>
      </c>
      <c r="P153" s="153">
        <f t="shared" si="8"/>
        <v>387.65270264732601</v>
      </c>
      <c r="Q153" s="75"/>
      <c r="R153" s="3"/>
      <c r="S153" s="3"/>
      <c r="T153" s="3"/>
      <c r="U153" s="75"/>
      <c r="V153" s="75"/>
      <c r="W153" s="75"/>
      <c r="X153" s="76"/>
    </row>
    <row r="154" spans="1:24" s="192" customFormat="1">
      <c r="A154" s="75"/>
      <c r="B154" s="3"/>
      <c r="C154" s="3"/>
      <c r="D154" s="30"/>
      <c r="E154" s="32"/>
      <c r="F154" s="33"/>
      <c r="G154" s="153"/>
      <c r="H154" s="75"/>
      <c r="I154" s="75"/>
      <c r="J154" s="75"/>
      <c r="K154" s="75"/>
      <c r="L154" s="153"/>
      <c r="M154" s="153"/>
      <c r="N154" s="153"/>
      <c r="O154" s="153"/>
      <c r="P154" s="153"/>
      <c r="Q154" s="75"/>
      <c r="R154" s="3"/>
      <c r="S154" s="3"/>
      <c r="T154" s="3"/>
      <c r="U154" s="75"/>
      <c r="V154" s="75"/>
      <c r="W154" s="75"/>
      <c r="X154" s="76"/>
    </row>
    <row r="155" spans="1:24" s="192" customFormat="1">
      <c r="A155" s="75"/>
      <c r="B155" s="3"/>
      <c r="C155" s="3"/>
      <c r="D155" s="30"/>
      <c r="E155" s="27" t="s">
        <v>273</v>
      </c>
      <c r="F155" s="33"/>
      <c r="G155" s="153"/>
      <c r="H155" s="75"/>
      <c r="I155" s="75"/>
      <c r="J155" s="75"/>
      <c r="K155" s="75"/>
      <c r="L155" s="153"/>
      <c r="M155" s="153"/>
      <c r="N155" s="153"/>
      <c r="O155" s="153"/>
      <c r="P155" s="153"/>
      <c r="Q155" s="75"/>
      <c r="R155" s="3"/>
      <c r="S155" s="3"/>
      <c r="T155" s="3"/>
      <c r="U155" s="75"/>
      <c r="V155" s="75"/>
      <c r="W155" s="75"/>
      <c r="X155" s="76"/>
    </row>
    <row r="156" spans="1:24" s="192" customFormat="1">
      <c r="A156" s="75"/>
      <c r="B156" s="3"/>
      <c r="C156" s="3"/>
      <c r="D156" s="30" t="s">
        <v>41</v>
      </c>
      <c r="E156" s="32" t="s">
        <v>274</v>
      </c>
      <c r="F156" s="33" t="s">
        <v>28</v>
      </c>
      <c r="G156" s="153"/>
      <c r="H156" s="75"/>
      <c r="I156" s="75"/>
      <c r="J156" s="75"/>
      <c r="K156" s="75"/>
      <c r="L156" s="153">
        <f t="shared" ref="L156:P157" si="9">L148-L136</f>
        <v>0</v>
      </c>
      <c r="M156" s="153">
        <f t="shared" si="9"/>
        <v>0</v>
      </c>
      <c r="N156" s="153">
        <f t="shared" si="9"/>
        <v>0</v>
      </c>
      <c r="O156" s="153">
        <f t="shared" si="9"/>
        <v>0</v>
      </c>
      <c r="P156" s="153">
        <f t="shared" si="9"/>
        <v>0</v>
      </c>
      <c r="Q156" s="75"/>
      <c r="R156" s="3"/>
      <c r="S156" s="3"/>
      <c r="T156" s="3"/>
      <c r="U156" s="75"/>
      <c r="V156" s="75"/>
      <c r="W156" s="75"/>
      <c r="X156" s="76"/>
    </row>
    <row r="157" spans="1:24" s="192" customFormat="1">
      <c r="A157" s="75"/>
      <c r="B157" s="3"/>
      <c r="C157" s="3"/>
      <c r="D157" s="30" t="s">
        <v>41</v>
      </c>
      <c r="E157" s="32" t="s">
        <v>275</v>
      </c>
      <c r="F157" s="33" t="s">
        <v>28</v>
      </c>
      <c r="G157" s="153"/>
      <c r="H157" s="75"/>
      <c r="I157" s="75"/>
      <c r="J157" s="75"/>
      <c r="K157" s="75"/>
      <c r="L157" s="153">
        <f>L149-L137</f>
        <v>0</v>
      </c>
      <c r="M157" s="153">
        <f t="shared" si="9"/>
        <v>0</v>
      </c>
      <c r="N157" s="153">
        <f t="shared" si="9"/>
        <v>0</v>
      </c>
      <c r="O157" s="153">
        <f t="shared" si="9"/>
        <v>0</v>
      </c>
      <c r="P157" s="153">
        <f t="shared" si="9"/>
        <v>0</v>
      </c>
      <c r="Q157" s="75"/>
      <c r="R157" s="3"/>
      <c r="S157" s="3"/>
      <c r="T157" s="3"/>
      <c r="U157" s="75"/>
      <c r="V157" s="75"/>
      <c r="W157" s="75"/>
      <c r="X157" s="76"/>
    </row>
    <row r="158" spans="1:24" s="192" customFormat="1">
      <c r="A158" s="3"/>
      <c r="B158" s="3"/>
      <c r="C158" s="3"/>
      <c r="D158" s="30"/>
      <c r="E158" s="32"/>
      <c r="F158" s="33"/>
      <c r="G158" s="153"/>
      <c r="H158" s="75"/>
      <c r="I158" s="75"/>
      <c r="J158" s="75"/>
      <c r="K158" s="75"/>
      <c r="L158" s="153"/>
      <c r="M158" s="153"/>
      <c r="N158" s="153"/>
      <c r="O158" s="153"/>
      <c r="P158" s="153"/>
      <c r="Q158" s="75"/>
      <c r="R158" s="3"/>
      <c r="S158" s="3"/>
      <c r="T158" s="3"/>
      <c r="U158" s="75"/>
      <c r="V158" s="75"/>
      <c r="W158" s="75"/>
      <c r="X158" s="76"/>
    </row>
    <row r="159" spans="1:24" s="22" customFormat="1" ht="15">
      <c r="A159" s="19"/>
      <c r="B159" s="19"/>
      <c r="C159" s="19"/>
      <c r="D159" s="182"/>
      <c r="E159" s="21" t="s">
        <v>276</v>
      </c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 spans="1:24" s="75" customFormat="1">
      <c r="A160" s="3"/>
      <c r="B160" s="3"/>
      <c r="C160" s="3"/>
      <c r="D160" s="30"/>
      <c r="E160" s="32"/>
      <c r="F160" s="33"/>
      <c r="G160" s="50"/>
      <c r="L160" s="50"/>
      <c r="M160" s="50"/>
      <c r="N160" s="50"/>
      <c r="O160" s="50"/>
      <c r="P160" s="50"/>
      <c r="Q160" s="3"/>
      <c r="R160" s="3"/>
      <c r="S160" s="3"/>
      <c r="T160" s="3"/>
      <c r="X160" s="76"/>
    </row>
    <row r="161" spans="1:24" s="75" customFormat="1">
      <c r="B161" s="3"/>
      <c r="C161" s="3"/>
      <c r="E161" s="49" t="s">
        <v>277</v>
      </c>
      <c r="F161" s="161"/>
      <c r="G161" s="77"/>
      <c r="L161" s="77"/>
      <c r="M161" s="77"/>
      <c r="N161" s="77"/>
      <c r="O161" s="77"/>
      <c r="P161" s="77"/>
      <c r="Q161" s="3"/>
      <c r="R161" s="3"/>
      <c r="S161" s="3"/>
      <c r="T161" s="3"/>
      <c r="X161" s="76"/>
    </row>
    <row r="162" spans="1:24" s="75" customFormat="1">
      <c r="B162" s="3"/>
      <c r="C162" s="3"/>
      <c r="D162" s="30" t="s">
        <v>41</v>
      </c>
      <c r="E162" s="32" t="s">
        <v>278</v>
      </c>
      <c r="F162" s="33" t="s">
        <v>28</v>
      </c>
      <c r="L162" s="218">
        <f>(Actual.Totex.Water-SUM(Inputs!L60:L64))/Indexation.Average+TransitionExp.Water-L148</f>
        <v>-74.889249763646546</v>
      </c>
      <c r="M162" s="218">
        <f>(Actual.Totex.Water-SUM(Inputs!M60:M64))/Indexation.Average-M148</f>
        <v>-8.012106144395716</v>
      </c>
      <c r="N162" s="218">
        <f>(Actual.Totex.Water-SUM(Inputs!N60:N64))/Indexation.Average-N148</f>
        <v>43.722952283520954</v>
      </c>
      <c r="O162" s="218">
        <f>(Actual.Totex.Water-SUM(Inputs!O60:O64))/Indexation.Average-O148</f>
        <v>85.597282385089613</v>
      </c>
      <c r="P162" s="218">
        <f>(Actual.Totex.Water-SUM(Inputs!P60:P64))/Indexation.Average-P148</f>
        <v>80.877393702833899</v>
      </c>
      <c r="Q162" s="161"/>
      <c r="R162" s="3"/>
      <c r="S162" s="3"/>
      <c r="T162" s="3"/>
      <c r="W162" s="211" t="s">
        <v>279</v>
      </c>
      <c r="X162" s="76"/>
    </row>
    <row r="163" spans="1:24" s="75" customFormat="1">
      <c r="B163" s="3"/>
      <c r="C163" s="3"/>
      <c r="D163" s="30" t="s">
        <v>41</v>
      </c>
      <c r="E163" s="32" t="s">
        <v>280</v>
      </c>
      <c r="F163" s="33" t="s">
        <v>28</v>
      </c>
      <c r="K163" s="153"/>
      <c r="L163" s="218">
        <f>(Actual.Totex.Sewerage-SUM(Inputs!L66:L72))/Indexation.Average+TransitionExp.Sewerage-L149</f>
        <v>-99.371057692855118</v>
      </c>
      <c r="M163" s="218">
        <f>(Actual.Totex.Sewerage-SUM(Inputs!M66:M72))/Indexation.Average-M149</f>
        <v>-51.387932867339146</v>
      </c>
      <c r="N163" s="218">
        <f>(Actual.Totex.Sewerage-SUM(Inputs!N66:N72))/Indexation.Average-N149</f>
        <v>-17.05467496112135</v>
      </c>
      <c r="O163" s="218">
        <f>(Actual.Totex.Sewerage-SUM(Inputs!O66:O72))/Indexation.Average-O149</f>
        <v>62.17623088344277</v>
      </c>
      <c r="P163" s="218">
        <f>(Actual.Totex.Sewerage-SUM(Inputs!P66:P72))/Indexation.Average-P149</f>
        <v>2.5725585972957106</v>
      </c>
      <c r="Q163" s="161"/>
      <c r="R163" s="3"/>
      <c r="S163" s="3"/>
      <c r="T163" s="3"/>
      <c r="X163" s="76"/>
    </row>
    <row r="164" spans="1:24" s="75" customFormat="1">
      <c r="B164" s="3"/>
      <c r="C164" s="3"/>
      <c r="D164" s="30"/>
      <c r="E164" s="32"/>
      <c r="F164" s="33"/>
      <c r="G164" s="50"/>
      <c r="L164" s="50"/>
      <c r="M164" s="50"/>
      <c r="N164" s="50"/>
      <c r="O164" s="50"/>
      <c r="P164" s="50"/>
      <c r="Q164" s="3"/>
      <c r="R164" s="3"/>
      <c r="S164" s="3"/>
      <c r="T164" s="3"/>
      <c r="X164" s="76"/>
    </row>
    <row r="165" spans="1:24" s="75" customFormat="1">
      <c r="B165" s="3"/>
      <c r="C165" s="3"/>
      <c r="E165" s="49" t="s">
        <v>281</v>
      </c>
      <c r="G165" s="77"/>
      <c r="L165" s="77"/>
      <c r="M165" s="77"/>
      <c r="N165" s="77"/>
      <c r="O165" s="77"/>
      <c r="P165" s="77"/>
      <c r="Q165" s="3"/>
      <c r="R165" s="3"/>
      <c r="S165" s="3"/>
      <c r="T165" s="3"/>
      <c r="X165" s="76"/>
    </row>
    <row r="166" spans="1:24" s="75" customFormat="1">
      <c r="B166" s="3"/>
      <c r="C166" s="3"/>
      <c r="D166" s="30" t="s">
        <v>41</v>
      </c>
      <c r="E166" s="32" t="s">
        <v>282</v>
      </c>
      <c r="F166" s="33" t="s">
        <v>28</v>
      </c>
      <c r="G166" s="153"/>
      <c r="L166" s="153">
        <f>L162+L156</f>
        <v>-74.889249763646546</v>
      </c>
      <c r="M166" s="153">
        <f t="shared" ref="L166:P167" si="10">M162+M156</f>
        <v>-8.012106144395716</v>
      </c>
      <c r="N166" s="153">
        <f t="shared" si="10"/>
        <v>43.722952283520954</v>
      </c>
      <c r="O166" s="153">
        <f t="shared" si="10"/>
        <v>85.597282385089613</v>
      </c>
      <c r="P166" s="153">
        <f t="shared" si="10"/>
        <v>80.877393702833899</v>
      </c>
      <c r="Q166" s="89" t="s">
        <v>283</v>
      </c>
      <c r="R166" s="3"/>
      <c r="S166" s="3"/>
      <c r="T166" s="3"/>
      <c r="X166" s="76"/>
    </row>
    <row r="167" spans="1:24" s="75" customFormat="1">
      <c r="B167" s="3"/>
      <c r="C167" s="3"/>
      <c r="D167" s="30" t="s">
        <v>41</v>
      </c>
      <c r="E167" s="32" t="s">
        <v>284</v>
      </c>
      <c r="F167" s="33" t="s">
        <v>28</v>
      </c>
      <c r="G167" s="153"/>
      <c r="L167" s="153">
        <f t="shared" si="10"/>
        <v>-99.371057692855118</v>
      </c>
      <c r="M167" s="153">
        <f t="shared" si="10"/>
        <v>-51.387932867339146</v>
      </c>
      <c r="N167" s="153">
        <f t="shared" si="10"/>
        <v>-17.05467496112135</v>
      </c>
      <c r="O167" s="153">
        <f t="shared" si="10"/>
        <v>62.17623088344277</v>
      </c>
      <c r="P167" s="153">
        <f t="shared" si="10"/>
        <v>2.5725585972957106</v>
      </c>
      <c r="Q167" s="89" t="s">
        <v>285</v>
      </c>
      <c r="R167" s="3"/>
      <c r="S167" s="3"/>
      <c r="T167" s="3"/>
      <c r="X167" s="76"/>
    </row>
    <row r="168" spans="1:24" s="75" customFormat="1">
      <c r="B168" s="3"/>
      <c r="C168" s="3"/>
      <c r="D168" s="30"/>
      <c r="E168" s="32"/>
      <c r="F168" s="33"/>
      <c r="G168" s="153"/>
      <c r="L168" s="153"/>
      <c r="M168" s="153"/>
      <c r="N168" s="153"/>
      <c r="O168" s="153"/>
      <c r="P168" s="153"/>
      <c r="Q168" s="89"/>
      <c r="R168" s="3"/>
      <c r="S168" s="3"/>
      <c r="T168" s="3"/>
      <c r="X168" s="76"/>
    </row>
    <row r="169" spans="1:24" s="75" customFormat="1">
      <c r="B169" s="3"/>
      <c r="C169" s="3"/>
      <c r="E169" s="49" t="s">
        <v>286</v>
      </c>
      <c r="J169" s="153"/>
      <c r="K169" s="153"/>
      <c r="L169" s="153"/>
      <c r="M169" s="153"/>
      <c r="N169" s="153"/>
      <c r="O169" s="153"/>
      <c r="P169" s="153"/>
      <c r="Q169" s="153"/>
      <c r="R169" s="153"/>
      <c r="S169" s="3"/>
      <c r="T169" s="3"/>
      <c r="X169" s="76"/>
    </row>
    <row r="170" spans="1:24" s="75" customFormat="1">
      <c r="B170" s="3"/>
      <c r="D170" s="30" t="s">
        <v>41</v>
      </c>
      <c r="E170" s="32" t="s">
        <v>287</v>
      </c>
      <c r="F170" s="33" t="s">
        <v>28</v>
      </c>
      <c r="J170" s="153"/>
      <c r="K170" s="153"/>
      <c r="L170" s="153">
        <f>L166*(1+WACC)^Calcs!L7</f>
        <v>-86.269742452303788</v>
      </c>
      <c r="M170" s="153">
        <f>M166*(1+WACC)^Calcs!M7</f>
        <v>-8.9089384895041377</v>
      </c>
      <c r="N170" s="153">
        <f>N166*(1+WACC)^Calcs!N7</f>
        <v>46.927669794093909</v>
      </c>
      <c r="O170" s="153">
        <f>O166*(1+WACC)^Calcs!O7</f>
        <v>88.678784550952841</v>
      </c>
      <c r="P170" s="153">
        <f>P166*(1+WACC)^Calcs!P7</f>
        <v>80.877393702833899</v>
      </c>
      <c r="Q170" s="153"/>
      <c r="R170" s="153"/>
      <c r="S170" s="3"/>
      <c r="T170" s="3"/>
      <c r="X170" s="76"/>
    </row>
    <row r="171" spans="1:24" s="75" customFormat="1">
      <c r="B171" s="3"/>
      <c r="C171" s="3"/>
      <c r="D171" s="30" t="s">
        <v>41</v>
      </c>
      <c r="E171" s="32" t="s">
        <v>288</v>
      </c>
      <c r="F171" s="33" t="s">
        <v>28</v>
      </c>
      <c r="J171" s="153"/>
      <c r="K171" s="153"/>
      <c r="L171" s="153">
        <f>L167*(1+WACC)^Calcs!L7</f>
        <v>-114.47191127473522</v>
      </c>
      <c r="M171" s="153">
        <f>M167*(1+WACC)^Calcs!M7</f>
        <v>-57.140023455395848</v>
      </c>
      <c r="N171" s="153">
        <f>N167*(1+WACC)^Calcs!N7</f>
        <v>-18.3047144170717</v>
      </c>
      <c r="O171" s="153">
        <f>O167*(1+WACC)^Calcs!O7</f>
        <v>64.414575195246712</v>
      </c>
      <c r="P171" s="153">
        <f>P167*(1+WACC)^Calcs!P7</f>
        <v>2.5725585972957106</v>
      </c>
      <c r="Q171" s="153"/>
      <c r="R171" s="153"/>
      <c r="S171" s="3"/>
      <c r="T171" s="3"/>
      <c r="X171" s="76"/>
    </row>
    <row r="172" spans="1:24" s="75" customFormat="1">
      <c r="B172" s="3"/>
      <c r="C172" s="3"/>
      <c r="D172" s="30"/>
      <c r="E172" s="32"/>
      <c r="F172" s="33"/>
      <c r="J172" s="153"/>
      <c r="K172" s="153"/>
      <c r="L172" s="153"/>
      <c r="M172" s="153"/>
      <c r="N172" s="153"/>
      <c r="O172" s="153"/>
      <c r="P172" s="153"/>
      <c r="Q172" s="153"/>
      <c r="R172" s="153"/>
      <c r="S172" s="3"/>
      <c r="T172" s="3"/>
      <c r="X172" s="76"/>
    </row>
    <row r="173" spans="1:24" s="75" customFormat="1">
      <c r="B173" s="3"/>
      <c r="C173" s="3"/>
      <c r="E173" s="151" t="s">
        <v>289</v>
      </c>
      <c r="H173" s="154"/>
      <c r="J173" s="153"/>
      <c r="K173" s="153"/>
      <c r="L173" s="153"/>
      <c r="M173" s="153"/>
      <c r="N173" s="153"/>
      <c r="O173" s="153"/>
      <c r="P173" s="153"/>
      <c r="Q173" s="153"/>
      <c r="R173" s="153"/>
      <c r="S173" s="3"/>
      <c r="T173" s="3"/>
      <c r="X173" s="76"/>
    </row>
    <row r="174" spans="1:24" s="75" customFormat="1">
      <c r="B174" s="3"/>
      <c r="C174" s="3"/>
      <c r="D174" s="184" t="s">
        <v>41</v>
      </c>
      <c r="E174" s="152" t="s">
        <v>290</v>
      </c>
      <c r="F174" s="33" t="s">
        <v>28</v>
      </c>
      <c r="L174" s="77"/>
      <c r="P174" s="88">
        <f>SUM(L170:P170)</f>
        <v>121.30516710607273</v>
      </c>
      <c r="Q174" s="89"/>
      <c r="R174" s="3"/>
      <c r="S174" s="3"/>
      <c r="T174" s="3"/>
      <c r="X174" s="76"/>
    </row>
    <row r="175" spans="1:24" s="75" customFormat="1">
      <c r="B175" s="3"/>
      <c r="C175" s="3"/>
      <c r="D175" s="184" t="s">
        <v>41</v>
      </c>
      <c r="E175" s="152" t="s">
        <v>291</v>
      </c>
      <c r="F175" s="33" t="s">
        <v>28</v>
      </c>
      <c r="L175" s="77"/>
      <c r="P175" s="88">
        <f>SUM(L171:P171)</f>
        <v>-122.92951535466032</v>
      </c>
      <c r="Q175" s="89"/>
      <c r="R175" s="3"/>
      <c r="S175" s="3"/>
      <c r="T175" s="3"/>
      <c r="X175" s="76"/>
    </row>
    <row r="176" spans="1:24" s="75" customFormat="1">
      <c r="A176" s="3"/>
      <c r="B176" s="3"/>
      <c r="C176" s="3"/>
      <c r="D176" s="184"/>
      <c r="E176" s="152"/>
      <c r="F176" s="33"/>
      <c r="L176" s="77"/>
      <c r="Q176" s="89"/>
      <c r="R176" s="3"/>
      <c r="S176" s="3"/>
      <c r="T176" s="3"/>
      <c r="X176" s="76"/>
    </row>
    <row r="177" spans="1:24" s="22" customFormat="1" ht="15">
      <c r="A177" s="19"/>
      <c r="B177" s="19"/>
      <c r="C177" s="19"/>
      <c r="D177" s="182"/>
      <c r="E177" s="21" t="s">
        <v>292</v>
      </c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</row>
    <row r="178" spans="1:24" s="75" customFormat="1">
      <c r="A178" s="3"/>
      <c r="B178" s="3"/>
      <c r="C178" s="3"/>
      <c r="D178" s="30"/>
      <c r="E178" s="32"/>
      <c r="F178" s="33"/>
      <c r="G178" s="50"/>
      <c r="L178" s="50"/>
      <c r="M178" s="50"/>
      <c r="N178" s="50"/>
      <c r="O178" s="50"/>
      <c r="P178" s="50"/>
      <c r="Q178" s="3"/>
      <c r="R178" s="3"/>
      <c r="S178" s="3"/>
      <c r="T178" s="3"/>
      <c r="X178" s="76"/>
    </row>
    <row r="179" spans="1:24" s="75" customFormat="1">
      <c r="A179" s="3"/>
      <c r="B179" s="3"/>
      <c r="C179" s="3"/>
      <c r="E179" s="49" t="s">
        <v>293</v>
      </c>
      <c r="G179" s="77"/>
      <c r="L179" s="77"/>
      <c r="M179" s="77"/>
      <c r="N179" s="77"/>
      <c r="O179" s="77"/>
      <c r="P179" s="77"/>
      <c r="Q179" s="3"/>
      <c r="R179" s="3"/>
      <c r="S179" s="3"/>
      <c r="T179" s="3"/>
      <c r="X179" s="76"/>
    </row>
    <row r="180" spans="1:24" s="75" customFormat="1">
      <c r="A180" s="3"/>
      <c r="B180" s="3"/>
      <c r="C180" s="3"/>
      <c r="D180" s="30" t="s">
        <v>41</v>
      </c>
      <c r="E180" s="32" t="s">
        <v>294</v>
      </c>
      <c r="F180" s="33" t="s">
        <v>28</v>
      </c>
      <c r="G180" s="153"/>
      <c r="L180" s="223">
        <f>(Inputs!L72/Indexation.Average)-Inputs!L151</f>
        <v>0</v>
      </c>
      <c r="M180" s="223">
        <f>(Inputs!M72/Indexation.Average)-Inputs!M151</f>
        <v>0</v>
      </c>
      <c r="N180" s="223">
        <f>(Inputs!N72/Indexation.Average)-Inputs!N151</f>
        <v>0</v>
      </c>
      <c r="O180" s="223">
        <f>(Inputs!O72/Indexation.Average)-Inputs!O151</f>
        <v>0</v>
      </c>
      <c r="P180" s="223">
        <f>(Inputs!P72/Indexation.Average)-Inputs!P151</f>
        <v>0</v>
      </c>
      <c r="Q180" s="89"/>
      <c r="R180" s="3"/>
      <c r="S180" s="3"/>
      <c r="T180" s="3"/>
      <c r="X180" s="76"/>
    </row>
    <row r="181" spans="1:24" s="75" customFormat="1">
      <c r="A181" s="3"/>
      <c r="B181" s="3"/>
      <c r="C181" s="3"/>
      <c r="D181" s="30"/>
      <c r="E181" s="32"/>
      <c r="F181" s="33"/>
      <c r="G181" s="153"/>
      <c r="L181" s="153"/>
      <c r="M181" s="153"/>
      <c r="N181" s="153"/>
      <c r="O181" s="153"/>
      <c r="P181" s="153"/>
      <c r="Q181" s="89"/>
      <c r="R181" s="3"/>
      <c r="S181" s="3"/>
      <c r="T181" s="3"/>
      <c r="X181" s="76"/>
    </row>
    <row r="182" spans="1:24" s="75" customFormat="1">
      <c r="A182" s="3"/>
      <c r="B182" s="3"/>
      <c r="C182" s="3"/>
      <c r="E182" s="49" t="s">
        <v>295</v>
      </c>
      <c r="J182" s="153"/>
      <c r="K182" s="153"/>
      <c r="L182" s="153"/>
      <c r="M182" s="153"/>
      <c r="N182" s="153"/>
      <c r="O182" s="153"/>
      <c r="P182" s="153"/>
      <c r="Q182" s="153"/>
      <c r="R182" s="153"/>
      <c r="S182" s="3"/>
      <c r="T182" s="3"/>
      <c r="X182" s="76"/>
    </row>
    <row r="183" spans="1:24" s="75" customFormat="1">
      <c r="A183" s="3"/>
      <c r="B183" s="3"/>
      <c r="C183" s="3"/>
      <c r="D183" s="30" t="s">
        <v>41</v>
      </c>
      <c r="E183" s="32" t="s">
        <v>296</v>
      </c>
      <c r="F183" s="33" t="s">
        <v>28</v>
      </c>
      <c r="J183" s="153"/>
      <c r="K183" s="153"/>
      <c r="L183" s="223">
        <f>L180*(1+WACC)^Calcs!L7</f>
        <v>0</v>
      </c>
      <c r="M183" s="223">
        <f>M180*(1+WACC)^Calcs!M7</f>
        <v>0</v>
      </c>
      <c r="N183" s="223">
        <f>N180*(1+WACC)^Calcs!N7</f>
        <v>0</v>
      </c>
      <c r="O183" s="223">
        <f>O180*(1+WACC)^Calcs!O7</f>
        <v>0</v>
      </c>
      <c r="P183" s="223">
        <f>P180*(1+WACC)^Calcs!P7</f>
        <v>0</v>
      </c>
      <c r="Q183" s="153"/>
      <c r="R183" s="153"/>
      <c r="S183" s="3"/>
      <c r="T183" s="3"/>
      <c r="X183" s="76"/>
    </row>
    <row r="184" spans="1:24" s="75" customFormat="1">
      <c r="A184" s="3"/>
      <c r="B184" s="3"/>
      <c r="C184" s="3"/>
      <c r="D184" s="30"/>
      <c r="E184" s="32"/>
      <c r="F184" s="33"/>
      <c r="J184" s="153"/>
      <c r="K184" s="153"/>
      <c r="L184" s="153"/>
      <c r="M184" s="153"/>
      <c r="N184" s="153"/>
      <c r="O184" s="153"/>
      <c r="P184" s="153"/>
      <c r="Q184" s="153"/>
      <c r="R184" s="153"/>
      <c r="S184" s="3"/>
      <c r="T184" s="3"/>
      <c r="X184" s="76"/>
    </row>
    <row r="185" spans="1:24" s="75" customFormat="1">
      <c r="A185" s="3"/>
      <c r="B185" s="3"/>
      <c r="C185" s="3"/>
      <c r="E185" s="151" t="s">
        <v>297</v>
      </c>
      <c r="H185" s="154"/>
      <c r="J185" s="153"/>
      <c r="K185" s="153"/>
      <c r="L185" s="153"/>
      <c r="M185" s="153"/>
      <c r="N185" s="153"/>
      <c r="O185" s="153"/>
      <c r="P185" s="153"/>
      <c r="Q185" s="153"/>
      <c r="R185" s="153"/>
      <c r="S185" s="3"/>
      <c r="T185" s="3"/>
      <c r="X185" s="76"/>
    </row>
    <row r="186" spans="1:24" s="75" customFormat="1">
      <c r="A186" s="3"/>
      <c r="B186" s="3"/>
      <c r="C186" s="3"/>
      <c r="D186" s="184" t="s">
        <v>41</v>
      </c>
      <c r="E186" s="152" t="s">
        <v>298</v>
      </c>
      <c r="F186" s="33" t="s">
        <v>28</v>
      </c>
      <c r="L186" s="77"/>
      <c r="P186" s="224">
        <f>SUM(L183:P183)</f>
        <v>0</v>
      </c>
      <c r="Q186" s="89"/>
      <c r="R186" s="3"/>
      <c r="S186" s="3"/>
      <c r="T186" s="3"/>
      <c r="X186" s="76"/>
    </row>
    <row r="187" spans="1:24" s="75" customFormat="1">
      <c r="A187" s="3"/>
      <c r="B187" s="3"/>
      <c r="C187" s="3"/>
      <c r="D187" s="184"/>
      <c r="E187" s="152"/>
      <c r="F187" s="33"/>
      <c r="L187" s="77"/>
      <c r="Q187" s="89"/>
      <c r="R187" s="3"/>
      <c r="S187" s="3"/>
      <c r="T187" s="3"/>
      <c r="X187" s="76"/>
    </row>
    <row r="188" spans="1:24" s="22" customFormat="1" ht="15">
      <c r="A188" s="19"/>
      <c r="B188" s="19"/>
      <c r="C188" s="19"/>
      <c r="D188" s="182"/>
      <c r="E188" s="21" t="s">
        <v>299</v>
      </c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1:24">
      <c r="E189" s="3"/>
      <c r="F189" s="3"/>
      <c r="G189" s="3"/>
      <c r="X189" s="3"/>
    </row>
    <row r="190" spans="1:24" s="22" customFormat="1" ht="15">
      <c r="A190" s="19"/>
      <c r="B190" s="19"/>
      <c r="C190" s="19"/>
      <c r="D190" s="182"/>
      <c r="E190" s="21" t="s">
        <v>300</v>
      </c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1:24" s="75" customFormat="1">
      <c r="A191" s="3"/>
      <c r="B191" s="3"/>
      <c r="C191" s="3"/>
      <c r="L191" s="77"/>
      <c r="Q191" s="3"/>
      <c r="R191" s="3"/>
      <c r="S191" s="3"/>
      <c r="T191" s="3"/>
      <c r="X191" s="76"/>
    </row>
    <row r="192" spans="1:24">
      <c r="A192" s="75"/>
      <c r="D192" s="28" t="s">
        <v>88</v>
      </c>
      <c r="E192" s="91" t="s">
        <v>301</v>
      </c>
      <c r="F192" s="33"/>
      <c r="G192" s="180">
        <f>IF(SUM(Baseline.Totex.Water)&lt;&gt;0,SUMPRODUCT(PAYG.Water,Baseline.Totex.Water)/SUM(Baseline.Totex.Water),0)</f>
        <v>0.62791188931350306</v>
      </c>
      <c r="H192" s="89" t="s">
        <v>302</v>
      </c>
    </row>
    <row r="193" spans="1:24">
      <c r="A193" s="75"/>
      <c r="D193" s="28" t="s">
        <v>88</v>
      </c>
      <c r="E193" s="91" t="s">
        <v>303</v>
      </c>
      <c r="F193" s="33"/>
      <c r="G193" s="204">
        <f>IF(SUM(Baseline.Totex.Sewerage)&lt;&gt;0,SUMPRODUCT(PAYG.Sewerage,Baseline.Totex.Sewerage)/SUM(Baseline.Totex.Sewerage),0)</f>
        <v>0.49435799999999996</v>
      </c>
      <c r="H193" s="89" t="s">
        <v>304</v>
      </c>
    </row>
    <row r="194" spans="1:24"/>
    <row r="195" spans="1:24" s="22" customFormat="1" ht="15">
      <c r="A195" s="19"/>
      <c r="B195" s="19"/>
      <c r="C195" s="19"/>
      <c r="D195" s="182"/>
      <c r="E195" s="21" t="s">
        <v>305</v>
      </c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</row>
    <row r="196" spans="1:24" s="75" customFormat="1">
      <c r="A196" s="3"/>
      <c r="B196" s="3"/>
      <c r="C196" s="3"/>
      <c r="L196" s="77"/>
      <c r="Q196" s="3"/>
      <c r="R196" s="3"/>
      <c r="S196" s="3"/>
      <c r="T196" s="3"/>
      <c r="X196" s="76"/>
    </row>
    <row r="197" spans="1:24" s="193" customFormat="1">
      <c r="A197" s="75"/>
      <c r="B197" s="3"/>
      <c r="C197" s="3"/>
      <c r="D197" s="184" t="s">
        <v>41</v>
      </c>
      <c r="E197" s="91" t="s">
        <v>306</v>
      </c>
      <c r="F197" s="33" t="s">
        <v>28</v>
      </c>
      <c r="G197" s="91"/>
      <c r="H197" s="3"/>
      <c r="I197" s="3"/>
      <c r="J197" s="3"/>
      <c r="K197" s="3"/>
      <c r="L197" s="3"/>
      <c r="M197" s="3"/>
      <c r="N197" s="3"/>
      <c r="O197" s="3"/>
      <c r="P197" s="88">
        <f>Total.Adj.Water*WeightedPAYG.Water+P130+P113</f>
        <v>5.987314561772294</v>
      </c>
      <c r="Q197" s="3"/>
      <c r="R197" s="3"/>
      <c r="S197" s="3"/>
      <c r="T197" s="3"/>
      <c r="U197" s="3"/>
      <c r="V197" s="3"/>
      <c r="W197" s="3"/>
      <c r="X197" s="74"/>
    </row>
    <row r="198" spans="1:24" s="193" customFormat="1">
      <c r="A198" s="75"/>
      <c r="B198" s="3"/>
      <c r="C198" s="3"/>
      <c r="D198" s="184" t="s">
        <v>41</v>
      </c>
      <c r="E198" s="91" t="s">
        <v>307</v>
      </c>
      <c r="F198" s="33" t="s">
        <v>28</v>
      </c>
      <c r="G198" s="91"/>
      <c r="H198" s="3"/>
      <c r="I198" s="3"/>
      <c r="J198" s="3"/>
      <c r="K198" s="3"/>
      <c r="L198" s="3"/>
      <c r="M198" s="3"/>
      <c r="N198" s="3"/>
      <c r="O198" s="3"/>
      <c r="P198" s="220">
        <f>Total.Adj.Sewerage*WeightedPAYG.Sewerage+P114</f>
        <v>-5.2827433237148682</v>
      </c>
      <c r="Q198" s="3"/>
      <c r="R198" s="3"/>
      <c r="S198" s="3"/>
      <c r="T198" s="3"/>
      <c r="U198" s="3"/>
      <c r="V198" s="3"/>
      <c r="W198" s="3"/>
      <c r="X198" s="74"/>
    </row>
    <row r="199" spans="1:24"/>
    <row r="200" spans="1:24" s="22" customFormat="1" ht="15">
      <c r="A200" s="19"/>
      <c r="B200" s="19"/>
      <c r="C200" s="19"/>
      <c r="D200" s="182"/>
      <c r="E200" s="21" t="s">
        <v>308</v>
      </c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</row>
    <row r="201" spans="1:24" s="75" customFormat="1">
      <c r="A201" s="3"/>
      <c r="B201" s="3"/>
      <c r="C201" s="3"/>
      <c r="L201" s="77"/>
      <c r="Q201" s="3"/>
      <c r="R201" s="3"/>
      <c r="S201" s="3"/>
      <c r="T201" s="3"/>
      <c r="X201" s="76"/>
    </row>
    <row r="202" spans="1:24">
      <c r="A202" s="75"/>
      <c r="D202" s="184" t="s">
        <v>41</v>
      </c>
      <c r="E202" s="91" t="s">
        <v>309</v>
      </c>
      <c r="F202" s="33" t="s">
        <v>28</v>
      </c>
      <c r="P202" s="88">
        <f>Total.Adj.Water*(1-WeightedPAYG.Water)</f>
        <v>45.136210445008395</v>
      </c>
    </row>
    <row r="203" spans="1:24">
      <c r="A203" s="75"/>
      <c r="D203" s="184" t="s">
        <v>41</v>
      </c>
      <c r="E203" s="91" t="s">
        <v>310</v>
      </c>
      <c r="F203" s="33" t="s">
        <v>28</v>
      </c>
      <c r="P203" s="88">
        <f>Total.Adj.Sewerage*(1-WeightedPAYG.Sewerage)+P186</f>
        <v>-62.158326002961161</v>
      </c>
    </row>
    <row r="204" spans="1:24"/>
    <row r="205" spans="1:24" ht="13.5" thickBot="1"/>
    <row r="206" spans="1:24" ht="13.5" thickBot="1">
      <c r="A206" s="92" t="s">
        <v>311</v>
      </c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</row>
    <row r="207" spans="1:24"/>
    <row r="208" spans="1:2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</sheetData>
  <pageMargins left="0.70866141732283472" right="0.70866141732283472" top="0.74803149606299213" bottom="0.74803149606299213" header="0.31496062992125984" footer="0.31496062992125984"/>
  <pageSetup paperSize="9" scale="18" orientation="landscape" r:id="rId1"/>
  <headerFooter>
    <oddHeader>&amp;L&amp;F&amp;CSheet: &amp;A&amp;ROFFICIAL</oddHeader>
    <oddFooter>&amp;LPrinted on &amp;D at &amp;T&amp;CPage &amp;P of &amp;N&amp;ROfwat</oddFooter>
  </headerFooter>
  <ignoredErrors>
    <ignoredError sqref="I5:U5 G60:G61 G62 G79 G82:G83 G85:G87 G74:G76 G64 G66:G67 G69:G7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>
    <pageSetUpPr fitToPage="1"/>
  </sheetPr>
  <dimension ref="A1:X51"/>
  <sheetViews>
    <sheetView showGridLines="0" zoomScale="80" zoomScaleNormal="80" workbookViewId="0">
      <pane xSplit="8" ySplit="7" topLeftCell="I8" activePane="bottomRight" state="frozen"/>
      <selection pane="topRight"/>
      <selection pane="bottomLeft"/>
      <selection pane="bottomRight" activeCell="I8" sqref="I8"/>
    </sheetView>
  </sheetViews>
  <sheetFormatPr defaultColWidth="0" defaultRowHeight="0" customHeight="1" zeroHeight="1"/>
  <cols>
    <col min="1" max="3" width="2.5703125" style="7" customWidth="1"/>
    <col min="4" max="4" width="9.5703125" style="7" customWidth="1"/>
    <col min="5" max="5" width="29.42578125" style="7" customWidth="1"/>
    <col min="6" max="6" width="17.85546875" style="7" customWidth="1"/>
    <col min="7" max="7" width="11.5703125" style="7" customWidth="1"/>
    <col min="8" max="8" width="4.140625" style="7" customWidth="1"/>
    <col min="9" max="21" width="13.140625" style="7" customWidth="1"/>
    <col min="22" max="22" width="15.85546875" style="7" bestFit="1" customWidth="1"/>
    <col min="23" max="16384" width="9.140625" style="7" hidden="1"/>
  </cols>
  <sheetData>
    <row r="1" spans="1:24" ht="33.75">
      <c r="A1" s="94"/>
      <c r="B1" s="94"/>
      <c r="C1" s="94"/>
      <c r="D1" s="1" t="s">
        <v>312</v>
      </c>
      <c r="E1" s="1"/>
      <c r="F1" s="1"/>
      <c r="G1" s="1"/>
      <c r="H1" s="1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4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4" ht="12.75">
      <c r="E3" s="7" t="s">
        <v>1</v>
      </c>
      <c r="I3" s="95" t="str">
        <f t="shared" ref="I3:U3" si="0">AMP.Years</f>
        <v>2012-13</v>
      </c>
      <c r="J3" s="95" t="str">
        <f t="shared" si="0"/>
        <v>2013-14</v>
      </c>
      <c r="K3" s="95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5" t="str">
        <f t="shared" si="0"/>
        <v>2020-21</v>
      </c>
      <c r="R3" s="95" t="str">
        <f t="shared" si="0"/>
        <v>2021-22</v>
      </c>
      <c r="S3" s="95" t="str">
        <f t="shared" si="0"/>
        <v>2022-23</v>
      </c>
      <c r="T3" s="95" t="str">
        <f t="shared" si="0"/>
        <v>2023-24</v>
      </c>
      <c r="U3" s="95" t="str">
        <f t="shared" si="0"/>
        <v>2024-25</v>
      </c>
      <c r="V3" s="96" t="s">
        <v>313</v>
      </c>
    </row>
    <row r="4" spans="1:24" ht="12.75">
      <c r="V4" s="96"/>
    </row>
    <row r="5" spans="1:24" ht="12.75">
      <c r="E5" s="7" t="s">
        <v>2</v>
      </c>
      <c r="I5" s="97">
        <f t="shared" ref="I5:U5" si="1">Calendar.Years</f>
        <v>2012</v>
      </c>
      <c r="J5" s="97">
        <f t="shared" si="1"/>
        <v>2013</v>
      </c>
      <c r="K5" s="97">
        <f t="shared" si="1"/>
        <v>2014</v>
      </c>
      <c r="L5" s="97">
        <f t="shared" si="1"/>
        <v>2015</v>
      </c>
      <c r="M5" s="97">
        <f t="shared" si="1"/>
        <v>2016</v>
      </c>
      <c r="N5" s="97">
        <f t="shared" si="1"/>
        <v>2017</v>
      </c>
      <c r="O5" s="97">
        <f t="shared" si="1"/>
        <v>2018</v>
      </c>
      <c r="P5" s="97">
        <f t="shared" si="1"/>
        <v>2019</v>
      </c>
      <c r="Q5" s="97">
        <f t="shared" si="1"/>
        <v>2020</v>
      </c>
      <c r="R5" s="97">
        <f t="shared" si="1"/>
        <v>2021</v>
      </c>
      <c r="S5" s="97">
        <f t="shared" si="1"/>
        <v>2022</v>
      </c>
      <c r="T5" s="97">
        <f t="shared" si="1"/>
        <v>2023</v>
      </c>
      <c r="U5" s="97">
        <f t="shared" si="1"/>
        <v>2024</v>
      </c>
      <c r="V5" s="96" t="s">
        <v>314</v>
      </c>
    </row>
    <row r="6" spans="1:24" ht="12.75">
      <c r="E6" s="7" t="s">
        <v>3</v>
      </c>
      <c r="K6" s="98"/>
      <c r="L6" s="99">
        <v>1</v>
      </c>
      <c r="M6" s="99">
        <v>2</v>
      </c>
      <c r="N6" s="99">
        <v>3</v>
      </c>
      <c r="O6" s="99">
        <v>4</v>
      </c>
      <c r="P6" s="99">
        <v>5</v>
      </c>
      <c r="Q6" s="99">
        <v>6</v>
      </c>
      <c r="R6" s="99">
        <v>7</v>
      </c>
      <c r="S6" s="99">
        <v>8</v>
      </c>
      <c r="T6" s="99">
        <v>9</v>
      </c>
      <c r="U6" s="99">
        <v>10</v>
      </c>
    </row>
    <row r="7" spans="1:24" ht="12.75"/>
    <row r="8" spans="1:24" ht="12.75"/>
    <row r="9" spans="1:24" s="22" customFormat="1" ht="15">
      <c r="A9" s="18"/>
      <c r="B9" s="19"/>
      <c r="C9" s="19"/>
      <c r="D9" s="20"/>
      <c r="E9" s="21" t="s">
        <v>315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s="75" customFormat="1" ht="12.75">
      <c r="A10" s="3"/>
      <c r="B10" s="3"/>
      <c r="C10" s="3"/>
      <c r="L10" s="77"/>
      <c r="Q10" s="3"/>
      <c r="R10" s="3"/>
      <c r="S10" s="3"/>
      <c r="T10" s="3"/>
      <c r="X10" s="76"/>
    </row>
    <row r="11" spans="1:24" s="3" customFormat="1" ht="12.75">
      <c r="A11" s="72"/>
      <c r="D11" s="30" t="s">
        <v>41</v>
      </c>
      <c r="E11" s="91" t="s">
        <v>306</v>
      </c>
      <c r="F11" s="33" t="s">
        <v>28</v>
      </c>
      <c r="P11" s="88">
        <f>Calcs!P197</f>
        <v>5.987314561772294</v>
      </c>
      <c r="X11" s="74"/>
    </row>
    <row r="12" spans="1:24" s="3" customFormat="1" ht="12.75">
      <c r="A12" s="72"/>
      <c r="D12" s="30" t="s">
        <v>41</v>
      </c>
      <c r="E12" s="91" t="s">
        <v>307</v>
      </c>
      <c r="F12" s="33" t="s">
        <v>28</v>
      </c>
      <c r="P12" s="88">
        <f>Calcs!P198</f>
        <v>-5.2827433237148682</v>
      </c>
      <c r="X12" s="74"/>
    </row>
    <row r="13" spans="1:24" s="3" customFormat="1" ht="12.75">
      <c r="E13" s="91"/>
      <c r="F13" s="33"/>
      <c r="P13" s="153"/>
      <c r="X13" s="74"/>
    </row>
    <row r="14" spans="1:24" s="3" customFormat="1" ht="12.75">
      <c r="A14" s="72"/>
      <c r="D14" s="30" t="s">
        <v>41</v>
      </c>
      <c r="E14" s="78" t="s">
        <v>316</v>
      </c>
      <c r="F14" s="33" t="s">
        <v>28</v>
      </c>
      <c r="P14" s="156">
        <f>SUM(P11:P12)</f>
        <v>0.70457123805742583</v>
      </c>
      <c r="X14" s="74"/>
    </row>
    <row r="15" spans="1:24" s="3" customFormat="1" ht="12.75">
      <c r="E15" s="91"/>
      <c r="F15" s="91"/>
      <c r="G15" s="91"/>
      <c r="X15" s="74"/>
    </row>
    <row r="16" spans="1:24" s="22" customFormat="1" ht="15">
      <c r="A16" s="18"/>
      <c r="B16" s="19"/>
      <c r="C16" s="19"/>
      <c r="D16" s="20"/>
      <c r="E16" s="21" t="s">
        <v>317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s="75" customFormat="1" ht="12.75">
      <c r="A17" s="3"/>
      <c r="B17" s="3"/>
      <c r="C17" s="3"/>
      <c r="L17" s="77"/>
      <c r="Q17" s="3"/>
      <c r="R17" s="3"/>
      <c r="S17" s="3"/>
      <c r="T17" s="3"/>
      <c r="X17" s="76"/>
    </row>
    <row r="18" spans="1:24" s="3" customFormat="1" ht="12.75">
      <c r="A18" s="72"/>
      <c r="D18" s="30" t="s">
        <v>41</v>
      </c>
      <c r="E18" s="91" t="s">
        <v>309</v>
      </c>
      <c r="F18" s="33" t="s">
        <v>28</v>
      </c>
      <c r="P18" s="88">
        <f>Calcs!P202</f>
        <v>45.136210445008395</v>
      </c>
      <c r="X18" s="74"/>
    </row>
    <row r="19" spans="1:24" s="3" customFormat="1" ht="12.75">
      <c r="A19" s="72"/>
      <c r="D19" s="30" t="s">
        <v>41</v>
      </c>
      <c r="E19" s="91" t="s">
        <v>310</v>
      </c>
      <c r="F19" s="33" t="s">
        <v>28</v>
      </c>
      <c r="P19" s="88">
        <f>Calcs!P203</f>
        <v>-62.158326002961161</v>
      </c>
      <c r="X19" s="74"/>
    </row>
    <row r="20" spans="1:24" customFormat="1" ht="15">
      <c r="G20" s="7"/>
    </row>
    <row r="21" spans="1:24" s="3" customFormat="1" ht="12.75">
      <c r="A21" s="72"/>
      <c r="D21" s="30" t="s">
        <v>41</v>
      </c>
      <c r="E21" s="78" t="s">
        <v>318</v>
      </c>
      <c r="F21" s="33" t="s">
        <v>28</v>
      </c>
      <c r="P21" s="156">
        <f>SUM(P18:P19)</f>
        <v>-17.022115557952766</v>
      </c>
      <c r="X21" s="74"/>
    </row>
    <row r="22" spans="1:24" ht="13.5" thickBot="1"/>
    <row r="23" spans="1:24" ht="13.5" thickBot="1">
      <c r="A23" s="104" t="s">
        <v>311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</row>
    <row r="24" spans="1:24" ht="12.75"/>
    <row r="25" spans="1:24" ht="12.75" hidden="1"/>
    <row r="37" spans="4:16" ht="0" hidden="1" customHeight="1"/>
    <row r="38" spans="4:16" ht="0" hidden="1" customHeight="1">
      <c r="L38" s="7" t="e">
        <f>SUM(INDEX(Actual.Opex.Sewerage,,L6))/Indexation.Nov12.Forecast</f>
        <v>#NAME?</v>
      </c>
      <c r="M38" s="7" t="e">
        <f>SUM(INDEX(Actual.Opex.Sewerage,,M6))/Indexation.Nov12.Forecast</f>
        <v>#NAME?</v>
      </c>
      <c r="N38" s="7" t="e">
        <f>SUM(INDEX(Actual.Opex.Sewerage,,N6))/Indexation.Nov12.Forecast</f>
        <v>#NAME?</v>
      </c>
      <c r="O38" s="7" t="e">
        <f>SUM(INDEX(Actual.Opex.Sewerage,,O6))/Indexation.Nov12.Forecast</f>
        <v>#NAME?</v>
      </c>
      <c r="P38" s="7" t="e">
        <f>SUM(INDEX(Actual.Opex.Sewerage,,P6))/Indexation.Nov12.Forecast</f>
        <v>#NAME?</v>
      </c>
    </row>
    <row r="41" spans="4:16" ht="0" hidden="1" customHeight="1">
      <c r="D41" s="3"/>
      <c r="E41" s="91" t="s">
        <v>318</v>
      </c>
      <c r="F41" s="33" t="s">
        <v>28</v>
      </c>
      <c r="G41" s="3"/>
      <c r="H41" s="3"/>
      <c r="I41" s="3"/>
      <c r="J41" s="3"/>
      <c r="K41" s="3"/>
      <c r="L41" s="3"/>
      <c r="M41" s="3"/>
      <c r="N41" s="3"/>
      <c r="O41" s="3"/>
      <c r="P41" s="47">
        <f>SUM(P18:P19)</f>
        <v>-17.022115557952766</v>
      </c>
    </row>
    <row r="42" spans="4:16" ht="0" hidden="1" customHeight="1"/>
    <row r="43" spans="4:16" ht="0" hidden="1" customHeight="1"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</row>
    <row r="45" spans="4:16" ht="0" hidden="1" customHeight="1"/>
    <row r="46" spans="4:16" ht="0" hidden="1" customHeight="1">
      <c r="E46" s="7" t="s">
        <v>319</v>
      </c>
    </row>
    <row r="47" spans="4:16" ht="0" hidden="1" customHeight="1">
      <c r="E47" s="7" t="s">
        <v>320</v>
      </c>
    </row>
    <row r="48" spans="4:16" ht="0" hidden="1" customHeight="1">
      <c r="E48" s="7" t="s">
        <v>321</v>
      </c>
    </row>
    <row r="51" spans="5:5" ht="0" hidden="1" customHeight="1">
      <c r="E51" s="7" t="s">
        <v>322</v>
      </c>
    </row>
  </sheetData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&amp;L&amp;F&amp;CSheet: &amp;A&amp;ROFFICIAL</oddHeader>
    <oddFooter>&amp;LPrinted on &amp;D at &amp;T&amp;CPage &amp;P of &amp;N&amp;ROfwat</oddFooter>
  </headerFooter>
  <ignoredErrors>
    <ignoredError sqref="P14:P17 P20:P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7"/>
  <sheetViews>
    <sheetView zoomScaleNormal="100" workbookViewId="0">
      <pane xSplit="3" ySplit="2" topLeftCell="D3" activePane="bottomRight" state="frozen"/>
      <selection pane="topRight"/>
      <selection pane="bottomLeft"/>
      <selection pane="bottomRight" activeCell="H18" sqref="H18"/>
    </sheetView>
  </sheetViews>
  <sheetFormatPr defaultColWidth="8.85546875" defaultRowHeight="15"/>
  <cols>
    <col min="1" max="1" width="3.85546875" style="262" customWidth="1"/>
    <col min="2" max="2" width="20.5703125" style="262" customWidth="1"/>
    <col min="3" max="3" width="22.85546875" style="262" customWidth="1"/>
    <col min="4" max="4" width="3.28515625" style="262" customWidth="1"/>
    <col min="5" max="5" width="17" style="262" bestFit="1" customWidth="1"/>
    <col min="6" max="6" width="7.42578125" style="262" customWidth="1"/>
    <col min="7" max="7" width="14.140625" style="262" customWidth="1"/>
    <col min="8" max="16384" width="8.85546875" style="262"/>
  </cols>
  <sheetData>
    <row r="1" spans="1:8">
      <c r="C1" s="262" t="s">
        <v>468</v>
      </c>
    </row>
    <row r="2" spans="1:8">
      <c r="A2" s="262" t="s">
        <v>372</v>
      </c>
      <c r="B2" s="262" t="s">
        <v>373</v>
      </c>
      <c r="C2" s="262" t="s">
        <v>374</v>
      </c>
      <c r="D2" s="262" t="s">
        <v>375</v>
      </c>
      <c r="E2" s="262" t="s">
        <v>376</v>
      </c>
      <c r="F2" s="263" t="s">
        <v>366</v>
      </c>
      <c r="G2" s="263" t="s">
        <v>434</v>
      </c>
    </row>
    <row r="4" spans="1:8">
      <c r="B4" s="262" t="s">
        <v>435</v>
      </c>
      <c r="C4" s="91" t="s">
        <v>306</v>
      </c>
      <c r="D4" s="262" t="s">
        <v>381</v>
      </c>
      <c r="E4" s="262" t="s">
        <v>404</v>
      </c>
      <c r="F4" s="265"/>
      <c r="G4" s="266">
        <f>'Totex menu adjustments'!P11</f>
        <v>5.987314561772294</v>
      </c>
    </row>
    <row r="5" spans="1:8">
      <c r="B5" s="262" t="s">
        <v>437</v>
      </c>
      <c r="C5" s="91" t="s">
        <v>307</v>
      </c>
      <c r="D5" s="262" t="s">
        <v>381</v>
      </c>
      <c r="E5" s="262" t="s">
        <v>404</v>
      </c>
      <c r="F5" s="266"/>
      <c r="G5" s="266">
        <f>'Totex menu adjustments'!P12</f>
        <v>-5.2827433237148682</v>
      </c>
    </row>
    <row r="6" spans="1:8">
      <c r="B6" s="262" t="s">
        <v>463</v>
      </c>
      <c r="C6" s="264" t="s">
        <v>464</v>
      </c>
      <c r="D6" s="262" t="s">
        <v>381</v>
      </c>
      <c r="E6" s="262" t="s">
        <v>404</v>
      </c>
      <c r="F6" s="266"/>
      <c r="G6" s="266">
        <f>'Totex menu adjustments'!P14</f>
        <v>0.70457123805742583</v>
      </c>
    </row>
    <row r="7" spans="1:8">
      <c r="B7" s="262" t="s">
        <v>436</v>
      </c>
      <c r="C7" s="91" t="s">
        <v>309</v>
      </c>
      <c r="D7" s="262" t="s">
        <v>381</v>
      </c>
      <c r="E7" s="262" t="s">
        <v>404</v>
      </c>
      <c r="F7" s="266">
        <f>'Totex menu adjustments'!P18</f>
        <v>45.136210445008395</v>
      </c>
      <c r="G7" s="266"/>
    </row>
    <row r="8" spans="1:8">
      <c r="B8" s="262" t="s">
        <v>438</v>
      </c>
      <c r="C8" s="91" t="s">
        <v>310</v>
      </c>
      <c r="D8" s="262" t="s">
        <v>381</v>
      </c>
      <c r="E8" s="262" t="s">
        <v>404</v>
      </c>
      <c r="F8" s="266">
        <f>'Totex menu adjustments'!P19</f>
        <v>-62.158326002961161</v>
      </c>
      <c r="G8" s="266"/>
    </row>
    <row r="9" spans="1:8">
      <c r="B9" s="262" t="s">
        <v>465</v>
      </c>
      <c r="C9" s="264" t="s">
        <v>466</v>
      </c>
      <c r="D9" s="262" t="s">
        <v>381</v>
      </c>
      <c r="E9" s="262" t="s">
        <v>404</v>
      </c>
      <c r="F9" s="266">
        <f>'Totex menu adjustments'!P21</f>
        <v>-17.022115557952766</v>
      </c>
      <c r="G9" s="266"/>
    </row>
    <row r="14" spans="1:8">
      <c r="G14" s="266"/>
    </row>
    <row r="15" spans="1:8">
      <c r="G15" s="266"/>
    </row>
    <row r="16" spans="1:8">
      <c r="G16" s="266"/>
      <c r="H16" s="266"/>
    </row>
    <row r="17" spans="7:8">
      <c r="G17" s="266"/>
      <c r="H17" s="266"/>
    </row>
  </sheetData>
  <sheetProtection sort="0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Z59"/>
  <sheetViews>
    <sheetView showGridLines="0" zoomScale="80" zoomScaleNormal="80" workbookViewId="0">
      <pane xSplit="5" ySplit="5" topLeftCell="F6" activePane="bottomRight" state="frozen"/>
      <selection pane="topRight"/>
      <selection pane="bottomLeft"/>
      <selection pane="bottomRight" activeCell="F6" sqref="F6"/>
    </sheetView>
  </sheetViews>
  <sheetFormatPr defaultColWidth="0" defaultRowHeight="0" customHeight="1" zeroHeight="1"/>
  <cols>
    <col min="1" max="3" width="4.5703125" style="3" customWidth="1"/>
    <col min="4" max="4" width="11.5703125" style="3" customWidth="1"/>
    <col min="5" max="5" width="53.140625" style="3" customWidth="1"/>
    <col min="6" max="7" width="2.5703125" style="3" customWidth="1"/>
    <col min="8" max="21" width="11" style="3" customWidth="1"/>
    <col min="22" max="22" width="22.42578125" style="134" bestFit="1" customWidth="1"/>
    <col min="23" max="26" width="8.85546875" style="3" hidden="1" customWidth="1"/>
    <col min="27" max="259" width="0" style="3" hidden="1" customWidth="1"/>
    <col min="260" max="16384" width="0" style="3" hidden="1"/>
  </cols>
  <sheetData>
    <row r="1" spans="1:24" s="72" customFormat="1" ht="33.75">
      <c r="A1" s="106"/>
      <c r="B1" s="106"/>
      <c r="C1" s="107"/>
      <c r="D1" s="1" t="s">
        <v>323</v>
      </c>
      <c r="E1" s="1"/>
      <c r="F1" s="1"/>
      <c r="G1" s="1"/>
      <c r="H1" s="1"/>
      <c r="I1" s="108"/>
      <c r="J1" s="108"/>
      <c r="K1" s="109"/>
      <c r="L1" s="109"/>
      <c r="M1" s="108"/>
      <c r="N1" s="108"/>
      <c r="O1" s="108"/>
      <c r="P1" s="108"/>
      <c r="Q1" s="108"/>
      <c r="R1" s="108"/>
      <c r="S1" s="108"/>
      <c r="T1" s="108"/>
      <c r="U1" s="110"/>
      <c r="V1" s="111"/>
      <c r="W1" s="112"/>
      <c r="X1" s="113"/>
    </row>
    <row r="2" spans="1:24" s="72" customFormat="1" ht="12.75">
      <c r="C2" s="114"/>
      <c r="E2" s="114"/>
      <c r="F2" s="114"/>
      <c r="G2" s="114"/>
      <c r="H2" s="145"/>
      <c r="I2" s="126"/>
      <c r="J2" s="126"/>
      <c r="K2" s="126"/>
      <c r="L2" s="126"/>
      <c r="M2" s="126"/>
      <c r="S2" s="3"/>
      <c r="T2" s="3"/>
      <c r="U2" s="3"/>
      <c r="V2" s="3"/>
      <c r="W2" s="112"/>
      <c r="X2" s="113"/>
    </row>
    <row r="3" spans="1:24" s="119" customFormat="1" ht="15">
      <c r="A3" s="115"/>
      <c r="B3" s="115"/>
      <c r="C3" s="116"/>
      <c r="D3" s="115"/>
      <c r="E3" s="117" t="s">
        <v>1</v>
      </c>
      <c r="F3" s="117"/>
      <c r="G3" s="117"/>
      <c r="H3" s="95" t="s">
        <v>324</v>
      </c>
      <c r="I3" s="95" t="str">
        <f t="shared" ref="I3:U3" si="0">AMP.Years</f>
        <v>2012-13</v>
      </c>
      <c r="J3" s="95" t="str">
        <f t="shared" si="0"/>
        <v>2013-14</v>
      </c>
      <c r="K3" s="95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5" t="str">
        <f t="shared" si="0"/>
        <v>2020-21</v>
      </c>
      <c r="R3" s="95" t="str">
        <f t="shared" si="0"/>
        <v>2021-22</v>
      </c>
      <c r="S3" s="95" t="str">
        <f t="shared" si="0"/>
        <v>2022-23</v>
      </c>
      <c r="T3" s="95" t="str">
        <f t="shared" si="0"/>
        <v>2023-24</v>
      </c>
      <c r="U3" s="95" t="str">
        <f t="shared" si="0"/>
        <v>2024-25</v>
      </c>
      <c r="V3" s="118"/>
    </row>
    <row r="4" spans="1:24" s="122" customFormat="1" ht="18" customHeight="1">
      <c r="A4" s="72"/>
      <c r="B4" s="72"/>
      <c r="C4" s="114"/>
      <c r="D4" s="72"/>
      <c r="E4" s="120"/>
      <c r="F4" s="120"/>
      <c r="G4" s="12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21"/>
    </row>
    <row r="5" spans="1:24" s="115" customFormat="1" ht="12.75">
      <c r="C5" s="116"/>
      <c r="E5" s="115" t="s">
        <v>325</v>
      </c>
      <c r="H5" s="123">
        <v>2011</v>
      </c>
      <c r="I5" s="123">
        <f t="shared" ref="I5:U5" si="1">Calendar.Years</f>
        <v>2012</v>
      </c>
      <c r="J5" s="123">
        <f t="shared" si="1"/>
        <v>2013</v>
      </c>
      <c r="K5" s="123">
        <f t="shared" si="1"/>
        <v>2014</v>
      </c>
      <c r="L5" s="123">
        <f t="shared" si="1"/>
        <v>2015</v>
      </c>
      <c r="M5" s="123">
        <f t="shared" si="1"/>
        <v>2016</v>
      </c>
      <c r="N5" s="123">
        <f t="shared" si="1"/>
        <v>2017</v>
      </c>
      <c r="O5" s="123">
        <f t="shared" si="1"/>
        <v>2018</v>
      </c>
      <c r="P5" s="123">
        <f t="shared" si="1"/>
        <v>2019</v>
      </c>
      <c r="Q5" s="123">
        <f t="shared" si="1"/>
        <v>2020</v>
      </c>
      <c r="R5" s="123">
        <f t="shared" si="1"/>
        <v>2021</v>
      </c>
      <c r="S5" s="123">
        <f t="shared" si="1"/>
        <v>2022</v>
      </c>
      <c r="T5" s="123">
        <f t="shared" si="1"/>
        <v>2023</v>
      </c>
      <c r="U5" s="123">
        <f t="shared" si="1"/>
        <v>2024</v>
      </c>
      <c r="V5" s="124"/>
    </row>
    <row r="6" spans="1:24" s="72" customFormat="1" ht="12.75">
      <c r="C6" s="114"/>
      <c r="E6" s="7" t="s">
        <v>3</v>
      </c>
      <c r="H6" s="99">
        <v>-3</v>
      </c>
      <c r="I6" s="99">
        <v>-2</v>
      </c>
      <c r="J6" s="99">
        <v>-1</v>
      </c>
      <c r="K6" s="99">
        <v>0</v>
      </c>
      <c r="L6" s="99">
        <v>1</v>
      </c>
      <c r="M6" s="99">
        <v>2</v>
      </c>
      <c r="N6" s="99">
        <v>3</v>
      </c>
      <c r="O6" s="99">
        <v>4</v>
      </c>
      <c r="P6" s="99">
        <v>5</v>
      </c>
      <c r="Q6" s="99">
        <v>6</v>
      </c>
      <c r="R6" s="99">
        <v>7</v>
      </c>
      <c r="S6" s="99">
        <v>8</v>
      </c>
      <c r="T6" s="99">
        <v>9</v>
      </c>
      <c r="U6" s="99">
        <v>10</v>
      </c>
      <c r="V6" s="125"/>
    </row>
    <row r="7" spans="1:24" s="72" customFormat="1" ht="12.75" customHeight="1">
      <c r="C7" s="114"/>
      <c r="F7" s="120"/>
      <c r="G7" s="120"/>
      <c r="I7" s="126" t="s">
        <v>326</v>
      </c>
      <c r="J7" s="126" t="s">
        <v>326</v>
      </c>
      <c r="K7" s="126" t="s">
        <v>326</v>
      </c>
      <c r="L7" s="126" t="s">
        <v>326</v>
      </c>
      <c r="M7" s="126" t="s">
        <v>326</v>
      </c>
      <c r="N7" s="126" t="s">
        <v>326</v>
      </c>
      <c r="O7" s="126" t="s">
        <v>326</v>
      </c>
      <c r="P7" s="126" t="s">
        <v>326</v>
      </c>
      <c r="Q7" s="126" t="s">
        <v>326</v>
      </c>
      <c r="R7" s="126" t="s">
        <v>326</v>
      </c>
      <c r="S7" s="126" t="s">
        <v>326</v>
      </c>
      <c r="T7" s="126" t="s">
        <v>326</v>
      </c>
      <c r="U7" s="126" t="s">
        <v>326</v>
      </c>
      <c r="V7" s="125"/>
    </row>
    <row r="8" spans="1:24" s="72" customFormat="1" ht="12.75" customHeight="1">
      <c r="A8" s="100"/>
      <c r="B8" s="101"/>
      <c r="C8" s="101"/>
      <c r="D8" s="102"/>
      <c r="E8" s="103" t="s">
        <v>327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</row>
    <row r="9" spans="1:24" s="72" customFormat="1" ht="12.75" customHeight="1">
      <c r="C9" s="114"/>
      <c r="E9" s="120"/>
      <c r="F9" s="120"/>
      <c r="G9" s="120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5"/>
    </row>
    <row r="10" spans="1:24" s="72" customFormat="1" ht="12.75" customHeight="1">
      <c r="C10" s="114"/>
      <c r="E10" s="120" t="s">
        <v>328</v>
      </c>
      <c r="F10" s="120"/>
      <c r="G10" s="120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5"/>
    </row>
    <row r="11" spans="1:24" s="72" customFormat="1" ht="12.75">
      <c r="B11" s="16">
        <v>1</v>
      </c>
      <c r="C11" s="114"/>
      <c r="D11" s="72" t="s">
        <v>329</v>
      </c>
      <c r="E11" s="127" t="s">
        <v>330</v>
      </c>
      <c r="F11" s="127"/>
      <c r="G11" s="127"/>
      <c r="I11" s="128">
        <f>F_Inputs!G34</f>
        <v>242.5</v>
      </c>
      <c r="J11" s="128">
        <f>F_Inputs!H34</f>
        <v>249.5</v>
      </c>
      <c r="K11" s="128">
        <f>F_Inputs!I34</f>
        <v>255.7</v>
      </c>
      <c r="L11" s="128">
        <f>F_Inputs!J34</f>
        <v>258</v>
      </c>
      <c r="M11" s="128">
        <f>F_Inputs!K34</f>
        <v>261.39999999999998</v>
      </c>
      <c r="N11" s="128">
        <f>F_Inputs!L34</f>
        <v>270.60000000000002</v>
      </c>
      <c r="O11" s="128">
        <f>F_Inputs!M34</f>
        <v>279.7</v>
      </c>
      <c r="P11" s="128">
        <f>F_Inputs!N34</f>
        <v>287.60000000000002</v>
      </c>
      <c r="Q11" s="128">
        <f>F_Inputs!O34</f>
        <v>296.22800000000001</v>
      </c>
      <c r="R11" s="128"/>
      <c r="S11" s="128"/>
      <c r="T11" s="128"/>
      <c r="U11" s="128"/>
      <c r="V11" s="125"/>
    </row>
    <row r="12" spans="1:24" s="72" customFormat="1" ht="12.75">
      <c r="B12" s="16">
        <v>2</v>
      </c>
      <c r="C12" s="114"/>
      <c r="D12" s="72" t="s">
        <v>329</v>
      </c>
      <c r="E12" s="127" t="s">
        <v>331</v>
      </c>
      <c r="F12" s="127"/>
      <c r="G12" s="127"/>
      <c r="I12" s="128">
        <f>F_Inputs!G35</f>
        <v>242.4</v>
      </c>
      <c r="J12" s="128">
        <f>F_Inputs!H35</f>
        <v>250</v>
      </c>
      <c r="K12" s="128">
        <f>F_Inputs!I35</f>
        <v>255.9</v>
      </c>
      <c r="L12" s="128">
        <f>F_Inputs!J35</f>
        <v>258.5</v>
      </c>
      <c r="M12" s="128">
        <f>F_Inputs!K35</f>
        <v>262.10000000000002</v>
      </c>
      <c r="N12" s="128">
        <f>F_Inputs!L35</f>
        <v>271.7</v>
      </c>
      <c r="O12" s="128">
        <f>F_Inputs!M35</f>
        <v>280.7</v>
      </c>
      <c r="P12" s="128">
        <f>F_Inputs!N35</f>
        <v>288.3</v>
      </c>
      <c r="Q12" s="128">
        <f>F_Inputs!O35</f>
        <v>296.94900000000001</v>
      </c>
      <c r="R12" s="128"/>
      <c r="S12" s="128"/>
      <c r="T12" s="128"/>
      <c r="U12" s="128"/>
      <c r="V12" s="125"/>
    </row>
    <row r="13" spans="1:24" s="72" customFormat="1" ht="12.75">
      <c r="B13" s="16">
        <v>3</v>
      </c>
      <c r="C13" s="114"/>
      <c r="D13" s="72" t="s">
        <v>329</v>
      </c>
      <c r="E13" s="127" t="s">
        <v>332</v>
      </c>
      <c r="F13" s="127"/>
      <c r="G13" s="127"/>
      <c r="I13" s="128">
        <f>F_Inputs!G36</f>
        <v>241.8</v>
      </c>
      <c r="J13" s="128">
        <f>F_Inputs!H36</f>
        <v>249.7</v>
      </c>
      <c r="K13" s="128">
        <f>F_Inputs!I36</f>
        <v>256.3</v>
      </c>
      <c r="L13" s="128">
        <f>F_Inputs!J36</f>
        <v>258.89999999999998</v>
      </c>
      <c r="M13" s="128">
        <f>F_Inputs!K36</f>
        <v>263.10000000000002</v>
      </c>
      <c r="N13" s="128">
        <f>F_Inputs!L36</f>
        <v>272.3</v>
      </c>
      <c r="O13" s="128">
        <f>F_Inputs!M36</f>
        <v>281.5</v>
      </c>
      <c r="P13" s="128">
        <f>F_Inputs!N36</f>
        <v>289.10000000000002</v>
      </c>
      <c r="Q13" s="128">
        <f>F_Inputs!O36</f>
        <v>297.77300000000002</v>
      </c>
      <c r="R13" s="128"/>
      <c r="S13" s="128"/>
      <c r="T13" s="128"/>
      <c r="U13" s="128"/>
      <c r="V13" s="125"/>
    </row>
    <row r="14" spans="1:24" s="72" customFormat="1" ht="12.75">
      <c r="B14" s="16">
        <v>4</v>
      </c>
      <c r="C14" s="114"/>
      <c r="D14" s="72" t="s">
        <v>329</v>
      </c>
      <c r="E14" s="127" t="s">
        <v>333</v>
      </c>
      <c r="F14" s="127"/>
      <c r="G14" s="127"/>
      <c r="I14" s="128">
        <f>F_Inputs!G37</f>
        <v>242.1</v>
      </c>
      <c r="J14" s="128">
        <f>F_Inputs!H37</f>
        <v>249.7</v>
      </c>
      <c r="K14" s="128">
        <f>F_Inputs!I37</f>
        <v>256</v>
      </c>
      <c r="L14" s="128">
        <f>F_Inputs!J37</f>
        <v>258.60000000000002</v>
      </c>
      <c r="M14" s="128">
        <f>F_Inputs!K37</f>
        <v>263.39999999999998</v>
      </c>
      <c r="N14" s="128">
        <f>F_Inputs!L37</f>
        <v>272.89999999999998</v>
      </c>
      <c r="O14" s="128">
        <f>F_Inputs!M37</f>
        <v>281.7</v>
      </c>
      <c r="P14" s="128">
        <f>F_Inputs!N37</f>
        <v>289.2</v>
      </c>
      <c r="Q14" s="128">
        <f>F_Inputs!O37</f>
        <v>297.87599999999998</v>
      </c>
      <c r="R14" s="128"/>
      <c r="S14" s="128"/>
      <c r="T14" s="128"/>
      <c r="U14" s="128"/>
      <c r="V14" s="125"/>
    </row>
    <row r="15" spans="1:24" s="72" customFormat="1" ht="12.75">
      <c r="B15" s="16">
        <v>5</v>
      </c>
      <c r="C15" s="114"/>
      <c r="D15" s="72" t="s">
        <v>329</v>
      </c>
      <c r="E15" s="127" t="s">
        <v>334</v>
      </c>
      <c r="F15" s="127"/>
      <c r="G15" s="127"/>
      <c r="I15" s="128">
        <f>F_Inputs!G38</f>
        <v>243</v>
      </c>
      <c r="J15" s="128">
        <f>F_Inputs!H38</f>
        <v>251</v>
      </c>
      <c r="K15" s="128">
        <f>F_Inputs!I38</f>
        <v>257</v>
      </c>
      <c r="L15" s="128">
        <f>F_Inputs!J38</f>
        <v>259.8</v>
      </c>
      <c r="M15" s="128">
        <f>F_Inputs!K38</f>
        <v>264.39999999999998</v>
      </c>
      <c r="N15" s="128">
        <f>F_Inputs!L38</f>
        <v>274.7</v>
      </c>
      <c r="O15" s="128">
        <f>F_Inputs!M38</f>
        <v>284.2</v>
      </c>
      <c r="P15" s="128">
        <f>F_Inputs!N38</f>
        <v>291.3</v>
      </c>
      <c r="Q15" s="128">
        <f>F_Inputs!O38</f>
        <v>300.03900000000004</v>
      </c>
      <c r="R15" s="128"/>
      <c r="S15" s="128"/>
      <c r="T15" s="128"/>
      <c r="U15" s="128"/>
      <c r="V15" s="125"/>
    </row>
    <row r="16" spans="1:24" s="72" customFormat="1" ht="12.75">
      <c r="B16" s="16">
        <v>6</v>
      </c>
      <c r="C16" s="114"/>
      <c r="D16" s="72" t="s">
        <v>329</v>
      </c>
      <c r="E16" s="127" t="s">
        <v>335</v>
      </c>
      <c r="F16" s="127"/>
      <c r="G16" s="127"/>
      <c r="I16" s="128">
        <f>F_Inputs!G39</f>
        <v>244.2</v>
      </c>
      <c r="J16" s="128">
        <f>F_Inputs!H39</f>
        <v>251.9</v>
      </c>
      <c r="K16" s="128">
        <f>F_Inputs!I39</f>
        <v>257.60000000000002</v>
      </c>
      <c r="L16" s="128">
        <f>F_Inputs!J39</f>
        <v>259.60000000000002</v>
      </c>
      <c r="M16" s="128">
        <f>F_Inputs!K39</f>
        <v>264.89999999999998</v>
      </c>
      <c r="N16" s="128">
        <f>F_Inputs!L39</f>
        <v>275.10000000000002</v>
      </c>
      <c r="O16" s="128">
        <f>F_Inputs!M39</f>
        <v>284.10000000000002</v>
      </c>
      <c r="P16" s="128">
        <f>F_Inputs!N39</f>
        <v>291.2</v>
      </c>
      <c r="Q16" s="128">
        <f>F_Inputs!O39</f>
        <v>299.93599999999998</v>
      </c>
      <c r="R16" s="128"/>
      <c r="S16" s="128"/>
      <c r="T16" s="128"/>
      <c r="U16" s="128"/>
      <c r="V16" s="125"/>
    </row>
    <row r="17" spans="2:22" s="72" customFormat="1" ht="12.75">
      <c r="B17" s="16">
        <v>7</v>
      </c>
      <c r="C17" s="114"/>
      <c r="D17" s="72" t="s">
        <v>329</v>
      </c>
      <c r="E17" s="127" t="s">
        <v>336</v>
      </c>
      <c r="F17" s="127"/>
      <c r="G17" s="127"/>
      <c r="I17" s="128">
        <f>F_Inputs!G40</f>
        <v>245.6</v>
      </c>
      <c r="J17" s="128">
        <f>F_Inputs!H40</f>
        <v>251.9</v>
      </c>
      <c r="K17" s="128">
        <f>F_Inputs!I40</f>
        <v>257.7</v>
      </c>
      <c r="L17" s="128">
        <f>F_Inputs!J40</f>
        <v>259.5</v>
      </c>
      <c r="M17" s="128">
        <f>F_Inputs!K40</f>
        <v>264.8</v>
      </c>
      <c r="N17" s="128">
        <f>F_Inputs!L40</f>
        <v>275.3</v>
      </c>
      <c r="O17" s="128">
        <f>F_Inputs!M40</f>
        <v>284.5</v>
      </c>
      <c r="P17" s="128">
        <f>F_Inputs!N40</f>
        <v>291.10000000000002</v>
      </c>
      <c r="Q17" s="128">
        <f>F_Inputs!O40</f>
        <v>299.83300000000003</v>
      </c>
      <c r="R17" s="128"/>
      <c r="S17" s="128"/>
      <c r="T17" s="128"/>
      <c r="U17" s="128"/>
      <c r="V17" s="125"/>
    </row>
    <row r="18" spans="2:22" s="72" customFormat="1" ht="12.75">
      <c r="B18" s="16">
        <v>8</v>
      </c>
      <c r="C18" s="114"/>
      <c r="D18" s="72" t="s">
        <v>329</v>
      </c>
      <c r="E18" s="127" t="s">
        <v>337</v>
      </c>
      <c r="F18" s="127"/>
      <c r="G18" s="127"/>
      <c r="H18" s="128">
        <f>F_Inputs!F41</f>
        <v>238.5</v>
      </c>
      <c r="I18" s="128">
        <f>F_Inputs!G41</f>
        <v>245.6</v>
      </c>
      <c r="J18" s="128">
        <f>F_Inputs!H41</f>
        <v>252.1</v>
      </c>
      <c r="K18" s="128">
        <f>F_Inputs!I41</f>
        <v>257.10000000000002</v>
      </c>
      <c r="L18" s="128">
        <f>F_Inputs!J41</f>
        <v>259.8</v>
      </c>
      <c r="M18" s="128">
        <f>F_Inputs!K41</f>
        <v>265.5</v>
      </c>
      <c r="N18" s="128">
        <f>F_Inputs!L41</f>
        <v>275.8</v>
      </c>
      <c r="O18" s="128">
        <f>F_Inputs!M41</f>
        <v>284.60000000000002</v>
      </c>
      <c r="P18" s="128">
        <f>F_Inputs!N41</f>
        <v>291.2</v>
      </c>
      <c r="Q18" s="128">
        <f>F_Inputs!O41</f>
        <v>299.93599999999998</v>
      </c>
      <c r="R18" s="128"/>
      <c r="S18" s="128"/>
      <c r="T18" s="128"/>
      <c r="U18" s="128"/>
      <c r="V18" s="125"/>
    </row>
    <row r="19" spans="2:22" s="72" customFormat="1" ht="12.75">
      <c r="B19" s="16">
        <v>9</v>
      </c>
      <c r="C19" s="114"/>
      <c r="D19" s="72" t="s">
        <v>329</v>
      </c>
      <c r="E19" s="127" t="s">
        <v>338</v>
      </c>
      <c r="F19" s="127"/>
      <c r="G19" s="127"/>
      <c r="I19" s="128">
        <f>F_Inputs!G42</f>
        <v>246.8</v>
      </c>
      <c r="J19" s="128">
        <f>F_Inputs!H42</f>
        <v>253.4</v>
      </c>
      <c r="K19" s="128">
        <f>F_Inputs!I42</f>
        <v>257.5</v>
      </c>
      <c r="L19" s="128">
        <f>F_Inputs!J42</f>
        <v>260.60000000000002</v>
      </c>
      <c r="M19" s="128">
        <f>F_Inputs!K42</f>
        <v>267.10000000000002</v>
      </c>
      <c r="N19" s="128">
        <f>F_Inputs!L42</f>
        <v>278.10000000000002</v>
      </c>
      <c r="O19" s="128">
        <f>F_Inputs!M42</f>
        <v>285.60000000000002</v>
      </c>
      <c r="P19" s="128">
        <f>F_Inputs!N42</f>
        <v>292.8</v>
      </c>
      <c r="Q19" s="128">
        <f>F_Inputs!O42</f>
        <v>301.584</v>
      </c>
      <c r="R19" s="128"/>
      <c r="S19" s="128"/>
      <c r="T19" s="128"/>
      <c r="U19" s="128"/>
      <c r="V19" s="125"/>
    </row>
    <row r="20" spans="2:22" s="72" customFormat="1" ht="12.75">
      <c r="B20" s="16">
        <v>10</v>
      </c>
      <c r="C20" s="114"/>
      <c r="D20" s="72" t="s">
        <v>329</v>
      </c>
      <c r="E20" s="127" t="s">
        <v>339</v>
      </c>
      <c r="F20" s="127"/>
      <c r="G20" s="127"/>
      <c r="I20" s="128">
        <f>F_Inputs!G43</f>
        <v>245.8</v>
      </c>
      <c r="J20" s="128">
        <f>F_Inputs!H43</f>
        <v>252.6</v>
      </c>
      <c r="K20" s="128">
        <f>F_Inputs!I43</f>
        <v>255.4</v>
      </c>
      <c r="L20" s="128">
        <f>F_Inputs!J43</f>
        <v>258.8</v>
      </c>
      <c r="M20" s="128">
        <f>F_Inputs!K43</f>
        <v>265.5</v>
      </c>
      <c r="N20" s="128">
        <f>F_Inputs!L43</f>
        <v>276</v>
      </c>
      <c r="O20" s="128">
        <f>F_Inputs!M43</f>
        <v>283</v>
      </c>
      <c r="P20" s="128">
        <f>F_Inputs!N43</f>
        <v>290.7</v>
      </c>
      <c r="Q20" s="128">
        <f>F_Inputs!O43</f>
        <v>299.42099999999999</v>
      </c>
      <c r="R20" s="128"/>
      <c r="S20" s="128"/>
      <c r="T20" s="128"/>
      <c r="U20" s="128"/>
      <c r="V20" s="125"/>
    </row>
    <row r="21" spans="2:22" s="72" customFormat="1" ht="12.75">
      <c r="B21" s="16">
        <v>11</v>
      </c>
      <c r="C21" s="114"/>
      <c r="D21" s="72" t="s">
        <v>329</v>
      </c>
      <c r="E21" s="127" t="s">
        <v>340</v>
      </c>
      <c r="F21" s="127"/>
      <c r="G21" s="127"/>
      <c r="I21" s="128">
        <f>F_Inputs!G44</f>
        <v>247.6</v>
      </c>
      <c r="J21" s="128">
        <f>F_Inputs!H44</f>
        <v>254.2</v>
      </c>
      <c r="K21" s="128">
        <f>F_Inputs!I44</f>
        <v>256.7</v>
      </c>
      <c r="L21" s="128">
        <f>F_Inputs!J44</f>
        <v>260</v>
      </c>
      <c r="M21" s="128">
        <f>F_Inputs!K44</f>
        <v>268.39999999999998</v>
      </c>
      <c r="N21" s="128">
        <f>F_Inputs!L44</f>
        <v>278.10000000000002</v>
      </c>
      <c r="O21" s="128">
        <f>F_Inputs!M44</f>
        <v>285</v>
      </c>
      <c r="P21" s="128">
        <f>F_Inputs!N44</f>
        <v>292.8</v>
      </c>
      <c r="Q21" s="128">
        <f>F_Inputs!O44</f>
        <v>301.584</v>
      </c>
      <c r="R21" s="128"/>
      <c r="S21" s="128"/>
      <c r="T21" s="128"/>
      <c r="U21" s="128"/>
      <c r="V21" s="125"/>
    </row>
    <row r="22" spans="2:22" s="72" customFormat="1" ht="12.75">
      <c r="B22" s="16">
        <v>12</v>
      </c>
      <c r="C22" s="114"/>
      <c r="D22" s="72" t="s">
        <v>329</v>
      </c>
      <c r="E22" s="127" t="s">
        <v>341</v>
      </c>
      <c r="F22" s="127"/>
      <c r="G22" s="127"/>
      <c r="I22" s="128">
        <f>F_Inputs!G45</f>
        <v>248.7</v>
      </c>
      <c r="J22" s="128">
        <f>F_Inputs!H45</f>
        <v>254.8</v>
      </c>
      <c r="K22" s="128">
        <f>F_Inputs!I45</f>
        <v>257.10000000000002</v>
      </c>
      <c r="L22" s="128">
        <f>F_Inputs!J45</f>
        <v>261.10000000000002</v>
      </c>
      <c r="M22" s="128">
        <f>F_Inputs!K45</f>
        <v>269.3</v>
      </c>
      <c r="N22" s="128">
        <f>F_Inputs!L45</f>
        <v>278.3</v>
      </c>
      <c r="O22" s="128">
        <f>F_Inputs!M45</f>
        <v>285.10000000000002</v>
      </c>
      <c r="P22" s="128">
        <f>F_Inputs!N45</f>
        <v>293.2</v>
      </c>
      <c r="Q22" s="128">
        <f>F_Inputs!O45</f>
        <v>301.99599999999998</v>
      </c>
      <c r="R22" s="128"/>
      <c r="S22" s="128"/>
      <c r="T22" s="128"/>
      <c r="U22" s="128"/>
      <c r="V22" s="125"/>
    </row>
    <row r="23" spans="2:22" s="72" customFormat="1" ht="12.75">
      <c r="B23" s="114"/>
      <c r="C23" s="114"/>
      <c r="D23" s="91"/>
      <c r="E23" s="127" t="s">
        <v>342</v>
      </c>
      <c r="F23" s="127"/>
      <c r="G23" s="127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5"/>
    </row>
    <row r="24" spans="2:22" s="130" customFormat="1" ht="12.75">
      <c r="C24" s="131"/>
      <c r="D24" s="130" t="s">
        <v>343</v>
      </c>
      <c r="E24" s="130" t="s">
        <v>344</v>
      </c>
      <c r="I24" s="146" t="s">
        <v>326</v>
      </c>
      <c r="J24" s="146" t="s">
        <v>326</v>
      </c>
      <c r="K24" s="146" t="s">
        <v>326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32"/>
    </row>
    <row r="25" spans="2:22" s="130" customFormat="1" ht="12.75">
      <c r="C25" s="131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32"/>
    </row>
    <row r="26" spans="2:22" s="130" customFormat="1" ht="12.75">
      <c r="C26" s="131" t="s">
        <v>345</v>
      </c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148">
        <v>0</v>
      </c>
      <c r="O26" s="148">
        <v>0</v>
      </c>
      <c r="P26" s="148">
        <v>0</v>
      </c>
      <c r="Q26" s="148">
        <v>0</v>
      </c>
      <c r="R26" s="148">
        <v>0</v>
      </c>
      <c r="S26" s="148">
        <v>0</v>
      </c>
      <c r="T26" s="148">
        <v>0</v>
      </c>
      <c r="U26" s="148">
        <v>0</v>
      </c>
      <c r="V26" s="132" t="s">
        <v>346</v>
      </c>
    </row>
    <row r="27" spans="2:22" s="72" customFormat="1" ht="12.75" customHeight="1">
      <c r="C27" s="114"/>
      <c r="I27" s="126" t="s">
        <v>326</v>
      </c>
      <c r="J27" s="126" t="s">
        <v>326</v>
      </c>
      <c r="K27" s="126" t="s">
        <v>326</v>
      </c>
      <c r="L27" s="126" t="s">
        <v>326</v>
      </c>
      <c r="M27" s="126" t="s">
        <v>326</v>
      </c>
      <c r="N27" s="126" t="s">
        <v>326</v>
      </c>
      <c r="O27" s="126" t="s">
        <v>326</v>
      </c>
      <c r="P27" s="126" t="s">
        <v>326</v>
      </c>
      <c r="Q27" s="126" t="s">
        <v>326</v>
      </c>
      <c r="R27" s="126" t="s">
        <v>326</v>
      </c>
      <c r="S27" s="126" t="s">
        <v>326</v>
      </c>
      <c r="T27" s="126" t="s">
        <v>326</v>
      </c>
      <c r="U27" s="126" t="s">
        <v>326</v>
      </c>
      <c r="V27" s="125"/>
    </row>
    <row r="28" spans="2:22" s="72" customFormat="1" ht="12.75" customHeight="1">
      <c r="E28" s="120" t="s">
        <v>347</v>
      </c>
      <c r="F28" s="120"/>
      <c r="G28" s="120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5"/>
    </row>
    <row r="29" spans="2:22" ht="12.75" customHeight="1">
      <c r="B29" s="16">
        <v>1</v>
      </c>
      <c r="C29" s="114"/>
      <c r="D29" s="91" t="s">
        <v>329</v>
      </c>
      <c r="E29" s="127" t="s">
        <v>330</v>
      </c>
      <c r="F29" s="127"/>
      <c r="G29" s="127"/>
      <c r="H29" s="16">
        <v>0</v>
      </c>
      <c r="I29" s="133">
        <f>IF(I11&lt;&gt;0,I11,H29*SUM(1,I$24))</f>
        <v>242.5</v>
      </c>
      <c r="J29" s="133">
        <f t="shared" ref="J29:U29" si="2">IF(J11&lt;&gt;0,J11,I29*SUM(1,J$24))</f>
        <v>249.5</v>
      </c>
      <c r="K29" s="133">
        <f t="shared" si="2"/>
        <v>255.7</v>
      </c>
      <c r="L29" s="133">
        <f t="shared" si="2"/>
        <v>258</v>
      </c>
      <c r="M29" s="133">
        <f t="shared" si="2"/>
        <v>261.39999999999998</v>
      </c>
      <c r="N29" s="133">
        <f t="shared" si="2"/>
        <v>270.60000000000002</v>
      </c>
      <c r="O29" s="133">
        <f t="shared" si="2"/>
        <v>279.7</v>
      </c>
      <c r="P29" s="133">
        <f t="shared" si="2"/>
        <v>287.60000000000002</v>
      </c>
      <c r="Q29" s="133">
        <f t="shared" si="2"/>
        <v>296.22800000000001</v>
      </c>
      <c r="R29" s="133">
        <f t="shared" si="2"/>
        <v>296.22800000000001</v>
      </c>
      <c r="S29" s="133">
        <f t="shared" si="2"/>
        <v>296.22800000000001</v>
      </c>
      <c r="T29" s="133">
        <f t="shared" si="2"/>
        <v>296.22800000000001</v>
      </c>
      <c r="U29" s="133">
        <f t="shared" si="2"/>
        <v>296.22800000000001</v>
      </c>
    </row>
    <row r="30" spans="2:22" ht="12.75" customHeight="1">
      <c r="B30" s="16">
        <v>2</v>
      </c>
      <c r="C30" s="114"/>
      <c r="D30" s="91" t="s">
        <v>329</v>
      </c>
      <c r="E30" s="127" t="s">
        <v>331</v>
      </c>
      <c r="F30" s="127"/>
      <c r="G30" s="127"/>
      <c r="H30" s="16">
        <v>0</v>
      </c>
      <c r="I30" s="133">
        <f t="shared" ref="I30:U40" si="3">IF(I12&lt;&gt;0,I12,H30*SUM(1,I$24))</f>
        <v>242.4</v>
      </c>
      <c r="J30" s="133">
        <f t="shared" si="3"/>
        <v>250</v>
      </c>
      <c r="K30" s="133">
        <f t="shared" si="3"/>
        <v>255.9</v>
      </c>
      <c r="L30" s="133">
        <f t="shared" si="3"/>
        <v>258.5</v>
      </c>
      <c r="M30" s="133">
        <f t="shared" si="3"/>
        <v>262.10000000000002</v>
      </c>
      <c r="N30" s="133">
        <f t="shared" si="3"/>
        <v>271.7</v>
      </c>
      <c r="O30" s="133">
        <f t="shared" si="3"/>
        <v>280.7</v>
      </c>
      <c r="P30" s="133">
        <f t="shared" si="3"/>
        <v>288.3</v>
      </c>
      <c r="Q30" s="133">
        <f t="shared" si="3"/>
        <v>296.94900000000001</v>
      </c>
      <c r="R30" s="133">
        <f t="shared" si="3"/>
        <v>296.94900000000001</v>
      </c>
      <c r="S30" s="133">
        <f t="shared" si="3"/>
        <v>296.94900000000001</v>
      </c>
      <c r="T30" s="133">
        <f t="shared" si="3"/>
        <v>296.94900000000001</v>
      </c>
      <c r="U30" s="133">
        <f t="shared" si="3"/>
        <v>296.94900000000001</v>
      </c>
    </row>
    <row r="31" spans="2:22" ht="12.75" customHeight="1">
      <c r="B31" s="16">
        <v>3</v>
      </c>
      <c r="C31" s="114"/>
      <c r="D31" s="91" t="s">
        <v>329</v>
      </c>
      <c r="E31" s="127" t="s">
        <v>332</v>
      </c>
      <c r="F31" s="127"/>
      <c r="G31" s="127"/>
      <c r="H31" s="16">
        <v>0</v>
      </c>
      <c r="I31" s="133">
        <f t="shared" si="3"/>
        <v>241.8</v>
      </c>
      <c r="J31" s="133">
        <f t="shared" si="3"/>
        <v>249.7</v>
      </c>
      <c r="K31" s="133">
        <f t="shared" si="3"/>
        <v>256.3</v>
      </c>
      <c r="L31" s="133">
        <f t="shared" si="3"/>
        <v>258.89999999999998</v>
      </c>
      <c r="M31" s="133">
        <f t="shared" si="3"/>
        <v>263.10000000000002</v>
      </c>
      <c r="N31" s="133">
        <f t="shared" si="3"/>
        <v>272.3</v>
      </c>
      <c r="O31" s="133">
        <f t="shared" si="3"/>
        <v>281.5</v>
      </c>
      <c r="P31" s="133">
        <f t="shared" si="3"/>
        <v>289.10000000000002</v>
      </c>
      <c r="Q31" s="133">
        <f t="shared" si="3"/>
        <v>297.77300000000002</v>
      </c>
      <c r="R31" s="133">
        <f t="shared" si="3"/>
        <v>297.77300000000002</v>
      </c>
      <c r="S31" s="133">
        <f t="shared" si="3"/>
        <v>297.77300000000002</v>
      </c>
      <c r="T31" s="133">
        <f t="shared" si="3"/>
        <v>297.77300000000002</v>
      </c>
      <c r="U31" s="133">
        <f t="shared" si="3"/>
        <v>297.77300000000002</v>
      </c>
    </row>
    <row r="32" spans="2:22" ht="12.75" customHeight="1">
      <c r="B32" s="16">
        <v>4</v>
      </c>
      <c r="C32" s="114"/>
      <c r="D32" s="91" t="s">
        <v>329</v>
      </c>
      <c r="E32" s="127" t="s">
        <v>333</v>
      </c>
      <c r="F32" s="127"/>
      <c r="G32" s="127"/>
      <c r="H32" s="16">
        <v>0</v>
      </c>
      <c r="I32" s="133">
        <f t="shared" si="3"/>
        <v>242.1</v>
      </c>
      <c r="J32" s="133">
        <f t="shared" si="3"/>
        <v>249.7</v>
      </c>
      <c r="K32" s="133">
        <f t="shared" si="3"/>
        <v>256</v>
      </c>
      <c r="L32" s="133">
        <f t="shared" si="3"/>
        <v>258.60000000000002</v>
      </c>
      <c r="M32" s="133">
        <f t="shared" si="3"/>
        <v>263.39999999999998</v>
      </c>
      <c r="N32" s="133">
        <f t="shared" si="3"/>
        <v>272.89999999999998</v>
      </c>
      <c r="O32" s="133">
        <f t="shared" si="3"/>
        <v>281.7</v>
      </c>
      <c r="P32" s="133">
        <f t="shared" si="3"/>
        <v>289.2</v>
      </c>
      <c r="Q32" s="133">
        <f t="shared" si="3"/>
        <v>297.87599999999998</v>
      </c>
      <c r="R32" s="133">
        <f t="shared" si="3"/>
        <v>297.87599999999998</v>
      </c>
      <c r="S32" s="133">
        <f t="shared" si="3"/>
        <v>297.87599999999998</v>
      </c>
      <c r="T32" s="133">
        <f t="shared" si="3"/>
        <v>297.87599999999998</v>
      </c>
      <c r="U32" s="133">
        <f t="shared" si="3"/>
        <v>297.87599999999998</v>
      </c>
    </row>
    <row r="33" spans="2:22" ht="12.75" customHeight="1">
      <c r="B33" s="16">
        <v>5</v>
      </c>
      <c r="C33" s="114"/>
      <c r="D33" s="91" t="s">
        <v>329</v>
      </c>
      <c r="E33" s="127" t="s">
        <v>334</v>
      </c>
      <c r="F33" s="127"/>
      <c r="G33" s="127"/>
      <c r="H33" s="16">
        <v>0</v>
      </c>
      <c r="I33" s="133">
        <f t="shared" si="3"/>
        <v>243</v>
      </c>
      <c r="J33" s="133">
        <f t="shared" si="3"/>
        <v>251</v>
      </c>
      <c r="K33" s="133">
        <f t="shared" si="3"/>
        <v>257</v>
      </c>
      <c r="L33" s="133">
        <f t="shared" si="3"/>
        <v>259.8</v>
      </c>
      <c r="M33" s="133">
        <f t="shared" si="3"/>
        <v>264.39999999999998</v>
      </c>
      <c r="N33" s="133">
        <f t="shared" si="3"/>
        <v>274.7</v>
      </c>
      <c r="O33" s="133">
        <f t="shared" si="3"/>
        <v>284.2</v>
      </c>
      <c r="P33" s="133">
        <f t="shared" si="3"/>
        <v>291.3</v>
      </c>
      <c r="Q33" s="133">
        <f t="shared" si="3"/>
        <v>300.03900000000004</v>
      </c>
      <c r="R33" s="133">
        <f t="shared" si="3"/>
        <v>300.03900000000004</v>
      </c>
      <c r="S33" s="133">
        <f t="shared" si="3"/>
        <v>300.03900000000004</v>
      </c>
      <c r="T33" s="133">
        <f t="shared" si="3"/>
        <v>300.03900000000004</v>
      </c>
      <c r="U33" s="133">
        <f t="shared" si="3"/>
        <v>300.03900000000004</v>
      </c>
    </row>
    <row r="34" spans="2:22" ht="12.75" customHeight="1">
      <c r="B34" s="16">
        <v>6</v>
      </c>
      <c r="C34" s="114"/>
      <c r="D34" s="91" t="s">
        <v>329</v>
      </c>
      <c r="E34" s="127" t="s">
        <v>335</v>
      </c>
      <c r="F34" s="127"/>
      <c r="G34" s="127"/>
      <c r="H34" s="16">
        <v>0</v>
      </c>
      <c r="I34" s="133">
        <f t="shared" si="3"/>
        <v>244.2</v>
      </c>
      <c r="J34" s="133">
        <f t="shared" si="3"/>
        <v>251.9</v>
      </c>
      <c r="K34" s="133">
        <f t="shared" si="3"/>
        <v>257.60000000000002</v>
      </c>
      <c r="L34" s="133">
        <f t="shared" si="3"/>
        <v>259.60000000000002</v>
      </c>
      <c r="M34" s="133">
        <f t="shared" si="3"/>
        <v>264.89999999999998</v>
      </c>
      <c r="N34" s="133">
        <f t="shared" si="3"/>
        <v>275.10000000000002</v>
      </c>
      <c r="O34" s="133">
        <f t="shared" si="3"/>
        <v>284.10000000000002</v>
      </c>
      <c r="P34" s="133">
        <f t="shared" si="3"/>
        <v>291.2</v>
      </c>
      <c r="Q34" s="133">
        <f t="shared" si="3"/>
        <v>299.93599999999998</v>
      </c>
      <c r="R34" s="133">
        <f t="shared" si="3"/>
        <v>299.93599999999998</v>
      </c>
      <c r="S34" s="133">
        <f t="shared" si="3"/>
        <v>299.93599999999998</v>
      </c>
      <c r="T34" s="133">
        <f t="shared" si="3"/>
        <v>299.93599999999998</v>
      </c>
      <c r="U34" s="133">
        <f t="shared" si="3"/>
        <v>299.93599999999998</v>
      </c>
    </row>
    <row r="35" spans="2:22" ht="12.75" customHeight="1">
      <c r="B35" s="16">
        <v>7</v>
      </c>
      <c r="C35" s="114"/>
      <c r="D35" s="91" t="s">
        <v>329</v>
      </c>
      <c r="E35" s="127" t="s">
        <v>336</v>
      </c>
      <c r="F35" s="127"/>
      <c r="G35" s="127"/>
      <c r="H35" s="16">
        <v>0</v>
      </c>
      <c r="I35" s="133">
        <f t="shared" si="3"/>
        <v>245.6</v>
      </c>
      <c r="J35" s="133">
        <f t="shared" si="3"/>
        <v>251.9</v>
      </c>
      <c r="K35" s="133">
        <f t="shared" si="3"/>
        <v>257.7</v>
      </c>
      <c r="L35" s="133">
        <f t="shared" si="3"/>
        <v>259.5</v>
      </c>
      <c r="M35" s="133">
        <f t="shared" si="3"/>
        <v>264.8</v>
      </c>
      <c r="N35" s="133">
        <f t="shared" si="3"/>
        <v>275.3</v>
      </c>
      <c r="O35" s="133">
        <f t="shared" si="3"/>
        <v>284.5</v>
      </c>
      <c r="P35" s="133">
        <f t="shared" si="3"/>
        <v>291.10000000000002</v>
      </c>
      <c r="Q35" s="133">
        <f t="shared" si="3"/>
        <v>299.83300000000003</v>
      </c>
      <c r="R35" s="133">
        <f t="shared" si="3"/>
        <v>299.83300000000003</v>
      </c>
      <c r="S35" s="133">
        <f t="shared" si="3"/>
        <v>299.83300000000003</v>
      </c>
      <c r="T35" s="133">
        <f t="shared" si="3"/>
        <v>299.83300000000003</v>
      </c>
      <c r="U35" s="133">
        <f t="shared" si="3"/>
        <v>299.83300000000003</v>
      </c>
    </row>
    <row r="36" spans="2:22" ht="12.75" customHeight="1">
      <c r="B36" s="16">
        <v>8</v>
      </c>
      <c r="C36" s="114"/>
      <c r="D36" s="91" t="s">
        <v>329</v>
      </c>
      <c r="E36" s="127" t="s">
        <v>337</v>
      </c>
      <c r="F36" s="127"/>
      <c r="G36" s="127"/>
      <c r="H36" s="135">
        <f>H18</f>
        <v>238.5</v>
      </c>
      <c r="I36" s="133">
        <f t="shared" si="3"/>
        <v>245.6</v>
      </c>
      <c r="J36" s="133">
        <f t="shared" si="3"/>
        <v>252.1</v>
      </c>
      <c r="K36" s="133">
        <f t="shared" si="3"/>
        <v>257.10000000000002</v>
      </c>
      <c r="L36" s="133">
        <f t="shared" si="3"/>
        <v>259.8</v>
      </c>
      <c r="M36" s="133">
        <f t="shared" si="3"/>
        <v>265.5</v>
      </c>
      <c r="N36" s="133">
        <f t="shared" si="3"/>
        <v>275.8</v>
      </c>
      <c r="O36" s="133">
        <f t="shared" si="3"/>
        <v>284.60000000000002</v>
      </c>
      <c r="P36" s="133">
        <f t="shared" si="3"/>
        <v>291.2</v>
      </c>
      <c r="Q36" s="133">
        <f t="shared" si="3"/>
        <v>299.93599999999998</v>
      </c>
      <c r="R36" s="133">
        <f t="shared" si="3"/>
        <v>299.93599999999998</v>
      </c>
      <c r="S36" s="133">
        <f t="shared" si="3"/>
        <v>299.93599999999998</v>
      </c>
      <c r="T36" s="133">
        <f t="shared" si="3"/>
        <v>299.93599999999998</v>
      </c>
      <c r="U36" s="133">
        <f t="shared" si="3"/>
        <v>299.93599999999998</v>
      </c>
    </row>
    <row r="37" spans="2:22" ht="12.75" customHeight="1">
      <c r="B37" s="16">
        <v>9</v>
      </c>
      <c r="C37" s="114"/>
      <c r="D37" s="91" t="s">
        <v>329</v>
      </c>
      <c r="E37" s="127" t="s">
        <v>338</v>
      </c>
      <c r="F37" s="127"/>
      <c r="G37" s="127"/>
      <c r="H37" s="16">
        <v>0</v>
      </c>
      <c r="I37" s="133">
        <f t="shared" si="3"/>
        <v>246.8</v>
      </c>
      <c r="J37" s="133">
        <f t="shared" si="3"/>
        <v>253.4</v>
      </c>
      <c r="K37" s="133">
        <f t="shared" si="3"/>
        <v>257.5</v>
      </c>
      <c r="L37" s="133">
        <f t="shared" si="3"/>
        <v>260.60000000000002</v>
      </c>
      <c r="M37" s="133">
        <f t="shared" si="3"/>
        <v>267.10000000000002</v>
      </c>
      <c r="N37" s="133">
        <f t="shared" si="3"/>
        <v>278.10000000000002</v>
      </c>
      <c r="O37" s="133">
        <f t="shared" si="3"/>
        <v>285.60000000000002</v>
      </c>
      <c r="P37" s="133">
        <f t="shared" si="3"/>
        <v>292.8</v>
      </c>
      <c r="Q37" s="133">
        <f t="shared" si="3"/>
        <v>301.584</v>
      </c>
      <c r="R37" s="133">
        <f t="shared" si="3"/>
        <v>301.584</v>
      </c>
      <c r="S37" s="133">
        <f t="shared" si="3"/>
        <v>301.584</v>
      </c>
      <c r="T37" s="133">
        <f t="shared" si="3"/>
        <v>301.584</v>
      </c>
      <c r="U37" s="133">
        <f t="shared" si="3"/>
        <v>301.584</v>
      </c>
    </row>
    <row r="38" spans="2:22" ht="12.75" customHeight="1">
      <c r="B38" s="16">
        <v>10</v>
      </c>
      <c r="C38" s="114"/>
      <c r="D38" s="91" t="s">
        <v>329</v>
      </c>
      <c r="E38" s="127" t="s">
        <v>339</v>
      </c>
      <c r="F38" s="127"/>
      <c r="G38" s="127"/>
      <c r="H38" s="16">
        <v>0</v>
      </c>
      <c r="I38" s="133">
        <f t="shared" si="3"/>
        <v>245.8</v>
      </c>
      <c r="J38" s="133">
        <f t="shared" si="3"/>
        <v>252.6</v>
      </c>
      <c r="K38" s="133">
        <f t="shared" si="3"/>
        <v>255.4</v>
      </c>
      <c r="L38" s="133">
        <f t="shared" si="3"/>
        <v>258.8</v>
      </c>
      <c r="M38" s="133">
        <f t="shared" si="3"/>
        <v>265.5</v>
      </c>
      <c r="N38" s="133">
        <f t="shared" si="3"/>
        <v>276</v>
      </c>
      <c r="O38" s="133">
        <f t="shared" si="3"/>
        <v>283</v>
      </c>
      <c r="P38" s="133">
        <f t="shared" si="3"/>
        <v>290.7</v>
      </c>
      <c r="Q38" s="133">
        <f t="shared" si="3"/>
        <v>299.42099999999999</v>
      </c>
      <c r="R38" s="133">
        <f t="shared" si="3"/>
        <v>299.42099999999999</v>
      </c>
      <c r="S38" s="133">
        <f t="shared" si="3"/>
        <v>299.42099999999999</v>
      </c>
      <c r="T38" s="133">
        <f t="shared" si="3"/>
        <v>299.42099999999999</v>
      </c>
      <c r="U38" s="133">
        <f t="shared" si="3"/>
        <v>299.42099999999999</v>
      </c>
    </row>
    <row r="39" spans="2:22" ht="12.75" customHeight="1">
      <c r="B39" s="16">
        <v>11</v>
      </c>
      <c r="C39" s="114"/>
      <c r="D39" s="91" t="s">
        <v>329</v>
      </c>
      <c r="E39" s="127" t="s">
        <v>340</v>
      </c>
      <c r="F39" s="127"/>
      <c r="G39" s="127"/>
      <c r="H39" s="16">
        <v>0</v>
      </c>
      <c r="I39" s="133">
        <f t="shared" si="3"/>
        <v>247.6</v>
      </c>
      <c r="J39" s="133">
        <f t="shared" si="3"/>
        <v>254.2</v>
      </c>
      <c r="K39" s="133">
        <f t="shared" si="3"/>
        <v>256.7</v>
      </c>
      <c r="L39" s="133">
        <f t="shared" si="3"/>
        <v>260</v>
      </c>
      <c r="M39" s="133">
        <f t="shared" si="3"/>
        <v>268.39999999999998</v>
      </c>
      <c r="N39" s="133">
        <f t="shared" si="3"/>
        <v>278.10000000000002</v>
      </c>
      <c r="O39" s="133">
        <f t="shared" si="3"/>
        <v>285</v>
      </c>
      <c r="P39" s="133">
        <f t="shared" si="3"/>
        <v>292.8</v>
      </c>
      <c r="Q39" s="133">
        <f t="shared" si="3"/>
        <v>301.584</v>
      </c>
      <c r="R39" s="133">
        <f t="shared" si="3"/>
        <v>301.584</v>
      </c>
      <c r="S39" s="133">
        <f t="shared" si="3"/>
        <v>301.584</v>
      </c>
      <c r="T39" s="133">
        <f t="shared" si="3"/>
        <v>301.584</v>
      </c>
      <c r="U39" s="133">
        <f t="shared" si="3"/>
        <v>301.584</v>
      </c>
    </row>
    <row r="40" spans="2:22" ht="12.75" customHeight="1">
      <c r="B40" s="16">
        <v>12</v>
      </c>
      <c r="C40" s="114"/>
      <c r="D40" s="91" t="s">
        <v>329</v>
      </c>
      <c r="E40" s="127" t="s">
        <v>341</v>
      </c>
      <c r="F40" s="127"/>
      <c r="G40" s="127"/>
      <c r="H40" s="16">
        <v>0</v>
      </c>
      <c r="I40" s="133">
        <f t="shared" si="3"/>
        <v>248.7</v>
      </c>
      <c r="J40" s="133">
        <f t="shared" si="3"/>
        <v>254.8</v>
      </c>
      <c r="K40" s="133">
        <f t="shared" si="3"/>
        <v>257.10000000000002</v>
      </c>
      <c r="L40" s="133">
        <f t="shared" si="3"/>
        <v>261.10000000000002</v>
      </c>
      <c r="M40" s="133">
        <f t="shared" si="3"/>
        <v>269.3</v>
      </c>
      <c r="N40" s="133">
        <f t="shared" si="3"/>
        <v>278.3</v>
      </c>
      <c r="O40" s="133">
        <f t="shared" si="3"/>
        <v>285.10000000000002</v>
      </c>
      <c r="P40" s="133">
        <f t="shared" si="3"/>
        <v>293.2</v>
      </c>
      <c r="Q40" s="133">
        <f t="shared" si="3"/>
        <v>301.99599999999998</v>
      </c>
      <c r="R40" s="133">
        <f t="shared" si="3"/>
        <v>301.99599999999998</v>
      </c>
      <c r="S40" s="133">
        <f t="shared" si="3"/>
        <v>301.99599999999998</v>
      </c>
      <c r="T40" s="133">
        <f t="shared" si="3"/>
        <v>301.99599999999998</v>
      </c>
      <c r="U40" s="133">
        <f t="shared" si="3"/>
        <v>301.99599999999998</v>
      </c>
    </row>
    <row r="41" spans="2:22" ht="12.75" customHeight="1">
      <c r="B41" s="114"/>
      <c r="C41" s="114"/>
      <c r="D41" s="91" t="s">
        <v>329</v>
      </c>
      <c r="E41" s="127" t="s">
        <v>342</v>
      </c>
      <c r="F41" s="127"/>
      <c r="G41" s="127"/>
      <c r="I41" s="129">
        <f>IF(SUM(I29:I40)=0,0,AVERAGE(I29:I40))</f>
        <v>244.67499999999998</v>
      </c>
      <c r="J41" s="129">
        <f t="shared" ref="J41:U41" si="4">IF(SUM(J29:J40)=0,0,AVERAGE(J29:J40))</f>
        <v>251.73333333333335</v>
      </c>
      <c r="K41" s="129">
        <f t="shared" si="4"/>
        <v>256.66666666666669</v>
      </c>
      <c r="L41" s="129">
        <f t="shared" si="4"/>
        <v>259.43333333333334</v>
      </c>
      <c r="M41" s="129">
        <f t="shared" si="4"/>
        <v>264.99166666666673</v>
      </c>
      <c r="N41" s="129">
        <f t="shared" si="4"/>
        <v>274.90833333333336</v>
      </c>
      <c r="O41" s="129">
        <f t="shared" si="4"/>
        <v>283.30833333333334</v>
      </c>
      <c r="P41" s="129">
        <f t="shared" si="4"/>
        <v>290.70833333333331</v>
      </c>
      <c r="Q41" s="129">
        <f t="shared" si="4"/>
        <v>299.42958333333331</v>
      </c>
      <c r="R41" s="129">
        <f t="shared" si="4"/>
        <v>299.42958333333331</v>
      </c>
      <c r="S41" s="129">
        <f t="shared" si="4"/>
        <v>299.42958333333331</v>
      </c>
      <c r="T41" s="129">
        <f t="shared" si="4"/>
        <v>299.42958333333331</v>
      </c>
      <c r="U41" s="129">
        <f t="shared" si="4"/>
        <v>299.42958333333331</v>
      </c>
    </row>
    <row r="42" spans="2:22" s="72" customFormat="1" ht="12.75" customHeight="1">
      <c r="V42" s="125"/>
    </row>
    <row r="43" spans="2:22" s="72" customFormat="1" ht="12.75" customHeight="1">
      <c r="E43" s="98" t="s">
        <v>348</v>
      </c>
      <c r="F43" s="98"/>
      <c r="G43" s="98"/>
      <c r="V43" s="125"/>
    </row>
    <row r="44" spans="2:22" s="72" customFormat="1" ht="12.75" customHeight="1">
      <c r="E44" s="136" t="s">
        <v>349</v>
      </c>
      <c r="F44" s="136"/>
      <c r="G44" s="136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25" t="s">
        <v>350</v>
      </c>
    </row>
    <row r="45" spans="2:22" s="72" customFormat="1" ht="12.75" customHeight="1">
      <c r="C45" s="138"/>
      <c r="D45" s="130" t="s">
        <v>343</v>
      </c>
      <c r="E45" s="127" t="s">
        <v>351</v>
      </c>
      <c r="F45" s="127"/>
      <c r="G45" s="127"/>
      <c r="I45" s="185">
        <f t="shared" ref="I45:U45" si="5">IF(Indexation.November.Override&lt;&gt;"",Indexation.November.Override,IF($H$36=0,0,H36/$H$36))</f>
        <v>1</v>
      </c>
      <c r="J45" s="185">
        <f t="shared" si="5"/>
        <v>1.0297693920335429</v>
      </c>
      <c r="K45" s="185">
        <f t="shared" si="5"/>
        <v>1.0570230607966458</v>
      </c>
      <c r="L45" s="185">
        <f t="shared" si="5"/>
        <v>1.077987421383648</v>
      </c>
      <c r="M45" s="185">
        <f t="shared" si="5"/>
        <v>1.0893081761006289</v>
      </c>
      <c r="N45" s="185">
        <f>IF(Indexation.November.Override&lt;&gt;"",Indexation.November.Override,IF($H$36=0,0,M36/$H$36))</f>
        <v>1.1132075471698113</v>
      </c>
      <c r="O45" s="185">
        <f t="shared" si="5"/>
        <v>1.1563941299790357</v>
      </c>
      <c r="P45" s="185">
        <f t="shared" si="5"/>
        <v>1.1932914046121594</v>
      </c>
      <c r="Q45" s="185">
        <f t="shared" si="5"/>
        <v>1.220964360587002</v>
      </c>
      <c r="R45" s="185">
        <f t="shared" si="5"/>
        <v>1.2575932914046122</v>
      </c>
      <c r="S45" s="185">
        <f t="shared" si="5"/>
        <v>1.2575932914046122</v>
      </c>
      <c r="T45" s="185">
        <f t="shared" si="5"/>
        <v>1.2575932914046122</v>
      </c>
      <c r="U45" s="185">
        <f t="shared" si="5"/>
        <v>1.2575932914046122</v>
      </c>
      <c r="V45" s="125" t="s">
        <v>352</v>
      </c>
    </row>
    <row r="46" spans="2:22" s="72" customFormat="1" ht="12.75" customHeight="1"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</row>
    <row r="47" spans="2:22" s="72" customFormat="1" ht="12.75" customHeight="1">
      <c r="E47" s="140" t="s">
        <v>353</v>
      </c>
      <c r="F47" s="140"/>
      <c r="G47" s="140"/>
    </row>
    <row r="48" spans="2:22" s="72" customFormat="1" ht="12.75" customHeight="1">
      <c r="E48" s="136" t="s">
        <v>349</v>
      </c>
      <c r="F48" s="136"/>
      <c r="G48" s="136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25" t="s">
        <v>354</v>
      </c>
    </row>
    <row r="49" spans="1:22" s="72" customFormat="1" ht="12.75" customHeight="1">
      <c r="C49" s="138"/>
      <c r="D49" s="130" t="s">
        <v>343</v>
      </c>
      <c r="E49" s="127" t="s">
        <v>351</v>
      </c>
      <c r="F49" s="127"/>
      <c r="G49" s="127"/>
      <c r="I49" s="185">
        <f t="shared" ref="I49:U49" si="6">IF(Indexation.Average.Override&lt;&gt;"",Indexation.Average.Override,IF($I41=0,0,I41/$I41))</f>
        <v>1</v>
      </c>
      <c r="J49" s="185">
        <f t="shared" si="6"/>
        <v>1.0288477912877627</v>
      </c>
      <c r="K49" s="185">
        <f t="shared" si="6"/>
        <v>1.0490105922822794</v>
      </c>
      <c r="L49" s="185">
        <f t="shared" si="6"/>
        <v>1.0603181090562313</v>
      </c>
      <c r="M49" s="185">
        <f t="shared" si="6"/>
        <v>1.0830353189605262</v>
      </c>
      <c r="N49" s="185">
        <f>IF(Indexation.Average.Override&lt;&gt;"",Indexation.Average.Override,IF($I41=0,0,N41/$I41))</f>
        <v>1.1235652736623414</v>
      </c>
      <c r="O49" s="185">
        <f t="shared" si="6"/>
        <v>1.1578965294097614</v>
      </c>
      <c r="P49" s="185">
        <f t="shared" si="6"/>
        <v>1.1881407309015362</v>
      </c>
      <c r="Q49" s="185">
        <f t="shared" si="6"/>
        <v>1.2237849528285822</v>
      </c>
      <c r="R49" s="185">
        <f t="shared" si="6"/>
        <v>1.2237849528285822</v>
      </c>
      <c r="S49" s="185">
        <f t="shared" si="6"/>
        <v>1.2237849528285822</v>
      </c>
      <c r="T49" s="185">
        <f t="shared" si="6"/>
        <v>1.2237849528285822</v>
      </c>
      <c r="U49" s="185">
        <f t="shared" si="6"/>
        <v>1.2237849528285822</v>
      </c>
      <c r="V49" s="125" t="s">
        <v>355</v>
      </c>
    </row>
    <row r="50" spans="1:22" s="72" customFormat="1" ht="12.75" customHeight="1">
      <c r="C50" s="138"/>
      <c r="D50" s="130"/>
      <c r="E50" s="127"/>
      <c r="F50" s="127"/>
      <c r="G50" s="127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25"/>
    </row>
    <row r="51" spans="1:22" s="72" customFormat="1" ht="12.75" customHeight="1">
      <c r="C51" s="141"/>
      <c r="D51" s="130" t="s">
        <v>343</v>
      </c>
      <c r="E51" s="142" t="s">
        <v>356</v>
      </c>
      <c r="F51" s="142"/>
      <c r="G51" s="142"/>
      <c r="I51" s="139"/>
      <c r="J51" s="139">
        <f>IF(I49=0,0,(J49/I49)-1)</f>
        <v>2.8847791287762714E-2</v>
      </c>
      <c r="K51" s="139">
        <f t="shared" ref="K51:U51" si="7">IF(J49=0,0,(K49/J49)-1)</f>
        <v>1.9597457627118731E-2</v>
      </c>
      <c r="L51" s="139">
        <f>IF(K49=0,0,(L49/K49)-1)</f>
        <v>1.0779220779220777E-2</v>
      </c>
      <c r="M51" s="139">
        <f>IF(L49=0,0,(M49/L49)-1)</f>
        <v>2.1424900424001248E-2</v>
      </c>
      <c r="N51" s="139">
        <f t="shared" si="7"/>
        <v>3.7422560457875953E-2</v>
      </c>
      <c r="O51" s="139">
        <f t="shared" si="7"/>
        <v>3.0555639758707454E-2</v>
      </c>
      <c r="P51" s="139">
        <f t="shared" si="7"/>
        <v>2.6119951760449345E-2</v>
      </c>
      <c r="Q51" s="139">
        <f t="shared" si="7"/>
        <v>3.0000000000000027E-2</v>
      </c>
      <c r="R51" s="139">
        <f t="shared" si="7"/>
        <v>0</v>
      </c>
      <c r="S51" s="139">
        <f t="shared" si="7"/>
        <v>0</v>
      </c>
      <c r="T51" s="139">
        <f t="shared" si="7"/>
        <v>0</v>
      </c>
      <c r="U51" s="139">
        <f t="shared" si="7"/>
        <v>0</v>
      </c>
      <c r="V51" s="125" t="s">
        <v>357</v>
      </c>
    </row>
    <row r="52" spans="1:22" ht="12.75" customHeight="1">
      <c r="E52" s="155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</row>
    <row r="53" spans="1:22" ht="12.75" customHeight="1" thickBot="1"/>
    <row r="54" spans="1:22" ht="12.75" customHeight="1" thickBot="1">
      <c r="A54" s="143" t="s">
        <v>311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4"/>
    </row>
    <row r="55" spans="1:22" ht="12.75" customHeight="1"/>
    <row r="56" spans="1:22" ht="12.75" hidden="1" customHeight="1"/>
    <row r="57" spans="1:22" ht="12.75" hidden="1" customHeight="1"/>
    <row r="58" spans="1:22" ht="12.75" hidden="1" customHeight="1"/>
    <row r="59" spans="1:22" ht="12.75" hidden="1" customHeight="1"/>
  </sheetData>
  <dataConsolidate/>
  <conditionalFormatting sqref="I26:U2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A1:V11"/>
  <sheetViews>
    <sheetView showGridLines="0" zoomScale="80" zoomScaleNormal="80" workbookViewId="0">
      <pane xSplit="8" ySplit="7" topLeftCell="I8" activePane="bottomRight" state="frozen"/>
      <selection pane="topRight"/>
      <selection pane="bottomLeft"/>
      <selection pane="bottomRight" activeCell="I8" sqref="I8"/>
    </sheetView>
  </sheetViews>
  <sheetFormatPr defaultColWidth="0" defaultRowHeight="0" customHeight="1" zeroHeight="1"/>
  <cols>
    <col min="1" max="3" width="2.5703125" style="7" customWidth="1"/>
    <col min="4" max="4" width="9.5703125" style="7" customWidth="1"/>
    <col min="5" max="5" width="29.42578125" style="7" customWidth="1"/>
    <col min="6" max="6" width="4.140625" style="7" customWidth="1"/>
    <col min="7" max="7" width="11.5703125" style="7" customWidth="1"/>
    <col min="8" max="8" width="4.140625" style="7" customWidth="1"/>
    <col min="9" max="21" width="9.5703125" style="7" customWidth="1"/>
    <col min="22" max="22" width="15.85546875" style="7" bestFit="1" customWidth="1"/>
    <col min="23" max="16384" width="9.140625" style="7" hidden="1"/>
  </cols>
  <sheetData>
    <row r="1" spans="1:22" ht="33.75">
      <c r="A1" s="94"/>
      <c r="B1" s="94"/>
      <c r="C1" s="94"/>
      <c r="D1" s="1" t="s">
        <v>358</v>
      </c>
      <c r="E1" s="1"/>
      <c r="F1" s="1"/>
      <c r="G1" s="1"/>
      <c r="H1" s="1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2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2.75">
      <c r="E3" s="7" t="s">
        <v>1</v>
      </c>
      <c r="I3" s="95" t="s">
        <v>359</v>
      </c>
      <c r="J3" s="95" t="s">
        <v>360</v>
      </c>
      <c r="K3" s="95" t="s">
        <v>361</v>
      </c>
      <c r="L3" s="10" t="s">
        <v>362</v>
      </c>
      <c r="M3" s="10" t="s">
        <v>363</v>
      </c>
      <c r="N3" s="10" t="s">
        <v>364</v>
      </c>
      <c r="O3" s="10" t="s">
        <v>365</v>
      </c>
      <c r="P3" s="10" t="s">
        <v>366</v>
      </c>
      <c r="Q3" s="95" t="s">
        <v>367</v>
      </c>
      <c r="R3" s="95" t="s">
        <v>368</v>
      </c>
      <c r="S3" s="95" t="s">
        <v>369</v>
      </c>
      <c r="T3" s="95" t="s">
        <v>370</v>
      </c>
      <c r="U3" s="95" t="s">
        <v>371</v>
      </c>
      <c r="V3" s="96" t="s">
        <v>313</v>
      </c>
    </row>
    <row r="4" spans="1:22" ht="12.75">
      <c r="V4" s="96"/>
    </row>
    <row r="5" spans="1:22" ht="12.75">
      <c r="E5" s="7" t="s">
        <v>2</v>
      </c>
      <c r="I5" s="97">
        <v>2012</v>
      </c>
      <c r="J5" s="97">
        <v>2013</v>
      </c>
      <c r="K5" s="97">
        <v>2014</v>
      </c>
      <c r="L5" s="97">
        <v>2015</v>
      </c>
      <c r="M5" s="97">
        <v>2016</v>
      </c>
      <c r="N5" s="97">
        <v>2017</v>
      </c>
      <c r="O5" s="97">
        <v>2018</v>
      </c>
      <c r="P5" s="97">
        <v>2019</v>
      </c>
      <c r="Q5" s="97">
        <v>2020</v>
      </c>
      <c r="R5" s="97">
        <v>2021</v>
      </c>
      <c r="S5" s="97">
        <v>2022</v>
      </c>
      <c r="T5" s="97">
        <v>2023</v>
      </c>
      <c r="U5" s="97">
        <v>2024</v>
      </c>
      <c r="V5" s="96" t="s">
        <v>314</v>
      </c>
    </row>
    <row r="6" spans="1:22" ht="12.75">
      <c r="E6" s="7" t="s">
        <v>3</v>
      </c>
      <c r="K6" s="98"/>
      <c r="L6" s="99">
        <v>1</v>
      </c>
      <c r="M6" s="99">
        <v>2</v>
      </c>
      <c r="N6" s="99">
        <v>3</v>
      </c>
      <c r="O6" s="99">
        <v>4</v>
      </c>
      <c r="P6" s="99">
        <v>5</v>
      </c>
      <c r="Q6" s="99">
        <v>6</v>
      </c>
      <c r="R6" s="99">
        <v>7</v>
      </c>
      <c r="S6" s="99">
        <v>8</v>
      </c>
      <c r="T6" s="99">
        <v>9</v>
      </c>
      <c r="U6" s="99">
        <v>10</v>
      </c>
    </row>
    <row r="7" spans="1:22" ht="12.75"/>
    <row r="8" spans="1:22" ht="13.5" thickBot="1"/>
    <row r="9" spans="1:22" ht="13.5" thickBot="1">
      <c r="A9" s="104" t="s">
        <v>311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</row>
    <row r="10" spans="1:22" ht="12.75"/>
    <row r="11" spans="1:22" ht="12.75" hidden="1"/>
  </sheetData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53F33EF2F3BA4BA1068169B005D878" ma:contentTypeVersion="4" ma:contentTypeDescription="Create a new document." ma:contentTypeScope="" ma:versionID="aa0ab9c576694820222fa9c7e3e7ba88">
  <xsd:schema xmlns:xsd="http://www.w3.org/2001/XMLSchema" xmlns:xs="http://www.w3.org/2001/XMLSchema" xmlns:p="http://schemas.microsoft.com/office/2006/metadata/properties" xmlns:ns2="3fa92ce7-63f9-4f1c-89ae-d5f38a88343f" xmlns:ns3="041cf9dd-099b-4ad4-95b1-eaa732a0ad40" targetNamespace="http://schemas.microsoft.com/office/2006/metadata/properties" ma:root="true" ma:fieldsID="bdcdf1fedcd58913bc04d60f96a1de69" ns2:_="" ns3:_="">
    <xsd:import namespace="3fa92ce7-63f9-4f1c-89ae-d5f38a88343f"/>
    <xsd:import namespace="041cf9dd-099b-4ad4-95b1-eaa732a0ad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92ce7-63f9-4f1c-89ae-d5f38a883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1cf9dd-099b-4ad4-95b1-eaa732a0a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BD0A03-7310-412A-A6A7-0277B5B7BE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8F2EF3-A96F-48D4-958B-D709C47A6F4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fa92ce7-63f9-4f1c-89ae-d5f38a88343f"/>
    <ds:schemaRef ds:uri="http://purl.org/dc/elements/1.1/"/>
    <ds:schemaRef ds:uri="http://schemas.microsoft.com/office/2006/metadata/properties"/>
    <ds:schemaRef ds:uri="041cf9dd-099b-4ad4-95b1-eaa732a0ad4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84E0443-4899-4370-BA73-0C6DEE3A9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92ce7-63f9-4f1c-89ae-d5f38a88343f"/>
    <ds:schemaRef ds:uri="041cf9dd-099b-4ad4-95b1-eaa732a0a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98</vt:i4>
      </vt:variant>
    </vt:vector>
  </HeadingPairs>
  <TitlesOfParts>
    <vt:vector size="105" baseType="lpstr">
      <vt:lpstr>F_Inputs</vt:lpstr>
      <vt:lpstr>Inputs</vt:lpstr>
      <vt:lpstr>Calcs</vt:lpstr>
      <vt:lpstr>Totex menu adjustments</vt:lpstr>
      <vt:lpstr>F_Outputs</vt:lpstr>
      <vt:lpstr>RPI</vt:lpstr>
      <vt:lpstr>Timeline</vt:lpstr>
      <vt:lpstr>Actual.Exclusions.Sewerage</vt:lpstr>
      <vt:lpstr>Actual.Exclusions.Water</vt:lpstr>
      <vt:lpstr>Actual.PDRC.Sewerage</vt:lpstr>
      <vt:lpstr>Actual.PDRC.Water</vt:lpstr>
      <vt:lpstr>Actual.Totex.Sewerage</vt:lpstr>
      <vt:lpstr>Actual.Totex.Water</vt:lpstr>
      <vt:lpstr>Add.Income.1stOrder</vt:lpstr>
      <vt:lpstr>Add.Income.2ndOrder</vt:lpstr>
      <vt:lpstr>Add.Income.Constant</vt:lpstr>
      <vt:lpstr>AddInc.Coeff.Sewerage</vt:lpstr>
      <vt:lpstr>AddInc.Coeff.Water</vt:lpstr>
      <vt:lpstr>All.Totex.Sewerage</vt:lpstr>
      <vt:lpstr>All.Totex.Water</vt:lpstr>
      <vt:lpstr>AllExp.Coeff.Sewerage</vt:lpstr>
      <vt:lpstr>AllExp.Coeff.Water</vt:lpstr>
      <vt:lpstr>Allowed.Exp.Constant</vt:lpstr>
      <vt:lpstr>Allowed.Exp.Slope</vt:lpstr>
      <vt:lpstr>Allowed.totex.final.memu.sewerage</vt:lpstr>
      <vt:lpstr>Allowed.totex.final.menu.water</vt:lpstr>
      <vt:lpstr>AMP.Years</vt:lpstr>
      <vt:lpstr>Baseline.Totex.Sewerage</vt:lpstr>
      <vt:lpstr>Baseline.Totex.Water</vt:lpstr>
      <vt:lpstr>Baseyear</vt:lpstr>
      <vt:lpstr>BR.IDoK.Water</vt:lpstr>
      <vt:lpstr>Calendar.Years</vt:lpstr>
      <vt:lpstr>Choice.BP</vt:lpstr>
      <vt:lpstr>Company.Baseline</vt:lpstr>
      <vt:lpstr>Company.Slope</vt:lpstr>
      <vt:lpstr>CompanyEnhanced</vt:lpstr>
      <vt:lpstr>CompanyForecase.Int</vt:lpstr>
      <vt:lpstr>CompanyName</vt:lpstr>
      <vt:lpstr>CompanyType</vt:lpstr>
      <vt:lpstr>Eff.Inc.Constant</vt:lpstr>
      <vt:lpstr>Eff.Inc.Slope</vt:lpstr>
      <vt:lpstr>EffInc.Coeff.Sewerage</vt:lpstr>
      <vt:lpstr>EffInc.Coeff.Water</vt:lpstr>
      <vt:lpstr>Enhanced.Baseline</vt:lpstr>
      <vt:lpstr>Enhanced.Flag</vt:lpstr>
      <vt:lpstr>FD.AddInc.Coeff.Sewerage</vt:lpstr>
      <vt:lpstr>FD.AddInc.Coeff.Water</vt:lpstr>
      <vt:lpstr>FD.AllExp.Coeff.Sewerage</vt:lpstr>
      <vt:lpstr>FD.AllExp.Coeff.Water</vt:lpstr>
      <vt:lpstr>FD.EffInc.Coeff.Sewerage</vt:lpstr>
      <vt:lpstr>FD.EffInc.Coeff.Water</vt:lpstr>
      <vt:lpstr>FD.Menu.Choice.Sewerage</vt:lpstr>
      <vt:lpstr>FD.Menu.Choice.Water</vt:lpstr>
      <vt:lpstr>FD.PDRC.Sewerage</vt:lpstr>
      <vt:lpstr>FD.PDRC.Water</vt:lpstr>
      <vt:lpstr>Indexation.Average</vt:lpstr>
      <vt:lpstr>Indexation.Average.Override</vt:lpstr>
      <vt:lpstr>Indexation.Check</vt:lpstr>
      <vt:lpstr>Indexation.November</vt:lpstr>
      <vt:lpstr>Indexation.November.Override</vt:lpstr>
      <vt:lpstr>Inflation.Yearly.Average</vt:lpstr>
      <vt:lpstr>IP.logging.Adj.TTT</vt:lpstr>
      <vt:lpstr>LB.AddInc</vt:lpstr>
      <vt:lpstr>LB.AllExp</vt:lpstr>
      <vt:lpstr>LB.Chosen</vt:lpstr>
      <vt:lpstr>LB.EffInc</vt:lpstr>
      <vt:lpstr>LB.Enhanced</vt:lpstr>
      <vt:lpstr>LB.NonEnhanced</vt:lpstr>
      <vt:lpstr>LegacyDep.Sewerage</vt:lpstr>
      <vt:lpstr>LegacyDep.Water</vt:lpstr>
      <vt:lpstr>Logging.TTT.Land</vt:lpstr>
      <vt:lpstr>Logging.TTT.scopeswaps</vt:lpstr>
      <vt:lpstr>Menu.Choice.Sewerage</vt:lpstr>
      <vt:lpstr>Menu.Choice.Water</vt:lpstr>
      <vt:lpstr>Menu.Totex</vt:lpstr>
      <vt:lpstr>Menu.Totex.Sewerage</vt:lpstr>
      <vt:lpstr>Menu.Totex.Water</vt:lpstr>
      <vt:lpstr>NonEnhanced.Baseline</vt:lpstr>
      <vt:lpstr>OfwatBaseline.Int</vt:lpstr>
      <vt:lpstr>Outturn.BP</vt:lpstr>
      <vt:lpstr>PAYG.Sewerage</vt:lpstr>
      <vt:lpstr>PAYG.Water</vt:lpstr>
      <vt:lpstr>Calcs!Print_Area</vt:lpstr>
      <vt:lpstr>F_Inputs!Print_Area</vt:lpstr>
      <vt:lpstr>F_Outputs!Print_Area</vt:lpstr>
      <vt:lpstr>Inputs!Print_Area</vt:lpstr>
      <vt:lpstr>RPI!Print_Area</vt:lpstr>
      <vt:lpstr>Timeline!Print_Area</vt:lpstr>
      <vt:lpstr>'Totex menu adjustments'!Print_Area</vt:lpstr>
      <vt:lpstr>Total.Adj.Sewerage</vt:lpstr>
      <vt:lpstr>Total.Adj.Water</vt:lpstr>
      <vt:lpstr>Totex.Adj.Sewerage</vt:lpstr>
      <vt:lpstr>Totex.Adj.Water</vt:lpstr>
      <vt:lpstr>TransitionExp.Sewerage</vt:lpstr>
      <vt:lpstr>TransitionExp.Water</vt:lpstr>
      <vt:lpstr>UB.AddInc</vt:lpstr>
      <vt:lpstr>UB.AllExp</vt:lpstr>
      <vt:lpstr>UB.Chosen</vt:lpstr>
      <vt:lpstr>UB.EffInc</vt:lpstr>
      <vt:lpstr>UB.Enhanced</vt:lpstr>
      <vt:lpstr>UB.NonEnhanced</vt:lpstr>
      <vt:lpstr>WACC</vt:lpstr>
      <vt:lpstr>WeightedPAYG.Sewerage</vt:lpstr>
      <vt:lpstr>WeightedPAYG.Water</vt:lpstr>
      <vt:lpstr>WoC.Flag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2019-01-20T12:38:03Z</dcterms:created>
  <dcterms:modified xsi:type="dcterms:W3CDTF">2019-07-16T13:28:40Z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0x0101000453F33EF2F3BA4BA1068169B005D878</vt:lpwstr>
  </property>
  <property fmtid="{D5CDD505-2E9C-101B-9397-08002B2CF9AE}" pid="3" name="MSIP_Label_0fadc02d-b84c-4fcd-86e1-6d5a6eea3ef1_Enabled">
    <vt:lpwstr>True</vt:lpwstr>
  </property>
  <property fmtid="{D5CDD505-2E9C-101B-9397-08002B2CF9AE}" pid="4" name="MSIP_Label_0fadc02d-b84c-4fcd-86e1-6d5a6eea3ef1_SiteId">
    <vt:lpwstr>92ebd22d-0a9c-4516-a68f-ba966853a8f3</vt:lpwstr>
  </property>
  <property fmtid="{D5CDD505-2E9C-101B-9397-08002B2CF9AE}" pid="5" name="MSIP_Label_0fadc02d-b84c-4fcd-86e1-6d5a6eea3ef1_Owner">
    <vt:lpwstr>lewandow@yw.co.uk</vt:lpwstr>
  </property>
  <property fmtid="{D5CDD505-2E9C-101B-9397-08002B2CF9AE}" pid="6" name="MSIP_Label_0fadc02d-b84c-4fcd-86e1-6d5a6eea3ef1_SetDate">
    <vt:lpwstr>2019-07-16T13:28:29.6718912Z</vt:lpwstr>
  </property>
  <property fmtid="{D5CDD505-2E9C-101B-9397-08002B2CF9AE}" pid="7" name="MSIP_Label_0fadc02d-b84c-4fcd-86e1-6d5a6eea3ef1_Name">
    <vt:lpwstr>Public</vt:lpwstr>
  </property>
  <property fmtid="{D5CDD505-2E9C-101B-9397-08002B2CF9AE}" pid="8" name="MSIP_Label_0fadc02d-b84c-4fcd-86e1-6d5a6eea3ef1_Application">
    <vt:lpwstr>Microsoft Azure Information Protection</vt:lpwstr>
  </property>
  <property fmtid="{D5CDD505-2E9C-101B-9397-08002B2CF9AE}" pid="9" name="MSIP_Label_0fadc02d-b84c-4fcd-86e1-6d5a6eea3ef1_ActionId">
    <vt:lpwstr>651e4787-ec44-42e1-b5d0-44c90e6688e5</vt:lpwstr>
  </property>
  <property fmtid="{D5CDD505-2E9C-101B-9397-08002B2CF9AE}" pid="10" name="MSIP_Label_0fadc02d-b84c-4fcd-86e1-6d5a6eea3ef1_Extended_MSFT_Method">
    <vt:lpwstr>Manual</vt:lpwstr>
  </property>
  <property fmtid="{D5CDD505-2E9C-101B-9397-08002B2CF9AE}" pid="11" name="Sensitivity">
    <vt:lpwstr>Public</vt:lpwstr>
  </property>
</Properties>
</file>