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yorkshirewater-my.sharepoint.com/personal/fraserc_yw_co_uk/Documents/Documents (Colin)/"/>
    </mc:Choice>
  </mc:AlternateContent>
  <xr:revisionPtr revIDLastSave="507" documentId="8_{99D03CB0-046F-4E93-87B0-EE10E40AB899}" xr6:coauthVersionLast="47" xr6:coauthVersionMax="47" xr10:uidLastSave="{D74AC746-2F50-4AE5-B88D-6A43B754B7E7}"/>
  <bookViews>
    <workbookView xWindow="-120" yWindow="-120" windowWidth="29040" windowHeight="15720" tabRatio="876" activeTab="2" xr2:uid="{E283218E-8BCE-46DA-9C03-BFCAB4C8EFB5}"/>
  </bookViews>
  <sheets>
    <sheet name="Intro" sheetId="1" r:id="rId1"/>
    <sheet name="Guidance" sheetId="82" r:id="rId2"/>
    <sheet name="Wholesale Tariff Inputs" sheetId="86" r:id="rId3"/>
    <sheet name="York Areas" sheetId="87" r:id="rId4"/>
    <sheet name="Cockpit" sheetId="68" r:id="rId5"/>
    <sheet name="O&gt;" sheetId="19" r:id="rId6"/>
    <sheet name="Charging arrangements table" sheetId="81" r:id="rId7"/>
    <sheet name="Margin comparison" sheetId="85" r:id="rId8"/>
    <sheet name="C&gt;" sheetId="15" r:id="rId9"/>
    <sheet name="Bulk Supply Tariffs" sheetId="75" r:id="rId10"/>
    <sheet name="Avoided Capital Maintenance" sheetId="74" r:id="rId11"/>
    <sheet name="Avoided Operating Costs" sheetId="73" r:id="rId12"/>
    <sheet name="Relevant starting point" sheetId="62" r:id="rId13"/>
    <sheet name="I &gt;" sheetId="7" r:id="rId14"/>
    <sheet name="Wholesale tariffs" sheetId="89" r:id="rId15"/>
  </sheets>
  <definedNames>
    <definedName name="_ModelDate" localSheetId="7">#REF!</definedName>
    <definedName name="_ModelDate">Intro!$B$4</definedName>
    <definedName name="_ModelName" localSheetId="7">#REF!</definedName>
    <definedName name="_ModelName">Intro!$B$2</definedName>
    <definedName name="_ModelStatus" localSheetId="7">#REF!</definedName>
    <definedName name="_ModelStatus">Intro!$E$4</definedName>
    <definedName name="_ModelVersion" localSheetId="7">#REF!</definedName>
    <definedName name="_ModelVersion">Intro!$D$4</definedName>
    <definedName name="_OrganisationName" localSheetId="7">#REF!</definedName>
    <definedName name="_OrganisationName">Intro!$B$3</definedName>
    <definedName name="Million" localSheetId="4">Cockpit!$G$5</definedName>
    <definedName name="Million" localSheetId="1">Guidance!$G$5</definedName>
    <definedName name="Million">#REF!</definedName>
    <definedName name="Thousand" localSheetId="4">Cockpit!#REF!</definedName>
    <definedName name="Thousand" localSheetId="1">Guidance!$G$4</definedName>
    <definedName name="Thousan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 i="86" l="1"/>
  <c r="M66" i="73"/>
  <c r="J34" i="62"/>
  <c r="K47" i="62"/>
  <c r="J47" i="62"/>
  <c r="K46" i="62"/>
  <c r="J46" i="62"/>
  <c r="K45" i="62"/>
  <c r="J45" i="62"/>
  <c r="K43" i="62"/>
  <c r="J43" i="62"/>
  <c r="K42" i="62"/>
  <c r="J42" i="62"/>
  <c r="K41" i="62"/>
  <c r="J41" i="62"/>
  <c r="K37" i="62"/>
  <c r="J37" i="62"/>
  <c r="K36" i="62"/>
  <c r="J36" i="62"/>
  <c r="K34" i="62"/>
  <c r="K33" i="62"/>
  <c r="J33" i="62"/>
  <c r="A1" i="89" a="1"/>
  <c r="A1" i="89" s="1"/>
  <c r="E16" i="86" l="1"/>
  <c r="E15" i="86"/>
  <c r="J17" i="62" l="1"/>
  <c r="I33" i="68"/>
  <c r="G23" i="85" s="1"/>
  <c r="I32" i="68"/>
  <c r="I28" i="68"/>
  <c r="I27" i="68"/>
  <c r="I23" i="68"/>
  <c r="I21" i="68"/>
  <c r="I18" i="68"/>
  <c r="J12" i="75" s="1"/>
  <c r="I17" i="68"/>
  <c r="G11" i="85" s="1"/>
  <c r="I41" i="68" l="1"/>
  <c r="I42" i="68" s="1"/>
  <c r="J11" i="75"/>
  <c r="I29" i="68"/>
  <c r="I24" i="68" s="1"/>
  <c r="G15" i="85" s="1"/>
  <c r="I22" i="68" l="1"/>
  <c r="G14" i="85" s="1"/>
  <c r="I39" i="81" l="1"/>
  <c r="H39" i="81"/>
  <c r="G39" i="81"/>
  <c r="A1" i="85" l="1" a="1"/>
  <c r="A1" i="85" s="1"/>
  <c r="G20" i="85"/>
  <c r="G26" i="85" s="1"/>
  <c r="G22" i="85"/>
  <c r="E35" i="85"/>
  <c r="E36" i="85"/>
  <c r="E37" i="85"/>
  <c r="G25" i="85" l="1"/>
  <c r="G12" i="85" l="1"/>
  <c r="K54" i="73"/>
  <c r="K55" i="73"/>
  <c r="K53" i="73"/>
  <c r="K52" i="73"/>
  <c r="L84" i="73" l="1"/>
  <c r="M84" i="73"/>
  <c r="N84" i="73"/>
  <c r="O84" i="73"/>
  <c r="A1" i="82" l="1" a="1"/>
  <c r="A1" i="82" s="1"/>
  <c r="H10" i="81" l="1"/>
  <c r="M60" i="73" l="1"/>
  <c r="G37" i="85"/>
  <c r="G36" i="85"/>
  <c r="J29" i="74"/>
  <c r="J28" i="74"/>
  <c r="J27" i="74"/>
  <c r="J26" i="74"/>
  <c r="J24" i="74"/>
  <c r="J25" i="74"/>
  <c r="K25" i="74" s="1"/>
  <c r="J27" i="62"/>
  <c r="J13" i="62"/>
  <c r="A1" i="62" a="1"/>
  <c r="A1" i="62" s="1"/>
  <c r="I31" i="74"/>
  <c r="J23" i="74"/>
  <c r="A1" i="74" a="1"/>
  <c r="A1" i="74" s="1"/>
  <c r="G102" i="73"/>
  <c r="G96" i="73"/>
  <c r="G101" i="73" s="1"/>
  <c r="G95" i="73"/>
  <c r="E43" i="81" s="1"/>
  <c r="G94" i="73"/>
  <c r="E42" i="81" s="1"/>
  <c r="G93" i="73"/>
  <c r="E41" i="81" s="1"/>
  <c r="G92" i="73"/>
  <c r="E40" i="81" s="1"/>
  <c r="E77" i="73"/>
  <c r="K44" i="73"/>
  <c r="K49" i="73" s="1"/>
  <c r="K43" i="73"/>
  <c r="K48" i="73" s="1"/>
  <c r="K41" i="73"/>
  <c r="K46" i="73" s="1"/>
  <c r="K37" i="73"/>
  <c r="L37" i="73" s="1"/>
  <c r="M37" i="73" s="1"/>
  <c r="N37" i="73" s="1"/>
  <c r="O37" i="73" s="1"/>
  <c r="A1" i="73" a="1"/>
  <c r="A1" i="73" s="1"/>
  <c r="A1" i="75" a="1"/>
  <c r="A1" i="75" s="1"/>
  <c r="O62" i="81"/>
  <c r="G67" i="81"/>
  <c r="A1" i="81" a="1"/>
  <c r="A1" i="81" s="1"/>
  <c r="L31" i="73"/>
  <c r="G18" i="85"/>
  <c r="G17" i="85"/>
  <c r="A1" i="68" a="1"/>
  <c r="A1" i="68" s="1"/>
  <c r="D4" i="1" a="1"/>
  <c r="D4" i="1" s="1"/>
  <c r="B4" i="1" a="1"/>
  <c r="B4" i="1" s="1"/>
  <c r="A2" i="89" l="1"/>
  <c r="L36" i="73"/>
  <c r="L61" i="73" s="1"/>
  <c r="L23" i="73"/>
  <c r="M23" i="73" s="1"/>
  <c r="N23" i="73" s="1"/>
  <c r="O23" i="73" s="1"/>
  <c r="G35" i="85"/>
  <c r="J20" i="62"/>
  <c r="J67" i="62" s="1"/>
  <c r="L26" i="73"/>
  <c r="M26" i="73" s="1"/>
  <c r="N26" i="73" s="1"/>
  <c r="O26" i="73" s="1"/>
  <c r="J21" i="62"/>
  <c r="L27" i="73"/>
  <c r="M27" i="73" s="1"/>
  <c r="N27" i="73" s="1"/>
  <c r="O27" i="73" s="1"/>
  <c r="M31" i="73"/>
  <c r="J25" i="62"/>
  <c r="J56" i="62" s="1"/>
  <c r="G29" i="85" s="1"/>
  <c r="G32" i="85" s="1"/>
  <c r="L32" i="73"/>
  <c r="M32" i="73" s="1"/>
  <c r="N32" i="73" s="1"/>
  <c r="O32" i="73" s="1"/>
  <c r="E44" i="81"/>
  <c r="J24" i="62"/>
  <c r="J55" i="62" s="1"/>
  <c r="G28" i="85" s="1"/>
  <c r="G31" i="85" s="1"/>
  <c r="K42" i="73"/>
  <c r="K47" i="73" s="1"/>
  <c r="O66" i="73"/>
  <c r="O69" i="73" s="1"/>
  <c r="M34" i="74" s="1"/>
  <c r="N61" i="73"/>
  <c r="O61" i="73"/>
  <c r="M67" i="73"/>
  <c r="M70" i="73" s="1"/>
  <c r="K35" i="74" s="1"/>
  <c r="N67" i="73"/>
  <c r="N70" i="73" s="1"/>
  <c r="L35" i="74" s="1"/>
  <c r="O67" i="73"/>
  <c r="O70" i="73" s="1"/>
  <c r="M35" i="74" s="1"/>
  <c r="N60" i="73"/>
  <c r="O60" i="73"/>
  <c r="K81" i="62"/>
  <c r="J34" i="75" s="1"/>
  <c r="M69" i="73"/>
  <c r="K34" i="74" s="1"/>
  <c r="N66" i="73"/>
  <c r="N69" i="73" s="1"/>
  <c r="M61" i="73"/>
  <c r="I52" i="81"/>
  <c r="G52" i="81"/>
  <c r="H52" i="81"/>
  <c r="A2" i="82"/>
  <c r="A2" i="68"/>
  <c r="A2" i="74"/>
  <c r="A2" i="81"/>
  <c r="A2" i="62"/>
  <c r="A2" i="75"/>
  <c r="A2" i="73"/>
  <c r="I67" i="81"/>
  <c r="H67" i="81"/>
  <c r="P62" i="81"/>
  <c r="Q62" i="81"/>
  <c r="J57" i="74"/>
  <c r="K27" i="74"/>
  <c r="J53" i="74"/>
  <c r="K23" i="74"/>
  <c r="J58" i="74"/>
  <c r="K28" i="74"/>
  <c r="K24" i="74"/>
  <c r="J54" i="74"/>
  <c r="J56" i="74"/>
  <c r="K26" i="74"/>
  <c r="L25" i="74"/>
  <c r="K55" i="74"/>
  <c r="K29" i="74"/>
  <c r="J59" i="74"/>
  <c r="J55" i="74"/>
  <c r="L35" i="73"/>
  <c r="L60" i="73" s="1"/>
  <c r="J59" i="62" l="1"/>
  <c r="J66" i="62" s="1"/>
  <c r="L28" i="73"/>
  <c r="G19" i="85"/>
  <c r="K46" i="85"/>
  <c r="I46" i="85"/>
  <c r="J46" i="85"/>
  <c r="L46" i="85"/>
  <c r="J81" i="62"/>
  <c r="J22" i="75" s="1"/>
  <c r="K22" i="75" s="1"/>
  <c r="L22" i="75" s="1"/>
  <c r="M22" i="75" s="1"/>
  <c r="K40" i="74"/>
  <c r="L40" i="74" s="1"/>
  <c r="M40" i="74" s="1"/>
  <c r="K34" i="75"/>
  <c r="L34" i="75" s="1"/>
  <c r="M34" i="75" s="1"/>
  <c r="K67" i="62"/>
  <c r="K78" i="62" s="1"/>
  <c r="L85" i="73"/>
  <c r="L86" i="73" s="1"/>
  <c r="L104" i="73" s="1"/>
  <c r="J16" i="75" s="1"/>
  <c r="N31" i="73"/>
  <c r="M85" i="73"/>
  <c r="M86" i="73" s="1"/>
  <c r="M104" i="73" s="1"/>
  <c r="K59" i="62"/>
  <c r="K66" i="62" s="1"/>
  <c r="J78" i="62"/>
  <c r="Q39" i="81"/>
  <c r="Q52" i="81" s="1"/>
  <c r="O39" i="81"/>
  <c r="O52" i="81" s="1"/>
  <c r="P39" i="81"/>
  <c r="P52" i="81" s="1"/>
  <c r="K41" i="74"/>
  <c r="L41" i="74" s="1"/>
  <c r="M41" i="74" s="1"/>
  <c r="M25" i="74"/>
  <c r="M55" i="74" s="1"/>
  <c r="L55" i="74"/>
  <c r="L28" i="74"/>
  <c r="K58" i="74"/>
  <c r="L29" i="74"/>
  <c r="K59" i="74"/>
  <c r="L24" i="74"/>
  <c r="K54" i="74"/>
  <c r="K53" i="74"/>
  <c r="L23" i="74"/>
  <c r="K56" i="74"/>
  <c r="L26" i="74"/>
  <c r="K57" i="74"/>
  <c r="L27" i="74"/>
  <c r="J19" i="74"/>
  <c r="K19" i="74" s="1"/>
  <c r="L19" i="74" s="1"/>
  <c r="M19" i="74" s="1"/>
  <c r="J16" i="74"/>
  <c r="K16" i="74" s="1"/>
  <c r="J17" i="74"/>
  <c r="L17" i="73"/>
  <c r="M17" i="73" s="1"/>
  <c r="L34" i="74"/>
  <c r="K60" i="62"/>
  <c r="J60" i="62"/>
  <c r="J73" i="62" s="1"/>
  <c r="K72" i="62" l="1"/>
  <c r="K73" i="62"/>
  <c r="I74" i="85"/>
  <c r="D30" i="86" s="1"/>
  <c r="L22" i="73"/>
  <c r="M22" i="73" s="1"/>
  <c r="N22" i="73" s="1"/>
  <c r="O22" i="73" s="1"/>
  <c r="L49" i="74"/>
  <c r="K49" i="74"/>
  <c r="K69" i="74" s="1"/>
  <c r="J61" i="62"/>
  <c r="J72" i="62"/>
  <c r="K68" i="62"/>
  <c r="K71" i="62"/>
  <c r="J71" i="62"/>
  <c r="K61" i="62"/>
  <c r="G53" i="81"/>
  <c r="K16" i="75"/>
  <c r="O53" i="81"/>
  <c r="O31" i="73"/>
  <c r="O85" i="73" s="1"/>
  <c r="O86" i="73" s="1"/>
  <c r="O104" i="73" s="1"/>
  <c r="N85" i="73"/>
  <c r="N86" i="73" s="1"/>
  <c r="N104" i="73" s="1"/>
  <c r="J68" i="62"/>
  <c r="L53" i="74"/>
  <c r="M23" i="74"/>
  <c r="M53" i="74" s="1"/>
  <c r="L54" i="74"/>
  <c r="M24" i="74"/>
  <c r="M54" i="74" s="1"/>
  <c r="L57" i="74"/>
  <c r="M27" i="74"/>
  <c r="M57" i="74" s="1"/>
  <c r="M29" i="74"/>
  <c r="M59" i="74" s="1"/>
  <c r="L59" i="74"/>
  <c r="L56" i="74"/>
  <c r="M26" i="74"/>
  <c r="M56" i="74" s="1"/>
  <c r="L58" i="74"/>
  <c r="M28" i="74"/>
  <c r="M58" i="74" s="1"/>
  <c r="O93" i="73"/>
  <c r="L16" i="74"/>
  <c r="M16" i="74" s="1"/>
  <c r="M46" i="74" s="1"/>
  <c r="M66" i="74" s="1"/>
  <c r="K46" i="74"/>
  <c r="K66" i="74" s="1"/>
  <c r="N17" i="73"/>
  <c r="M74" i="73"/>
  <c r="K17" i="74"/>
  <c r="L17" i="74" s="1"/>
  <c r="M17" i="74" s="1"/>
  <c r="M47" i="74" s="1"/>
  <c r="J20" i="74"/>
  <c r="L19" i="73"/>
  <c r="M19" i="73" s="1"/>
  <c r="M77" i="73" s="1"/>
  <c r="J15" i="74"/>
  <c r="K15" i="74" s="1"/>
  <c r="J14" i="74"/>
  <c r="K14" i="74" s="1"/>
  <c r="J18" i="74"/>
  <c r="K18" i="74" s="1"/>
  <c r="M28" i="73"/>
  <c r="N28" i="73" s="1"/>
  <c r="O28" i="73" s="1"/>
  <c r="L67" i="73"/>
  <c r="L70" i="73" s="1"/>
  <c r="L66" i="73"/>
  <c r="M49" i="74" l="1"/>
  <c r="M69" i="74" s="1"/>
  <c r="J74" i="85"/>
  <c r="L18" i="73"/>
  <c r="M18" i="73" s="1"/>
  <c r="N18" i="73" s="1"/>
  <c r="L47" i="74"/>
  <c r="L67" i="74" s="1"/>
  <c r="K47" i="74"/>
  <c r="K67" i="74" s="1"/>
  <c r="M94" i="73"/>
  <c r="P53" i="81"/>
  <c r="H53" i="81"/>
  <c r="L16" i="75"/>
  <c r="I53" i="81"/>
  <c r="Q53" i="81"/>
  <c r="M16" i="75"/>
  <c r="O58" i="81"/>
  <c r="O55" i="81"/>
  <c r="O59" i="81"/>
  <c r="O60" i="81"/>
  <c r="O56" i="81"/>
  <c r="G63" i="81"/>
  <c r="G59" i="81"/>
  <c r="G60" i="81"/>
  <c r="G61" i="81"/>
  <c r="G64" i="81"/>
  <c r="G56" i="81"/>
  <c r="G55" i="81"/>
  <c r="G65" i="81"/>
  <c r="M67" i="74"/>
  <c r="L69" i="74"/>
  <c r="L46" i="74"/>
  <c r="L66" i="74" s="1"/>
  <c r="L16" i="73"/>
  <c r="M16" i="73" s="1"/>
  <c r="N16" i="73" s="1"/>
  <c r="O16" i="73" s="1"/>
  <c r="L93" i="73"/>
  <c r="J27" i="75" s="1"/>
  <c r="M93" i="73"/>
  <c r="K27" i="75" s="1"/>
  <c r="N93" i="73"/>
  <c r="L27" i="75" s="1"/>
  <c r="L15" i="74"/>
  <c r="K45" i="74"/>
  <c r="K65" i="74" s="1"/>
  <c r="O17" i="73"/>
  <c r="O74" i="73" s="1"/>
  <c r="N74" i="73"/>
  <c r="K20" i="74"/>
  <c r="N19" i="73"/>
  <c r="N77" i="73" s="1"/>
  <c r="M95" i="73"/>
  <c r="L18" i="74"/>
  <c r="K48" i="74"/>
  <c r="K68" i="74" s="1"/>
  <c r="M27" i="75"/>
  <c r="K44" i="74"/>
  <c r="K64" i="74" s="1"/>
  <c r="L14" i="74"/>
  <c r="K74" i="62"/>
  <c r="L69" i="73"/>
  <c r="L77" i="73" s="1"/>
  <c r="L95" i="73" s="1"/>
  <c r="J74" i="62"/>
  <c r="J77" i="62" s="1"/>
  <c r="J35" i="74"/>
  <c r="K77" i="62" l="1"/>
  <c r="K80" i="62" s="1"/>
  <c r="M75" i="73"/>
  <c r="M100" i="73" s="1"/>
  <c r="L75" i="73"/>
  <c r="L81" i="73" s="1"/>
  <c r="L101" i="73" s="1"/>
  <c r="J38" i="75" s="1"/>
  <c r="L20" i="74"/>
  <c r="K50" i="74"/>
  <c r="K70" i="74" s="1"/>
  <c r="K73" i="74" s="1"/>
  <c r="N94" i="73"/>
  <c r="O94" i="73"/>
  <c r="J50" i="74"/>
  <c r="J70" i="74" s="1"/>
  <c r="J49" i="74"/>
  <c r="J69" i="74" s="1"/>
  <c r="H60" i="81"/>
  <c r="H59" i="81"/>
  <c r="H61" i="81"/>
  <c r="H65" i="81"/>
  <c r="H55" i="81"/>
  <c r="H64" i="81"/>
  <c r="H56" i="81"/>
  <c r="H63" i="81"/>
  <c r="Q56" i="81"/>
  <c r="Q60" i="81"/>
  <c r="Q58" i="81"/>
  <c r="Q59" i="81"/>
  <c r="Q55" i="81"/>
  <c r="I56" i="81"/>
  <c r="I64" i="81"/>
  <c r="I55" i="81"/>
  <c r="I61" i="81"/>
  <c r="I63" i="81"/>
  <c r="I59" i="81"/>
  <c r="I60" i="81"/>
  <c r="I65" i="81"/>
  <c r="P55" i="81"/>
  <c r="P58" i="81"/>
  <c r="P56" i="81"/>
  <c r="P59" i="81"/>
  <c r="P60" i="81"/>
  <c r="N92" i="73"/>
  <c r="O92" i="73"/>
  <c r="L92" i="73"/>
  <c r="L15" i="73"/>
  <c r="M92" i="73"/>
  <c r="O19" i="73"/>
  <c r="N95" i="73"/>
  <c r="M15" i="74"/>
  <c r="M45" i="74" s="1"/>
  <c r="M65" i="74" s="1"/>
  <c r="L45" i="74"/>
  <c r="L65" i="74" s="1"/>
  <c r="L44" i="74"/>
  <c r="L64" i="74" s="1"/>
  <c r="M14" i="74"/>
  <c r="M44" i="74" s="1"/>
  <c r="M64" i="74" s="1"/>
  <c r="K72" i="74"/>
  <c r="O18" i="73"/>
  <c r="O75" i="73" s="1"/>
  <c r="N75" i="73"/>
  <c r="M18" i="74"/>
  <c r="M48" i="74" s="1"/>
  <c r="M68" i="74" s="1"/>
  <c r="L48" i="74"/>
  <c r="L68" i="74" s="1"/>
  <c r="J79" i="62"/>
  <c r="J80" i="62"/>
  <c r="L74" i="73"/>
  <c r="J34" i="74"/>
  <c r="J47" i="74" s="1"/>
  <c r="K79" i="62" l="1"/>
  <c r="L100" i="73"/>
  <c r="L102" i="73" s="1"/>
  <c r="M81" i="73"/>
  <c r="M101" i="73" s="1"/>
  <c r="K39" i="75"/>
  <c r="M15" i="73"/>
  <c r="M80" i="73" s="1"/>
  <c r="M96" i="73" s="1"/>
  <c r="L80" i="73"/>
  <c r="L96" i="73" s="1"/>
  <c r="J26" i="75" s="1"/>
  <c r="M20" i="74"/>
  <c r="M50" i="74" s="1"/>
  <c r="M70" i="74" s="1"/>
  <c r="M73" i="74" s="1"/>
  <c r="L50" i="74"/>
  <c r="L70" i="74" s="1"/>
  <c r="L73" i="74" s="1"/>
  <c r="O77" i="73"/>
  <c r="J33" i="75"/>
  <c r="N81" i="73"/>
  <c r="N101" i="73" s="1"/>
  <c r="N100" i="73"/>
  <c r="M72" i="74"/>
  <c r="K28" i="75"/>
  <c r="K74" i="74"/>
  <c r="O81" i="73"/>
  <c r="O101" i="73" s="1"/>
  <c r="O100" i="73"/>
  <c r="L72" i="74"/>
  <c r="K25" i="75"/>
  <c r="K37" i="75"/>
  <c r="L25" i="75"/>
  <c r="J67" i="74"/>
  <c r="J45" i="74"/>
  <c r="J65" i="74" s="1"/>
  <c r="J48" i="74"/>
  <c r="J68" i="74" s="1"/>
  <c r="J46" i="74"/>
  <c r="J66" i="74" s="1"/>
  <c r="J44" i="74"/>
  <c r="J64" i="74" s="1"/>
  <c r="J21" i="75"/>
  <c r="J44" i="75" s="1"/>
  <c r="L94" i="73"/>
  <c r="J73" i="74"/>
  <c r="K38" i="75" l="1"/>
  <c r="K49" i="75" s="1"/>
  <c r="M97" i="73"/>
  <c r="J48" i="75"/>
  <c r="I57" i="85" s="1"/>
  <c r="I45" i="85"/>
  <c r="I48" i="85" s="1"/>
  <c r="K33" i="75"/>
  <c r="J58" i="85" s="1"/>
  <c r="J60" i="85" s="1"/>
  <c r="J37" i="75"/>
  <c r="I58" i="85"/>
  <c r="I59" i="85"/>
  <c r="L39" i="75"/>
  <c r="M102" i="73"/>
  <c r="J59" i="85" s="1"/>
  <c r="J61" i="85" s="1"/>
  <c r="O63" i="81"/>
  <c r="O64" i="81" s="1"/>
  <c r="N15" i="73"/>
  <c r="N80" i="73" s="1"/>
  <c r="N96" i="73" s="1"/>
  <c r="M39" i="75"/>
  <c r="O95" i="73"/>
  <c r="L37" i="75"/>
  <c r="N102" i="73"/>
  <c r="K59" i="85" s="1"/>
  <c r="M28" i="75"/>
  <c r="M74" i="74"/>
  <c r="L28" i="75"/>
  <c r="L74" i="74"/>
  <c r="L38" i="75"/>
  <c r="O102" i="73"/>
  <c r="L59" i="85" s="1"/>
  <c r="M37" i="75"/>
  <c r="K26" i="75"/>
  <c r="K45" i="75" s="1"/>
  <c r="J47" i="85" s="1"/>
  <c r="J49" i="85" s="1"/>
  <c r="M38" i="75"/>
  <c r="J39" i="75"/>
  <c r="K21" i="75"/>
  <c r="J45" i="85" s="1"/>
  <c r="J48" i="85" s="1"/>
  <c r="L97" i="73"/>
  <c r="J25" i="75"/>
  <c r="J72" i="74"/>
  <c r="J28" i="75" s="1"/>
  <c r="I61" i="85" l="1"/>
  <c r="I87" i="85"/>
  <c r="D42" i="86" s="1"/>
  <c r="D43" i="86" s="1"/>
  <c r="I60" i="85"/>
  <c r="K48" i="75"/>
  <c r="J57" i="85" s="1"/>
  <c r="J62" i="85" s="1"/>
  <c r="J65" i="85" s="1"/>
  <c r="J49" i="75"/>
  <c r="G68" i="81"/>
  <c r="G69" i="81" s="1"/>
  <c r="L33" i="75"/>
  <c r="K58" i="85" s="1"/>
  <c r="K61" i="85"/>
  <c r="L61" i="85"/>
  <c r="I62" i="85"/>
  <c r="J45" i="75"/>
  <c r="I47" i="85" s="1"/>
  <c r="I49" i="85" s="1"/>
  <c r="O15" i="73"/>
  <c r="O80" i="73" s="1"/>
  <c r="O96" i="73" s="1"/>
  <c r="M25" i="75"/>
  <c r="Q63" i="81"/>
  <c r="Q64" i="81" s="1"/>
  <c r="L49" i="75"/>
  <c r="L26" i="75"/>
  <c r="L45" i="75" s="1"/>
  <c r="K47" i="85" s="1"/>
  <c r="H68" i="81"/>
  <c r="H69" i="81" s="1"/>
  <c r="N97" i="73"/>
  <c r="M49" i="75"/>
  <c r="P63" i="81"/>
  <c r="P64" i="81" s="1"/>
  <c r="J74" i="74"/>
  <c r="L21" i="75"/>
  <c r="K45" i="85" s="1"/>
  <c r="K44" i="75"/>
  <c r="J44" i="85" s="1"/>
  <c r="J50" i="85" s="1"/>
  <c r="I89" i="85" l="1"/>
  <c r="D45" i="86" s="1"/>
  <c r="K49" i="85"/>
  <c r="E42" i="86"/>
  <c r="K60" i="85"/>
  <c r="L48" i="75"/>
  <c r="K57" i="85" s="1"/>
  <c r="M33" i="75"/>
  <c r="M48" i="75" s="1"/>
  <c r="L57" i="85" s="1"/>
  <c r="J63" i="85"/>
  <c r="J87" i="85"/>
  <c r="I65" i="85"/>
  <c r="I63" i="85"/>
  <c r="M26" i="75"/>
  <c r="M45" i="75" s="1"/>
  <c r="I68" i="81"/>
  <c r="I69" i="81" s="1"/>
  <c r="O97" i="73"/>
  <c r="J53" i="85"/>
  <c r="J51" i="85"/>
  <c r="K48" i="85"/>
  <c r="M21" i="75"/>
  <c r="L44" i="75"/>
  <c r="K44" i="85" s="1"/>
  <c r="L47" i="85" l="1"/>
  <c r="L49" i="85" s="1"/>
  <c r="I77" i="85" s="1"/>
  <c r="D34" i="86" s="1"/>
  <c r="I85" i="85"/>
  <c r="D40" i="86" s="1"/>
  <c r="K62" i="85"/>
  <c r="J89" i="85"/>
  <c r="K50" i="85"/>
  <c r="L58" i="85"/>
  <c r="L62" i="85"/>
  <c r="M44" i="75"/>
  <c r="L44" i="85" s="1"/>
  <c r="L45" i="85"/>
  <c r="I75" i="85" l="1"/>
  <c r="D31" i="86" s="1"/>
  <c r="E31" i="86" s="1"/>
  <c r="L50" i="85"/>
  <c r="L51" i="85" s="1"/>
  <c r="I90" i="85"/>
  <c r="D46" i="86" s="1"/>
  <c r="I86" i="85"/>
  <c r="D41" i="86" s="1"/>
  <c r="E40" i="86" s="1"/>
  <c r="I73" i="85"/>
  <c r="D29" i="86" s="1"/>
  <c r="L60" i="85"/>
  <c r="K65" i="85"/>
  <c r="K63" i="85"/>
  <c r="J85" i="85"/>
  <c r="J77" i="85"/>
  <c r="L63" i="85"/>
  <c r="L48" i="85"/>
  <c r="I76" i="85" s="1"/>
  <c r="K53" i="85"/>
  <c r="K51" i="85"/>
  <c r="J75" i="85" l="1"/>
  <c r="D32" i="86"/>
  <c r="I91" i="85"/>
  <c r="J86" i="85"/>
  <c r="L65" i="85"/>
  <c r="I88" i="85"/>
  <c r="D33" i="86"/>
  <c r="J73" i="85"/>
  <c r="L53" i="85"/>
  <c r="J90" i="85"/>
  <c r="I93" i="85" l="1"/>
  <c r="E47" i="86" s="1"/>
  <c r="D44" i="86"/>
  <c r="J91" i="85"/>
  <c r="D47" i="86"/>
  <c r="J88" i="85"/>
  <c r="J76" i="85"/>
  <c r="J93" i="85" l="1"/>
  <c r="I44" i="85" l="1"/>
  <c r="I72" i="85" s="1"/>
  <c r="D28" i="86" l="1"/>
  <c r="E28" i="86" s="1"/>
  <c r="I50" i="85"/>
  <c r="I78" i="85" s="1"/>
  <c r="J78" i="85" l="1"/>
  <c r="J72" i="85"/>
  <c r="I53" i="85"/>
  <c r="I51" i="85"/>
  <c r="I79" i="85" s="1"/>
  <c r="D36" i="86" l="1"/>
  <c r="D35" i="86"/>
  <c r="I81" i="85"/>
  <c r="E36" i="86" s="1"/>
  <c r="J79" i="85" l="1"/>
  <c r="J81" i="8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<sst xmlns="http://schemas.openxmlformats.org/spreadsheetml/2006/main" count="1036" uniqueCount="391">
  <si>
    <t>BSP model for NAVs</t>
  </si>
  <si>
    <t xml:space="preserve">Disclaimer:
This workbook has been prepared solely for the use and benefit of Yorkshire Water. CEPA do not accept or assume any responsibility or duty of care to any third party. CEPA do not make any representation or warranty, expressed or implied, as to the accuracy or completeness of the workbook and its input assumptions and assumes no responsibility for the accuracy or completeness of such information. CEPA accept no liability for any loss or damage arising out of the use of this workbook by a third party. </t>
  </si>
  <si>
    <t>Yorkshire Water</t>
  </si>
  <si>
    <t>Final</t>
  </si>
  <si>
    <t>Accompanying report:</t>
  </si>
  <si>
    <t>This workbook computes bulk supply charges for a NAV site for the current modelling year based on wholesale minus methodology. The approach takes Yorkshire Water’s wholesale charges as the starting point and deducts a set of on-site costs that would be avoided if a NAV were to operate a site instead of Yorkshire Water. The avoided costs are determined based on a menu-based approach. The results from this model will be placed in the Charging Arrangements document for the current modelling year.</t>
  </si>
  <si>
    <t>Version history</t>
  </si>
  <si>
    <t>Version</t>
  </si>
  <si>
    <t>Date</t>
  </si>
  <si>
    <t>Edited by</t>
  </si>
  <si>
    <t>Description of Changes</t>
  </si>
  <si>
    <t>CEPA</t>
  </si>
  <si>
    <t>Model development</t>
  </si>
  <si>
    <t>1</t>
  </si>
  <si>
    <t>Model finalisation</t>
  </si>
  <si>
    <t>Format key</t>
  </si>
  <si>
    <t>2</t>
  </si>
  <si>
    <t>Data for 2024/25 tariffs added.</t>
  </si>
  <si>
    <t>Cells</t>
  </si>
  <si>
    <t>Cell intentionally blank</t>
  </si>
  <si>
    <t>Value</t>
  </si>
  <si>
    <t>Fixed input</t>
  </si>
  <si>
    <t>User input</t>
  </si>
  <si>
    <t>Calculation</t>
  </si>
  <si>
    <t>Unique formula (formula inconsistent to others in row/column)</t>
  </si>
  <si>
    <t>Value used on another worksheet</t>
  </si>
  <si>
    <t>Value from another worksheet</t>
  </si>
  <si>
    <t>Negative value</t>
  </si>
  <si>
    <t>Annotation</t>
  </si>
  <si>
    <t>Tabs</t>
  </si>
  <si>
    <t>QA log</t>
  </si>
  <si>
    <t>Sheet colour</t>
  </si>
  <si>
    <t>Information sheet</t>
  </si>
  <si>
    <t>QA'd by</t>
  </si>
  <si>
    <t>Description of QA</t>
  </si>
  <si>
    <t>Cockpit sheet</t>
  </si>
  <si>
    <t>Cell by cell QA</t>
  </si>
  <si>
    <t>Input sheet</t>
  </si>
  <si>
    <t>Calculation sheet</t>
  </si>
  <si>
    <t>Output sheet</t>
  </si>
  <si>
    <t>Tab Information</t>
  </si>
  <si>
    <t>Information</t>
  </si>
  <si>
    <t>Worksheet</t>
  </si>
  <si>
    <t>Description</t>
  </si>
  <si>
    <t>To adjust in future updates?</t>
  </si>
  <si>
    <t>A cover sheet introducing the model.</t>
  </si>
  <si>
    <t>Yes</t>
  </si>
  <si>
    <t>This sheet illustrates how the source data and the NAV input data are used to calculate the final set of tariffs.</t>
  </si>
  <si>
    <t>No</t>
  </si>
  <si>
    <t>Cockpit</t>
  </si>
  <si>
    <t>This sheet contains assumptions required to calculate bulk supply tariffs.</t>
  </si>
  <si>
    <t>Outputs</t>
  </si>
  <si>
    <t>Charging arrangements table</t>
  </si>
  <si>
    <t>This sheet presents the calculated bulk supply tariffs in a 'menu' format.</t>
  </si>
  <si>
    <t>Margin comparison</t>
  </si>
  <si>
    <t>This sheet compares the margin a NAV will receive from a site under a menu-based approach with the margin it would have received under the previous site-specific approach.</t>
  </si>
  <si>
    <t>Bulk Supply Tariffs</t>
  </si>
  <si>
    <t>This sheet calculates bulk supply tariffs NAV will face in the live charging year</t>
  </si>
  <si>
    <t>Avoided Operating Costs</t>
  </si>
  <si>
    <t xml:space="preserve">This sheet calculates the avoided operating costs Yorkshire Water no longer incurs where the NAV owns and maintains the new site network instead. </t>
  </si>
  <si>
    <t>Avoided Capital Maintenance</t>
  </si>
  <si>
    <t xml:space="preserve">This sheet calculates the avoided capital maintenance costs Yorkshire Water no longer incurs where the NAV owns and maintains the new site network instead. </t>
  </si>
  <si>
    <t>Relevant starting point</t>
  </si>
  <si>
    <t>This sheet calculates the wholesale tariff ‘starting point’ for the setting of bulk charges through a ‘weighted’ approach based on the mix of properties (household and non-household) to be built and served at the site and their relative forecast water consumption.</t>
  </si>
  <si>
    <t>Inputs</t>
  </si>
  <si>
    <t>Wholesale tariffs</t>
  </si>
  <si>
    <t>This sheet contains Yorkshire Water's wholesale tariffs by charging year.</t>
  </si>
  <si>
    <t>Scientific services</t>
  </si>
  <si>
    <t>End of Sheet</t>
  </si>
  <si>
    <t>Site Name</t>
  </si>
  <si>
    <t xml:space="preserve"> This is optional and allows for keeping track of different projects</t>
  </si>
  <si>
    <t>Site reference code</t>
  </si>
  <si>
    <t>Is the site within the York area?*</t>
  </si>
  <si>
    <t>Yes/No</t>
  </si>
  <si>
    <t>Please see tab 'York Areas' for maps and list of postcodes</t>
  </si>
  <si>
    <t>Bulk Water Supply</t>
  </si>
  <si>
    <t>Bulk Wastewater Supply</t>
  </si>
  <si>
    <t xml:space="preserve">Wastewater Surface Water Drainage </t>
  </si>
  <si>
    <t>Total mains network length</t>
  </si>
  <si>
    <t>km</t>
  </si>
  <si>
    <t>Total sewer network length</t>
  </si>
  <si>
    <t>Number of HH properties planned for site</t>
  </si>
  <si>
    <t>Number</t>
  </si>
  <si>
    <t>Number of NHH properties planned for site</t>
  </si>
  <si>
    <t>Annual HH water demand</t>
  </si>
  <si>
    <t>m3/prop/yr</t>
  </si>
  <si>
    <t>Use the YW default value of 130m3/prop/yr or input your own number if known</t>
  </si>
  <si>
    <t>Annual NHH water demand</t>
  </si>
  <si>
    <t>Use the YW default value of 5000m3/prop/yr or input your own number if known</t>
  </si>
  <si>
    <t>Water Tariff</t>
  </si>
  <si>
    <t>Volumetric water bulk supply tariff - leakage adjusted</t>
  </si>
  <si>
    <t>p/m3</t>
  </si>
  <si>
    <t>Volumetric wholesale charges</t>
  </si>
  <si>
    <t>Fixed charge</t>
  </si>
  <si>
    <t>£/prop/yr</t>
  </si>
  <si>
    <t xml:space="preserve">Fixed per prop discount (total water avoidable costs) </t>
  </si>
  <si>
    <t xml:space="preserve">Fixed per prop discount NET of fixed charge </t>
  </si>
  <si>
    <t>End consumer wholesale charges</t>
  </si>
  <si>
    <t>£</t>
  </si>
  <si>
    <t xml:space="preserve">Total water avoidable costs for site </t>
  </si>
  <si>
    <t xml:space="preserve">Bulk supply 'charges' for site </t>
  </si>
  <si>
    <t xml:space="preserve">Equivalent water 'tariff' </t>
  </si>
  <si>
    <t>Gross margin</t>
  </si>
  <si>
    <t>Volumetric wastewater bulk supply tariff - leakage adjusted *</t>
  </si>
  <si>
    <t>* Logic in Bulk Supply tariffs to remove leakage allowance when no Bulk Water supply</t>
  </si>
  <si>
    <t>Volumetric wholesale charge</t>
  </si>
  <si>
    <t xml:space="preserve">Fixed per prop discount (total wastewater avoidable costs) </t>
  </si>
  <si>
    <t xml:space="preserve">Total wastewater avoidable costs for site </t>
  </si>
  <si>
    <t xml:space="preserve">Bulk discharge 'charges' for site </t>
  </si>
  <si>
    <t xml:space="preserve">Equivalent wastewater 'tariff' </t>
  </si>
  <si>
    <t>York Waterworks Map (extract from licence)</t>
  </si>
  <si>
    <t>York Waterworks territory is detailed by the parishes that make up the area.</t>
  </si>
  <si>
    <t xml:space="preserve">If the NAV site resides within one of these parishes Yorkshire Water will use our published York Waterworks tariffs for setting the wholesale starting tariff: </t>
  </si>
  <si>
    <t>Parish Name</t>
  </si>
  <si>
    <t>Acomb</t>
  </si>
  <si>
    <t>Acaster Malbis</t>
  </si>
  <si>
    <t>Acaster Selby</t>
  </si>
  <si>
    <t>Askham Bryan</t>
  </si>
  <si>
    <t>Askham Richard</t>
  </si>
  <si>
    <t>Appleton Roebuck</t>
  </si>
  <si>
    <t>Bishopthorpe</t>
  </si>
  <si>
    <t>Bolton Percy</t>
  </si>
  <si>
    <t>Bootham</t>
  </si>
  <si>
    <t>Castlegate</t>
  </si>
  <si>
    <t>Clifton</t>
  </si>
  <si>
    <t>Clifton Without</t>
  </si>
  <si>
    <t>Colton</t>
  </si>
  <si>
    <t>Companthorpe</t>
  </si>
  <si>
    <t>Deighton</t>
  </si>
  <si>
    <t>Dunnington</t>
  </si>
  <si>
    <t>Earswick</t>
  </si>
  <si>
    <t>Elvington</t>
  </si>
  <si>
    <t>Escrick</t>
  </si>
  <si>
    <t>Fulford</t>
  </si>
  <si>
    <t>Fishergate</t>
  </si>
  <si>
    <t>Guildhall</t>
  </si>
  <si>
    <t>Haxby</t>
  </si>
  <si>
    <t>Heworth</t>
  </si>
  <si>
    <t>Heworth without</t>
  </si>
  <si>
    <t>Heslington</t>
  </si>
  <si>
    <t>Holgate</t>
  </si>
  <si>
    <t>Huntington</t>
  </si>
  <si>
    <t>Kexby</t>
  </si>
  <si>
    <t>Knavesmire</t>
  </si>
  <si>
    <t>Micklegate</t>
  </si>
  <si>
    <t>Monk</t>
  </si>
  <si>
    <t>Murton (Flaxton)</t>
  </si>
  <si>
    <t>Osbaldwick</t>
  </si>
  <si>
    <t>Rawcliffe</t>
  </si>
  <si>
    <t>Scarcroft</t>
  </si>
  <si>
    <t>Skipwith</t>
  </si>
  <si>
    <t>Stillingfleet</t>
  </si>
  <si>
    <t>Skelton</t>
  </si>
  <si>
    <t>Stockton-on-Forest</t>
  </si>
  <si>
    <t>Thorganby</t>
  </si>
  <si>
    <t>Towthorpe</t>
  </si>
  <si>
    <t>Walmgate</t>
  </si>
  <si>
    <t>Wheldrake</t>
  </si>
  <si>
    <t>Wiggington</t>
  </si>
  <si>
    <t>York</t>
  </si>
  <si>
    <t>Return to Intro tab</t>
  </si>
  <si>
    <t>Y/N</t>
  </si>
  <si>
    <t>Total mains network</t>
  </si>
  <si>
    <t>Total sewers network</t>
  </si>
  <si>
    <t>Number of HH properties</t>
  </si>
  <si>
    <t>number</t>
  </si>
  <si>
    <t>Number of NHH properties</t>
  </si>
  <si>
    <t>Water</t>
  </si>
  <si>
    <t>Volumetric</t>
  </si>
  <si>
    <t>£/prop</t>
  </si>
  <si>
    <t>Effective discount</t>
  </si>
  <si>
    <t>%</t>
  </si>
  <si>
    <t>Wastewater</t>
  </si>
  <si>
    <t>This sheet contains assumptions that model users control to amend bulk supply tariffs</t>
  </si>
  <si>
    <t>Charging year</t>
  </si>
  <si>
    <t>Charges Modelling Year</t>
  </si>
  <si>
    <t>2024-2025</t>
  </si>
  <si>
    <t>Average period for unit cost calculations</t>
  </si>
  <si>
    <t>year</t>
  </si>
  <si>
    <t>Site Characteristics</t>
  </si>
  <si>
    <t>Water or Wastewater?</t>
  </si>
  <si>
    <t>Network Length</t>
  </si>
  <si>
    <t>Minimum allowed mains network length</t>
  </si>
  <si>
    <t>Minimum allowed sewer network length</t>
  </si>
  <si>
    <t>Number of Properties</t>
  </si>
  <si>
    <t>Total Number of points of connection required</t>
  </si>
  <si>
    <t>Sites Control</t>
  </si>
  <si>
    <t>WACC</t>
  </si>
  <si>
    <t>Leakage</t>
  </si>
  <si>
    <t>Site specific?</t>
  </si>
  <si>
    <t>boolean</t>
  </si>
  <si>
    <t>Leakage assumption if not site specific</t>
  </si>
  <si>
    <t>Leakage losses</t>
  </si>
  <si>
    <t>multiplier</t>
  </si>
  <si>
    <t>Leakage cap</t>
  </si>
  <si>
    <t>Sewerage rate</t>
  </si>
  <si>
    <t>Network density floor</t>
  </si>
  <si>
    <t>m/prop</t>
  </si>
  <si>
    <t>Typical Sites Controls</t>
  </si>
  <si>
    <t>Approach to avoided cost estimates</t>
  </si>
  <si>
    <t>Correlation</t>
  </si>
  <si>
    <t>Flag</t>
  </si>
  <si>
    <t>Average Network Length</t>
  </si>
  <si>
    <t>Average Density</t>
  </si>
  <si>
    <t>Number of properties threshold</t>
  </si>
  <si>
    <t>Typical Site 1</t>
  </si>
  <si>
    <t>#</t>
  </si>
  <si>
    <t>Typical Site 2</t>
  </si>
  <si>
    <t>Typical Site 3</t>
  </si>
  <si>
    <t>OUTPUTS</t>
  </si>
  <si>
    <t>Charge</t>
  </si>
  <si>
    <t>Unit</t>
  </si>
  <si>
    <t>Yorkshire Water area</t>
  </si>
  <si>
    <t>Households</t>
  </si>
  <si>
    <t>Fixed</t>
  </si>
  <si>
    <t>Non-Households</t>
  </si>
  <si>
    <t>Consumption &lt;50Mla</t>
  </si>
  <si>
    <t>Consumption &lt;250Mla</t>
  </si>
  <si>
    <t>Consumption &gt;250Mla</t>
  </si>
  <si>
    <t>York Waterworks area</t>
  </si>
  <si>
    <t>Avoided costs</t>
  </si>
  <si>
    <t>Wastewater operational costs</t>
  </si>
  <si>
    <t>Business overheads</t>
  </si>
  <si>
    <t>Asset replacement</t>
  </si>
  <si>
    <t>Total avoided costs</t>
  </si>
  <si>
    <t>Bulk supply tariff</t>
  </si>
  <si>
    <t>Leakage adjustment assumption</t>
  </si>
  <si>
    <t>Volumetric , leakage adjusted - households</t>
  </si>
  <si>
    <t>Yorkshire</t>
  </si>
  <si>
    <t>Volumetric , leakage adjusted - non-households</t>
  </si>
  <si>
    <t>Wholesale Fixed</t>
  </si>
  <si>
    <t>[Final] BSP model for NAVs - Yorkshire Water - Version 1 (15/12/2023)</t>
  </si>
  <si>
    <t>Site characteristics</t>
  </si>
  <si>
    <t>Bulk Water Supply:</t>
  </si>
  <si>
    <t>Bulk Wastewater Supply:</t>
  </si>
  <si>
    <t>Total mains network:</t>
  </si>
  <si>
    <t>Total sewers network:</t>
  </si>
  <si>
    <t>Annual HH water demand incl leakage</t>
  </si>
  <si>
    <t>Annual NHH water demand incl leakage</t>
  </si>
  <si>
    <t>Annual HH wastewater discharge</t>
  </si>
  <si>
    <t>Annual NHH wastewater discharge</t>
  </si>
  <si>
    <t>Typical sites categorisation</t>
  </si>
  <si>
    <t># properties</t>
  </si>
  <si>
    <t>Margin comparison across sites categories</t>
  </si>
  <si>
    <t>Site-specific</t>
  </si>
  <si>
    <t>Bulk Water Supply Tariff</t>
  </si>
  <si>
    <t>Volumetric charges</t>
  </si>
  <si>
    <t>Avoided cost discounted fixed charge</t>
  </si>
  <si>
    <t>End consumer charges</t>
  </si>
  <si>
    <t xml:space="preserve">Bulk supply 'price' for site </t>
  </si>
  <si>
    <t>Bulk Wastewater Discharge Tariff</t>
  </si>
  <si>
    <t>Volumetric wastewater bulk supply tariff - leakage adjusted</t>
  </si>
  <si>
    <t>Volumetric charge</t>
  </si>
  <si>
    <t>Margin comparison - live</t>
  </si>
  <si>
    <t xml:space="preserve">Equivalent 'Typical Site' </t>
  </si>
  <si>
    <t>% difference</t>
  </si>
  <si>
    <t>Item</t>
  </si>
  <si>
    <t>Total</t>
  </si>
  <si>
    <t>Sewerage</t>
  </si>
  <si>
    <t>CALCULATIONS</t>
  </si>
  <si>
    <t>Relevant Starting Point</t>
  </si>
  <si>
    <t>Volumetric weighted average</t>
  </si>
  <si>
    <t xml:space="preserve">Ongoing </t>
  </si>
  <si>
    <t>Indirects</t>
  </si>
  <si>
    <t>Additional</t>
  </si>
  <si>
    <t>Capital Maintenance</t>
  </si>
  <si>
    <t>Bulk Tariffs</t>
  </si>
  <si>
    <t>Water Supply</t>
  </si>
  <si>
    <t>Wastewater discharge</t>
  </si>
  <si>
    <t>General</t>
  </si>
  <si>
    <t>Unit Costs</t>
  </si>
  <si>
    <t>Meter and Meter chamber</t>
  </si>
  <si>
    <t>£/unit</t>
  </si>
  <si>
    <t>Communication pipes</t>
  </si>
  <si>
    <t>£/m</t>
  </si>
  <si>
    <t>Stop taps</t>
  </si>
  <si>
    <t>Water mains</t>
  </si>
  <si>
    <t>Furniture Water</t>
  </si>
  <si>
    <t>Furniture Wastewater (Manhole covers)</t>
  </si>
  <si>
    <t>Sewers</t>
  </si>
  <si>
    <t>Asset Life</t>
  </si>
  <si>
    <t>yr</t>
  </si>
  <si>
    <t>Network Density</t>
  </si>
  <si>
    <t>Calculations</t>
  </si>
  <si>
    <t>Adjustment Factors per Property</t>
  </si>
  <si>
    <t>Water Mains</t>
  </si>
  <si>
    <t>factor</t>
  </si>
  <si>
    <t>Fair Value</t>
  </si>
  <si>
    <t>Fair Value Annuity Factor</t>
  </si>
  <si>
    <t>Index</t>
  </si>
  <si>
    <t>Emergency response</t>
  </si>
  <si>
    <t>Water Operational costs</t>
  </si>
  <si>
    <t>Sewerage Operational costs</t>
  </si>
  <si>
    <t>Leakage management</t>
  </si>
  <si>
    <t>Number of properties</t>
  </si>
  <si>
    <t>HH</t>
  </si>
  <si>
    <t xml:space="preserve">number </t>
  </si>
  <si>
    <t>NHH</t>
  </si>
  <si>
    <t>Consumption</t>
  </si>
  <si>
    <t>Floor to network density</t>
  </si>
  <si>
    <t xml:space="preserve">Typical site analysis </t>
  </si>
  <si>
    <t>Active?</t>
  </si>
  <si>
    <t>Leakage if not site specific</t>
  </si>
  <si>
    <t>Uncapped</t>
  </si>
  <si>
    <t>Capped</t>
  </si>
  <si>
    <t>Operational Avoided Costs</t>
  </si>
  <si>
    <t>Business Overheads</t>
  </si>
  <si>
    <t>Leakage assumption</t>
  </si>
  <si>
    <t>Annual losses</t>
  </si>
  <si>
    <t>m3/yr</t>
  </si>
  <si>
    <t>Total input water</t>
  </si>
  <si>
    <t>Sewer operational costs</t>
  </si>
  <si>
    <t>Units</t>
  </si>
  <si>
    <t>2015-2016</t>
  </si>
  <si>
    <t>2016-2017</t>
  </si>
  <si>
    <t>2017-2018</t>
  </si>
  <si>
    <t>2018-2019</t>
  </si>
  <si>
    <t>2019-2020</t>
  </si>
  <si>
    <t>2020-2021</t>
  </si>
  <si>
    <t>2021-2022</t>
  </si>
  <si>
    <t>2022-2023</t>
  </si>
  <si>
    <t>2023-2024</t>
  </si>
  <si>
    <t>2025-2026</t>
  </si>
  <si>
    <t>2026-2027</t>
  </si>
  <si>
    <t>2027-2028</t>
  </si>
  <si>
    <t>Type of Site</t>
  </si>
  <si>
    <t>York?</t>
  </si>
  <si>
    <t># prop</t>
  </si>
  <si>
    <t>Demand</t>
  </si>
  <si>
    <t>Wholesale Charges</t>
  </si>
  <si>
    <t>Household</t>
  </si>
  <si>
    <t>Non-household charge</t>
  </si>
  <si>
    <t>Annual consumption &lt;50 Mla</t>
  </si>
  <si>
    <t>Annual consumption between 50-250 Mla</t>
  </si>
  <si>
    <t>Annual consumption between &gt;250 Mla</t>
  </si>
  <si>
    <t>Total Volume</t>
  </si>
  <si>
    <t>Annual Wastewater Discharge</t>
  </si>
  <si>
    <t>NH</t>
  </si>
  <si>
    <t>Total Charges</t>
  </si>
  <si>
    <t>£/yr</t>
  </si>
  <si>
    <t>Charge 0 -50</t>
  </si>
  <si>
    <t>Charge 50-250</t>
  </si>
  <si>
    <t>Charge &gt;250</t>
  </si>
  <si>
    <t>Total Charge</t>
  </si>
  <si>
    <t>Site</t>
  </si>
  <si>
    <t>Total Wholesale charge</t>
  </si>
  <si>
    <t>Weighted average rate</t>
  </si>
  <si>
    <t>Fixed rate</t>
  </si>
  <si>
    <t>INPUTS</t>
  </si>
  <si>
    <t>Source: BSP model NAVs - v06 (Cap) - NAV user version - draft - 2023-24, wholesale charges tab</t>
  </si>
  <si>
    <t>Measured Water and Wastewater charges (excl. York Waterworks)</t>
  </si>
  <si>
    <t>Non-household</t>
  </si>
  <si>
    <t>Standard Tariff 0-5</t>
  </si>
  <si>
    <t>Standard Tariff 5-50</t>
  </si>
  <si>
    <t>Banded Tariff &lt;50 Mla</t>
  </si>
  <si>
    <t>Banded Tariff &gt;50 &amp; &lt;=250 Mla</t>
  </si>
  <si>
    <t>Banded Tariff &gt;250 Mla</t>
  </si>
  <si>
    <t>Fixed Charge</t>
  </si>
  <si>
    <t>Volumetric Charge</t>
  </si>
  <si>
    <t xml:space="preserve">York Waterworks Measured Water and Wastewater Charges </t>
  </si>
  <si>
    <t>n/a</t>
  </si>
  <si>
    <t>Fixed bulk supply tariff (Net)</t>
  </si>
  <si>
    <t>Menu A</t>
  </si>
  <si>
    <t>Menu B</t>
  </si>
  <si>
    <t>Menu C</t>
  </si>
  <si>
    <t>Correlation coefficient - b1</t>
  </si>
  <si>
    <t>Correlation coefficient - b0</t>
  </si>
  <si>
    <t>Bespoke</t>
  </si>
  <si>
    <t>Website</t>
  </si>
  <si>
    <t>YW</t>
  </si>
  <si>
    <t>Locked data and protection of sheets</t>
  </si>
  <si>
    <t>Sample QA v 2023/24 model pre-publication</t>
  </si>
  <si>
    <t>Intro</t>
  </si>
  <si>
    <t>Guidance</t>
  </si>
  <si>
    <t>Wholesale Tariff Inputs</t>
  </si>
  <si>
    <t>York Areas</t>
  </si>
  <si>
    <r>
      <t>This sheet presents the map and list of parishes that make up the York Waterworks area of appointment.
If the NAV site sits within this area, the relevant water wholesale starting tariff is that of York Waterworks, and the NAV should mark 'Yes' in the cell in the Wholesale Tariff Inputs worksheet that asks "</t>
    </r>
    <r>
      <rPr>
        <i/>
        <sz val="10"/>
        <color theme="1"/>
        <rFont val="Arial Nova"/>
        <family val="2"/>
        <scheme val="minor"/>
      </rPr>
      <t>Is the site within the York area?*</t>
    </r>
    <r>
      <rPr>
        <sz val="10"/>
        <color theme="1"/>
        <rFont val="Arial Nova"/>
        <family val="2"/>
        <scheme val="minor"/>
      </rPr>
      <t>".</t>
    </r>
  </si>
  <si>
    <t>This sheet allows NAVs to input relevant data such as estimated consumption and number of properties, and displays a summary of the resultant bulk supply tariff.
This sheet also presents the 'output' bulk supply tariffs (volumetric and fixed charges)</t>
  </si>
  <si>
    <t>NAV inputs/outputs sheet</t>
  </si>
  <si>
    <t>York map sheet</t>
  </si>
  <si>
    <t>Surface Water Drainage fixed charge</t>
  </si>
  <si>
    <t>£/prop/pa</t>
  </si>
  <si>
    <t>Surface Water Drainage charge (HH properties)</t>
  </si>
  <si>
    <r>
      <rPr>
        <b/>
        <sz val="10"/>
        <color theme="1"/>
        <rFont val="Arial Nova"/>
        <family val="2"/>
        <scheme val="minor"/>
      </rPr>
      <t>NHH props</t>
    </r>
    <r>
      <rPr>
        <sz val="10"/>
        <color theme="1"/>
        <rFont val="Arial Nova"/>
        <family val="2"/>
        <scheme val="minor"/>
      </rPr>
      <t xml:space="preserve"> will have SWD charges from YW Wholesale Charges Scheme 2024-25 applied (vary by site area drained)</t>
    </r>
  </si>
  <si>
    <r>
      <t>Please fill in the</t>
    </r>
    <r>
      <rPr>
        <b/>
        <sz val="10"/>
        <color theme="2" tint="-0.249977111117893"/>
        <rFont val="Arial Nova"/>
        <family val="2"/>
        <scheme val="minor"/>
      </rPr>
      <t xml:space="preserve"> blue boxes</t>
    </r>
    <r>
      <rPr>
        <sz val="10"/>
        <color theme="2" tint="-0.249977111117893"/>
        <rFont val="Arial Nova"/>
        <family val="2"/>
        <scheme val="minor"/>
      </rPr>
      <t>. The green boxes are the results from the model</t>
    </r>
  </si>
  <si>
    <t>FOR NAV USERS</t>
  </si>
  <si>
    <t>NAV Site Development Characteristics</t>
  </si>
  <si>
    <t>NAV Bulk Supply Tariff Outputs</t>
  </si>
  <si>
    <t>Wastewater Tariff</t>
  </si>
  <si>
    <t>Leakage allowance provided in tariff (volumes recorded at boundary meter)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</si>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</sst>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quot;-  &quot;;&quot; &quot;@&quot; &quot;"/>
    <numFmt numFmtId="165" formatCode="0.00%_);\-0.00%_);&quot;-  &quot;;&quot; &quot;@&quot; &quot;"/>
    <numFmt numFmtId="166" formatCode="#,##0.0;[Red]\-#,##0.0;&quot;-&quot;_0;&quot; &quot;@&quot; &quot;"/>
    <numFmt numFmtId="167" formatCode="0.0%;[Red]\-0.0%;&quot;-&quot;_0;&quot; &quot;@&quot; &quot;"/>
    <numFmt numFmtId="168" formatCode="0_ ;[Red]\-0\ "/>
    <numFmt numFmtId="169" formatCode="#,##0_ ;[Red]\-#,##0\ "/>
    <numFmt numFmtId="170" formatCode="yyyy"/>
    <numFmt numFmtId="171" formatCode="#,##0.00;[Red]\-#,##0.00;&quot;-&quot;_00;&quot; &quot;@&quot; &quot;"/>
    <numFmt numFmtId="172" formatCode="#,##0.00;[Red]\-#,##0.00;&quot;-&quot;_0_0;@"/>
    <numFmt numFmtId="173" formatCode="#,##0.00;[Red]\-#,##0.00;&quot;-&quot;_0;&quot; &quot;@&quot; &quot;"/>
    <numFmt numFmtId="174" formatCode="0.00%;[Red]\-0.00%;&quot;-&quot;_0;&quot; &quot;@&quot; &quot;"/>
    <numFmt numFmtId="175" formatCode="#,##0;[Red]\-#,##0;&quot;-&quot;_0;&quot; &quot;@&quot; &quot;"/>
    <numFmt numFmtId="176" formatCode="#,##0.000;[Red]\-#,##0.000;&quot;-&quot;_0;&quot; &quot;@&quot; &quot;"/>
    <numFmt numFmtId="177" formatCode="#,##0;[Red]\-#,##0;&quot;-&quot;_0_0;@"/>
  </numFmts>
  <fonts count="55" x14ac:knownFonts="1">
    <font>
      <sz val="10"/>
      <color theme="1"/>
      <name val="Arial Nova"/>
      <family val="2"/>
      <scheme val="minor"/>
    </font>
    <font>
      <sz val="11"/>
      <color theme="1"/>
      <name val="Arial Nova"/>
      <family val="2"/>
      <scheme val="minor"/>
    </font>
    <font>
      <sz val="18"/>
      <color theme="3"/>
      <name val="Rockwell Nova"/>
      <family val="2"/>
      <scheme val="major"/>
    </font>
    <font>
      <sz val="10"/>
      <name val="Arial Nova"/>
      <family val="2"/>
      <scheme val="minor"/>
    </font>
    <font>
      <u/>
      <sz val="10"/>
      <color rgb="FFC00000"/>
      <name val="Arial Nova"/>
      <family val="2"/>
      <scheme val="minor"/>
    </font>
    <font>
      <sz val="10"/>
      <color theme="0"/>
      <name val="Arial Nova"/>
      <family val="2"/>
      <scheme val="minor"/>
    </font>
    <font>
      <b/>
      <sz val="10"/>
      <color theme="0"/>
      <name val="Arial"/>
      <family val="2"/>
    </font>
    <font>
      <sz val="8"/>
      <name val="Arial Nova"/>
      <family val="2"/>
      <scheme val="minor"/>
    </font>
    <font>
      <sz val="10"/>
      <name val="Arial Nova"/>
      <family val="2"/>
    </font>
    <font>
      <b/>
      <sz val="22"/>
      <color theme="0"/>
      <name val="Rockwell Nova"/>
      <family val="2"/>
      <scheme val="major"/>
    </font>
    <font>
      <i/>
      <sz val="10"/>
      <color theme="1" tint="0.34998626667073579"/>
      <name val="Arial Nova"/>
      <family val="2"/>
      <scheme val="minor"/>
    </font>
    <font>
      <i/>
      <sz val="10"/>
      <color theme="0" tint="-0.499984740745262"/>
      <name val="Arial Nova"/>
      <family val="2"/>
      <scheme val="minor"/>
    </font>
    <font>
      <sz val="10"/>
      <color theme="1"/>
      <name val="Arial Nova"/>
      <family val="2"/>
      <scheme val="minor"/>
    </font>
    <font>
      <b/>
      <sz val="10"/>
      <color theme="1"/>
      <name val="Arial Nova"/>
      <family val="2"/>
      <scheme val="minor"/>
    </font>
    <font>
      <b/>
      <sz val="10"/>
      <color theme="3"/>
      <name val="Arial Nova"/>
      <family val="2"/>
      <scheme val="minor"/>
    </font>
    <font>
      <sz val="8"/>
      <color rgb="FF3F3F76"/>
      <name val="Arial Nova"/>
      <family val="2"/>
      <scheme val="minor"/>
    </font>
    <font>
      <sz val="10"/>
      <color rgb="FFFA7D00"/>
      <name val="Arial Nova"/>
      <family val="2"/>
      <scheme val="minor"/>
    </font>
    <font>
      <b/>
      <sz val="10"/>
      <color theme="0"/>
      <name val="Arial Nova"/>
      <family val="2"/>
      <scheme val="minor"/>
    </font>
    <font>
      <u/>
      <sz val="10"/>
      <color theme="2"/>
      <name val="Arial Nova"/>
      <family val="2"/>
      <scheme val="minor"/>
    </font>
    <font>
      <i/>
      <sz val="10"/>
      <color theme="1"/>
      <name val="Arial Nova"/>
      <family val="2"/>
      <scheme val="minor"/>
    </font>
    <font>
      <sz val="12"/>
      <color theme="0" tint="-0.499984740745262"/>
      <name val="Rockwell Nova"/>
      <family val="2"/>
      <scheme val="major"/>
    </font>
    <font>
      <b/>
      <sz val="10"/>
      <color theme="2"/>
      <name val="Arial Nova"/>
      <family val="2"/>
      <scheme val="minor"/>
    </font>
    <font>
      <b/>
      <sz val="14"/>
      <color theme="0"/>
      <name val="Arial Nova"/>
      <family val="2"/>
      <scheme val="minor"/>
    </font>
    <font>
      <sz val="10"/>
      <color rgb="FF0070C0"/>
      <name val="Arial Nova"/>
      <family val="2"/>
      <scheme val="minor"/>
    </font>
    <font>
      <sz val="10"/>
      <color rgb="FF00863D"/>
      <name val="Arial Nova"/>
      <family val="2"/>
      <scheme val="minor"/>
    </font>
    <font>
      <sz val="10"/>
      <color rgb="FFFF0000"/>
      <name val="Arial Nova"/>
      <family val="2"/>
      <scheme val="minor"/>
    </font>
    <font>
      <b/>
      <u/>
      <sz val="10"/>
      <color theme="5" tint="-0.24994659260841701"/>
      <name val="Arial Nova"/>
      <family val="2"/>
      <scheme val="minor"/>
    </font>
    <font>
      <sz val="18"/>
      <name val="Arial"/>
      <family val="2"/>
    </font>
    <font>
      <b/>
      <sz val="8"/>
      <color rgb="FFFFFFFF"/>
      <name val="Arial Nova"/>
      <family val="2"/>
    </font>
    <font>
      <b/>
      <sz val="8"/>
      <color rgb="FF002776"/>
      <name val="Arial Nova"/>
      <family val="2"/>
    </font>
    <font>
      <sz val="8"/>
      <color rgb="FF002776"/>
      <name val="Arial Nova"/>
      <family val="2"/>
    </font>
    <font>
      <b/>
      <sz val="9"/>
      <color rgb="FFFFFFFF"/>
      <name val="Arial Nova"/>
      <family val="2"/>
    </font>
    <font>
      <sz val="8"/>
      <name val="Arial"/>
      <family val="2"/>
    </font>
    <font>
      <b/>
      <sz val="8"/>
      <color theme="2"/>
      <name val="Arial Nova"/>
      <family val="2"/>
      <scheme val="minor"/>
    </font>
    <font>
      <sz val="8"/>
      <color theme="1"/>
      <name val="Arial Nova"/>
      <family val="2"/>
      <scheme val="minor"/>
    </font>
    <font>
      <b/>
      <sz val="10"/>
      <name val="Arial Nova"/>
      <family val="2"/>
      <scheme val="minor"/>
    </font>
    <font>
      <b/>
      <sz val="10"/>
      <color rgb="FF00863D"/>
      <name val="Arial Nova"/>
      <family val="2"/>
      <scheme val="minor"/>
    </font>
    <font>
      <u/>
      <sz val="10"/>
      <color theme="1"/>
      <name val="Arial Nova"/>
      <family val="2"/>
      <scheme val="minor"/>
    </font>
    <font>
      <b/>
      <sz val="10"/>
      <color rgb="FFFF0000"/>
      <name val="Arial Nova"/>
      <family val="2"/>
      <scheme val="minor"/>
    </font>
    <font>
      <sz val="11"/>
      <color rgb="FF000000"/>
      <name val="Arial Nova"/>
      <family val="2"/>
      <scheme val="minor"/>
    </font>
    <font>
      <b/>
      <sz val="11"/>
      <color rgb="FFFFFFFF"/>
      <name val="Arial Nova"/>
      <family val="2"/>
      <scheme val="minor"/>
    </font>
    <font>
      <sz val="11"/>
      <color rgb="FF002776"/>
      <name val="Arial Nova"/>
      <family val="2"/>
      <scheme val="minor"/>
    </font>
    <font>
      <b/>
      <sz val="10"/>
      <color rgb="FFFF0000"/>
      <name val="Arial"/>
      <family val="2"/>
    </font>
    <font>
      <sz val="10"/>
      <color theme="0" tint="-0.34998626667073579"/>
      <name val="Arial Nova"/>
      <family val="2"/>
      <scheme val="minor"/>
    </font>
    <font>
      <sz val="11"/>
      <color rgb="FF000000"/>
      <name val="Calibri"/>
      <family val="2"/>
    </font>
    <font>
      <b/>
      <sz val="11"/>
      <color rgb="FF000000"/>
      <name val="Poppins"/>
    </font>
    <font>
      <b/>
      <sz val="11"/>
      <color rgb="FF000000"/>
      <name val="Calibri"/>
      <family val="2"/>
    </font>
    <font>
      <sz val="10"/>
      <color theme="2" tint="-0.249977111117893"/>
      <name val="Arial Nova"/>
      <family val="2"/>
      <scheme val="minor"/>
    </font>
    <font>
      <i/>
      <sz val="10"/>
      <color theme="4"/>
      <name val="Arial Nova"/>
      <family val="2"/>
      <scheme val="minor"/>
    </font>
    <font>
      <b/>
      <sz val="10"/>
      <color theme="4"/>
      <name val="Arial Nova"/>
      <family val="2"/>
      <scheme val="minor"/>
    </font>
    <font>
      <sz val="10"/>
      <color theme="4"/>
      <name val="Arial Nova"/>
      <family val="2"/>
      <scheme val="minor"/>
    </font>
    <font>
      <sz val="10"/>
      <color theme="3" tint="0.39997558519241921"/>
      <name val="Arial Nova"/>
      <family val="2"/>
      <scheme val="minor"/>
    </font>
    <font>
      <b/>
      <sz val="10"/>
      <color rgb="FF00B050"/>
      <name val="Arial Nova"/>
      <family val="2"/>
      <scheme val="minor"/>
    </font>
    <font>
      <b/>
      <sz val="10"/>
      <color theme="2" tint="-0.249977111117893"/>
      <name val="Arial Nova"/>
      <family val="2"/>
      <scheme val="minor"/>
    </font>
    <font>
      <b/>
      <sz val="12"/>
      <color theme="0"/>
      <name val="Arial Nova"/>
      <family val="2"/>
      <scheme val="minor"/>
    </font>
  </fonts>
  <fills count="29">
    <fill>
      <patternFill patternType="none"/>
    </fill>
    <fill>
      <patternFill patternType="gray125"/>
    </fill>
    <fill>
      <patternFill patternType="solid">
        <fgColor theme="0" tint="-0.14999847407452621"/>
        <bgColor indexed="64"/>
      </patternFill>
    </fill>
    <fill>
      <patternFill patternType="solid">
        <fgColor theme="2" tint="0.79998168889431442"/>
        <bgColor indexed="64"/>
      </patternFill>
    </fill>
    <fill>
      <patternFill patternType="solid">
        <fgColor theme="8"/>
        <bgColor indexed="64"/>
      </patternFill>
    </fill>
    <fill>
      <patternFill patternType="solid">
        <fgColor theme="3"/>
        <bgColor indexed="64"/>
      </patternFill>
    </fill>
    <fill>
      <patternFill patternType="solid">
        <fgColor rgb="FFFFCC99"/>
      </patternFill>
    </fill>
    <fill>
      <patternFill patternType="solid">
        <fgColor theme="2"/>
        <bgColor indexed="64"/>
      </patternFill>
    </fill>
    <fill>
      <patternFill patternType="solid">
        <fgColor theme="0" tint="-0.499984740745262"/>
        <bgColor theme="0" tint="-0.34998626667073579"/>
      </patternFill>
    </fill>
    <fill>
      <patternFill patternType="solid">
        <fgColor theme="6"/>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rgb="FF002776"/>
        <bgColor indexed="64"/>
      </patternFill>
    </fill>
    <fill>
      <patternFill patternType="solid">
        <fgColor rgb="FF5A85D7"/>
        <bgColor indexed="64"/>
      </patternFill>
    </fill>
    <fill>
      <patternFill patternType="solid">
        <fgColor rgb="FFB1CBFF"/>
        <bgColor indexed="64"/>
      </patternFill>
    </fill>
    <fill>
      <patternFill patternType="solid">
        <fgColor rgb="FFE7E8EC"/>
        <bgColor indexed="64"/>
      </patternFill>
    </fill>
    <fill>
      <patternFill patternType="darkUp">
        <fgColor theme="0"/>
        <bgColor theme="0" tint="-0.34998626667073579"/>
      </patternFill>
    </fill>
    <fill>
      <patternFill patternType="solid">
        <fgColor theme="4" tint="0.79995117038483843"/>
        <bgColor theme="8" tint="0.59996337778862885"/>
      </patternFill>
    </fill>
    <fill>
      <patternFill patternType="solid">
        <fgColor rgb="FF930A06"/>
        <bgColor indexed="64"/>
      </patternFill>
    </fill>
    <fill>
      <patternFill patternType="solid">
        <fgColor rgb="FF002776"/>
        <bgColor rgb="FF000000"/>
      </patternFill>
    </fill>
    <fill>
      <patternFill patternType="solid">
        <fgColor theme="8" tint="-0.249977111117893"/>
        <bgColor indexed="64"/>
      </patternFill>
    </fill>
    <fill>
      <patternFill patternType="solid">
        <fgColor theme="8" tint="0.59999389629810485"/>
        <bgColor indexed="64"/>
      </patternFill>
    </fill>
    <fill>
      <patternFill patternType="solid">
        <fgColor rgb="FFC3DBEE"/>
        <bgColor indexed="64"/>
      </patternFill>
    </fill>
    <fill>
      <patternFill patternType="solid">
        <fgColor rgb="FF00B0F0"/>
        <bgColor indexed="64"/>
      </patternFill>
    </fill>
    <fill>
      <patternFill patternType="solid">
        <fgColor rgb="FF92D050"/>
        <bgColor indexed="64"/>
      </patternFill>
    </fill>
    <fill>
      <patternFill patternType="solid">
        <fgColor rgb="FFB8D7A1"/>
        <bgColor indexed="64"/>
      </patternFill>
    </fill>
    <fill>
      <patternFill patternType="solid">
        <fgColor theme="3" tint="0.39997558519241921"/>
        <bgColor indexed="64"/>
      </patternFill>
    </fill>
  </fills>
  <borders count="34">
    <border>
      <left/>
      <right/>
      <top/>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3"/>
      </top>
      <bottom style="thin">
        <color theme="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rgb="FF002776"/>
      </left>
      <right/>
      <top style="medium">
        <color rgb="FF002776"/>
      </top>
      <bottom style="medium">
        <color rgb="FF002776"/>
      </bottom>
      <diagonal/>
    </border>
    <border>
      <left/>
      <right/>
      <top style="medium">
        <color rgb="FF002776"/>
      </top>
      <bottom style="medium">
        <color rgb="FF002776"/>
      </bottom>
      <diagonal/>
    </border>
    <border>
      <left/>
      <right style="medium">
        <color rgb="FF002776"/>
      </right>
      <top style="medium">
        <color rgb="FF002776"/>
      </top>
      <bottom style="medium">
        <color rgb="FF002776"/>
      </bottom>
      <diagonal/>
    </border>
    <border>
      <left style="thin">
        <color theme="0" tint="-0.24994659260841701"/>
      </left>
      <right style="thin">
        <color theme="0" tint="-0.24994659260841701"/>
      </right>
      <top style="thin">
        <color theme="0" tint="-0.24994659260841701"/>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3"/>
      </left>
      <right style="thin">
        <color theme="3"/>
      </right>
      <top style="thin">
        <color theme="3"/>
      </top>
      <bottom style="thin">
        <color theme="3"/>
      </bottom>
      <diagonal/>
    </border>
    <border>
      <left style="thin">
        <color theme="3" tint="0.79998168889431442"/>
      </left>
      <right style="thin">
        <color theme="3" tint="0.79998168889431442"/>
      </right>
      <top/>
      <bottom style="thin">
        <color theme="3" tint="0.79998168889431442"/>
      </bottom>
      <diagonal/>
    </border>
    <border>
      <left style="thin">
        <color theme="3" tint="0.79998168889431442"/>
      </left>
      <right style="thin">
        <color theme="3" tint="0.79998168889431442"/>
      </right>
      <top style="thin">
        <color theme="3" tint="0.79998168889431442"/>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theme="3" tint="0.79998168889431442"/>
      </top>
      <bottom style="thin">
        <color theme="3" tint="0.79998168889431442"/>
      </bottom>
      <diagonal/>
    </border>
    <border>
      <left style="medium">
        <color indexed="64"/>
      </left>
      <right style="medium">
        <color indexed="64"/>
      </right>
      <top style="thin">
        <color theme="3" tint="0.79998168889431442"/>
      </top>
      <bottom style="medium">
        <color indexed="64"/>
      </bottom>
      <diagonal/>
    </border>
    <border>
      <left style="medium">
        <color indexed="64"/>
      </left>
      <right style="medium">
        <color indexed="64"/>
      </right>
      <top style="medium">
        <color indexed="64"/>
      </top>
      <bottom style="thin">
        <color theme="3" tint="0.79998168889431442"/>
      </bottom>
      <diagonal/>
    </border>
    <border>
      <left style="medium">
        <color indexed="64"/>
      </left>
      <right style="medium">
        <color indexed="64"/>
      </right>
      <top/>
      <bottom/>
      <diagonal/>
    </border>
  </borders>
  <cellStyleXfs count="32">
    <xf numFmtId="172" fontId="0" fillId="0" borderId="0" applyFont="0" applyFill="0" applyBorder="0" applyProtection="0">
      <alignment vertical="top"/>
    </xf>
    <xf numFmtId="43" fontId="1" fillId="0" borderId="0" applyFont="0" applyFill="0" applyBorder="0" applyAlignment="0" applyProtection="0"/>
    <xf numFmtId="165" fontId="1" fillId="0" borderId="0" applyFont="0" applyFill="0" applyBorder="0" applyProtection="0">
      <alignment vertical="top"/>
    </xf>
    <xf numFmtId="0" fontId="2" fillId="0" borderId="0" applyNumberFormat="0" applyFill="0" applyBorder="0" applyAlignment="0" applyProtection="0"/>
    <xf numFmtId="0" fontId="17" fillId="5" borderId="0" applyNumberFormat="0" applyProtection="0">
      <alignment horizontal="left" vertical="center"/>
    </xf>
    <xf numFmtId="0" fontId="14" fillId="0" borderId="0" applyNumberFormat="0" applyProtection="0">
      <alignment horizontal="left" vertical="center"/>
    </xf>
    <xf numFmtId="0" fontId="21" fillId="0" borderId="0" applyNumberFormat="0" applyFill="0" applyBorder="0" applyProtection="0">
      <alignment horizontal="left"/>
    </xf>
    <xf numFmtId="173" fontId="12" fillId="12" borderId="7" applyAlignment="0" applyProtection="0"/>
    <xf numFmtId="0" fontId="25" fillId="0" borderId="0" applyNumberFormat="0" applyFill="0" applyBorder="0" applyAlignment="0" applyProtection="0"/>
    <xf numFmtId="0" fontId="10" fillId="0" borderId="0" applyNumberFormat="0" applyFill="0" applyBorder="0" applyAlignment="0" applyProtection="0"/>
    <xf numFmtId="0" fontId="3" fillId="18" borderId="0" applyNumberFormat="0" applyFont="0" applyAlignment="0" applyProtection="0"/>
    <xf numFmtId="166" fontId="12" fillId="13" borderId="2" applyNumberFormat="0" applyAlignment="0">
      <protection locked="0"/>
    </xf>
    <xf numFmtId="166" fontId="3" fillId="3" borderId="3" applyNumberFormat="0" applyAlignment="0">
      <alignment horizontal="center"/>
      <protection locked="0"/>
    </xf>
    <xf numFmtId="166" fontId="3" fillId="19" borderId="22" applyNumberFormat="0" applyAlignment="0" applyProtection="0"/>
    <xf numFmtId="0" fontId="23" fillId="0" borderId="7" applyNumberFormat="0" applyFill="0" applyAlignment="0" applyProtection="0"/>
    <xf numFmtId="0" fontId="6" fillId="7" borderId="0" applyAlignment="0" applyProtection="0"/>
    <xf numFmtId="0" fontId="15" fillId="6" borderId="1" applyNumberFormat="0" applyAlignment="0" applyProtection="0"/>
    <xf numFmtId="0" fontId="22" fillId="5" borderId="0" applyAlignment="0" applyProtection="0"/>
    <xf numFmtId="0" fontId="5" fillId="8" borderId="0" applyNumberFormat="0" applyProtection="0">
      <alignment horizontal="left"/>
    </xf>
    <xf numFmtId="164" fontId="5" fillId="0" borderId="4" applyNumberFormat="0" applyProtection="0">
      <alignment vertical="top" shrinkToFit="1"/>
    </xf>
    <xf numFmtId="0" fontId="13" fillId="0" borderId="8" applyNumberFormat="0" applyFill="0" applyAlignment="0" applyProtection="0"/>
    <xf numFmtId="0" fontId="16" fillId="0" borderId="5" applyNumberFormat="0" applyFill="0" applyAlignment="0" applyProtection="0"/>
    <xf numFmtId="0" fontId="12" fillId="10" borderId="6" applyNumberFormat="0" applyFont="0" applyAlignment="0" applyProtection="0"/>
    <xf numFmtId="0" fontId="26" fillId="0" borderId="0" applyNumberFormat="0" applyFill="0" applyBorder="0" applyAlignment="0" applyProtection="0"/>
    <xf numFmtId="41"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0" fontId="18" fillId="0" borderId="0" applyNumberFormat="0" applyFill="0" applyBorder="0" applyAlignment="0" applyProtection="0">
      <alignment vertical="top"/>
    </xf>
    <xf numFmtId="167" fontId="12" fillId="0" borderId="0" applyFont="0" applyFill="0" applyBorder="0" applyProtection="0">
      <alignment vertical="top"/>
    </xf>
    <xf numFmtId="0" fontId="11" fillId="11" borderId="7" applyNumberFormat="0" applyAlignment="0" applyProtection="0"/>
    <xf numFmtId="0" fontId="3" fillId="11" borderId="7" applyNumberFormat="0" applyAlignment="0" applyProtection="0"/>
    <xf numFmtId="0" fontId="24" fillId="0" borderId="7" applyNumberFormat="0" applyFill="0" applyAlignment="0" applyProtection="0"/>
  </cellStyleXfs>
  <cellXfs count="416">
    <xf numFmtId="172" fontId="0" fillId="0" borderId="0" xfId="0">
      <alignment vertical="top"/>
    </xf>
    <xf numFmtId="0" fontId="5" fillId="8" borderId="0" xfId="18">
      <alignment horizontal="left"/>
    </xf>
    <xf numFmtId="170" fontId="6" fillId="7" borderId="0" xfId="15" applyNumberFormat="1"/>
    <xf numFmtId="0" fontId="14" fillId="0" borderId="0" xfId="5">
      <alignment horizontal="left" vertical="center"/>
    </xf>
    <xf numFmtId="49" fontId="0" fillId="0" borderId="0" xfId="0" applyNumberFormat="1" applyAlignment="1">
      <alignment horizontal="left"/>
    </xf>
    <xf numFmtId="14" fontId="0" fillId="0" borderId="0" xfId="0" applyNumberFormat="1" applyAlignment="1">
      <alignment horizontal="left"/>
    </xf>
    <xf numFmtId="0" fontId="0" fillId="18" borderId="0" xfId="10" applyFont="1"/>
    <xf numFmtId="166" fontId="0" fillId="0" borderId="0" xfId="0" applyNumberFormat="1" applyAlignment="1">
      <alignment horizontal="left"/>
    </xf>
    <xf numFmtId="166" fontId="12" fillId="13" borderId="2" xfId="11">
      <protection locked="0"/>
    </xf>
    <xf numFmtId="49" fontId="0" fillId="0" borderId="0" xfId="0" applyNumberFormat="1">
      <alignment vertical="top"/>
    </xf>
    <xf numFmtId="173" fontId="12" fillId="12" borderId="7" xfId="7"/>
    <xf numFmtId="166" fontId="3" fillId="19" borderId="22" xfId="13"/>
    <xf numFmtId="0" fontId="10" fillId="0" borderId="0" xfId="9"/>
    <xf numFmtId="0" fontId="10" fillId="0" borderId="0" xfId="9" applyAlignment="1">
      <alignment horizontal="right"/>
    </xf>
    <xf numFmtId="166" fontId="8" fillId="0" borderId="0" xfId="0" applyNumberFormat="1" applyFont="1">
      <alignment vertical="top"/>
    </xf>
    <xf numFmtId="166" fontId="0" fillId="0" borderId="0" xfId="0" applyNumberFormat="1">
      <alignment vertical="top"/>
    </xf>
    <xf numFmtId="166" fontId="0" fillId="0" borderId="0" xfId="0" applyNumberFormat="1" applyAlignment="1">
      <alignment horizontal="center"/>
    </xf>
    <xf numFmtId="0" fontId="10" fillId="0" borderId="0" xfId="9" applyAlignment="1">
      <alignment horizontal="center"/>
    </xf>
    <xf numFmtId="0" fontId="22" fillId="5" borderId="0" xfId="17" applyAlignment="1">
      <alignment horizontal="left" vertical="center"/>
    </xf>
    <xf numFmtId="0" fontId="22" fillId="5" borderId="0" xfId="17" applyAlignment="1">
      <alignment horizontal="right"/>
    </xf>
    <xf numFmtId="0" fontId="22" fillId="5" borderId="0" xfId="17" applyAlignment="1">
      <alignment vertical="top"/>
    </xf>
    <xf numFmtId="164" fontId="5" fillId="8" borderId="0" xfId="18" applyNumberFormat="1">
      <alignment horizontal="left"/>
    </xf>
    <xf numFmtId="0" fontId="17" fillId="5" borderId="0" xfId="4">
      <alignment horizontal="left" vertical="center"/>
    </xf>
    <xf numFmtId="164" fontId="5" fillId="0" borderId="4" xfId="19">
      <alignment vertical="top" shrinkToFit="1"/>
    </xf>
    <xf numFmtId="164" fontId="4" fillId="0" borderId="0" xfId="0" applyNumberFormat="1" applyFont="1">
      <alignment vertical="top"/>
    </xf>
    <xf numFmtId="172" fontId="9" fillId="9" borderId="0" xfId="0" applyFont="1" applyFill="1">
      <alignment vertical="top"/>
    </xf>
    <xf numFmtId="166" fontId="0" fillId="9" borderId="0" xfId="0" applyNumberFormat="1" applyFill="1">
      <alignment vertical="top"/>
    </xf>
    <xf numFmtId="172" fontId="9" fillId="4" borderId="0" xfId="0" applyFont="1" applyFill="1">
      <alignment vertical="top"/>
    </xf>
    <xf numFmtId="166" fontId="9" fillId="7" borderId="0" xfId="0" applyNumberFormat="1" applyFont="1" applyFill="1">
      <alignment vertical="top"/>
    </xf>
    <xf numFmtId="166" fontId="0" fillId="7" borderId="0" xfId="0" applyNumberFormat="1" applyFill="1">
      <alignment vertical="top"/>
    </xf>
    <xf numFmtId="0" fontId="6" fillId="7" borderId="0" xfId="15"/>
    <xf numFmtId="0" fontId="6" fillId="7" borderId="0" xfId="15" applyAlignment="1">
      <alignment horizontal="left"/>
    </xf>
    <xf numFmtId="166" fontId="10" fillId="0" borderId="0" xfId="0" applyNumberFormat="1" applyFont="1">
      <alignment vertical="top"/>
    </xf>
    <xf numFmtId="166" fontId="21" fillId="0" borderId="0" xfId="6" applyNumberFormat="1">
      <alignment horizontal="left"/>
    </xf>
    <xf numFmtId="169" fontId="0" fillId="0" borderId="0" xfId="0" applyNumberFormat="1">
      <alignment vertical="top"/>
    </xf>
    <xf numFmtId="168" fontId="0" fillId="0" borderId="0" xfId="0" applyNumberFormat="1">
      <alignment vertical="top"/>
    </xf>
    <xf numFmtId="166" fontId="13" fillId="0" borderId="8" xfId="20" applyNumberFormat="1" applyAlignment="1">
      <alignment vertical="top"/>
    </xf>
    <xf numFmtId="14" fontId="0" fillId="0" borderId="0" xfId="0" quotePrefix="1" applyNumberFormat="1" applyAlignment="1">
      <alignment horizontal="left"/>
    </xf>
    <xf numFmtId="166" fontId="5" fillId="5" borderId="0" xfId="0" applyNumberFormat="1" applyFont="1" applyFill="1">
      <alignment vertical="top"/>
    </xf>
    <xf numFmtId="166" fontId="5" fillId="5" borderId="0" xfId="0" applyNumberFormat="1" applyFont="1" applyFill="1" applyAlignment="1">
      <alignment horizontal="left"/>
    </xf>
    <xf numFmtId="49" fontId="13" fillId="0" borderId="0" xfId="0" applyNumberFormat="1" applyFont="1" applyAlignment="1">
      <alignment horizontal="left"/>
    </xf>
    <xf numFmtId="14" fontId="13" fillId="0" borderId="0" xfId="0" applyNumberFormat="1" applyFont="1" applyAlignment="1">
      <alignment horizontal="left"/>
    </xf>
    <xf numFmtId="172" fontId="13" fillId="0" borderId="0" xfId="0" applyFont="1">
      <alignment vertical="top"/>
    </xf>
    <xf numFmtId="0" fontId="18" fillId="2" borderId="0" xfId="27" applyFill="1">
      <alignment vertical="top"/>
    </xf>
    <xf numFmtId="166" fontId="3" fillId="3" borderId="3" xfId="12" applyAlignment="1">
      <alignment horizontal="left"/>
      <protection locked="0"/>
    </xf>
    <xf numFmtId="49" fontId="2" fillId="0" borderId="0" xfId="3" applyNumberFormat="1"/>
    <xf numFmtId="49" fontId="20" fillId="0" borderId="0" xfId="3" applyNumberFormat="1" applyFont="1" applyAlignment="1">
      <alignment vertical="top"/>
    </xf>
    <xf numFmtId="0" fontId="18" fillId="0" borderId="0" xfId="27">
      <alignment vertical="top"/>
    </xf>
    <xf numFmtId="166" fontId="14" fillId="0" borderId="0" xfId="5" applyNumberFormat="1">
      <alignment horizontal="left" vertical="center"/>
    </xf>
    <xf numFmtId="0" fontId="21" fillId="0" borderId="0" xfId="6">
      <alignment horizontal="left"/>
    </xf>
    <xf numFmtId="166" fontId="24" fillId="0" borderId="7" xfId="31" applyNumberFormat="1" applyAlignment="1">
      <alignment horizontal="left" vertical="top"/>
    </xf>
    <xf numFmtId="171" fontId="23" fillId="0" borderId="7" xfId="14" applyNumberFormat="1" applyAlignment="1">
      <alignment vertical="top"/>
    </xf>
    <xf numFmtId="171" fontId="10" fillId="0" borderId="0" xfId="9" applyNumberFormat="1" applyAlignment="1">
      <alignment vertical="top"/>
    </xf>
    <xf numFmtId="171" fontId="25" fillId="0" borderId="0" xfId="8" applyNumberFormat="1" applyAlignment="1">
      <alignment vertical="top"/>
    </xf>
    <xf numFmtId="0" fontId="10" fillId="0" borderId="0" xfId="9" applyNumberFormat="1" applyAlignment="1">
      <alignment vertical="top"/>
    </xf>
    <xf numFmtId="173" fontId="12" fillId="12" borderId="7" xfId="7" applyAlignment="1">
      <alignment vertical="top"/>
    </xf>
    <xf numFmtId="172" fontId="3" fillId="3" borderId="3" xfId="12" applyNumberFormat="1" applyAlignment="1">
      <alignment vertical="top"/>
      <protection locked="0"/>
    </xf>
    <xf numFmtId="172" fontId="21" fillId="0" borderId="0" xfId="6" applyNumberFormat="1">
      <alignment horizontal="left"/>
    </xf>
    <xf numFmtId="0" fontId="10" fillId="5" borderId="0" xfId="9" applyFill="1" applyAlignment="1">
      <alignment horizontal="left" vertical="center"/>
    </xf>
    <xf numFmtId="164" fontId="10" fillId="8" borderId="0" xfId="9" applyNumberFormat="1" applyFill="1" applyAlignment="1">
      <alignment horizontal="left"/>
    </xf>
    <xf numFmtId="172" fontId="10" fillId="0" borderId="0" xfId="9" applyNumberFormat="1" applyAlignment="1">
      <alignment vertical="top"/>
    </xf>
    <xf numFmtId="166" fontId="10" fillId="0" borderId="0" xfId="9" applyNumberFormat="1" applyAlignment="1">
      <alignment horizontal="left" vertical="center"/>
    </xf>
    <xf numFmtId="166" fontId="10" fillId="0" borderId="0" xfId="9" applyNumberFormat="1" applyAlignment="1">
      <alignment horizontal="center"/>
    </xf>
    <xf numFmtId="0" fontId="10" fillId="0" borderId="0" xfId="9" applyAlignment="1">
      <alignment horizontal="left" vertical="center"/>
    </xf>
    <xf numFmtId="166" fontId="10" fillId="0" borderId="0" xfId="9" applyNumberFormat="1" applyAlignment="1">
      <alignment horizontal="left"/>
    </xf>
    <xf numFmtId="166" fontId="10" fillId="0" borderId="0" xfId="9" applyNumberFormat="1" applyAlignment="1">
      <alignment vertical="top"/>
    </xf>
    <xf numFmtId="164" fontId="5" fillId="0" borderId="4" xfId="19" applyNumberFormat="1">
      <alignment vertical="top" shrinkToFit="1"/>
    </xf>
    <xf numFmtId="166" fontId="13" fillId="0" borderId="0" xfId="0" applyNumberFormat="1" applyFont="1">
      <alignment vertical="top"/>
    </xf>
    <xf numFmtId="173" fontId="3" fillId="11" borderId="7" xfId="30" applyNumberFormat="1" applyAlignment="1">
      <alignment vertical="top"/>
    </xf>
    <xf numFmtId="166" fontId="0" fillId="0" borderId="0" xfId="0" applyNumberFormat="1" applyFont="1">
      <alignment vertical="top"/>
    </xf>
    <xf numFmtId="166" fontId="3" fillId="3" borderId="3" xfId="12" applyNumberFormat="1" applyAlignment="1">
      <alignment vertical="top"/>
      <protection locked="0"/>
    </xf>
    <xf numFmtId="173" fontId="0" fillId="0" borderId="0" xfId="0" applyNumberFormat="1">
      <alignment vertical="top"/>
    </xf>
    <xf numFmtId="0" fontId="26" fillId="0" borderId="0" xfId="23" applyAlignment="1">
      <alignment horizontal="left" vertical="center"/>
    </xf>
    <xf numFmtId="0" fontId="13" fillId="0" borderId="8" xfId="20" applyAlignment="1">
      <alignment horizontal="left" vertical="center"/>
    </xf>
    <xf numFmtId="173" fontId="3" fillId="11" borderId="7" xfId="30" applyNumberFormat="1" applyAlignment="1">
      <alignment horizontal="right"/>
    </xf>
    <xf numFmtId="166" fontId="0" fillId="0" borderId="0" xfId="0" applyNumberFormat="1" applyProtection="1">
      <alignment vertical="top"/>
    </xf>
    <xf numFmtId="166" fontId="0" fillId="0" borderId="0" xfId="0" applyNumberFormat="1" applyFill="1">
      <alignment vertical="top"/>
    </xf>
    <xf numFmtId="172" fontId="0" fillId="0" borderId="0" xfId="0" applyFill="1">
      <alignment vertical="top"/>
    </xf>
    <xf numFmtId="166" fontId="21" fillId="0" borderId="0" xfId="6" applyNumberFormat="1" applyFill="1">
      <alignment horizontal="left"/>
    </xf>
    <xf numFmtId="173" fontId="3" fillId="3" borderId="3" xfId="12" applyNumberFormat="1" applyAlignment="1" applyProtection="1">
      <alignment horizontal="left" vertical="center"/>
    </xf>
    <xf numFmtId="173" fontId="23" fillId="0" borderId="7" xfId="14" applyNumberFormat="1" applyAlignment="1">
      <alignment vertical="top"/>
    </xf>
    <xf numFmtId="172" fontId="28" fillId="14" borderId="10" xfId="0" applyFont="1" applyFill="1" applyBorder="1" applyAlignment="1">
      <alignment horizontal="left" vertical="center" wrapText="1" readingOrder="1"/>
    </xf>
    <xf numFmtId="172" fontId="28" fillId="14" borderId="11" xfId="0" applyFont="1" applyFill="1" applyBorder="1" applyAlignment="1">
      <alignment horizontal="left" vertical="center" wrapText="1" readingOrder="1"/>
    </xf>
    <xf numFmtId="172" fontId="28" fillId="15" borderId="10" xfId="0" applyFont="1" applyFill="1" applyBorder="1" applyAlignment="1">
      <alignment horizontal="left" vertical="center" wrapText="1" readingOrder="1"/>
    </xf>
    <xf numFmtId="172" fontId="27" fillId="15" borderId="11" xfId="0" applyFont="1" applyFill="1" applyBorder="1" applyAlignment="1">
      <alignment vertical="top" wrapText="1"/>
    </xf>
    <xf numFmtId="172" fontId="29" fillId="16" borderId="10" xfId="0" applyFont="1" applyFill="1" applyBorder="1" applyAlignment="1">
      <alignment horizontal="left" vertical="center" wrapText="1" readingOrder="1"/>
    </xf>
    <xf numFmtId="172" fontId="27" fillId="16" borderId="11" xfId="0" applyFont="1" applyFill="1" applyBorder="1" applyAlignment="1">
      <alignment vertical="top" wrapText="1"/>
    </xf>
    <xf numFmtId="172" fontId="30" fillId="17" borderId="10" xfId="0" applyFont="1" applyFill="1" applyBorder="1" applyAlignment="1">
      <alignment horizontal="left" vertical="center" wrapText="1" readingOrder="1"/>
    </xf>
    <xf numFmtId="172" fontId="30" fillId="17" borderId="11" xfId="0" applyFont="1" applyFill="1" applyBorder="1" applyAlignment="1">
      <alignment horizontal="left" vertical="center" wrapText="1" readingOrder="1"/>
    </xf>
    <xf numFmtId="172" fontId="30" fillId="0" borderId="10" xfId="0" applyFont="1" applyBorder="1" applyAlignment="1">
      <alignment horizontal="left" vertical="center" wrapText="1" readingOrder="1"/>
    </xf>
    <xf numFmtId="172" fontId="30" fillId="0" borderId="11" xfId="0" applyFont="1" applyBorder="1" applyAlignment="1">
      <alignment horizontal="left" vertical="center" wrapText="1" readingOrder="1"/>
    </xf>
    <xf numFmtId="172" fontId="31" fillId="14" borderId="10" xfId="0" applyFont="1" applyFill="1" applyBorder="1" applyAlignment="1">
      <alignment horizontal="left" vertical="center" wrapText="1" readingOrder="1"/>
    </xf>
    <xf numFmtId="172" fontId="31" fillId="14" borderId="11" xfId="0" applyFont="1" applyFill="1" applyBorder="1" applyAlignment="1">
      <alignment horizontal="left" vertical="center" wrapText="1" readingOrder="1"/>
    </xf>
    <xf numFmtId="166" fontId="33" fillId="0" borderId="0" xfId="6" applyNumberFormat="1" applyFont="1">
      <alignment horizontal="left"/>
    </xf>
    <xf numFmtId="172" fontId="32" fillId="15" borderId="11" xfId="0" applyFont="1" applyFill="1" applyBorder="1" applyAlignment="1">
      <alignment vertical="top" wrapText="1"/>
    </xf>
    <xf numFmtId="166" fontId="34" fillId="0" borderId="0" xfId="0" applyNumberFormat="1" applyFont="1">
      <alignment vertical="top"/>
    </xf>
    <xf numFmtId="166" fontId="34" fillId="0" borderId="0" xfId="0" applyNumberFormat="1" applyFont="1" applyAlignment="1">
      <alignment horizontal="left"/>
    </xf>
    <xf numFmtId="172" fontId="30" fillId="17" borderId="11" xfId="0" applyFont="1" applyFill="1" applyBorder="1" applyAlignment="1">
      <alignment horizontal="right" vertical="center" wrapText="1" readingOrder="1"/>
    </xf>
    <xf numFmtId="172" fontId="30" fillId="17" borderId="12" xfId="0" applyFont="1" applyFill="1" applyBorder="1" applyAlignment="1">
      <alignment horizontal="right" vertical="center" wrapText="1" readingOrder="1"/>
    </xf>
    <xf numFmtId="172" fontId="30" fillId="0" borderId="11" xfId="0" applyFont="1" applyBorder="1" applyAlignment="1">
      <alignment horizontal="right" vertical="center" wrapText="1" readingOrder="1"/>
    </xf>
    <xf numFmtId="172" fontId="30" fillId="0" borderId="12" xfId="0" applyFont="1" applyBorder="1" applyAlignment="1">
      <alignment horizontal="right" vertical="center" wrapText="1" readingOrder="1"/>
    </xf>
    <xf numFmtId="172" fontId="32" fillId="16" borderId="11" xfId="0" applyFont="1" applyFill="1" applyBorder="1" applyAlignment="1">
      <alignment horizontal="right" vertical="top" wrapText="1"/>
    </xf>
    <xf numFmtId="172" fontId="32" fillId="16" borderId="12" xfId="0" applyFont="1" applyFill="1" applyBorder="1" applyAlignment="1">
      <alignment horizontal="right" vertical="top" wrapText="1"/>
    </xf>
    <xf numFmtId="167" fontId="32" fillId="0" borderId="11" xfId="28" applyFont="1" applyBorder="1" applyAlignment="1">
      <alignment horizontal="right" vertical="top"/>
    </xf>
    <xf numFmtId="167" fontId="32" fillId="0" borderId="12" xfId="28" applyFont="1" applyBorder="1" applyAlignment="1">
      <alignment horizontal="right" vertical="top"/>
    </xf>
    <xf numFmtId="172" fontId="32" fillId="17" borderId="11" xfId="0" applyFont="1" applyFill="1" applyBorder="1" applyAlignment="1">
      <alignment horizontal="right" vertical="top" wrapText="1"/>
    </xf>
    <xf numFmtId="172" fontId="32" fillId="15" borderId="11" xfId="0" applyFont="1" applyFill="1" applyBorder="1" applyAlignment="1">
      <alignment horizontal="right" vertical="top" wrapText="1"/>
    </xf>
    <xf numFmtId="172" fontId="32" fillId="15" borderId="12" xfId="0" applyFont="1" applyFill="1" applyBorder="1" applyAlignment="1">
      <alignment horizontal="right" vertical="top" wrapText="1"/>
    </xf>
    <xf numFmtId="172" fontId="32" fillId="17" borderId="12" xfId="0" applyFont="1" applyFill="1" applyBorder="1" applyAlignment="1">
      <alignment horizontal="right" vertical="top" wrapText="1"/>
    </xf>
    <xf numFmtId="172" fontId="32" fillId="0" borderId="11" xfId="0" applyFont="1" applyBorder="1" applyAlignment="1">
      <alignment horizontal="right" vertical="top" wrapText="1"/>
    </xf>
    <xf numFmtId="172" fontId="32" fillId="0" borderId="12" xfId="0" applyFont="1" applyBorder="1" applyAlignment="1">
      <alignment horizontal="right" vertical="top" wrapText="1"/>
    </xf>
    <xf numFmtId="0" fontId="14" fillId="0" borderId="0" xfId="5" applyProtection="1">
      <alignment horizontal="left" vertical="center"/>
    </xf>
    <xf numFmtId="166" fontId="0" fillId="0" borderId="0" xfId="0" applyNumberFormat="1" applyFill="1" applyBorder="1">
      <alignment vertical="top"/>
    </xf>
    <xf numFmtId="166" fontId="21" fillId="0" borderId="0" xfId="6" applyNumberFormat="1" applyFill="1" applyBorder="1">
      <alignment horizontal="left"/>
    </xf>
    <xf numFmtId="172" fontId="0" fillId="0" borderId="0" xfId="0" applyFill="1" applyBorder="1">
      <alignment vertical="top"/>
    </xf>
    <xf numFmtId="166" fontId="10" fillId="0" borderId="0" xfId="9" applyNumberFormat="1" applyFill="1" applyBorder="1" applyAlignment="1">
      <alignment vertical="top"/>
    </xf>
    <xf numFmtId="166" fontId="0" fillId="0" borderId="0" xfId="0" applyNumberFormat="1" applyFill="1" applyBorder="1" applyAlignment="1">
      <alignment horizontal="left"/>
    </xf>
    <xf numFmtId="0" fontId="6" fillId="0" borderId="0" xfId="15" applyFill="1" applyAlignment="1">
      <alignment horizontal="left"/>
    </xf>
    <xf numFmtId="0" fontId="22" fillId="0" borderId="0" xfId="17" applyFill="1" applyAlignment="1">
      <alignment vertical="top"/>
    </xf>
    <xf numFmtId="0" fontId="5" fillId="0" borderId="0" xfId="18" applyFill="1">
      <alignment horizontal="left"/>
    </xf>
    <xf numFmtId="0" fontId="17" fillId="0" borderId="0" xfId="4" applyFill="1">
      <alignment horizontal="left" vertical="center"/>
    </xf>
    <xf numFmtId="0" fontId="6" fillId="0" borderId="0" xfId="15" applyFill="1"/>
    <xf numFmtId="0" fontId="22" fillId="5" borderId="0" xfId="17" applyAlignment="1">
      <alignment horizontal="center" vertical="center"/>
    </xf>
    <xf numFmtId="164" fontId="5" fillId="8" borderId="0" xfId="18" applyNumberFormat="1" applyAlignment="1">
      <alignment horizontal="center"/>
    </xf>
    <xf numFmtId="172" fontId="0" fillId="0" borderId="0" xfId="0" applyAlignment="1">
      <alignment horizontal="center" vertical="top"/>
    </xf>
    <xf numFmtId="166" fontId="14" fillId="0" borderId="0" xfId="5" applyNumberFormat="1" applyAlignment="1">
      <alignment horizontal="center" vertical="center"/>
    </xf>
    <xf numFmtId="0" fontId="6" fillId="7" borderId="0" xfId="15" applyAlignment="1">
      <alignment horizontal="center"/>
    </xf>
    <xf numFmtId="0" fontId="17" fillId="5" borderId="0" xfId="4" applyAlignment="1">
      <alignment horizontal="center" vertical="center"/>
    </xf>
    <xf numFmtId="166" fontId="0" fillId="0" borderId="0" xfId="0" applyNumberFormat="1" applyAlignment="1">
      <alignment horizontal="center" vertical="top"/>
    </xf>
    <xf numFmtId="166" fontId="21" fillId="0" borderId="0" xfId="6" applyNumberFormat="1" applyAlignment="1">
      <alignment horizontal="center"/>
    </xf>
    <xf numFmtId="172" fontId="0" fillId="0" borderId="0" xfId="0" applyFill="1" applyBorder="1" applyAlignment="1">
      <alignment horizontal="center" vertical="top"/>
    </xf>
    <xf numFmtId="0" fontId="6" fillId="0" borderId="0" xfId="15" applyFill="1" applyAlignment="1">
      <alignment horizontal="center"/>
    </xf>
    <xf numFmtId="164" fontId="5" fillId="0" borderId="4" xfId="19" applyAlignment="1">
      <alignment horizontal="center" vertical="top" shrinkToFit="1"/>
    </xf>
    <xf numFmtId="166" fontId="13" fillId="0" borderId="0" xfId="0" applyNumberFormat="1" applyFont="1" applyFill="1">
      <alignment vertical="top"/>
    </xf>
    <xf numFmtId="0" fontId="6" fillId="7" borderId="0" xfId="15" applyAlignment="1">
      <alignment vertical="top"/>
    </xf>
    <xf numFmtId="0" fontId="6" fillId="7" borderId="0" xfId="15" applyAlignment="1">
      <alignment horizontal="left" vertical="center"/>
    </xf>
    <xf numFmtId="173" fontId="23" fillId="12" borderId="7" xfId="14" applyNumberFormat="1" applyFill="1" applyAlignment="1">
      <alignment horizontal="left" vertical="center"/>
    </xf>
    <xf numFmtId="166" fontId="8" fillId="0" borderId="0" xfId="0" applyNumberFormat="1" applyFont="1" applyFill="1">
      <alignment vertical="top"/>
    </xf>
    <xf numFmtId="0" fontId="10" fillId="0" borderId="0" xfId="9" applyFill="1" applyBorder="1" applyAlignment="1">
      <alignment horizontal="left" vertical="center"/>
    </xf>
    <xf numFmtId="0" fontId="12" fillId="0" borderId="0" xfId="11" applyNumberFormat="1" applyFill="1" applyBorder="1" applyAlignment="1" applyProtection="1">
      <alignment horizontal="left" vertical="center"/>
    </xf>
    <xf numFmtId="0" fontId="6" fillId="0" borderId="0" xfId="15" applyFill="1" applyAlignment="1">
      <alignment vertical="top"/>
    </xf>
    <xf numFmtId="0" fontId="6" fillId="0" borderId="0" xfId="15" applyFill="1" applyAlignment="1">
      <alignment horizontal="left" vertical="center"/>
    </xf>
    <xf numFmtId="167" fontId="23" fillId="12" borderId="14" xfId="28" applyFont="1" applyFill="1" applyBorder="1" applyAlignment="1">
      <alignment horizontal="left" vertical="top"/>
    </xf>
    <xf numFmtId="166" fontId="21" fillId="0" borderId="0" xfId="6" applyNumberFormat="1" applyBorder="1">
      <alignment horizontal="left"/>
    </xf>
    <xf numFmtId="166" fontId="0" fillId="0" borderId="0" xfId="0" applyNumberFormat="1" applyBorder="1">
      <alignment vertical="top"/>
    </xf>
    <xf numFmtId="0" fontId="10" fillId="0" borderId="0" xfId="9" applyBorder="1" applyAlignment="1">
      <alignment horizontal="left" vertical="center"/>
    </xf>
    <xf numFmtId="166" fontId="10" fillId="0" borderId="0" xfId="9" applyNumberFormat="1" applyBorder="1" applyAlignment="1">
      <alignment horizontal="center"/>
    </xf>
    <xf numFmtId="173" fontId="23" fillId="12" borderId="0" xfId="14" applyNumberFormat="1" applyFill="1" applyBorder="1" applyAlignment="1">
      <alignment horizontal="left" vertical="center"/>
    </xf>
    <xf numFmtId="166" fontId="13" fillId="0" borderId="0" xfId="0" applyNumberFormat="1" applyFont="1" applyBorder="1">
      <alignment vertical="top"/>
    </xf>
    <xf numFmtId="166" fontId="23" fillId="0" borderId="7" xfId="14" applyNumberFormat="1" applyAlignment="1">
      <alignment vertical="top"/>
    </xf>
    <xf numFmtId="173" fontId="12" fillId="12" borderId="7" xfId="7" applyAlignment="1">
      <alignment horizontal="right" vertical="center"/>
    </xf>
    <xf numFmtId="166" fontId="13" fillId="0" borderId="0" xfId="20" applyNumberFormat="1" applyFill="1" applyBorder="1" applyAlignment="1">
      <alignment vertical="top"/>
    </xf>
    <xf numFmtId="0" fontId="13" fillId="0" borderId="0" xfId="20" applyFill="1" applyBorder="1" applyAlignment="1">
      <alignment horizontal="left" vertical="center"/>
    </xf>
    <xf numFmtId="0" fontId="21" fillId="0" borderId="0" xfId="6" applyFill="1">
      <alignment horizontal="left"/>
    </xf>
    <xf numFmtId="173" fontId="14" fillId="0" borderId="0" xfId="5" applyNumberFormat="1">
      <alignment horizontal="left" vertical="center"/>
    </xf>
    <xf numFmtId="166" fontId="10" fillId="0" borderId="9" xfId="9" applyNumberFormat="1" applyBorder="1" applyAlignment="1">
      <alignment vertical="top"/>
    </xf>
    <xf numFmtId="173" fontId="12" fillId="12" borderId="14" xfId="7" applyBorder="1" applyAlignment="1">
      <alignment vertical="top"/>
    </xf>
    <xf numFmtId="172" fontId="0" fillId="0" borderId="0" xfId="0" applyFont="1" applyBorder="1">
      <alignment vertical="top"/>
    </xf>
    <xf numFmtId="166" fontId="10" fillId="0" borderId="0" xfId="9" applyNumberFormat="1" applyBorder="1" applyAlignment="1">
      <alignment vertical="top"/>
    </xf>
    <xf numFmtId="175" fontId="12" fillId="12" borderId="7" xfId="7" applyNumberFormat="1" applyAlignment="1">
      <alignment vertical="top"/>
    </xf>
    <xf numFmtId="175" fontId="12" fillId="12" borderId="7" xfId="7" applyNumberFormat="1" applyAlignment="1">
      <alignment horizontal="right" vertical="center"/>
    </xf>
    <xf numFmtId="175" fontId="12" fillId="12" borderId="7" xfId="7" applyNumberFormat="1" applyAlignment="1">
      <alignment horizontal="right" vertical="top"/>
    </xf>
    <xf numFmtId="176" fontId="24" fillId="12" borderId="7" xfId="31" applyNumberFormat="1" applyFill="1" applyAlignment="1">
      <alignment horizontal="right" vertical="top"/>
    </xf>
    <xf numFmtId="172" fontId="13" fillId="0" borderId="0" xfId="0" applyFont="1" applyFill="1">
      <alignment vertical="top"/>
    </xf>
    <xf numFmtId="175" fontId="12" fillId="12" borderId="15" xfId="7" applyNumberFormat="1" applyBorder="1" applyAlignment="1">
      <alignment vertical="top"/>
    </xf>
    <xf numFmtId="166" fontId="13" fillId="0" borderId="0" xfId="0" applyNumberFormat="1" applyFont="1" applyAlignment="1">
      <alignment horizontal="right" vertical="top"/>
    </xf>
    <xf numFmtId="0" fontId="35" fillId="0" borderId="0" xfId="5" applyFont="1" applyAlignment="1">
      <alignment horizontal="right" vertical="center"/>
    </xf>
    <xf numFmtId="166" fontId="0" fillId="0" borderId="0" xfId="0" applyNumberFormat="1" applyAlignment="1">
      <alignment horizontal="right" vertical="top"/>
    </xf>
    <xf numFmtId="173" fontId="23" fillId="12" borderId="7" xfId="14" applyNumberFormat="1" applyFill="1" applyAlignment="1">
      <alignment horizontal="right" vertical="center"/>
    </xf>
    <xf numFmtId="0" fontId="22" fillId="5" borderId="0" xfId="17" applyAlignment="1">
      <alignment horizontal="right" vertical="center"/>
    </xf>
    <xf numFmtId="164" fontId="5" fillId="8" borderId="0" xfId="18" applyNumberFormat="1" applyAlignment="1">
      <alignment horizontal="right"/>
    </xf>
    <xf numFmtId="172" fontId="0" fillId="0" borderId="0" xfId="0" applyAlignment="1">
      <alignment horizontal="right" vertical="top"/>
    </xf>
    <xf numFmtId="166" fontId="14" fillId="0" borderId="0" xfId="5" applyNumberFormat="1" applyAlignment="1">
      <alignment horizontal="right" vertical="center"/>
    </xf>
    <xf numFmtId="0" fontId="17" fillId="5" borderId="0" xfId="4" applyAlignment="1">
      <alignment horizontal="right" vertical="center"/>
    </xf>
    <xf numFmtId="0" fontId="14" fillId="0" borderId="0" xfId="5" applyAlignment="1">
      <alignment horizontal="right" vertical="center"/>
    </xf>
    <xf numFmtId="166" fontId="8" fillId="0" borderId="0" xfId="0" applyNumberFormat="1" applyFont="1" applyAlignment="1">
      <alignment horizontal="right" vertical="top"/>
    </xf>
    <xf numFmtId="0" fontId="14" fillId="18" borderId="0" xfId="10" applyFont="1" applyAlignment="1">
      <alignment horizontal="right" vertical="center"/>
    </xf>
    <xf numFmtId="173" fontId="23" fillId="0" borderId="7" xfId="14" applyNumberFormat="1" applyAlignment="1">
      <alignment horizontal="right" vertical="top"/>
    </xf>
    <xf numFmtId="167" fontId="23" fillId="0" borderId="7" xfId="14" applyNumberFormat="1" applyAlignment="1">
      <alignment horizontal="right" vertical="top"/>
    </xf>
    <xf numFmtId="0" fontId="12" fillId="0" borderId="0" xfId="11" applyNumberFormat="1" applyFill="1" applyBorder="1" applyAlignment="1" applyProtection="1">
      <alignment horizontal="right" vertical="center"/>
    </xf>
    <xf numFmtId="173" fontId="24" fillId="12" borderId="7" xfId="31" applyNumberFormat="1" applyFill="1" applyAlignment="1">
      <alignment horizontal="right" vertical="center"/>
    </xf>
    <xf numFmtId="173" fontId="36" fillId="12" borderId="8" xfId="20" applyNumberFormat="1" applyFont="1" applyFill="1" applyAlignment="1">
      <alignment horizontal="right" vertical="center"/>
    </xf>
    <xf numFmtId="0" fontId="10" fillId="0" borderId="0" xfId="9" applyAlignment="1">
      <alignment horizontal="center" wrapText="1"/>
    </xf>
    <xf numFmtId="173" fontId="12" fillId="12" borderId="0" xfId="7" applyBorder="1" applyAlignment="1">
      <alignment horizontal="right" vertical="center"/>
    </xf>
    <xf numFmtId="172" fontId="0" fillId="0" borderId="0" xfId="0" applyBorder="1">
      <alignment vertical="top"/>
    </xf>
    <xf numFmtId="166" fontId="13" fillId="0" borderId="0" xfId="20" applyNumberFormat="1" applyBorder="1" applyAlignment="1">
      <alignment vertical="top"/>
    </xf>
    <xf numFmtId="0" fontId="13" fillId="0" borderId="0" xfId="20" applyBorder="1" applyAlignment="1">
      <alignment horizontal="left" vertical="center"/>
    </xf>
    <xf numFmtId="173" fontId="13" fillId="12" borderId="8" xfId="20" applyNumberFormat="1" applyFill="1" applyAlignment="1">
      <alignment horizontal="right" vertical="center"/>
    </xf>
    <xf numFmtId="0" fontId="6" fillId="7" borderId="0" xfId="15" applyAlignment="1">
      <alignment horizontal="right" vertical="center"/>
    </xf>
    <xf numFmtId="166" fontId="14" fillId="0" borderId="0" xfId="0" applyNumberFormat="1" applyFont="1">
      <alignment vertical="top"/>
    </xf>
    <xf numFmtId="0" fontId="14" fillId="0" borderId="17" xfId="5" applyBorder="1">
      <alignment horizontal="left" vertical="center"/>
    </xf>
    <xf numFmtId="166" fontId="14" fillId="0" borderId="17" xfId="5" applyNumberFormat="1" applyBorder="1">
      <alignment horizontal="left" vertical="center"/>
    </xf>
    <xf numFmtId="173" fontId="23" fillId="12" borderId="7" xfId="14" applyNumberFormat="1" applyFill="1" applyAlignment="1">
      <alignment vertical="top"/>
    </xf>
    <xf numFmtId="166" fontId="8" fillId="0" borderId="0" xfId="0" applyNumberFormat="1" applyFont="1" applyBorder="1">
      <alignment vertical="top"/>
    </xf>
    <xf numFmtId="173" fontId="23" fillId="0" borderId="0" xfId="14" applyNumberFormat="1" applyBorder="1" applyAlignment="1">
      <alignment horizontal="right" vertical="top"/>
    </xf>
    <xf numFmtId="166" fontId="0" fillId="0" borderId="0" xfId="0" applyNumberFormat="1" applyFill="1" applyBorder="1" applyAlignment="1">
      <alignment horizontal="right" vertical="top"/>
    </xf>
    <xf numFmtId="0" fontId="23" fillId="0" borderId="7" xfId="14" applyAlignment="1">
      <alignment horizontal="left" vertical="center"/>
    </xf>
    <xf numFmtId="2" fontId="23" fillId="0" borderId="7" xfId="14" applyNumberFormat="1" applyAlignment="1">
      <alignment horizontal="right" vertical="center"/>
    </xf>
    <xf numFmtId="0" fontId="21" fillId="0" borderId="9" xfId="6" applyBorder="1">
      <alignment horizontal="left"/>
    </xf>
    <xf numFmtId="2" fontId="3" fillId="3" borderId="3" xfId="12" applyNumberFormat="1" applyAlignment="1">
      <alignment vertical="top"/>
      <protection locked="0"/>
    </xf>
    <xf numFmtId="0" fontId="10" fillId="0" borderId="0" xfId="9" applyFill="1" applyAlignment="1">
      <alignment horizontal="left" vertical="center"/>
    </xf>
    <xf numFmtId="166" fontId="8" fillId="0" borderId="0" xfId="0" applyNumberFormat="1" applyFont="1" applyFill="1" applyAlignment="1">
      <alignment horizontal="right" vertical="top"/>
    </xf>
    <xf numFmtId="2" fontId="23" fillId="0" borderId="14" xfId="14" applyNumberFormat="1" applyBorder="1" applyAlignment="1">
      <alignment horizontal="right" vertical="center"/>
    </xf>
    <xf numFmtId="2" fontId="23" fillId="0" borderId="16" xfId="14" applyNumberFormat="1" applyBorder="1" applyAlignment="1">
      <alignment horizontal="right" vertical="center"/>
    </xf>
    <xf numFmtId="2" fontId="23" fillId="0" borderId="0" xfId="14" applyNumberFormat="1" applyBorder="1" applyAlignment="1">
      <alignment horizontal="right" vertical="center"/>
    </xf>
    <xf numFmtId="0" fontId="37" fillId="0" borderId="0" xfId="9" applyFont="1" applyAlignment="1">
      <alignment horizontal="center" vertical="center"/>
    </xf>
    <xf numFmtId="1" fontId="3" fillId="3" borderId="3" xfId="12" applyNumberFormat="1" applyAlignment="1">
      <alignment horizontal="right" vertical="top"/>
      <protection locked="0"/>
    </xf>
    <xf numFmtId="1" fontId="3" fillId="3" borderId="3" xfId="12" applyNumberFormat="1" applyAlignment="1">
      <alignment horizontal="right" vertical="center"/>
      <protection locked="0"/>
    </xf>
    <xf numFmtId="1" fontId="3" fillId="3" borderId="19" xfId="12" applyNumberFormat="1" applyBorder="1" applyAlignment="1">
      <alignment horizontal="right" vertical="center"/>
      <protection locked="0"/>
    </xf>
    <xf numFmtId="1" fontId="3" fillId="0" borderId="0" xfId="12" applyNumberFormat="1" applyFill="1" applyBorder="1" applyAlignment="1">
      <alignment horizontal="right" vertical="center"/>
      <protection locked="0"/>
    </xf>
    <xf numFmtId="174" fontId="3" fillId="3" borderId="3" xfId="12" applyNumberFormat="1" applyAlignment="1">
      <alignment vertical="top"/>
      <protection locked="0"/>
    </xf>
    <xf numFmtId="167" fontId="3" fillId="3" borderId="3" xfId="12" applyNumberFormat="1" applyAlignment="1">
      <alignment vertical="top"/>
      <protection locked="0"/>
    </xf>
    <xf numFmtId="0" fontId="10" fillId="18" borderId="0" xfId="10" applyFont="1" applyAlignment="1">
      <alignment horizontal="left" vertical="center"/>
    </xf>
    <xf numFmtId="166" fontId="10" fillId="18" borderId="0" xfId="10" applyNumberFormat="1" applyFont="1" applyAlignment="1">
      <alignment horizontal="center"/>
    </xf>
    <xf numFmtId="167" fontId="12" fillId="12" borderId="7" xfId="28" applyFill="1" applyBorder="1">
      <alignment vertical="top"/>
    </xf>
    <xf numFmtId="166" fontId="8" fillId="0" borderId="0" xfId="0" applyNumberFormat="1" applyFont="1" applyBorder="1" applyAlignment="1">
      <alignment horizontal="right" vertical="top"/>
    </xf>
    <xf numFmtId="173" fontId="23" fillId="0" borderId="21" xfId="14" applyNumberFormat="1" applyBorder="1" applyAlignment="1">
      <alignment vertical="top"/>
    </xf>
    <xf numFmtId="1" fontId="23" fillId="12" borderId="7" xfId="14" applyNumberFormat="1" applyFill="1" applyAlignment="1">
      <alignment vertical="top"/>
    </xf>
    <xf numFmtId="173" fontId="12" fillId="12" borderId="21" xfId="7" applyBorder="1" applyAlignment="1">
      <alignment vertical="top"/>
    </xf>
    <xf numFmtId="166" fontId="8" fillId="18" borderId="0" xfId="10" applyNumberFormat="1" applyFont="1" applyAlignment="1">
      <alignment horizontal="right" vertical="top"/>
    </xf>
    <xf numFmtId="166" fontId="8" fillId="18" borderId="0" xfId="10" applyNumberFormat="1" applyFont="1" applyAlignment="1">
      <alignment vertical="top"/>
    </xf>
    <xf numFmtId="166" fontId="0" fillId="18" borderId="0" xfId="10" applyNumberFormat="1" applyFont="1" applyAlignment="1">
      <alignment horizontal="right" vertical="top"/>
    </xf>
    <xf numFmtId="173" fontId="12" fillId="12" borderId="21" xfId="7" applyBorder="1" applyAlignment="1">
      <alignment horizontal="right" vertical="center"/>
    </xf>
    <xf numFmtId="173" fontId="12" fillId="12" borderId="0" xfId="7" applyBorder="1" applyAlignment="1">
      <alignment horizontal="left" vertical="center"/>
    </xf>
    <xf numFmtId="167" fontId="10" fillId="0" borderId="0" xfId="9" applyNumberFormat="1" applyAlignment="1">
      <alignment vertical="top"/>
    </xf>
    <xf numFmtId="1" fontId="3" fillId="3" borderId="3" xfId="12" applyNumberFormat="1" applyAlignment="1">
      <alignment vertical="top"/>
      <protection locked="0"/>
    </xf>
    <xf numFmtId="1" fontId="3" fillId="3" borderId="18" xfId="12" applyNumberFormat="1" applyBorder="1" applyAlignment="1">
      <alignment vertical="top"/>
      <protection locked="0"/>
    </xf>
    <xf numFmtId="166" fontId="0" fillId="0" borderId="0" xfId="0" applyNumberFormat="1" applyFont="1" applyFill="1" applyBorder="1">
      <alignment vertical="top"/>
    </xf>
    <xf numFmtId="172" fontId="3" fillId="0" borderId="0" xfId="12" applyNumberFormat="1" applyFill="1" applyBorder="1" applyAlignment="1">
      <alignment vertical="top"/>
      <protection locked="0"/>
    </xf>
    <xf numFmtId="172" fontId="23" fillId="0" borderId="7" xfId="14" applyNumberFormat="1" applyAlignment="1">
      <alignment vertical="top"/>
    </xf>
    <xf numFmtId="4" fontId="12" fillId="13" borderId="2" xfId="11" applyNumberFormat="1" applyAlignment="1">
      <alignment vertical="top"/>
      <protection locked="0"/>
    </xf>
    <xf numFmtId="4" fontId="12" fillId="13" borderId="2" xfId="11" applyNumberFormat="1">
      <protection locked="0"/>
    </xf>
    <xf numFmtId="4" fontId="12" fillId="13" borderId="2" xfId="11" applyNumberFormat="1" applyAlignment="1">
      <protection locked="0"/>
    </xf>
    <xf numFmtId="4" fontId="0" fillId="0" borderId="0" xfId="0" applyNumberFormat="1">
      <alignment vertical="top"/>
    </xf>
    <xf numFmtId="4" fontId="6" fillId="7" borderId="0" xfId="15" applyNumberFormat="1" applyAlignment="1">
      <alignment horizontal="left"/>
    </xf>
    <xf numFmtId="4" fontId="21" fillId="0" borderId="0" xfId="6" applyNumberFormat="1">
      <alignment horizontal="left"/>
    </xf>
    <xf numFmtId="4" fontId="12" fillId="13" borderId="13" xfId="11" applyNumberFormat="1" applyBorder="1" applyAlignment="1">
      <protection locked="0"/>
    </xf>
    <xf numFmtId="4" fontId="12" fillId="0" borderId="0" xfId="11" applyNumberFormat="1" applyFill="1" applyBorder="1" applyAlignment="1">
      <protection locked="0"/>
    </xf>
    <xf numFmtId="4" fontId="17" fillId="5" borderId="0" xfId="4" applyNumberFormat="1">
      <alignment horizontal="left" vertical="center"/>
    </xf>
    <xf numFmtId="4" fontId="6" fillId="0" borderId="0" xfId="15" applyNumberFormat="1" applyFill="1" applyAlignment="1">
      <alignment horizontal="left"/>
    </xf>
    <xf numFmtId="0" fontId="5" fillId="5" borderId="0" xfId="4" applyFont="1" applyAlignment="1">
      <alignment horizontal="right" vertical="center"/>
    </xf>
    <xf numFmtId="0" fontId="0" fillId="0" borderId="0" xfId="0" applyNumberFormat="1" applyAlignment="1">
      <alignment horizontal="left"/>
    </xf>
    <xf numFmtId="0" fontId="10" fillId="0" borderId="0" xfId="9" applyAlignment="1">
      <alignment wrapText="1"/>
    </xf>
    <xf numFmtId="172" fontId="29" fillId="16" borderId="11" xfId="0" applyFont="1" applyFill="1" applyBorder="1" applyAlignment="1">
      <alignment horizontal="left" vertical="center" wrapText="1" readingOrder="1"/>
    </xf>
    <xf numFmtId="172" fontId="29" fillId="17" borderId="10" xfId="0" applyFont="1" applyFill="1" applyBorder="1" applyAlignment="1">
      <alignment horizontal="left" vertical="center" wrapText="1" readingOrder="1"/>
    </xf>
    <xf numFmtId="172" fontId="29" fillId="17" borderId="11" xfId="0" applyFont="1" applyFill="1" applyBorder="1" applyAlignment="1">
      <alignment horizontal="left" vertical="center" wrapText="1" readingOrder="1"/>
    </xf>
    <xf numFmtId="172" fontId="0" fillId="0" borderId="0" xfId="0" applyFont="1">
      <alignment vertical="top"/>
    </xf>
    <xf numFmtId="172" fontId="39" fillId="0" borderId="0" xfId="0" applyFont="1" applyAlignment="1"/>
    <xf numFmtId="172" fontId="41" fillId="21" borderId="0" xfId="0" applyFont="1" applyFill="1" applyAlignment="1"/>
    <xf numFmtId="172" fontId="0" fillId="0" borderId="0" xfId="0" applyBorder="1" applyAlignment="1">
      <alignment vertical="top" wrapText="1"/>
    </xf>
    <xf numFmtId="172" fontId="0" fillId="0" borderId="0" xfId="0" applyFont="1" applyBorder="1" applyAlignment="1">
      <alignment horizontal="left" vertical="top" wrapText="1"/>
    </xf>
    <xf numFmtId="172" fontId="0" fillId="0" borderId="0" xfId="0" applyBorder="1" applyAlignment="1">
      <alignment vertical="center"/>
    </xf>
    <xf numFmtId="166" fontId="5" fillId="5" borderId="0" xfId="0" applyNumberFormat="1" applyFont="1" applyFill="1" applyAlignment="1">
      <alignment vertical="center"/>
    </xf>
    <xf numFmtId="172" fontId="0" fillId="0" borderId="23" xfId="0" applyFont="1" applyBorder="1" applyAlignment="1">
      <alignment horizontal="center" vertical="center" wrapText="1"/>
    </xf>
    <xf numFmtId="172" fontId="0" fillId="0" borderId="23" xfId="0" applyBorder="1" applyAlignment="1">
      <alignment horizontal="center" vertical="center"/>
    </xf>
    <xf numFmtId="172" fontId="0" fillId="0" borderId="0" xfId="0" applyBorder="1" applyAlignment="1">
      <alignment horizontal="center" vertical="center"/>
    </xf>
    <xf numFmtId="0" fontId="6" fillId="7" borderId="0" xfId="15" applyAlignment="1">
      <alignment horizontal="center" vertical="center"/>
    </xf>
    <xf numFmtId="166" fontId="5" fillId="5" borderId="0" xfId="0" applyNumberFormat="1" applyFont="1" applyFill="1" applyAlignment="1">
      <alignment horizontal="center" vertical="center"/>
    </xf>
    <xf numFmtId="49" fontId="0" fillId="0" borderId="0" xfId="0" applyNumberFormat="1" applyFont="1" applyBorder="1" applyAlignment="1">
      <alignment horizontal="left" vertical="center"/>
    </xf>
    <xf numFmtId="172" fontId="0" fillId="0" borderId="0" xfId="0" applyAlignment="1">
      <alignment vertical="top" wrapText="1"/>
    </xf>
    <xf numFmtId="166" fontId="10" fillId="0" borderId="0" xfId="9" applyNumberFormat="1" applyAlignment="1">
      <alignment horizontal="left" vertical="top"/>
    </xf>
    <xf numFmtId="173" fontId="23" fillId="12" borderId="7" xfId="14" applyNumberFormat="1" applyFill="1" applyAlignment="1" applyProtection="1">
      <alignment vertical="top"/>
    </xf>
    <xf numFmtId="166" fontId="0" fillId="0" borderId="0" xfId="0" applyNumberFormat="1" applyBorder="1" applyAlignment="1">
      <alignment horizontal="left"/>
    </xf>
    <xf numFmtId="172" fontId="0" fillId="3" borderId="3" xfId="12" applyNumberFormat="1" applyFont="1" applyAlignment="1">
      <alignment vertical="top"/>
      <protection locked="0"/>
    </xf>
    <xf numFmtId="173" fontId="14" fillId="0" borderId="0" xfId="5" applyNumberFormat="1" applyProtection="1">
      <alignment horizontal="left" vertical="center"/>
    </xf>
    <xf numFmtId="173" fontId="0" fillId="0" borderId="0" xfId="0" applyNumberFormat="1" applyProtection="1">
      <alignment vertical="top"/>
    </xf>
    <xf numFmtId="167" fontId="12" fillId="12" borderId="7" xfId="28" applyFill="1" applyBorder="1" applyAlignment="1">
      <alignment horizontal="right" vertical="top"/>
    </xf>
    <xf numFmtId="0" fontId="10" fillId="0" borderId="0" xfId="9" applyNumberFormat="1" applyFill="1" applyAlignment="1">
      <alignment vertical="top"/>
    </xf>
    <xf numFmtId="167" fontId="12" fillId="12" borderId="7" xfId="28" applyFill="1" applyBorder="1" applyProtection="1">
      <alignment vertical="top"/>
      <protection locked="0"/>
    </xf>
    <xf numFmtId="0" fontId="3" fillId="0" borderId="0" xfId="5" applyFont="1">
      <alignment horizontal="left" vertical="center"/>
    </xf>
    <xf numFmtId="0" fontId="23" fillId="0" borderId="7" xfId="14" applyAlignment="1">
      <alignment horizontal="right" vertical="center"/>
    </xf>
    <xf numFmtId="167" fontId="24" fillId="0" borderId="7" xfId="31" applyNumberFormat="1" applyAlignment="1">
      <alignment vertical="top"/>
    </xf>
    <xf numFmtId="172" fontId="41" fillId="0" borderId="0" xfId="0" applyFont="1" applyFill="1" applyAlignment="1"/>
    <xf numFmtId="0" fontId="6" fillId="0" borderId="0" xfId="15" applyFill="1" applyAlignment="1">
      <alignment horizontal="right" vertical="center"/>
    </xf>
    <xf numFmtId="0" fontId="10" fillId="0" borderId="0" xfId="9" applyFill="1" applyAlignment="1">
      <alignment wrapText="1"/>
    </xf>
    <xf numFmtId="4" fontId="25" fillId="0" borderId="0" xfId="0" applyNumberFormat="1" applyFont="1">
      <alignment vertical="top"/>
    </xf>
    <xf numFmtId="4" fontId="42" fillId="7" borderId="0" xfId="15" applyNumberFormat="1" applyFont="1" applyAlignment="1">
      <alignment horizontal="left"/>
    </xf>
    <xf numFmtId="4" fontId="38" fillId="0" borderId="0" xfId="6" applyNumberFormat="1" applyFont="1">
      <alignment horizontal="left"/>
    </xf>
    <xf numFmtId="4" fontId="25" fillId="0" borderId="0" xfId="11" applyNumberFormat="1" applyFont="1" applyFill="1" applyBorder="1" applyAlignment="1">
      <protection locked="0"/>
    </xf>
    <xf numFmtId="4" fontId="38" fillId="5" borderId="0" xfId="4" applyNumberFormat="1" applyFont="1">
      <alignment horizontal="left" vertical="center"/>
    </xf>
    <xf numFmtId="167" fontId="24" fillId="12" borderId="7" xfId="31" applyNumberFormat="1" applyFill="1" applyAlignment="1">
      <alignment vertical="top"/>
    </xf>
    <xf numFmtId="173" fontId="0" fillId="12" borderId="7" xfId="7" applyFont="1" applyAlignment="1">
      <alignment horizontal="right" vertical="center"/>
    </xf>
    <xf numFmtId="166" fontId="19" fillId="0" borderId="0" xfId="9" applyNumberFormat="1" applyFont="1" applyAlignment="1">
      <alignment horizontal="center"/>
    </xf>
    <xf numFmtId="0" fontId="19" fillId="0" borderId="0" xfId="9" applyFont="1" applyAlignment="1">
      <alignment horizontal="left" vertical="center"/>
    </xf>
    <xf numFmtId="0" fontId="13" fillId="0" borderId="0" xfId="5" applyFont="1">
      <alignment horizontal="left" vertical="center"/>
    </xf>
    <xf numFmtId="173" fontId="23" fillId="12" borderId="20" xfId="14" applyNumberFormat="1" applyFill="1" applyBorder="1" applyAlignment="1" applyProtection="1">
      <alignment vertical="top"/>
    </xf>
    <xf numFmtId="0" fontId="10" fillId="0" borderId="0" xfId="9" applyNumberFormat="1" applyBorder="1" applyAlignment="1">
      <alignment vertical="top"/>
    </xf>
    <xf numFmtId="173" fontId="23" fillId="12" borderId="0" xfId="14" applyNumberFormat="1" applyFill="1" applyBorder="1" applyAlignment="1" applyProtection="1">
      <alignment vertical="top"/>
    </xf>
    <xf numFmtId="173" fontId="23" fillId="12" borderId="21" xfId="14" applyNumberFormat="1" applyFill="1" applyBorder="1" applyAlignment="1" applyProtection="1">
      <alignment vertical="top"/>
    </xf>
    <xf numFmtId="173" fontId="12" fillId="12" borderId="7" xfId="7" applyAlignment="1" applyProtection="1">
      <alignment horizontal="left" vertical="center"/>
    </xf>
    <xf numFmtId="167" fontId="23" fillId="0" borderId="7" xfId="14" applyNumberFormat="1" applyAlignment="1" applyProtection="1">
      <alignment vertical="top"/>
    </xf>
    <xf numFmtId="172" fontId="32" fillId="15" borderId="11" xfId="0" applyFont="1" applyFill="1" applyBorder="1" applyAlignment="1">
      <alignment horizontal="left" vertical="top" wrapText="1"/>
    </xf>
    <xf numFmtId="173" fontId="23" fillId="12" borderId="0" xfId="14" applyNumberFormat="1" applyFill="1" applyBorder="1" applyAlignment="1">
      <alignment horizontal="right" vertical="center"/>
    </xf>
    <xf numFmtId="167" fontId="12" fillId="12" borderId="21" xfId="28" applyFill="1" applyBorder="1">
      <alignment vertical="top"/>
    </xf>
    <xf numFmtId="2" fontId="23" fillId="12" borderId="7" xfId="14" applyNumberFormat="1" applyFill="1" applyAlignment="1">
      <alignment horizontal="right" vertical="center"/>
    </xf>
    <xf numFmtId="2" fontId="14" fillId="0" borderId="0" xfId="5" applyNumberFormat="1">
      <alignment horizontal="left" vertical="center"/>
    </xf>
    <xf numFmtId="172" fontId="28" fillId="14" borderId="11" xfId="0" applyFont="1" applyFill="1" applyBorder="1" applyAlignment="1">
      <alignment horizontal="center" vertical="center" wrapText="1" readingOrder="1"/>
    </xf>
    <xf numFmtId="172" fontId="27" fillId="15" borderId="11" xfId="0" applyFont="1" applyFill="1" applyBorder="1" applyAlignment="1">
      <alignment horizontal="center" vertical="top" wrapText="1"/>
    </xf>
    <xf numFmtId="172" fontId="27" fillId="16" borderId="11" xfId="0" applyFont="1" applyFill="1" applyBorder="1" applyAlignment="1">
      <alignment horizontal="center" vertical="top" wrapText="1"/>
    </xf>
    <xf numFmtId="172" fontId="30" fillId="17" borderId="11" xfId="0" applyFont="1" applyFill="1" applyBorder="1" applyAlignment="1">
      <alignment horizontal="center" vertical="center" wrapText="1" readingOrder="1"/>
    </xf>
    <xf numFmtId="172" fontId="30" fillId="0" borderId="11" xfId="0" applyFont="1" applyBorder="1" applyAlignment="1">
      <alignment horizontal="center" vertical="center" wrapText="1" readingOrder="1"/>
    </xf>
    <xf numFmtId="172" fontId="28" fillId="14" borderId="12" xfId="0" applyFont="1" applyFill="1" applyBorder="1" applyAlignment="1">
      <alignment horizontal="center" vertical="center" wrapText="1" readingOrder="1"/>
    </xf>
    <xf numFmtId="172" fontId="27" fillId="15" borderId="12" xfId="0" applyFont="1" applyFill="1" applyBorder="1" applyAlignment="1">
      <alignment horizontal="center" vertical="top" wrapText="1"/>
    </xf>
    <xf numFmtId="172" fontId="27" fillId="16" borderId="12" xfId="0" applyFont="1" applyFill="1" applyBorder="1" applyAlignment="1">
      <alignment horizontal="center" vertical="top" wrapText="1"/>
    </xf>
    <xf numFmtId="172" fontId="30" fillId="17" borderId="12" xfId="0" applyFont="1" applyFill="1" applyBorder="1" applyAlignment="1">
      <alignment horizontal="center" vertical="center" wrapText="1" readingOrder="1"/>
    </xf>
    <xf numFmtId="172" fontId="30" fillId="0" borderId="12" xfId="0" applyFont="1" applyBorder="1" applyAlignment="1">
      <alignment horizontal="center" vertical="center" wrapText="1" readingOrder="1"/>
    </xf>
    <xf numFmtId="172" fontId="28" fillId="22" borderId="10" xfId="0" applyFont="1" applyFill="1" applyBorder="1" applyAlignment="1">
      <alignment horizontal="left" vertical="center" wrapText="1" readingOrder="1"/>
    </xf>
    <xf numFmtId="172" fontId="27" fillId="22" borderId="11" xfId="0" applyFont="1" applyFill="1" applyBorder="1" applyAlignment="1">
      <alignment vertical="top" wrapText="1"/>
    </xf>
    <xf numFmtId="172" fontId="27" fillId="22" borderId="11" xfId="0" applyFont="1" applyFill="1" applyBorder="1" applyAlignment="1">
      <alignment horizontal="center" vertical="top" wrapText="1"/>
    </xf>
    <xf numFmtId="172" fontId="27" fillId="22" borderId="12" xfId="0" applyFont="1" applyFill="1" applyBorder="1" applyAlignment="1">
      <alignment horizontal="center" vertical="top" wrapText="1"/>
    </xf>
    <xf numFmtId="172" fontId="29" fillId="23" borderId="10" xfId="0" applyFont="1" applyFill="1" applyBorder="1" applyAlignment="1">
      <alignment horizontal="left" vertical="center" wrapText="1" readingOrder="1"/>
    </xf>
    <xf numFmtId="174" fontId="23" fillId="0" borderId="20" xfId="14" applyNumberFormat="1" applyBorder="1" applyAlignment="1">
      <alignment horizontal="right" vertical="top"/>
    </xf>
    <xf numFmtId="172" fontId="44" fillId="0" borderId="0" xfId="0" applyFont="1" applyAlignment="1"/>
    <xf numFmtId="172" fontId="45" fillId="0" borderId="0" xfId="0" applyFont="1" applyAlignment="1"/>
    <xf numFmtId="172" fontId="44" fillId="0" borderId="0" xfId="0" applyFont="1" applyAlignment="1">
      <alignment wrapText="1"/>
    </xf>
    <xf numFmtId="172" fontId="46" fillId="0" borderId="0" xfId="0" applyFont="1" applyAlignment="1"/>
    <xf numFmtId="172" fontId="44" fillId="0" borderId="0" xfId="0" applyFont="1" applyAlignment="1">
      <alignment vertical="center"/>
    </xf>
    <xf numFmtId="174" fontId="12" fillId="12" borderId="7" xfId="28" applyNumberFormat="1" applyFill="1" applyBorder="1">
      <alignment vertical="top"/>
    </xf>
    <xf numFmtId="174" fontId="24" fillId="12" borderId="7" xfId="31" applyNumberFormat="1" applyFill="1" applyAlignment="1">
      <alignment vertical="top"/>
    </xf>
    <xf numFmtId="166" fontId="48" fillId="0" borderId="0" xfId="0" applyNumberFormat="1" applyFont="1">
      <alignment vertical="top"/>
    </xf>
    <xf numFmtId="166" fontId="49" fillId="0" borderId="0" xfId="5" applyNumberFormat="1" applyFont="1">
      <alignment horizontal="left" vertical="center"/>
    </xf>
    <xf numFmtId="172" fontId="27" fillId="23" borderId="11" xfId="0" applyFont="1" applyFill="1" applyBorder="1" applyAlignment="1">
      <alignment vertical="top" wrapText="1"/>
    </xf>
    <xf numFmtId="172" fontId="27" fillId="23" borderId="11" xfId="0" applyFont="1" applyFill="1" applyBorder="1" applyAlignment="1">
      <alignment horizontal="center" vertical="top" wrapText="1"/>
    </xf>
    <xf numFmtId="172" fontId="27" fillId="23" borderId="12" xfId="0" applyFont="1" applyFill="1" applyBorder="1" applyAlignment="1">
      <alignment horizontal="center" vertical="top" wrapText="1"/>
    </xf>
    <xf numFmtId="166" fontId="52" fillId="0" borderId="0" xfId="0" applyNumberFormat="1" applyFont="1">
      <alignment vertical="top"/>
    </xf>
    <xf numFmtId="166" fontId="52" fillId="0" borderId="0" xfId="0" applyNumberFormat="1" applyFont="1" applyAlignment="1">
      <alignment horizontal="left"/>
    </xf>
    <xf numFmtId="49" fontId="0" fillId="0" borderId="0" xfId="0" applyNumberFormat="1" applyAlignment="1">
      <alignment vertical="top"/>
    </xf>
    <xf numFmtId="14" fontId="0" fillId="0" borderId="0" xfId="0" applyNumberFormat="1" applyAlignment="1">
      <alignment horizontal="left" vertical="top"/>
    </xf>
    <xf numFmtId="172" fontId="0" fillId="0" borderId="0" xfId="0" applyAlignment="1">
      <alignment vertical="top"/>
    </xf>
    <xf numFmtId="166" fontId="0" fillId="2" borderId="0" xfId="0" applyNumberFormat="1" applyFill="1" applyAlignment="1">
      <alignment vertical="top"/>
    </xf>
    <xf numFmtId="166" fontId="0" fillId="0" borderId="0" xfId="0" applyNumberFormat="1" applyAlignment="1">
      <alignment horizontal="left" vertical="top"/>
    </xf>
    <xf numFmtId="166" fontId="5" fillId="26" borderId="0" xfId="0" applyNumberFormat="1" applyFont="1" applyFill="1" applyAlignment="1">
      <alignment vertical="top"/>
    </xf>
    <xf numFmtId="166" fontId="5" fillId="20" borderId="0" xfId="0" applyNumberFormat="1" applyFont="1" applyFill="1" applyAlignment="1">
      <alignment vertical="top"/>
    </xf>
    <xf numFmtId="166" fontId="3" fillId="9" borderId="0" xfId="0" applyNumberFormat="1" applyFont="1" applyFill="1" applyAlignment="1">
      <alignment vertical="top"/>
    </xf>
    <xf numFmtId="166" fontId="5" fillId="4" borderId="0" xfId="0" applyNumberFormat="1" applyFont="1" applyFill="1" applyAlignment="1">
      <alignment vertical="top"/>
    </xf>
    <xf numFmtId="166" fontId="5" fillId="7" borderId="0" xfId="0" applyNumberFormat="1" applyFont="1" applyFill="1" applyAlignment="1">
      <alignment vertical="top"/>
    </xf>
    <xf numFmtId="166" fontId="0" fillId="0" borderId="0" xfId="0" applyNumberFormat="1" applyAlignment="1">
      <alignment vertical="top"/>
    </xf>
    <xf numFmtId="172" fontId="5" fillId="28" borderId="0" xfId="0" applyFont="1" applyFill="1" applyAlignment="1">
      <alignment vertical="top"/>
    </xf>
    <xf numFmtId="0" fontId="17" fillId="25" borderId="0" xfId="4" applyFill="1" applyProtection="1">
      <alignment horizontal="left" vertical="center"/>
      <protection locked="0"/>
    </xf>
    <xf numFmtId="0" fontId="10" fillId="25" borderId="0" xfId="9" applyFill="1" applyAlignment="1" applyProtection="1">
      <alignment horizontal="left" vertical="center"/>
      <protection locked="0"/>
    </xf>
    <xf numFmtId="172" fontId="0" fillId="0" borderId="0" xfId="0" applyProtection="1">
      <alignment vertical="top"/>
      <protection locked="0"/>
    </xf>
    <xf numFmtId="166" fontId="0" fillId="0" borderId="0" xfId="0" applyNumberFormat="1" applyProtection="1">
      <alignment vertical="top"/>
      <protection locked="0"/>
    </xf>
    <xf numFmtId="166" fontId="14" fillId="0" borderId="0" xfId="5" applyNumberFormat="1" applyProtection="1">
      <alignment horizontal="left" vertical="center"/>
      <protection locked="0"/>
    </xf>
    <xf numFmtId="0" fontId="14" fillId="0" borderId="0" xfId="5" applyProtection="1">
      <alignment horizontal="left" vertical="center"/>
      <protection locked="0"/>
    </xf>
    <xf numFmtId="172" fontId="13" fillId="25" borderId="0" xfId="0" applyFont="1" applyFill="1" applyProtection="1">
      <alignment vertical="top"/>
      <protection locked="0"/>
    </xf>
    <xf numFmtId="172" fontId="13" fillId="0" borderId="0" xfId="0" applyFont="1" applyProtection="1">
      <alignment vertical="top"/>
    </xf>
    <xf numFmtId="172" fontId="0" fillId="0" borderId="0" xfId="0" applyProtection="1">
      <alignment vertical="top"/>
    </xf>
    <xf numFmtId="0" fontId="10" fillId="0" borderId="0" xfId="9" applyAlignment="1" applyProtection="1">
      <alignment horizontal="left" vertical="center"/>
    </xf>
    <xf numFmtId="174" fontId="3" fillId="0" borderId="0" xfId="28" applyNumberFormat="1" applyFont="1" applyProtection="1">
      <alignment vertical="top"/>
    </xf>
    <xf numFmtId="172" fontId="0" fillId="27" borderId="0" xfId="0" applyFill="1" applyProtection="1">
      <alignment vertical="top"/>
    </xf>
    <xf numFmtId="174" fontId="35" fillId="0" borderId="0" xfId="28" applyNumberFormat="1" applyFont="1" applyAlignment="1" applyProtection="1">
      <alignment horizontal="right" vertical="top"/>
    </xf>
    <xf numFmtId="169" fontId="3" fillId="0" borderId="0" xfId="28" applyNumberFormat="1" applyFont="1" applyProtection="1">
      <alignment vertical="top"/>
    </xf>
    <xf numFmtId="167" fontId="3" fillId="0" borderId="0" xfId="28" applyFont="1" applyProtection="1">
      <alignment vertical="top"/>
    </xf>
    <xf numFmtId="0" fontId="51" fillId="0" borderId="0" xfId="9" applyFont="1" applyAlignment="1" applyProtection="1">
      <alignment horizontal="left" vertical="center"/>
    </xf>
    <xf numFmtId="0" fontId="3" fillId="0" borderId="0" xfId="9" applyFont="1" applyAlignment="1" applyProtection="1">
      <alignment horizontal="left" vertical="center"/>
    </xf>
    <xf numFmtId="166" fontId="3" fillId="0" borderId="0" xfId="9" applyNumberFormat="1" applyFont="1" applyAlignment="1" applyProtection="1">
      <alignment horizontal="center"/>
    </xf>
    <xf numFmtId="172" fontId="51" fillId="0" borderId="0" xfId="0" applyFont="1" applyProtection="1">
      <alignment vertical="top"/>
    </xf>
    <xf numFmtId="172" fontId="43" fillId="0" borderId="0" xfId="0" applyFont="1" applyProtection="1">
      <alignment vertical="top"/>
    </xf>
    <xf numFmtId="166" fontId="51" fillId="0" borderId="0" xfId="0" applyNumberFormat="1" applyFont="1" applyProtection="1">
      <alignment vertical="top"/>
    </xf>
    <xf numFmtId="172" fontId="50" fillId="0" borderId="0" xfId="0" applyFont="1" applyProtection="1">
      <alignment vertical="top"/>
    </xf>
    <xf numFmtId="166" fontId="10" fillId="0" borderId="0" xfId="9" applyNumberFormat="1" applyAlignment="1" applyProtection="1">
      <alignment horizontal="left"/>
    </xf>
    <xf numFmtId="172" fontId="0" fillId="0" borderId="0" xfId="0" applyAlignment="1" applyProtection="1">
      <alignment horizontal="left" vertical="top"/>
    </xf>
    <xf numFmtId="166" fontId="0" fillId="0" borderId="0" xfId="0" applyNumberFormat="1" applyFont="1" applyProtection="1">
      <alignment vertical="top"/>
    </xf>
    <xf numFmtId="166" fontId="10" fillId="0" borderId="0" xfId="9" applyNumberFormat="1" applyAlignment="1" applyProtection="1">
      <alignment horizontal="left" vertical="top"/>
    </xf>
    <xf numFmtId="172" fontId="54" fillId="25" borderId="0" xfId="0" applyFont="1" applyFill="1" applyProtection="1">
      <alignment vertical="top"/>
      <protection locked="0"/>
    </xf>
    <xf numFmtId="0" fontId="54" fillId="25" borderId="0" xfId="4" applyFont="1" applyFill="1" applyProtection="1">
      <alignment horizontal="left" vertical="center"/>
      <protection locked="0"/>
    </xf>
    <xf numFmtId="166" fontId="13" fillId="0" borderId="0" xfId="0" applyNumberFormat="1" applyFont="1" applyProtection="1">
      <alignment vertical="top"/>
    </xf>
    <xf numFmtId="172" fontId="0" fillId="0" borderId="0" xfId="0" applyFill="1" applyAlignment="1" applyProtection="1">
      <alignment horizontal="center" vertical="top"/>
      <protection locked="0"/>
    </xf>
    <xf numFmtId="172" fontId="0" fillId="0" borderId="0" xfId="0" applyAlignment="1" applyProtection="1">
      <alignment horizontal="center" vertical="top"/>
      <protection locked="0"/>
    </xf>
    <xf numFmtId="172" fontId="13" fillId="27" borderId="0" xfId="0" applyFont="1" applyFill="1" applyAlignment="1" applyProtection="1">
      <alignment vertical="top" wrapText="1"/>
    </xf>
    <xf numFmtId="172" fontId="13" fillId="27" borderId="0" xfId="0" applyFont="1" applyFill="1" applyProtection="1">
      <alignment vertical="top"/>
    </xf>
    <xf numFmtId="172" fontId="0" fillId="24" borderId="28" xfId="0" applyFill="1" applyBorder="1" applyAlignment="1" applyProtection="1">
      <alignment horizontal="center" vertical="top"/>
      <protection locked="0"/>
    </xf>
    <xf numFmtId="172" fontId="0" fillId="24" borderId="29" xfId="0" applyFill="1" applyBorder="1" applyAlignment="1" applyProtection="1">
      <alignment horizontal="center" vertical="top"/>
      <protection locked="0"/>
    </xf>
    <xf numFmtId="4" fontId="3" fillId="26" borderId="0" xfId="0" applyNumberFormat="1" applyFont="1" applyFill="1" applyBorder="1" applyProtection="1">
      <alignment vertical="top"/>
    </xf>
    <xf numFmtId="4" fontId="3" fillId="0" borderId="0" xfId="0" applyNumberFormat="1" applyFont="1" applyBorder="1" applyProtection="1">
      <alignment vertical="top"/>
    </xf>
    <xf numFmtId="172" fontId="0" fillId="0" borderId="0" xfId="0" applyBorder="1" applyProtection="1">
      <alignment vertical="top"/>
    </xf>
    <xf numFmtId="4" fontId="35" fillId="27" borderId="27" xfId="0" applyNumberFormat="1" applyFont="1" applyFill="1" applyBorder="1" applyProtection="1">
      <alignment vertical="top"/>
    </xf>
    <xf numFmtId="4" fontId="35" fillId="27" borderId="28" xfId="0" applyNumberFormat="1" applyFont="1" applyFill="1" applyBorder="1" applyProtection="1">
      <alignment vertical="top"/>
    </xf>
    <xf numFmtId="4" fontId="35" fillId="27" borderId="33" xfId="0" applyNumberFormat="1" applyFont="1" applyFill="1" applyBorder="1" applyProtection="1">
      <alignment vertical="top"/>
    </xf>
    <xf numFmtId="4" fontId="35" fillId="27" borderId="29" xfId="0" applyNumberFormat="1" applyFont="1" applyFill="1" applyBorder="1" applyProtection="1">
      <alignment vertical="top"/>
    </xf>
    <xf numFmtId="172" fontId="53" fillId="24" borderId="27" xfId="0" applyFont="1" applyFill="1" applyBorder="1" applyAlignment="1" applyProtection="1">
      <alignment horizontal="center" vertical="top"/>
      <protection locked="0"/>
    </xf>
    <xf numFmtId="172" fontId="53" fillId="24" borderId="28" xfId="0" applyFont="1" applyFill="1" applyBorder="1" applyAlignment="1" applyProtection="1">
      <alignment horizontal="center" vertical="top"/>
      <protection locked="0"/>
    </xf>
    <xf numFmtId="172" fontId="53" fillId="24" borderId="30" xfId="12" applyNumberFormat="1" applyFont="1" applyFill="1" applyBorder="1" applyAlignment="1" applyProtection="1">
      <alignment horizontal="center" vertical="top"/>
      <protection locked="0"/>
    </xf>
    <xf numFmtId="172" fontId="53" fillId="24" borderId="31" xfId="12" applyNumberFormat="1" applyFont="1" applyFill="1" applyBorder="1" applyAlignment="1" applyProtection="1">
      <alignment horizontal="center" vertical="top"/>
      <protection locked="0"/>
    </xf>
    <xf numFmtId="172" fontId="53" fillId="24" borderId="32" xfId="12" applyNumberFormat="1" applyFont="1" applyFill="1" applyBorder="1" applyAlignment="1" applyProtection="1">
      <alignment vertical="top"/>
      <protection locked="0"/>
    </xf>
    <xf numFmtId="172" fontId="53" fillId="24" borderId="31" xfId="12" applyNumberFormat="1" applyFont="1" applyFill="1" applyBorder="1" applyAlignment="1" applyProtection="1">
      <alignment vertical="top"/>
      <protection locked="0"/>
    </xf>
    <xf numFmtId="177" fontId="53" fillId="24" borderId="32" xfId="12" applyNumberFormat="1" applyFont="1" applyFill="1" applyBorder="1" applyAlignment="1" applyProtection="1">
      <alignment vertical="top"/>
      <protection locked="0"/>
    </xf>
    <xf numFmtId="177" fontId="53" fillId="24" borderId="31" xfId="12" applyNumberFormat="1" applyFont="1" applyFill="1" applyBorder="1" applyAlignment="1" applyProtection="1">
      <alignment vertical="top"/>
      <protection locked="0"/>
    </xf>
    <xf numFmtId="166" fontId="53" fillId="0" borderId="0" xfId="0" applyNumberFormat="1" applyFont="1" applyProtection="1">
      <alignment vertical="top"/>
    </xf>
    <xf numFmtId="166" fontId="47" fillId="0" borderId="0" xfId="0" applyNumberFormat="1" applyFont="1" applyProtection="1">
      <alignment vertical="top"/>
    </xf>
    <xf numFmtId="172" fontId="13" fillId="25" borderId="0" xfId="0" applyFont="1" applyFill="1" applyProtection="1">
      <alignment vertical="top"/>
    </xf>
    <xf numFmtId="172" fontId="10" fillId="0" borderId="0" xfId="9" applyNumberFormat="1" applyAlignment="1" applyProtection="1">
      <alignment vertical="top"/>
    </xf>
    <xf numFmtId="166" fontId="21" fillId="0" borderId="0" xfId="6" applyNumberFormat="1" applyProtection="1">
      <alignment horizontal="left"/>
    </xf>
    <xf numFmtId="166" fontId="10" fillId="0" borderId="0" xfId="9" applyNumberFormat="1" applyAlignment="1" applyProtection="1">
      <alignment horizontal="center"/>
    </xf>
    <xf numFmtId="49" fontId="0" fillId="0" borderId="23" xfId="0" applyNumberFormat="1" applyFont="1" applyBorder="1" applyAlignment="1">
      <alignment horizontal="left" vertical="center"/>
    </xf>
    <xf numFmtId="172" fontId="41" fillId="21" borderId="0" xfId="0" applyFont="1" applyFill="1" applyAlignment="1"/>
    <xf numFmtId="166" fontId="5" fillId="5" borderId="0" xfId="0" applyNumberFormat="1" applyFont="1" applyFill="1" applyBorder="1" applyAlignment="1">
      <alignment horizontal="left" vertical="top"/>
    </xf>
    <xf numFmtId="172" fontId="0" fillId="0" borderId="23" xfId="0" applyFont="1" applyBorder="1" applyAlignment="1">
      <alignment horizontal="left" vertical="top" wrapText="1"/>
    </xf>
    <xf numFmtId="172" fontId="0" fillId="0" borderId="23" xfId="0" applyFont="1" applyFill="1" applyBorder="1" applyAlignment="1">
      <alignment horizontal="left" vertical="top" wrapText="1"/>
    </xf>
    <xf numFmtId="49" fontId="0" fillId="0" borderId="24" xfId="0" applyNumberFormat="1" applyFont="1" applyBorder="1" applyAlignment="1">
      <alignment horizontal="left" vertical="center"/>
    </xf>
    <xf numFmtId="49" fontId="0" fillId="0" borderId="25" xfId="0" applyNumberFormat="1" applyFont="1" applyBorder="1" applyAlignment="1">
      <alignment horizontal="left" vertical="center"/>
    </xf>
    <xf numFmtId="49" fontId="0" fillId="0" borderId="26" xfId="0" applyNumberFormat="1" applyFont="1" applyBorder="1" applyAlignment="1">
      <alignment horizontal="left" vertical="center"/>
    </xf>
    <xf numFmtId="49" fontId="11" fillId="0" borderId="0" xfId="0" applyNumberFormat="1" applyFont="1" applyAlignment="1">
      <alignment horizontal="left" vertical="top" wrapText="1"/>
    </xf>
    <xf numFmtId="49" fontId="11" fillId="0" borderId="0" xfId="0" applyNumberFormat="1" applyFont="1" applyAlignment="1">
      <alignment horizontal="left" vertical="top"/>
    </xf>
    <xf numFmtId="49" fontId="19" fillId="2" borderId="0" xfId="0" applyNumberFormat="1" applyFont="1" applyFill="1" applyAlignment="1">
      <alignment horizontal="left" vertical="top" wrapText="1"/>
    </xf>
    <xf numFmtId="166" fontId="0" fillId="0" borderId="0" xfId="0" applyNumberFormat="1" applyFont="1" applyAlignment="1">
      <alignment vertical="top"/>
    </xf>
    <xf numFmtId="172" fontId="40" fillId="21" borderId="0" xfId="0" applyFont="1" applyFill="1" applyAlignment="1"/>
    <xf numFmtId="0" fontId="10" fillId="0" borderId="0" xfId="9" applyAlignment="1" applyProtection="1">
      <alignment horizontal="center" vertical="top" wrapText="1"/>
    </xf>
    <xf numFmtId="0" fontId="10" fillId="0" borderId="0" xfId="9" applyAlignment="1">
      <alignment horizontal="center" vertical="top" wrapText="1"/>
    </xf>
    <xf numFmtId="172" fontId="29" fillId="16" borderId="10" xfId="0" applyFont="1" applyFill="1" applyBorder="1" applyAlignment="1">
      <alignment horizontal="left" vertical="center" wrapText="1" readingOrder="1"/>
    </xf>
    <xf numFmtId="172" fontId="29" fillId="16" borderId="11" xfId="0" applyFont="1" applyFill="1" applyBorder="1" applyAlignment="1">
      <alignment horizontal="left" vertical="center" wrapText="1" readingOrder="1"/>
    </xf>
    <xf numFmtId="172" fontId="29" fillId="16" borderId="12" xfId="0" applyFont="1" applyFill="1" applyBorder="1" applyAlignment="1">
      <alignment horizontal="left" vertical="center" wrapText="1" readingOrder="1"/>
    </xf>
    <xf numFmtId="172" fontId="28" fillId="15" borderId="10" xfId="0" applyFont="1" applyFill="1" applyBorder="1" applyAlignment="1">
      <alignment horizontal="left" vertical="center" wrapText="1" readingOrder="1"/>
    </xf>
    <xf numFmtId="172" fontId="28" fillId="15" borderId="11" xfId="0" applyFont="1" applyFill="1" applyBorder="1" applyAlignment="1">
      <alignment horizontal="left" vertical="center" wrapText="1" readingOrder="1"/>
    </xf>
    <xf numFmtId="172" fontId="28" fillId="15" borderId="12" xfId="0" applyFont="1" applyFill="1" applyBorder="1" applyAlignment="1">
      <alignment horizontal="left" vertical="center" wrapText="1" readingOrder="1"/>
    </xf>
    <xf numFmtId="0" fontId="10" fillId="0" borderId="0" xfId="9" applyAlignment="1">
      <alignment horizontal="center" wrapText="1"/>
    </xf>
  </cellXfs>
  <cellStyles count="32">
    <cellStyle name="Blank" xfId="10" xr:uid="{6F8C9B7A-5753-4CC2-9357-1897D8D36160}"/>
    <cellStyle name="Calculation" xfId="7" builtinId="22" customBuiltin="1"/>
    <cellStyle name="Check Cell" xfId="29" builtinId="23" customBuiltin="1"/>
    <cellStyle name="Column Head" xfId="15" xr:uid="{6CB1F8E2-7B7F-4F3C-A767-20F4ED41B679}"/>
    <cellStyle name="Comma" xfId="1" builtinId="3" hidden="1"/>
    <cellStyle name="Comma [0]" xfId="24" builtinId="6" hidden="1"/>
    <cellStyle name="Currency" xfId="25" builtinId="4" hidden="1"/>
    <cellStyle name="Currency [0]" xfId="26" builtinId="7" hidden="1"/>
    <cellStyle name="End" xfId="19" xr:uid="{9AAE7D78-F2B7-490A-8503-5995A80C9AF3}"/>
    <cellStyle name="Explanatory Text" xfId="9" builtinId="53" customBuiltin="1"/>
    <cellStyle name="From Elsewhere" xfId="14" xr:uid="{AB00C835-CBB4-4794-B0E3-CC9297AEEB25}"/>
    <cellStyle name="Heading 1" xfId="4" builtinId="16" customBuiltin="1"/>
    <cellStyle name="Heading 2" xfId="5" builtinId="17" customBuiltin="1"/>
    <cellStyle name="Heading 3" xfId="6" builtinId="18" customBuiltin="1"/>
    <cellStyle name="Heading 4" xfId="23" builtinId="19" customBuiltin="1"/>
    <cellStyle name="Hyperlink" xfId="27" builtinId="8" customBuiltin="1"/>
    <cellStyle name="Input" xfId="16" builtinId="20" hidden="1" customBuiltin="1"/>
    <cellStyle name="Input (Fixed)" xfId="11" xr:uid="{17AC8B73-D4C8-44A1-9354-B5F01893807E}"/>
    <cellStyle name="Input (User)" xfId="12" xr:uid="{E7C81BFE-494E-456C-9BDC-ECBBFB847F6F}"/>
    <cellStyle name="Linked Cell" xfId="21" builtinId="24" hidden="1"/>
    <cellStyle name="Normal" xfId="0" builtinId="0" customBuiltin="1"/>
    <cellStyle name="Note" xfId="22" builtinId="10" hidden="1"/>
    <cellStyle name="Output" xfId="30" builtinId="21" customBuiltin="1"/>
    <cellStyle name="Percent" xfId="2" builtinId="5" hidden="1" customBuiltin="1"/>
    <cellStyle name="Percent" xfId="28" xr:uid="{2D56A3A0-C6B9-4A13-85CE-E3DE260AE0B6}"/>
    <cellStyle name="Tab Subtitle" xfId="18" xr:uid="{CFC5BC38-AC6C-40D9-8C3C-B0BA5273E17F}"/>
    <cellStyle name="Tab Title" xfId="17" xr:uid="{2D2FE35B-C679-4749-AE8D-D16576D9FDA1}"/>
    <cellStyle name="Title" xfId="3" builtinId="15"/>
    <cellStyle name="Total" xfId="20" builtinId="25" customBuiltin="1"/>
    <cellStyle name="Unique Formula" xfId="13" xr:uid="{E9700484-7120-453C-99DA-346BFE94F54A}"/>
    <cellStyle name="Used elsewhere" xfId="31" xr:uid="{3D199E84-775D-4810-8150-C7F3E32D8183}"/>
    <cellStyle name="Warning Text" xfId="8" builtinId="11" customBuiltin="1"/>
  </cellStyles>
  <dxfs count="12">
    <dxf>
      <fill>
        <patternFill>
          <bgColor theme="7"/>
        </patternFill>
      </fill>
    </dxf>
    <dxf>
      <fill>
        <patternFill>
          <bgColor theme="4"/>
        </patternFill>
      </fill>
    </dxf>
    <dxf>
      <fill>
        <patternFill>
          <bgColor theme="7"/>
        </patternFill>
      </fill>
    </dxf>
    <dxf>
      <fill>
        <patternFill>
          <bgColor theme="4"/>
        </patternFill>
      </fill>
    </dxf>
    <dxf>
      <fill>
        <patternFill>
          <bgColor theme="7"/>
        </patternFill>
      </fill>
    </dxf>
    <dxf>
      <fill>
        <patternFill>
          <bgColor theme="4"/>
        </patternFill>
      </fill>
    </dxf>
    <dxf>
      <alignment horizontal="left" vertical="bottom" textRotation="0" wrapText="0" indent="0" justifyLastLine="0" shrinkToFit="0" readingOrder="0"/>
    </dxf>
    <dxf>
      <numFmt numFmtId="30" formatCode="@"/>
    </dxf>
    <dxf>
      <font>
        <strike val="0"/>
        <outline val="0"/>
        <shadow val="0"/>
        <u val="none"/>
        <vertAlign val="baseline"/>
        <sz val="10"/>
        <color theme="0"/>
        <name val="Arial Nova"/>
        <family val="2"/>
        <scheme val="minor"/>
      </font>
      <fill>
        <patternFill patternType="solid">
          <fgColor indexed="64"/>
          <bgColor theme="3"/>
        </patternFill>
      </fill>
    </dxf>
    <dxf>
      <alignment horizontal="left" vertical="bottom" textRotation="0" wrapText="0" indent="0" justifyLastLine="0" shrinkToFit="0" readingOrder="0"/>
    </dxf>
    <dxf>
      <numFmt numFmtId="30" formatCode="@"/>
      <alignment horizontal="left" vertical="bottom" textRotation="0" wrapText="0" indent="0" justifyLastLine="0" shrinkToFit="0" readingOrder="0"/>
    </dxf>
    <dxf>
      <font>
        <strike val="0"/>
        <outline val="0"/>
        <shadow val="0"/>
        <u val="none"/>
        <vertAlign val="baseline"/>
        <sz val="10"/>
        <color theme="0"/>
        <name val="Arial Nova"/>
        <family val="2"/>
        <scheme val="minor"/>
      </font>
      <fill>
        <patternFill patternType="solid">
          <fgColor indexed="64"/>
          <bgColor theme="3"/>
        </patternFill>
      </fill>
    </dxf>
  </dxfs>
  <tableStyles count="0" defaultTableStyle="TableStyleMedium2" defaultPivotStyle="PivotStyleLight16"/>
  <colors>
    <mruColors>
      <color rgb="FFB8D7A1"/>
      <color rgb="FFC3DBEE"/>
      <color rgb="FFF3CF45"/>
      <color rgb="FF930A06"/>
      <color rgb="FF009AA6"/>
      <color rgb="FF00863D"/>
      <color rgb="FF5A85D7"/>
      <color rgb="FF6D65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173568</xdr:colOff>
      <xdr:row>1</xdr:row>
      <xdr:rowOff>281517</xdr:rowOff>
    </xdr:from>
    <xdr:to>
      <xdr:col>3</xdr:col>
      <xdr:colOff>578910</xdr:colOff>
      <xdr:row>2</xdr:row>
      <xdr:rowOff>735593</xdr:rowOff>
    </xdr:to>
    <xdr:pic>
      <xdr:nvPicPr>
        <xdr:cNvPr id="2" name="Picture 1">
          <a:extLst>
            <a:ext uri="{FF2B5EF4-FFF2-40B4-BE49-F238E27FC236}">
              <a16:creationId xmlns:a16="http://schemas.microsoft.com/office/drawing/2014/main" id="{0145AFCE-41ED-4348-8636-FEE4A5871BA0}"/>
            </a:ext>
          </a:extLst>
        </xdr:cNvPr>
        <xdr:cNvPicPr>
          <a:picLocks noChangeAspect="1"/>
        </xdr:cNvPicPr>
      </xdr:nvPicPr>
      <xdr:blipFill>
        <a:blip xmlns:r="http://schemas.openxmlformats.org/officeDocument/2006/relationships" r:embed="rId1"/>
        <a:stretch>
          <a:fillRect/>
        </a:stretch>
      </xdr:blipFill>
      <xdr:spPr>
        <a:xfrm>
          <a:off x="173568" y="440267"/>
          <a:ext cx="1812925" cy="7927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23813</xdr:rowOff>
    </xdr:from>
    <xdr:to>
      <xdr:col>3</xdr:col>
      <xdr:colOff>1485</xdr:colOff>
      <xdr:row>9</xdr:row>
      <xdr:rowOff>16947</xdr:rowOff>
    </xdr:to>
    <xdr:pic>
      <xdr:nvPicPr>
        <xdr:cNvPr id="3" name="Picture 2">
          <a:extLst>
            <a:ext uri="{FF2B5EF4-FFF2-40B4-BE49-F238E27FC236}">
              <a16:creationId xmlns:a16="http://schemas.microsoft.com/office/drawing/2014/main" id="{D06C6D23-8BB4-41D7-9792-342D61086917}"/>
            </a:ext>
          </a:extLst>
        </xdr:cNvPr>
        <xdr:cNvPicPr>
          <a:picLocks noChangeAspect="1"/>
        </xdr:cNvPicPr>
      </xdr:nvPicPr>
      <xdr:blipFill>
        <a:blip xmlns:r="http://schemas.openxmlformats.org/officeDocument/2006/relationships" r:embed="rId1"/>
        <a:stretch>
          <a:fillRect/>
        </a:stretch>
      </xdr:blipFill>
      <xdr:spPr>
        <a:xfrm>
          <a:off x="0" y="404813"/>
          <a:ext cx="2597048" cy="1159947"/>
        </a:xfrm>
        <a:prstGeom prst="rect">
          <a:avLst/>
        </a:prstGeom>
      </xdr:spPr>
    </xdr:pic>
    <xdr:clientData/>
  </xdr:twoCellAnchor>
  <xdr:oneCellAnchor>
    <xdr:from>
      <xdr:col>0</xdr:col>
      <xdr:colOff>163512</xdr:colOff>
      <xdr:row>13</xdr:row>
      <xdr:rowOff>139700</xdr:rowOff>
    </xdr:from>
    <xdr:ext cx="21044065" cy="5684157"/>
    <xdr:sp macro="" textlink="">
      <xdr:nvSpPr>
        <xdr:cNvPr id="9" name="TextBox 8">
          <a:extLst>
            <a:ext uri="{FF2B5EF4-FFF2-40B4-BE49-F238E27FC236}">
              <a16:creationId xmlns:a16="http://schemas.microsoft.com/office/drawing/2014/main" id="{32F68EF7-BDCE-42CE-8441-59BA1C2267D0}"/>
            </a:ext>
          </a:extLst>
        </xdr:cNvPr>
        <xdr:cNvSpPr txBox="1"/>
      </xdr:nvSpPr>
      <xdr:spPr>
        <a:xfrm>
          <a:off x="163512" y="2330450"/>
          <a:ext cx="21044065" cy="5684157"/>
        </a:xfrm>
        <a:prstGeom prst="rect">
          <a:avLst/>
        </a:prstGeom>
        <a:solidFill>
          <a:schemeClr val="accent2"/>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t>This sheet provides guidance on</a:t>
          </a:r>
          <a:r>
            <a:rPr lang="en-GB" sz="1400" baseline="0"/>
            <a:t> using Yorkshire Water's BSP model for NAVs.</a:t>
          </a:r>
        </a:p>
        <a:p>
          <a:endParaRPr lang="en-GB" sz="1400" baseline="0"/>
        </a:p>
        <a:p>
          <a:pPr marL="0" marR="0" lvl="0" indent="0" defTabSz="914400" eaLnBrk="1" fontAlgn="auto" latinLnBrk="0" hangingPunct="1">
            <a:lnSpc>
              <a:spcPct val="100000"/>
            </a:lnSpc>
            <a:spcBef>
              <a:spcPts val="0"/>
            </a:spcBef>
            <a:spcAft>
              <a:spcPts val="0"/>
            </a:spcAft>
            <a:buClrTx/>
            <a:buSzTx/>
            <a:buFontTx/>
            <a:buNone/>
            <a:tabLst/>
            <a:defRPr/>
          </a:pPr>
          <a:r>
            <a:rPr lang="en-GB" sz="1400" baseline="0"/>
            <a:t>The model calculates a menu of tariffs for water and/or wastewater services. It has been tested for a range of cases (from very dense to very sparse sites) and it has proven to work accurately for the vast majority of them. However, in case of unusual instances or when a NAV requires bespoke elements added or deducted from the final tariffs, additional manual adjustments might be needed. </a:t>
          </a:r>
          <a:r>
            <a:rPr lang="en-GB" sz="1400">
              <a:solidFill>
                <a:schemeClr val="tx1"/>
              </a:solidFill>
              <a:effectLst/>
              <a:latin typeface="+mn-lt"/>
              <a:ea typeface="+mn-ea"/>
              <a:cs typeface="+mn-cs"/>
            </a:rPr>
            <a:t>The model l is designed</a:t>
          </a:r>
          <a:r>
            <a:rPr lang="en-GB" sz="1400" baseline="0">
              <a:solidFill>
                <a:schemeClr val="tx1"/>
              </a:solidFill>
              <a:effectLst/>
              <a:latin typeface="+mn-lt"/>
              <a:ea typeface="+mn-ea"/>
              <a:cs typeface="+mn-cs"/>
            </a:rPr>
            <a:t> in a way that the user only needs to use one sheet ("</a:t>
          </a:r>
          <a:r>
            <a:rPr lang="en-GB" sz="1400" b="1" baseline="0">
              <a:solidFill>
                <a:schemeClr val="tx1"/>
              </a:solidFill>
              <a:effectLst/>
              <a:latin typeface="+mn-lt"/>
              <a:ea typeface="+mn-ea"/>
              <a:cs typeface="+mn-cs"/>
            </a:rPr>
            <a:t>Dashboard</a:t>
          </a:r>
          <a:r>
            <a:rPr lang="en-GB" sz="1400" baseline="0">
              <a:solidFill>
                <a:schemeClr val="tx1"/>
              </a:solidFill>
              <a:effectLst/>
              <a:latin typeface="+mn-lt"/>
              <a:ea typeface="+mn-ea"/>
              <a:cs typeface="+mn-cs"/>
            </a:rPr>
            <a:t>") in the workbook. The user starts by providing the input data, and gets the final tariffs at the end of the sheet.</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1"/>
              </a:solidFill>
              <a:effectLst/>
              <a:latin typeface="+mn-lt"/>
              <a:ea typeface="+mn-ea"/>
              <a:cs typeface="+mn-cs"/>
            </a:rPr>
            <a:t>Some of the model elements are provided by the NAV and some are calculated fields.</a:t>
          </a:r>
        </a:p>
        <a:p>
          <a:pPr marL="0" marR="0" lvl="0" indent="0" defTabSz="914400" eaLnBrk="1" fontAlgn="auto" latinLnBrk="0" hangingPunct="1">
            <a:lnSpc>
              <a:spcPct val="100000"/>
            </a:lnSpc>
            <a:spcBef>
              <a:spcPts val="0"/>
            </a:spcBef>
            <a:spcAft>
              <a:spcPts val="0"/>
            </a:spcAft>
            <a:buClrTx/>
            <a:buSzTx/>
            <a:buFontTx/>
            <a:buNone/>
            <a:tabLst/>
            <a:defRPr/>
          </a:pPr>
          <a:endParaRPr lang="en-GB" sz="14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1"/>
              </a:solidFill>
              <a:effectLst/>
              <a:latin typeface="+mn-lt"/>
              <a:ea typeface="+mn-ea"/>
              <a:cs typeface="+mn-cs"/>
            </a:rPr>
            <a:t>To make the model better understood by</a:t>
          </a:r>
          <a:r>
            <a:rPr lang="en-GB" sz="1400" baseline="0">
              <a:solidFill>
                <a:schemeClr val="tx1"/>
              </a:solidFill>
              <a:effectLst/>
              <a:latin typeface="+mn-lt"/>
              <a:ea typeface="+mn-ea"/>
              <a:cs typeface="+mn-cs"/>
            </a:rPr>
            <a:t> the user, we added a process map demonstrating how the source data and the NAV input data are used to calculate the menu of tariffs. There are 6 numbered steps in the process map, to help the user understand the calculation steps. The process map is pictured below:</a:t>
          </a:r>
        </a:p>
        <a:p>
          <a:pPr marL="0" marR="0" lvl="0" indent="0" defTabSz="914400" eaLnBrk="1" fontAlgn="auto" latinLnBrk="0" hangingPunct="1">
            <a:lnSpc>
              <a:spcPct val="100000"/>
            </a:lnSpc>
            <a:spcBef>
              <a:spcPts val="0"/>
            </a:spcBef>
            <a:spcAft>
              <a:spcPts val="0"/>
            </a:spcAft>
            <a:buClrTx/>
            <a:buSzTx/>
            <a:buFontTx/>
            <a:buNone/>
            <a:tabLst/>
            <a:defRPr/>
          </a:pPr>
          <a:endParaRPr lang="en-GB" sz="1400"/>
        </a:p>
        <a:p>
          <a:r>
            <a:rPr lang="en-GB" sz="1400" b="1"/>
            <a:t>Process map:</a:t>
          </a:r>
        </a:p>
        <a:p>
          <a:endParaRPr lang="en-GB" sz="1400"/>
        </a:p>
        <a:p>
          <a:r>
            <a:rPr lang="en-GB" sz="1400"/>
            <a:t>                 In the "</a:t>
          </a:r>
          <a:r>
            <a:rPr lang="en-GB" sz="1400" b="1"/>
            <a:t>Wholesale Tariff Inputs</a:t>
          </a:r>
          <a:r>
            <a:rPr lang="en-GB" sz="1400" baseline="0"/>
            <a:t>" </a:t>
          </a:r>
          <a:r>
            <a:rPr lang="en-GB" sz="1400" baseline="0">
              <a:solidFill>
                <a:schemeClr val="tx1"/>
              </a:solidFill>
              <a:effectLst/>
              <a:latin typeface="+mn-lt"/>
              <a:ea typeface="+mn-ea"/>
              <a:cs typeface="+mn-cs"/>
            </a:rPr>
            <a:t>worksheet</a:t>
          </a:r>
          <a:r>
            <a:rPr lang="en-GB" sz="1400" baseline="0"/>
            <a:t>, a NAV user provides the </a:t>
          </a:r>
          <a:r>
            <a:rPr lang="en-GB" sz="1400"/>
            <a:t>input</a:t>
          </a:r>
          <a:r>
            <a:rPr lang="en-GB" sz="1400" baseline="0"/>
            <a:t> data; water and/or wastewater services, if site within York Waterworks area or not, nr of HH and/or NH properties, water demand for HH and/or NH, estimated wastewater discharge, and network lengths if known (not required if site is between 1-350 properties in total).</a:t>
          </a:r>
        </a:p>
        <a:p>
          <a:endParaRPr lang="en-GB" sz="1400" baseline="0"/>
        </a:p>
        <a:p>
          <a:pPr marL="0" marR="0" lvl="0" indent="0" defTabSz="914400" eaLnBrk="1" fontAlgn="auto" latinLnBrk="0" hangingPunct="1">
            <a:lnSpc>
              <a:spcPct val="100000"/>
            </a:lnSpc>
            <a:spcBef>
              <a:spcPts val="0"/>
            </a:spcBef>
            <a:spcAft>
              <a:spcPts val="0"/>
            </a:spcAft>
            <a:buClrTx/>
            <a:buSzTx/>
            <a:buFontTx/>
            <a:buNone/>
            <a:tabLst/>
            <a:defRPr/>
          </a:pPr>
          <a:r>
            <a:rPr lang="en-GB" sz="1400" baseline="0"/>
            <a:t>                 Based on t</a:t>
          </a:r>
          <a:r>
            <a:rPr lang="en-GB" sz="1400" baseline="0">
              <a:solidFill>
                <a:schemeClr val="tx1"/>
              </a:solidFill>
              <a:effectLst/>
              <a:latin typeface="+mn-lt"/>
              <a:ea typeface="+mn-ea"/>
              <a:cs typeface="+mn-cs"/>
            </a:rPr>
            <a:t>he input data, the appropriate wholesale charges are selected. Next, the weighted starting point (p/m3) for water and waste is calculated by plugging the wholesale charges and the NAV input data into the </a:t>
          </a:r>
          <a:r>
            <a:rPr lang="en-GB" sz="1400" b="1" baseline="0">
              <a:solidFill>
                <a:schemeClr val="tx1"/>
              </a:solidFill>
              <a:effectLst/>
              <a:latin typeface="+mn-lt"/>
              <a:ea typeface="+mn-ea"/>
              <a:cs typeface="+mn-cs"/>
            </a:rPr>
            <a:t>Tariff Formula</a:t>
          </a:r>
          <a:r>
            <a:rPr lang="en-GB" sz="1400" baseline="0">
              <a:solidFill>
                <a:schemeClr val="tx1"/>
              </a:solidFill>
              <a:effectLst/>
              <a:latin typeface="+mn-lt"/>
              <a:ea typeface="+mn-ea"/>
              <a:cs typeface="+mn-cs"/>
            </a:rPr>
            <a:t>.</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effectLst/>
            </a:rPr>
            <a:t>                </a:t>
          </a:r>
        </a:p>
        <a:p>
          <a:r>
            <a:rPr lang="en-GB" sz="1400" baseline="0"/>
            <a:t>                 </a:t>
          </a:r>
          <a:r>
            <a:rPr lang="en-GB" sz="1400" baseline="0">
              <a:solidFill>
                <a:schemeClr val="tx1"/>
              </a:solidFill>
              <a:effectLst/>
              <a:latin typeface="+mn-lt"/>
              <a:ea typeface="+mn-ea"/>
              <a:cs typeface="+mn-cs"/>
            </a:rPr>
            <a:t>The avoidable costs are split between on-site operational costs (water and sewerage operational costs, leakage management costs) and long run on-site costs (pipes, furniture, mains, sewers replacement costs). For the calculations of avoidable capital maintenance costs, we use asset lives and annuities to estimate the annual  ("</a:t>
          </a:r>
          <a:r>
            <a:rPr lang="en-GB" sz="1400" b="1" baseline="0">
              <a:solidFill>
                <a:schemeClr val="tx1"/>
              </a:solidFill>
              <a:effectLst/>
              <a:latin typeface="+mn-lt"/>
              <a:ea typeface="+mn-ea"/>
              <a:cs typeface="+mn-cs"/>
            </a:rPr>
            <a:t>Avoided Capital Maintenance</a:t>
          </a:r>
          <a:r>
            <a:rPr lang="en-GB" sz="1400" baseline="0">
              <a:solidFill>
                <a:schemeClr val="tx1"/>
              </a:solidFill>
              <a:effectLst/>
              <a:latin typeface="+mn-lt"/>
              <a:ea typeface="+mn-ea"/>
              <a:cs typeface="+mn-cs"/>
            </a:rPr>
            <a:t>" worksheet). All avoidable operating costs, are referenced and summed in the "</a:t>
          </a:r>
          <a:r>
            <a:rPr lang="en-GB" sz="1400" b="1" baseline="0">
              <a:solidFill>
                <a:schemeClr val="tx1"/>
              </a:solidFill>
              <a:effectLst/>
              <a:latin typeface="+mn-lt"/>
              <a:ea typeface="+mn-ea"/>
              <a:cs typeface="+mn-cs"/>
            </a:rPr>
            <a:t>Avoided Operating Costs</a:t>
          </a:r>
          <a:r>
            <a:rPr lang="en-GB" sz="1400" baseline="0">
              <a:solidFill>
                <a:schemeClr val="tx1"/>
              </a:solidFill>
              <a:effectLst/>
              <a:latin typeface="+mn-lt"/>
              <a:ea typeface="+mn-ea"/>
              <a:cs typeface="+mn-cs"/>
            </a:rPr>
            <a:t>" worksheet. Business overheads, and emergency costs, as well as leakage allowance discount are provided in those sections, too. </a:t>
          </a:r>
        </a:p>
        <a:p>
          <a:endParaRPr lang="en-GB" sz="1400" baseline="0"/>
        </a:p>
        <a:p>
          <a:r>
            <a:rPr lang="en-GB" sz="1400" baseline="0"/>
            <a:t>                </a:t>
          </a:r>
          <a:r>
            <a:rPr lang="en-GB" sz="1400" baseline="0">
              <a:solidFill>
                <a:schemeClr val="tx1"/>
              </a:solidFill>
              <a:effectLst/>
              <a:latin typeface="+mn-lt"/>
              <a:ea typeface="+mn-ea"/>
              <a:cs typeface="+mn-cs"/>
            </a:rPr>
            <a:t> The avoidable costs are deducted from the weighted starting point, and the initial set of tariffs (p/m3) is provided in the "</a:t>
          </a:r>
          <a:r>
            <a:rPr lang="en-GB" sz="1400" b="1" baseline="0">
              <a:solidFill>
                <a:schemeClr val="tx1"/>
              </a:solidFill>
              <a:effectLst/>
              <a:latin typeface="+mn-lt"/>
              <a:ea typeface="+mn-ea"/>
              <a:cs typeface="+mn-cs"/>
            </a:rPr>
            <a:t>Relevant starting point</a:t>
          </a:r>
          <a:r>
            <a:rPr lang="en-GB" sz="1400" baseline="0">
              <a:solidFill>
                <a:schemeClr val="tx1"/>
              </a:solidFill>
              <a:effectLst/>
              <a:latin typeface="+mn-lt"/>
              <a:ea typeface="+mn-ea"/>
              <a:cs typeface="+mn-cs"/>
            </a:rPr>
            <a:t>" worksheet.</a:t>
          </a:r>
        </a:p>
        <a:p>
          <a:endParaRPr lang="en-GB" sz="1400" baseline="0"/>
        </a:p>
        <a:p>
          <a:r>
            <a:rPr lang="en-GB" sz="1400" baseline="0"/>
            <a:t>                The leakage allowance discount is applied at the volumetric tariffs, separate from the deduction of avoidable costs to avoid loss of discount value to the NAVs.  </a:t>
          </a:r>
        </a:p>
        <a:p>
          <a:endParaRPr lang="en-GB" sz="1400" baseline="0"/>
        </a:p>
        <a:p>
          <a:r>
            <a:rPr lang="en-GB" sz="1400" baseline="0"/>
            <a:t>                The final set of tariffs for the NAV site is selected from the menu, and presented to the NAV in the green cells in the </a:t>
          </a:r>
          <a:r>
            <a:rPr lang="en-GB" sz="1400" b="1" baseline="0"/>
            <a:t>"Wholesale Tariff Inputs" </a:t>
          </a:r>
          <a:r>
            <a:rPr lang="en-GB" sz="1400" baseline="0"/>
            <a:t>worksheet.</a:t>
          </a:r>
          <a:endParaRPr lang="en-GB" sz="1400"/>
        </a:p>
      </xdr:txBody>
    </xdr:sp>
    <xdr:clientData/>
  </xdr:oneCellAnchor>
  <xdr:twoCellAnchor editAs="oneCell">
    <xdr:from>
      <xdr:col>1</xdr:col>
      <xdr:colOff>121443</xdr:colOff>
      <xdr:row>29</xdr:row>
      <xdr:rowOff>98203</xdr:rowOff>
    </xdr:from>
    <xdr:to>
      <xdr:col>1</xdr:col>
      <xdr:colOff>392368</xdr:colOff>
      <xdr:row>31</xdr:row>
      <xdr:rowOff>55179</xdr:rowOff>
    </xdr:to>
    <xdr:pic>
      <xdr:nvPicPr>
        <xdr:cNvPr id="10" name="Picture 9">
          <a:extLst>
            <a:ext uri="{FF2B5EF4-FFF2-40B4-BE49-F238E27FC236}">
              <a16:creationId xmlns:a16="http://schemas.microsoft.com/office/drawing/2014/main" id="{87234DAB-EFC2-4641-9ADC-152EF194F2F9}"/>
            </a:ext>
          </a:extLst>
        </xdr:cNvPr>
        <xdr:cNvPicPr>
          <a:picLocks noChangeAspect="1"/>
        </xdr:cNvPicPr>
      </xdr:nvPicPr>
      <xdr:blipFill>
        <a:blip xmlns:r="http://schemas.openxmlformats.org/officeDocument/2006/relationships" r:embed="rId2"/>
        <a:stretch>
          <a:fillRect/>
        </a:stretch>
      </xdr:blipFill>
      <xdr:spPr>
        <a:xfrm>
          <a:off x="461622" y="4901524"/>
          <a:ext cx="267750" cy="283548"/>
        </a:xfrm>
        <a:prstGeom prst="rect">
          <a:avLst/>
        </a:prstGeom>
      </xdr:spPr>
    </xdr:pic>
    <xdr:clientData/>
  </xdr:twoCellAnchor>
  <xdr:twoCellAnchor editAs="oneCell">
    <xdr:from>
      <xdr:col>1</xdr:col>
      <xdr:colOff>124618</xdr:colOff>
      <xdr:row>33</xdr:row>
      <xdr:rowOff>64183</xdr:rowOff>
    </xdr:from>
    <xdr:to>
      <xdr:col>1</xdr:col>
      <xdr:colOff>389193</xdr:colOff>
      <xdr:row>35</xdr:row>
      <xdr:rowOff>20931</xdr:rowOff>
    </xdr:to>
    <xdr:pic>
      <xdr:nvPicPr>
        <xdr:cNvPr id="11" name="Picture 10">
          <a:extLst>
            <a:ext uri="{FF2B5EF4-FFF2-40B4-BE49-F238E27FC236}">
              <a16:creationId xmlns:a16="http://schemas.microsoft.com/office/drawing/2014/main" id="{3962FEE5-3B58-42C3-9976-FE8271CAB847}"/>
            </a:ext>
          </a:extLst>
        </xdr:cNvPr>
        <xdr:cNvPicPr>
          <a:picLocks noChangeAspect="1"/>
        </xdr:cNvPicPr>
      </xdr:nvPicPr>
      <xdr:blipFill>
        <a:blip xmlns:r="http://schemas.openxmlformats.org/officeDocument/2006/relationships" r:embed="rId3"/>
        <a:stretch>
          <a:fillRect/>
        </a:stretch>
      </xdr:blipFill>
      <xdr:spPr>
        <a:xfrm>
          <a:off x="437582" y="5520647"/>
          <a:ext cx="267750" cy="283320"/>
        </a:xfrm>
        <a:prstGeom prst="rect">
          <a:avLst/>
        </a:prstGeom>
      </xdr:spPr>
    </xdr:pic>
    <xdr:clientData/>
  </xdr:twoCellAnchor>
  <xdr:twoCellAnchor editAs="oneCell">
    <xdr:from>
      <xdr:col>1</xdr:col>
      <xdr:colOff>121444</xdr:colOff>
      <xdr:row>35</xdr:row>
      <xdr:rowOff>156712</xdr:rowOff>
    </xdr:from>
    <xdr:to>
      <xdr:col>1</xdr:col>
      <xdr:colOff>391555</xdr:colOff>
      <xdr:row>38</xdr:row>
      <xdr:rowOff>8058</xdr:rowOff>
    </xdr:to>
    <xdr:pic>
      <xdr:nvPicPr>
        <xdr:cNvPr id="12" name="Picture 11">
          <a:extLst>
            <a:ext uri="{FF2B5EF4-FFF2-40B4-BE49-F238E27FC236}">
              <a16:creationId xmlns:a16="http://schemas.microsoft.com/office/drawing/2014/main" id="{43D4F71F-B301-4AA9-95B0-8BC3D70BEBC7}"/>
            </a:ext>
          </a:extLst>
        </xdr:cNvPr>
        <xdr:cNvPicPr>
          <a:picLocks noChangeAspect="1"/>
        </xdr:cNvPicPr>
      </xdr:nvPicPr>
      <xdr:blipFill>
        <a:blip xmlns:r="http://schemas.openxmlformats.org/officeDocument/2006/relationships" r:embed="rId4"/>
        <a:stretch>
          <a:fillRect/>
        </a:stretch>
      </xdr:blipFill>
      <xdr:spPr>
        <a:xfrm>
          <a:off x="434408" y="5939748"/>
          <a:ext cx="266936" cy="338028"/>
        </a:xfrm>
        <a:prstGeom prst="rect">
          <a:avLst/>
        </a:prstGeom>
      </xdr:spPr>
    </xdr:pic>
    <xdr:clientData/>
  </xdr:twoCellAnchor>
  <xdr:twoCellAnchor editAs="oneCell">
    <xdr:from>
      <xdr:col>1</xdr:col>
      <xdr:colOff>130969</xdr:colOff>
      <xdr:row>40</xdr:row>
      <xdr:rowOff>92474</xdr:rowOff>
    </xdr:from>
    <xdr:to>
      <xdr:col>1</xdr:col>
      <xdr:colOff>407591</xdr:colOff>
      <xdr:row>42</xdr:row>
      <xdr:rowOff>26492</xdr:rowOff>
    </xdr:to>
    <xdr:pic>
      <xdr:nvPicPr>
        <xdr:cNvPr id="13" name="Picture 12">
          <a:extLst>
            <a:ext uri="{FF2B5EF4-FFF2-40B4-BE49-F238E27FC236}">
              <a16:creationId xmlns:a16="http://schemas.microsoft.com/office/drawing/2014/main" id="{663BA39B-D021-453F-9798-93E3343DA5C5}"/>
            </a:ext>
          </a:extLst>
        </xdr:cNvPr>
        <xdr:cNvPicPr>
          <a:picLocks noChangeAspect="1"/>
        </xdr:cNvPicPr>
      </xdr:nvPicPr>
      <xdr:blipFill>
        <a:blip xmlns:r="http://schemas.openxmlformats.org/officeDocument/2006/relationships" r:embed="rId5"/>
        <a:stretch>
          <a:fillRect/>
        </a:stretch>
      </xdr:blipFill>
      <xdr:spPr>
        <a:xfrm>
          <a:off x="443933" y="6691938"/>
          <a:ext cx="279797" cy="257415"/>
        </a:xfrm>
        <a:prstGeom prst="rect">
          <a:avLst/>
        </a:prstGeom>
      </xdr:spPr>
    </xdr:pic>
    <xdr:clientData/>
  </xdr:twoCellAnchor>
  <xdr:twoCellAnchor editAs="oneCell">
    <xdr:from>
      <xdr:col>1</xdr:col>
      <xdr:colOff>134016</xdr:colOff>
      <xdr:row>43</xdr:row>
      <xdr:rowOff>20304</xdr:rowOff>
    </xdr:from>
    <xdr:to>
      <xdr:col>1</xdr:col>
      <xdr:colOff>392217</xdr:colOff>
      <xdr:row>44</xdr:row>
      <xdr:rowOff>116529</xdr:rowOff>
    </xdr:to>
    <xdr:pic>
      <xdr:nvPicPr>
        <xdr:cNvPr id="14" name="Picture 13">
          <a:extLst>
            <a:ext uri="{FF2B5EF4-FFF2-40B4-BE49-F238E27FC236}">
              <a16:creationId xmlns:a16="http://schemas.microsoft.com/office/drawing/2014/main" id="{5B912FD3-A976-4880-89DF-DD94B69DA87C}"/>
            </a:ext>
          </a:extLst>
        </xdr:cNvPr>
        <xdr:cNvPicPr>
          <a:picLocks noChangeAspect="1"/>
        </xdr:cNvPicPr>
      </xdr:nvPicPr>
      <xdr:blipFill>
        <a:blip xmlns:r="http://schemas.openxmlformats.org/officeDocument/2006/relationships" r:embed="rId6"/>
        <a:stretch>
          <a:fillRect/>
        </a:stretch>
      </xdr:blipFill>
      <xdr:spPr>
        <a:xfrm>
          <a:off x="446980" y="7109625"/>
          <a:ext cx="255026" cy="259511"/>
        </a:xfrm>
        <a:prstGeom prst="rect">
          <a:avLst/>
        </a:prstGeom>
      </xdr:spPr>
    </xdr:pic>
    <xdr:clientData/>
  </xdr:twoCellAnchor>
  <xdr:twoCellAnchor editAs="oneCell">
    <xdr:from>
      <xdr:col>1</xdr:col>
      <xdr:colOff>122238</xdr:colOff>
      <xdr:row>46</xdr:row>
      <xdr:rowOff>44560</xdr:rowOff>
    </xdr:from>
    <xdr:to>
      <xdr:col>1</xdr:col>
      <xdr:colOff>398860</xdr:colOff>
      <xdr:row>47</xdr:row>
      <xdr:rowOff>136020</xdr:rowOff>
    </xdr:to>
    <xdr:pic>
      <xdr:nvPicPr>
        <xdr:cNvPr id="15" name="Picture 14">
          <a:extLst>
            <a:ext uri="{FF2B5EF4-FFF2-40B4-BE49-F238E27FC236}">
              <a16:creationId xmlns:a16="http://schemas.microsoft.com/office/drawing/2014/main" id="{AD50C029-24C0-4555-8C7C-8F2B245D67FE}"/>
            </a:ext>
          </a:extLst>
        </xdr:cNvPr>
        <xdr:cNvPicPr>
          <a:picLocks noChangeAspect="1"/>
        </xdr:cNvPicPr>
      </xdr:nvPicPr>
      <xdr:blipFill>
        <a:blip xmlns:r="http://schemas.openxmlformats.org/officeDocument/2006/relationships" r:embed="rId7"/>
        <a:stretch>
          <a:fillRect/>
        </a:stretch>
      </xdr:blipFill>
      <xdr:spPr>
        <a:xfrm>
          <a:off x="435202" y="7623739"/>
          <a:ext cx="276622" cy="254745"/>
        </a:xfrm>
        <a:prstGeom prst="rect">
          <a:avLst/>
        </a:prstGeom>
      </xdr:spPr>
    </xdr:pic>
    <xdr:clientData/>
  </xdr:twoCellAnchor>
  <xdr:twoCellAnchor editAs="oneCell">
    <xdr:from>
      <xdr:col>6</xdr:col>
      <xdr:colOff>797719</xdr:colOff>
      <xdr:row>4</xdr:row>
      <xdr:rowOff>47625</xdr:rowOff>
    </xdr:from>
    <xdr:to>
      <xdr:col>11</xdr:col>
      <xdr:colOff>307</xdr:colOff>
      <xdr:row>13</xdr:row>
      <xdr:rowOff>10604</xdr:rowOff>
    </xdr:to>
    <xdr:pic>
      <xdr:nvPicPr>
        <xdr:cNvPr id="22" name="Picture 21">
          <a:extLst>
            <a:ext uri="{FF2B5EF4-FFF2-40B4-BE49-F238E27FC236}">
              <a16:creationId xmlns:a16="http://schemas.microsoft.com/office/drawing/2014/main" id="{6CFE9F6C-3A1B-4465-D931-1B81A504AAE2}"/>
            </a:ext>
          </a:extLst>
        </xdr:cNvPr>
        <xdr:cNvPicPr>
          <a:picLocks noChangeAspect="1"/>
        </xdr:cNvPicPr>
      </xdr:nvPicPr>
      <xdr:blipFill>
        <a:blip xmlns:r="http://schemas.openxmlformats.org/officeDocument/2006/relationships" r:embed="rId8"/>
        <a:stretch>
          <a:fillRect/>
        </a:stretch>
      </xdr:blipFill>
      <xdr:spPr>
        <a:xfrm>
          <a:off x="6715125" y="762000"/>
          <a:ext cx="6846401" cy="1459992"/>
        </a:xfrm>
        <a:prstGeom prst="rect">
          <a:avLst/>
        </a:prstGeom>
      </xdr:spPr>
    </xdr:pic>
    <xdr:clientData/>
  </xdr:twoCellAnchor>
  <xdr:twoCellAnchor editAs="oneCell">
    <xdr:from>
      <xdr:col>3</xdr:col>
      <xdr:colOff>727530</xdr:colOff>
      <xdr:row>50</xdr:row>
      <xdr:rowOff>109765</xdr:rowOff>
    </xdr:from>
    <xdr:to>
      <xdr:col>15</xdr:col>
      <xdr:colOff>597355</xdr:colOff>
      <xdr:row>90</xdr:row>
      <xdr:rowOff>151584</xdr:rowOff>
    </xdr:to>
    <xdr:pic>
      <xdr:nvPicPr>
        <xdr:cNvPr id="59" name="Picture 58">
          <a:extLst>
            <a:ext uri="{FF2B5EF4-FFF2-40B4-BE49-F238E27FC236}">
              <a16:creationId xmlns:a16="http://schemas.microsoft.com/office/drawing/2014/main" id="{80B9B812-BCDA-4871-73DC-E6E70515CAF3}"/>
            </a:ext>
          </a:extLst>
        </xdr:cNvPr>
        <xdr:cNvPicPr>
          <a:picLocks noChangeAspect="1"/>
        </xdr:cNvPicPr>
      </xdr:nvPicPr>
      <xdr:blipFill>
        <a:blip xmlns:r="http://schemas.openxmlformats.org/officeDocument/2006/relationships" r:embed="rId9"/>
        <a:stretch>
          <a:fillRect/>
        </a:stretch>
      </xdr:blipFill>
      <xdr:spPr>
        <a:xfrm>
          <a:off x="3353709" y="8342086"/>
          <a:ext cx="13392150" cy="73184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508000</xdr:colOff>
      <xdr:row>41</xdr:row>
      <xdr:rowOff>130288</xdr:rowOff>
    </xdr:to>
    <xdr:pic>
      <xdr:nvPicPr>
        <xdr:cNvPr id="2" name="Picture 1">
          <a:extLst>
            <a:ext uri="{FF2B5EF4-FFF2-40B4-BE49-F238E27FC236}">
              <a16:creationId xmlns:a16="http://schemas.microsoft.com/office/drawing/2014/main" id="{7291CB28-0680-85DC-BDD1-E73A125CB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700000" cy="8004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F8DCDA-77F0-4542-9817-259E2AD1AF23}" name="Table1" displayName="Table1" ref="G12:J26" totalsRowShown="0" headerRowDxfId="11">
  <autoFilter ref="G12:J26" xr:uid="{1BF8DCDA-77F0-4542-9817-259E2AD1AF23}"/>
  <tableColumns count="4">
    <tableColumn id="1" xr3:uid="{12376E10-EFF9-4001-8843-E63B7AABB677}" name="Version" dataDxfId="10"/>
    <tableColumn id="2" xr3:uid="{454904E0-3F16-439B-9E19-74030B3D1BAA}" name="Date" dataDxfId="9"/>
    <tableColumn id="3" xr3:uid="{B961F34E-3CB6-4974-B83C-33430B9A86A5}" name="Edited by" dataCellStyle="Normal"/>
    <tableColumn id="4" xr3:uid="{D8FD9749-B570-4889-B257-8772CBC4D6BA}" name="Description of Changes" dataCellStyle="Norma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029E04C-8286-4EAA-92C2-88D2F41D4009}" name="Table2" displayName="Table2" ref="G30:J37" totalsRowShown="0" headerRowDxfId="8">
  <autoFilter ref="G30:J37" xr:uid="{8029E04C-8286-4EAA-92C2-88D2F41D4009}"/>
  <tableColumns count="4">
    <tableColumn id="1" xr3:uid="{421932C0-E052-4E5C-8540-E79D8AC02270}" name="Version" dataDxfId="7"/>
    <tableColumn id="2" xr3:uid="{341ECE62-5FF0-4C59-AC5A-0230AB9DB63E}" name="Date" dataDxfId="6"/>
    <tableColumn id="3" xr3:uid="{4C345A44-1C3B-4689-AF18-29D4EB91D768}" name="QA'd by"/>
    <tableColumn id="4" xr3:uid="{EA2A4A8B-494F-44F4-B73E-2F7DC0B81CB2}" name="Description of QA"/>
  </tableColumns>
  <tableStyleInfo name="TableStyleLight8" showFirstColumn="0" showLastColumn="0" showRowStripes="1" showColumnStripes="0"/>
</table>
</file>

<file path=xl/theme/theme1.xml><?xml version="1.0" encoding="utf-8"?>
<a:theme xmlns:a="http://schemas.openxmlformats.org/drawingml/2006/main" name="Excel">
  <a:themeElements>
    <a:clrScheme name="CEPA_Excel">
      <a:dk1>
        <a:sysClr val="windowText" lastClr="000000"/>
      </a:dk1>
      <a:lt1>
        <a:srgbClr val="FFFFFF"/>
      </a:lt1>
      <a:dk2>
        <a:srgbClr val="002776"/>
      </a:dk2>
      <a:lt2>
        <a:srgbClr val="5A85D7"/>
      </a:lt2>
      <a:accent1>
        <a:srgbClr val="F7403A"/>
      </a:accent1>
      <a:accent2>
        <a:srgbClr val="FFA02F"/>
      </a:accent2>
      <a:accent3>
        <a:srgbClr val="F3CF45"/>
      </a:accent3>
      <a:accent4>
        <a:srgbClr val="BED600"/>
      </a:accent4>
      <a:accent5>
        <a:srgbClr val="7765A0"/>
      </a:accent5>
      <a:accent6>
        <a:srgbClr val="009AA6"/>
      </a:accent6>
      <a:hlink>
        <a:srgbClr val="4186CD"/>
      </a:hlink>
      <a:folHlink>
        <a:srgbClr val="4186CD"/>
      </a:folHlink>
    </a:clrScheme>
    <a:fontScheme name="2019">
      <a:majorFont>
        <a:latin typeface="Rockwell Nova"/>
        <a:ea typeface=""/>
        <a:cs typeface=""/>
      </a:majorFont>
      <a:minorFont>
        <a:latin typeface="Arial Nov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CEPA2019" id="{536A63FB-1EAD-4361-AEB6-D84A87527CD7}" vid="{5282DCE9-F17A-4B02-84C5-58F6967263E3}"/>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11D5-C913-4A09-A2BF-849D2E5C6928}">
  <sheetPr codeName="Sheet4">
    <tabColor theme="0" tint="-0.14999847407452621"/>
  </sheetPr>
  <dimension ref="A1:Y80"/>
  <sheetViews>
    <sheetView showGridLines="0" topLeftCell="A18" zoomScale="90" zoomScaleNormal="90" workbookViewId="0">
      <selection activeCell="E26" sqref="E26"/>
    </sheetView>
  </sheetViews>
  <sheetFormatPr defaultColWidth="0" defaultRowHeight="13" zeroHeight="1" x14ac:dyDescent="0.3"/>
  <cols>
    <col min="1" max="1" width="3.54296875" customWidth="1"/>
    <col min="2" max="2" width="14.453125" customWidth="1"/>
    <col min="3" max="3" width="2.453125" customWidth="1"/>
    <col min="4" max="4" width="13" customWidth="1"/>
    <col min="5" max="5" width="66.453125" customWidth="1"/>
    <col min="6" max="6" width="4.453125" customWidth="1"/>
    <col min="7" max="7" width="7" customWidth="1"/>
    <col min="8" max="8" width="13" customWidth="1"/>
    <col min="9" max="9" width="24.54296875" bestFit="1" customWidth="1"/>
    <col min="10" max="10" width="34.54296875" customWidth="1"/>
    <col min="11" max="11" width="3.54296875" customWidth="1"/>
    <col min="12" max="16384" width="8" hidden="1"/>
  </cols>
  <sheetData>
    <row r="1" spans="2:10" x14ac:dyDescent="0.3"/>
    <row r="2" spans="2:10" ht="23.5" x14ac:dyDescent="0.55000000000000004">
      <c r="B2" s="45" t="s">
        <v>0</v>
      </c>
      <c r="G2" s="402" t="s">
        <v>1</v>
      </c>
      <c r="H2" s="403"/>
      <c r="I2" s="403"/>
      <c r="J2" s="403"/>
    </row>
    <row r="3" spans="2:10" ht="61.4" customHeight="1" x14ac:dyDescent="0.3">
      <c r="B3" s="46" t="s">
        <v>2</v>
      </c>
      <c r="G3" s="403"/>
      <c r="H3" s="403"/>
      <c r="I3" s="403"/>
      <c r="J3" s="403"/>
    </row>
    <row r="4" spans="2:10" x14ac:dyDescent="0.3">
      <c r="B4" s="37" t="str" cm="1">
        <f t="array" ref="B4" xml:space="preserve"> TEXT(IF(COUNTA(Table1[Date]),INDEX(Table1[Date],COUNTA(Table1[Date])),""),"dd/mm/yyyy")</f>
        <v>20/03/2024</v>
      </c>
      <c r="C4" s="5"/>
      <c r="D4" t="str" cm="1">
        <f t="array" ref="D4">"Version "&amp;IF(COUNTA(Table1[Version]),INDEX(Table1[Version],COUNTA(Table1[Version])),"")</f>
        <v>Version Website</v>
      </c>
      <c r="E4" t="s">
        <v>3</v>
      </c>
      <c r="G4" s="403"/>
      <c r="H4" s="403"/>
      <c r="I4" s="403"/>
      <c r="J4" s="403"/>
    </row>
    <row r="5" spans="2:10" x14ac:dyDescent="0.3">
      <c r="G5" s="403"/>
      <c r="H5" s="403"/>
      <c r="I5" s="403"/>
      <c r="J5" s="403"/>
    </row>
    <row r="6" spans="2:10" x14ac:dyDescent="0.3">
      <c r="B6" t="s">
        <v>4</v>
      </c>
      <c r="E6" s="43"/>
      <c r="G6" s="403"/>
      <c r="H6" s="403"/>
      <c r="I6" s="403"/>
      <c r="J6" s="403"/>
    </row>
    <row r="7" spans="2:10" x14ac:dyDescent="0.3">
      <c r="G7" s="403"/>
      <c r="H7" s="403"/>
      <c r="I7" s="403"/>
      <c r="J7" s="403"/>
    </row>
    <row r="8" spans="2:10" ht="12.75" customHeight="1" x14ac:dyDescent="0.3">
      <c r="B8" s="404" t="s">
        <v>5</v>
      </c>
      <c r="C8" s="404"/>
      <c r="D8" s="404"/>
      <c r="E8" s="404"/>
      <c r="G8" s="403"/>
      <c r="H8" s="403"/>
      <c r="I8" s="403"/>
      <c r="J8" s="403"/>
    </row>
    <row r="9" spans="2:10" ht="24.65" customHeight="1" x14ac:dyDescent="0.3">
      <c r="B9" s="404"/>
      <c r="C9" s="404"/>
      <c r="D9" s="404"/>
      <c r="E9" s="404"/>
    </row>
    <row r="10" spans="2:10" x14ac:dyDescent="0.3">
      <c r="B10" s="404"/>
      <c r="C10" s="404"/>
      <c r="D10" s="404"/>
      <c r="E10" s="404"/>
      <c r="G10" s="3" t="s">
        <v>6</v>
      </c>
      <c r="H10" s="3"/>
      <c r="I10" s="3"/>
      <c r="J10" s="3"/>
    </row>
    <row r="11" spans="2:10" x14ac:dyDescent="0.3">
      <c r="B11" s="404"/>
      <c r="C11" s="404"/>
      <c r="D11" s="404"/>
      <c r="E11" s="404"/>
    </row>
    <row r="12" spans="2:10" x14ac:dyDescent="0.3">
      <c r="B12" s="404"/>
      <c r="C12" s="404"/>
      <c r="D12" s="404"/>
      <c r="E12" s="404"/>
      <c r="G12" s="38" t="s">
        <v>7</v>
      </c>
      <c r="H12" s="39" t="s">
        <v>8</v>
      </c>
      <c r="I12" s="38" t="s">
        <v>9</v>
      </c>
      <c r="J12" s="38" t="s">
        <v>10</v>
      </c>
    </row>
    <row r="13" spans="2:10" ht="19.399999999999999" customHeight="1" x14ac:dyDescent="0.3">
      <c r="B13" s="405"/>
      <c r="C13" s="405"/>
      <c r="D13" s="405"/>
      <c r="E13" s="405"/>
      <c r="G13" s="241">
        <v>0</v>
      </c>
      <c r="H13" s="5">
        <v>45250</v>
      </c>
      <c r="I13" t="s">
        <v>11</v>
      </c>
      <c r="J13" t="s">
        <v>12</v>
      </c>
    </row>
    <row r="14" spans="2:10" x14ac:dyDescent="0.3">
      <c r="G14" s="4" t="s">
        <v>13</v>
      </c>
      <c r="H14" s="5">
        <v>45275</v>
      </c>
      <c r="I14" t="s">
        <v>11</v>
      </c>
      <c r="J14" t="s">
        <v>14</v>
      </c>
    </row>
    <row r="15" spans="2:10" x14ac:dyDescent="0.3">
      <c r="B15" s="3" t="s">
        <v>15</v>
      </c>
      <c r="C15" s="3"/>
      <c r="D15" s="3"/>
      <c r="E15" s="3"/>
      <c r="G15" s="4" t="s">
        <v>16</v>
      </c>
      <c r="H15" s="5">
        <v>45295</v>
      </c>
      <c r="I15" t="s">
        <v>11</v>
      </c>
      <c r="J15" t="s">
        <v>17</v>
      </c>
    </row>
    <row r="16" spans="2:10" x14ac:dyDescent="0.3">
      <c r="G16" s="4" t="s">
        <v>368</v>
      </c>
      <c r="H16" s="5">
        <v>45371</v>
      </c>
      <c r="I16" t="s">
        <v>369</v>
      </c>
      <c r="J16" t="s">
        <v>370</v>
      </c>
    </row>
    <row r="17" spans="2:10" x14ac:dyDescent="0.3">
      <c r="B17" s="57" t="s">
        <v>18</v>
      </c>
      <c r="C17" s="15"/>
      <c r="D17" s="15"/>
      <c r="E17" s="15"/>
      <c r="G17" s="4"/>
      <c r="H17" s="5"/>
    </row>
    <row r="18" spans="2:10" x14ac:dyDescent="0.3">
      <c r="B18" s="6"/>
      <c r="D18" s="7" t="s">
        <v>19</v>
      </c>
      <c r="G18" s="4"/>
      <c r="H18" s="5"/>
    </row>
    <row r="19" spans="2:10" x14ac:dyDescent="0.3">
      <c r="B19" s="8" t="s">
        <v>20</v>
      </c>
      <c r="D19" s="7" t="s">
        <v>21</v>
      </c>
      <c r="G19" s="40"/>
      <c r="H19" s="41"/>
      <c r="I19" s="42"/>
      <c r="J19" s="42"/>
    </row>
    <row r="20" spans="2:10" x14ac:dyDescent="0.3">
      <c r="B20" s="44" t="s">
        <v>20</v>
      </c>
      <c r="D20" s="7" t="s">
        <v>22</v>
      </c>
      <c r="G20" s="4"/>
      <c r="H20" s="5"/>
    </row>
    <row r="21" spans="2:10" s="15" customFormat="1" x14ac:dyDescent="0.3">
      <c r="B21" s="10" t="s">
        <v>20</v>
      </c>
      <c r="C21"/>
      <c r="D21" s="7" t="s">
        <v>23</v>
      </c>
      <c r="E21"/>
      <c r="G21" s="4"/>
      <c r="H21" s="5"/>
      <c r="I21"/>
      <c r="J21"/>
    </row>
    <row r="22" spans="2:10" s="15" customFormat="1" x14ac:dyDescent="0.3">
      <c r="B22" s="11" t="s">
        <v>20</v>
      </c>
      <c r="C22"/>
      <c r="D22" s="7" t="s">
        <v>24</v>
      </c>
      <c r="E22"/>
      <c r="G22" s="40"/>
      <c r="H22" s="41"/>
      <c r="I22" s="42"/>
      <c r="J22" s="42"/>
    </row>
    <row r="23" spans="2:10" s="15" customFormat="1" x14ac:dyDescent="0.3">
      <c r="B23" s="50" t="s">
        <v>20</v>
      </c>
      <c r="C23"/>
      <c r="D23" s="7" t="s">
        <v>25</v>
      </c>
      <c r="E23"/>
      <c r="G23" s="4"/>
      <c r="H23" s="5"/>
      <c r="I23"/>
      <c r="J23"/>
    </row>
    <row r="24" spans="2:10" s="15" customFormat="1" x14ac:dyDescent="0.3">
      <c r="B24" s="51" t="s">
        <v>20</v>
      </c>
      <c r="C24"/>
      <c r="D24" s="7" t="s">
        <v>26</v>
      </c>
      <c r="E24"/>
      <c r="G24" s="4"/>
      <c r="H24" s="5"/>
      <c r="I24"/>
      <c r="J24"/>
    </row>
    <row r="25" spans="2:10" s="15" customFormat="1" x14ac:dyDescent="0.3">
      <c r="B25" s="53" t="s">
        <v>20</v>
      </c>
      <c r="C25"/>
      <c r="D25" s="7" t="s">
        <v>27</v>
      </c>
      <c r="E25"/>
      <c r="G25" s="4"/>
      <c r="H25" s="5"/>
      <c r="I25"/>
      <c r="J25"/>
    </row>
    <row r="26" spans="2:10" s="15" customFormat="1" x14ac:dyDescent="0.3">
      <c r="B26" s="52" t="s">
        <v>20</v>
      </c>
      <c r="C26"/>
      <c r="D26" s="7" t="s">
        <v>28</v>
      </c>
      <c r="E26"/>
      <c r="G26" s="40"/>
      <c r="H26" s="41"/>
      <c r="I26" s="42"/>
      <c r="J26" s="42"/>
    </row>
    <row r="27" spans="2:10" x14ac:dyDescent="0.3"/>
    <row r="28" spans="2:10" x14ac:dyDescent="0.3">
      <c r="B28" s="57" t="s">
        <v>29</v>
      </c>
      <c r="C28" s="15"/>
      <c r="D28" s="7"/>
      <c r="G28" s="3" t="s">
        <v>30</v>
      </c>
      <c r="H28" s="3"/>
      <c r="I28" s="3"/>
      <c r="J28" s="3"/>
    </row>
    <row r="29" spans="2:10" x14ac:dyDescent="0.3">
      <c r="B29" s="329" t="s">
        <v>31</v>
      </c>
      <c r="C29" s="328"/>
      <c r="D29" s="330" t="s">
        <v>32</v>
      </c>
    </row>
    <row r="30" spans="2:10" x14ac:dyDescent="0.3">
      <c r="B30" s="331" t="s">
        <v>31</v>
      </c>
      <c r="C30" s="328"/>
      <c r="D30" s="330" t="s">
        <v>378</v>
      </c>
      <c r="G30" s="38" t="s">
        <v>7</v>
      </c>
      <c r="H30" s="39" t="s">
        <v>8</v>
      </c>
      <c r="I30" s="38" t="s">
        <v>33</v>
      </c>
      <c r="J30" s="38" t="s">
        <v>34</v>
      </c>
    </row>
    <row r="31" spans="2:10" x14ac:dyDescent="0.3">
      <c r="B31" s="332" t="s">
        <v>31</v>
      </c>
      <c r="C31" s="328"/>
      <c r="D31" s="330" t="s">
        <v>35</v>
      </c>
      <c r="G31" s="9" t="s">
        <v>13</v>
      </c>
      <c r="H31" s="5">
        <v>45273</v>
      </c>
      <c r="I31" t="s">
        <v>11</v>
      </c>
      <c r="J31" t="s">
        <v>36</v>
      </c>
    </row>
    <row r="32" spans="2:10" ht="26" x14ac:dyDescent="0.3">
      <c r="B32" s="337" t="s">
        <v>31</v>
      </c>
      <c r="C32" s="328"/>
      <c r="D32" s="330" t="s">
        <v>379</v>
      </c>
      <c r="G32" s="326" t="s">
        <v>16</v>
      </c>
      <c r="H32" s="327">
        <v>45301</v>
      </c>
      <c r="I32" s="328" t="s">
        <v>369</v>
      </c>
      <c r="J32" s="259" t="s">
        <v>371</v>
      </c>
    </row>
    <row r="33" spans="1:18" x14ac:dyDescent="0.3">
      <c r="B33" s="333" t="s">
        <v>31</v>
      </c>
      <c r="C33" s="328"/>
      <c r="D33" s="330" t="s">
        <v>39</v>
      </c>
      <c r="G33" s="9"/>
      <c r="H33" s="5"/>
    </row>
    <row r="34" spans="1:18" s="15" customFormat="1" x14ac:dyDescent="0.3">
      <c r="B34" s="334" t="s">
        <v>31</v>
      </c>
      <c r="C34" s="328"/>
      <c r="D34" s="330" t="s">
        <v>38</v>
      </c>
      <c r="E34"/>
      <c r="G34" s="9"/>
      <c r="H34" s="5"/>
      <c r="I34"/>
      <c r="J34"/>
    </row>
    <row r="35" spans="1:18" s="15" customFormat="1" x14ac:dyDescent="0.3">
      <c r="B35" s="335" t="s">
        <v>31</v>
      </c>
      <c r="C35" s="336"/>
      <c r="D35" s="330" t="s">
        <v>37</v>
      </c>
      <c r="E35"/>
      <c r="G35" s="9"/>
      <c r="H35" s="7"/>
      <c r="I35"/>
      <c r="J35"/>
    </row>
    <row r="36" spans="1:18" x14ac:dyDescent="0.3">
      <c r="B36" s="328"/>
      <c r="C36" s="328"/>
      <c r="D36" s="328"/>
      <c r="G36" s="9"/>
      <c r="H36" s="7"/>
    </row>
    <row r="37" spans="1:18" x14ac:dyDescent="0.3">
      <c r="G37" s="9"/>
      <c r="H37" s="7"/>
    </row>
    <row r="38" spans="1:18" x14ac:dyDescent="0.3"/>
    <row r="39" spans="1:18" ht="14" x14ac:dyDescent="0.3">
      <c r="A39" s="247"/>
      <c r="B39" s="406" t="s">
        <v>40</v>
      </c>
      <c r="C39" s="406"/>
      <c r="D39" s="406"/>
      <c r="E39" s="395"/>
      <c r="F39" s="395"/>
      <c r="G39" s="395"/>
      <c r="H39" s="395"/>
      <c r="I39" s="248"/>
      <c r="J39" s="248"/>
      <c r="K39" s="272"/>
      <c r="L39" s="248"/>
      <c r="M39" s="248"/>
      <c r="N39" s="248"/>
      <c r="O39" s="248"/>
      <c r="P39" s="395"/>
      <c r="Q39" s="395"/>
      <c r="R39" s="247"/>
    </row>
    <row r="40" spans="1:18" x14ac:dyDescent="0.3">
      <c r="K40" s="77"/>
    </row>
    <row r="41" spans="1:18" s="15" customFormat="1" x14ac:dyDescent="0.3">
      <c r="B41" s="135" t="s">
        <v>41</v>
      </c>
      <c r="C41" s="135"/>
      <c r="D41" s="135"/>
      <c r="E41" s="135"/>
      <c r="F41" s="135"/>
      <c r="G41" s="135"/>
      <c r="H41" s="135"/>
      <c r="I41" s="135"/>
      <c r="J41" s="141"/>
      <c r="K41" s="273"/>
      <c r="L41" s="188"/>
      <c r="M41" s="188"/>
      <c r="N41" s="76"/>
    </row>
    <row r="42" spans="1:18" x14ac:dyDescent="0.3">
      <c r="B42" s="184"/>
      <c r="C42" s="184"/>
      <c r="D42" s="184"/>
      <c r="E42" s="249"/>
      <c r="F42" s="249"/>
      <c r="G42" s="249"/>
      <c r="H42" s="249"/>
      <c r="I42" s="184"/>
      <c r="J42" s="77"/>
      <c r="K42" s="77"/>
    </row>
    <row r="43" spans="1:18" x14ac:dyDescent="0.3">
      <c r="B43" s="38" t="s">
        <v>42</v>
      </c>
      <c r="C43" s="38"/>
      <c r="D43" s="38"/>
      <c r="E43" s="396" t="s">
        <v>43</v>
      </c>
      <c r="F43" s="396"/>
      <c r="G43" s="396"/>
      <c r="H43" s="396"/>
      <c r="I43" s="38" t="s">
        <v>44</v>
      </c>
      <c r="J43" s="274"/>
      <c r="K43" s="274"/>
      <c r="L43" s="38"/>
    </row>
    <row r="44" spans="1:18" x14ac:dyDescent="0.3">
      <c r="B44" s="394" t="s">
        <v>372</v>
      </c>
      <c r="C44" s="394"/>
      <c r="D44" s="394"/>
      <c r="E44" s="397" t="s">
        <v>45</v>
      </c>
      <c r="F44" s="397"/>
      <c r="G44" s="397"/>
      <c r="H44" s="397"/>
      <c r="I44" s="253" t="s">
        <v>46</v>
      </c>
      <c r="J44" s="274"/>
      <c r="K44" s="274"/>
    </row>
    <row r="45" spans="1:18" ht="20.9" customHeight="1" x14ac:dyDescent="0.3">
      <c r="B45" s="394" t="s">
        <v>373</v>
      </c>
      <c r="C45" s="394"/>
      <c r="D45" s="394"/>
      <c r="E45" s="397" t="s">
        <v>47</v>
      </c>
      <c r="F45" s="397"/>
      <c r="G45" s="397"/>
      <c r="H45" s="397"/>
      <c r="I45" s="253" t="s">
        <v>48</v>
      </c>
      <c r="J45" s="274"/>
      <c r="K45" s="274"/>
    </row>
    <row r="46" spans="1:18" ht="61" customHeight="1" x14ac:dyDescent="0.3">
      <c r="B46" s="399" t="s">
        <v>374</v>
      </c>
      <c r="C46" s="400"/>
      <c r="D46" s="401"/>
      <c r="E46" s="397" t="s">
        <v>377</v>
      </c>
      <c r="F46" s="397"/>
      <c r="G46" s="397"/>
      <c r="H46" s="397"/>
      <c r="I46" s="253" t="s">
        <v>46</v>
      </c>
      <c r="J46" s="274"/>
      <c r="K46" s="274"/>
    </row>
    <row r="47" spans="1:18" ht="69.5" customHeight="1" x14ac:dyDescent="0.3">
      <c r="B47" s="394" t="s">
        <v>375</v>
      </c>
      <c r="C47" s="394"/>
      <c r="D47" s="394"/>
      <c r="E47" s="397" t="s">
        <v>376</v>
      </c>
      <c r="F47" s="397"/>
      <c r="G47" s="397"/>
      <c r="H47" s="397"/>
      <c r="I47" s="254" t="s">
        <v>48</v>
      </c>
      <c r="J47" s="274"/>
      <c r="K47" s="274"/>
    </row>
    <row r="48" spans="1:18" x14ac:dyDescent="0.3">
      <c r="B48" s="394" t="s">
        <v>49</v>
      </c>
      <c r="C48" s="394"/>
      <c r="D48" s="394"/>
      <c r="E48" s="397" t="s">
        <v>50</v>
      </c>
      <c r="F48" s="397"/>
      <c r="G48" s="397"/>
      <c r="H48" s="397"/>
      <c r="I48" s="254" t="s">
        <v>46</v>
      </c>
      <c r="J48" s="274"/>
      <c r="K48" s="274"/>
    </row>
    <row r="49" spans="2:15" x14ac:dyDescent="0.3">
      <c r="B49" s="251"/>
      <c r="C49" s="251"/>
      <c r="D49" s="251"/>
      <c r="E49" s="249"/>
      <c r="F49" s="249"/>
      <c r="G49" s="249"/>
      <c r="H49" s="249"/>
      <c r="I49" s="255"/>
      <c r="J49" s="77"/>
      <c r="K49" s="77"/>
    </row>
    <row r="50" spans="2:15" s="15" customFormat="1" x14ac:dyDescent="0.3">
      <c r="B50" s="135" t="s">
        <v>51</v>
      </c>
      <c r="C50" s="135"/>
      <c r="D50" s="135"/>
      <c r="E50" s="135"/>
      <c r="F50" s="135"/>
      <c r="G50" s="135"/>
      <c r="H50" s="135"/>
      <c r="I50" s="256"/>
      <c r="J50" s="141"/>
      <c r="K50" s="273"/>
      <c r="L50" s="188"/>
      <c r="M50" s="188"/>
      <c r="N50" s="76"/>
    </row>
    <row r="51" spans="2:15" x14ac:dyDescent="0.3">
      <c r="B51" s="251"/>
      <c r="C51" s="251"/>
      <c r="D51" s="251"/>
      <c r="E51" s="249"/>
      <c r="F51" s="249"/>
      <c r="G51" s="249"/>
      <c r="H51" s="249"/>
      <c r="I51" s="255"/>
      <c r="J51" s="77"/>
      <c r="K51" s="77"/>
    </row>
    <row r="52" spans="2:15" x14ac:dyDescent="0.3">
      <c r="B52" s="252" t="s">
        <v>42</v>
      </c>
      <c r="C52" s="252"/>
      <c r="D52" s="252"/>
      <c r="E52" s="396" t="s">
        <v>43</v>
      </c>
      <c r="F52" s="396"/>
      <c r="G52" s="396"/>
      <c r="H52" s="396"/>
      <c r="I52" s="257" t="s">
        <v>44</v>
      </c>
      <c r="J52" s="274"/>
      <c r="K52" s="274"/>
      <c r="L52" s="38"/>
    </row>
    <row r="53" spans="2:15" x14ac:dyDescent="0.3">
      <c r="B53" s="394" t="s">
        <v>52</v>
      </c>
      <c r="C53" s="394"/>
      <c r="D53" s="394"/>
      <c r="E53" s="397" t="s">
        <v>53</v>
      </c>
      <c r="F53" s="397"/>
      <c r="G53" s="397"/>
      <c r="H53" s="397"/>
      <c r="I53" s="254" t="s">
        <v>48</v>
      </c>
      <c r="J53" s="274"/>
      <c r="K53" s="274"/>
    </row>
    <row r="54" spans="2:15" ht="27.65" customHeight="1" x14ac:dyDescent="0.3">
      <c r="B54" s="394" t="s">
        <v>54</v>
      </c>
      <c r="C54" s="394"/>
      <c r="D54" s="394"/>
      <c r="E54" s="397" t="s">
        <v>55</v>
      </c>
      <c r="F54" s="397"/>
      <c r="G54" s="397"/>
      <c r="H54" s="397"/>
      <c r="I54" s="254" t="s">
        <v>48</v>
      </c>
      <c r="J54" s="274"/>
      <c r="K54" s="274"/>
    </row>
    <row r="55" spans="2:15" x14ac:dyDescent="0.3">
      <c r="B55" s="394"/>
      <c r="C55" s="394"/>
      <c r="D55" s="394"/>
      <c r="E55" s="398"/>
      <c r="F55" s="398"/>
      <c r="G55" s="398"/>
      <c r="H55" s="398"/>
      <c r="I55" s="254"/>
      <c r="J55" s="274"/>
      <c r="K55" s="274"/>
    </row>
    <row r="56" spans="2:15" x14ac:dyDescent="0.3">
      <c r="B56" s="251"/>
      <c r="C56" s="251"/>
      <c r="D56" s="251"/>
      <c r="E56" s="249"/>
      <c r="F56" s="249"/>
      <c r="G56" s="249"/>
      <c r="H56" s="249"/>
      <c r="I56" s="255"/>
      <c r="J56" s="77"/>
      <c r="K56" s="77"/>
    </row>
    <row r="57" spans="2:15" s="15" customFormat="1" x14ac:dyDescent="0.3">
      <c r="B57" s="135" t="s">
        <v>23</v>
      </c>
      <c r="C57" s="135"/>
      <c r="D57" s="135"/>
      <c r="E57" s="135"/>
      <c r="F57" s="135"/>
      <c r="G57" s="135"/>
      <c r="H57" s="135"/>
      <c r="I57" s="256"/>
      <c r="J57" s="141"/>
      <c r="K57" s="273"/>
      <c r="L57" s="188"/>
      <c r="M57" s="188"/>
      <c r="N57" s="76"/>
    </row>
    <row r="58" spans="2:15" x14ac:dyDescent="0.3">
      <c r="B58" s="251"/>
      <c r="C58" s="251"/>
      <c r="D58" s="251"/>
      <c r="E58" s="249"/>
      <c r="F58" s="249"/>
      <c r="G58" s="249"/>
      <c r="H58" s="249"/>
      <c r="I58" s="255"/>
      <c r="J58" s="77"/>
      <c r="K58" s="77"/>
    </row>
    <row r="59" spans="2:15" x14ac:dyDescent="0.3">
      <c r="B59" s="252" t="s">
        <v>42</v>
      </c>
      <c r="C59" s="252"/>
      <c r="D59" s="252"/>
      <c r="E59" s="396" t="s">
        <v>43</v>
      </c>
      <c r="F59" s="396"/>
      <c r="G59" s="396"/>
      <c r="H59" s="396"/>
      <c r="I59" s="257" t="s">
        <v>44</v>
      </c>
      <c r="J59" s="274"/>
      <c r="K59" s="274"/>
      <c r="L59" s="38"/>
    </row>
    <row r="60" spans="2:15" ht="30" customHeight="1" x14ac:dyDescent="0.3">
      <c r="B60" s="394" t="s">
        <v>56</v>
      </c>
      <c r="C60" s="394"/>
      <c r="D60" s="394"/>
      <c r="E60" s="397" t="s">
        <v>57</v>
      </c>
      <c r="F60" s="397"/>
      <c r="G60" s="397"/>
      <c r="H60" s="397"/>
      <c r="I60" s="254" t="s">
        <v>46</v>
      </c>
      <c r="J60" s="274"/>
      <c r="K60" s="274"/>
      <c r="L60" s="242"/>
      <c r="M60" s="242"/>
      <c r="N60" s="242"/>
      <c r="O60" s="242"/>
    </row>
    <row r="61" spans="2:15" ht="30" customHeight="1" x14ac:dyDescent="0.3">
      <c r="B61" s="394" t="s">
        <v>58</v>
      </c>
      <c r="C61" s="394"/>
      <c r="D61" s="394"/>
      <c r="E61" s="397" t="s">
        <v>59</v>
      </c>
      <c r="F61" s="397"/>
      <c r="G61" s="397"/>
      <c r="H61" s="397"/>
      <c r="I61" s="254" t="s">
        <v>46</v>
      </c>
      <c r="J61" s="274"/>
      <c r="K61" s="274"/>
      <c r="L61" s="242"/>
      <c r="M61" s="242"/>
      <c r="N61" s="242"/>
      <c r="O61" s="242"/>
    </row>
    <row r="62" spans="2:15" ht="30" customHeight="1" x14ac:dyDescent="0.3">
      <c r="B62" s="394" t="s">
        <v>60</v>
      </c>
      <c r="C62" s="394"/>
      <c r="D62" s="394"/>
      <c r="E62" s="397" t="s">
        <v>61</v>
      </c>
      <c r="F62" s="397"/>
      <c r="G62" s="397"/>
      <c r="H62" s="397"/>
      <c r="I62" s="254" t="s">
        <v>46</v>
      </c>
      <c r="J62" s="274"/>
      <c r="K62" s="274"/>
      <c r="L62" s="242"/>
      <c r="M62" s="242"/>
      <c r="N62" s="242"/>
      <c r="O62" s="242"/>
    </row>
    <row r="63" spans="2:15" ht="39" customHeight="1" x14ac:dyDescent="0.3">
      <c r="B63" s="394" t="s">
        <v>62</v>
      </c>
      <c r="C63" s="394"/>
      <c r="D63" s="394"/>
      <c r="E63" s="397" t="s">
        <v>63</v>
      </c>
      <c r="F63" s="397"/>
      <c r="G63" s="397"/>
      <c r="H63" s="397"/>
      <c r="I63" s="254" t="s">
        <v>46</v>
      </c>
      <c r="J63" s="274"/>
      <c r="K63" s="274"/>
      <c r="L63" s="242"/>
      <c r="M63" s="242"/>
      <c r="N63" s="242"/>
      <c r="O63" s="242"/>
    </row>
    <row r="64" spans="2:15" x14ac:dyDescent="0.3">
      <c r="B64" s="394"/>
      <c r="C64" s="394"/>
      <c r="D64" s="394"/>
      <c r="E64" s="397"/>
      <c r="F64" s="397"/>
      <c r="G64" s="397"/>
      <c r="H64" s="397"/>
      <c r="I64" s="254"/>
      <c r="J64" s="274"/>
      <c r="K64" s="274"/>
    </row>
    <row r="65" spans="1:25" x14ac:dyDescent="0.3">
      <c r="B65" s="258"/>
      <c r="C65" s="258"/>
      <c r="D65" s="258"/>
      <c r="E65" s="250"/>
      <c r="F65" s="250"/>
      <c r="G65" s="250"/>
      <c r="H65" s="250"/>
      <c r="I65" s="255"/>
      <c r="J65" s="274"/>
      <c r="K65" s="274"/>
    </row>
    <row r="66" spans="1:25" s="15" customFormat="1" x14ac:dyDescent="0.3">
      <c r="B66" s="135" t="s">
        <v>64</v>
      </c>
      <c r="C66" s="135"/>
      <c r="D66" s="135"/>
      <c r="E66" s="135"/>
      <c r="F66" s="135"/>
      <c r="G66" s="135"/>
      <c r="H66" s="135"/>
      <c r="I66" s="256"/>
      <c r="J66" s="141"/>
      <c r="K66" s="273"/>
      <c r="L66" s="188"/>
      <c r="M66" s="188"/>
      <c r="N66" s="76"/>
    </row>
    <row r="67" spans="1:25" x14ac:dyDescent="0.3">
      <c r="B67" s="251"/>
      <c r="C67" s="251"/>
      <c r="D67" s="251"/>
      <c r="E67" s="249"/>
      <c r="F67" s="249"/>
      <c r="G67" s="249"/>
      <c r="H67" s="249"/>
      <c r="I67" s="255"/>
    </row>
    <row r="68" spans="1:25" x14ac:dyDescent="0.3">
      <c r="B68" s="252" t="s">
        <v>42</v>
      </c>
      <c r="C68" s="252"/>
      <c r="D68" s="252"/>
      <c r="E68" s="396" t="s">
        <v>43</v>
      </c>
      <c r="F68" s="396"/>
      <c r="G68" s="396"/>
      <c r="H68" s="396"/>
      <c r="I68" s="257" t="s">
        <v>44</v>
      </c>
      <c r="J68" s="242"/>
      <c r="K68" s="242"/>
      <c r="L68" s="38"/>
    </row>
    <row r="69" spans="1:25" x14ac:dyDescent="0.3">
      <c r="B69" s="394" t="s">
        <v>65</v>
      </c>
      <c r="C69" s="394"/>
      <c r="D69" s="394"/>
      <c r="E69" s="397" t="s">
        <v>66</v>
      </c>
      <c r="F69" s="397"/>
      <c r="G69" s="397"/>
      <c r="H69" s="397"/>
      <c r="I69" s="254" t="s">
        <v>46</v>
      </c>
      <c r="J69" s="242"/>
      <c r="K69" s="242"/>
    </row>
    <row r="70" spans="1:25" x14ac:dyDescent="0.3">
      <c r="B70" s="394"/>
      <c r="C70" s="394"/>
      <c r="D70" s="394"/>
      <c r="E70" s="397"/>
      <c r="F70" s="397"/>
      <c r="G70" s="397"/>
      <c r="H70" s="397"/>
      <c r="I70" s="254"/>
      <c r="J70" s="242"/>
      <c r="K70" s="242"/>
    </row>
    <row r="71" spans="1:25" x14ac:dyDescent="0.3">
      <c r="B71" s="394"/>
      <c r="C71" s="394"/>
      <c r="D71" s="394"/>
      <c r="E71" s="397"/>
      <c r="F71" s="397"/>
      <c r="G71" s="397"/>
      <c r="H71" s="397"/>
      <c r="I71" s="254"/>
      <c r="J71" s="242"/>
      <c r="K71" s="242"/>
    </row>
    <row r="72" spans="1:25" x14ac:dyDescent="0.3">
      <c r="B72" s="394"/>
      <c r="C72" s="394"/>
      <c r="D72" s="394"/>
      <c r="E72" s="397"/>
      <c r="F72" s="397"/>
      <c r="G72" s="397"/>
      <c r="H72" s="397"/>
      <c r="I72" s="254"/>
      <c r="J72" s="242"/>
      <c r="K72" s="242"/>
    </row>
    <row r="73" spans="1:25" x14ac:dyDescent="0.3">
      <c r="B73" s="394"/>
      <c r="C73" s="394"/>
      <c r="D73" s="394"/>
      <c r="E73" s="397"/>
      <c r="F73" s="397"/>
      <c r="G73" s="397"/>
      <c r="H73" s="397"/>
      <c r="I73" s="254"/>
      <c r="J73" s="242"/>
      <c r="K73" s="242"/>
    </row>
    <row r="74" spans="1:25" x14ac:dyDescent="0.3">
      <c r="B74" s="394"/>
      <c r="C74" s="394"/>
      <c r="D74" s="394"/>
      <c r="E74" s="397"/>
      <c r="F74" s="397"/>
      <c r="G74" s="397"/>
      <c r="H74" s="397"/>
      <c r="I74" s="254"/>
      <c r="J74" s="242"/>
      <c r="K74" s="242"/>
    </row>
    <row r="75" spans="1:25" x14ac:dyDescent="0.3">
      <c r="B75" s="394"/>
      <c r="C75" s="394"/>
      <c r="D75" s="394"/>
      <c r="E75" s="397"/>
      <c r="F75" s="397"/>
      <c r="G75" s="397"/>
      <c r="H75" s="397"/>
      <c r="I75" s="254"/>
      <c r="J75" s="242"/>
      <c r="K75" s="242"/>
    </row>
    <row r="76" spans="1:25" x14ac:dyDescent="0.3">
      <c r="B76" s="394"/>
      <c r="C76" s="394"/>
      <c r="D76" s="394"/>
      <c r="E76" s="397"/>
      <c r="F76" s="397"/>
      <c r="G76" s="397"/>
      <c r="H76" s="397"/>
      <c r="I76" s="254"/>
      <c r="J76" s="242"/>
      <c r="K76" s="242"/>
    </row>
    <row r="77" spans="1:25" x14ac:dyDescent="0.3">
      <c r="B77" s="394"/>
      <c r="C77" s="394"/>
      <c r="D77" s="394"/>
      <c r="E77" s="397"/>
      <c r="F77" s="397"/>
      <c r="G77" s="397"/>
      <c r="H77" s="397"/>
      <c r="I77" s="254"/>
      <c r="J77" s="242"/>
      <c r="K77" s="242"/>
    </row>
    <row r="78" spans="1:25" x14ac:dyDescent="0.3">
      <c r="B78" s="394"/>
      <c r="C78" s="394"/>
      <c r="D78" s="394"/>
      <c r="E78" s="398"/>
      <c r="F78" s="398"/>
      <c r="G78" s="398"/>
      <c r="H78" s="398"/>
      <c r="I78" s="254"/>
      <c r="J78" s="242"/>
      <c r="K78" s="242"/>
    </row>
    <row r="79" spans="1:25" x14ac:dyDescent="0.3"/>
    <row r="80" spans="1:25" x14ac:dyDescent="0.3">
      <c r="A80" s="22"/>
      <c r="B80" s="22" t="s">
        <v>68</v>
      </c>
      <c r="C80" s="22"/>
      <c r="D80" s="22"/>
      <c r="E80" s="22"/>
      <c r="F80" s="22"/>
      <c r="G80" s="22"/>
      <c r="H80" s="22"/>
      <c r="I80" s="58"/>
      <c r="J80" s="173"/>
      <c r="K80" s="173"/>
      <c r="L80" s="173"/>
      <c r="M80" s="173"/>
      <c r="N80" s="240"/>
      <c r="O80" s="240"/>
      <c r="P80" s="240"/>
      <c r="Q80" s="240"/>
      <c r="R80" s="240"/>
      <c r="S80" s="240"/>
      <c r="T80" s="240"/>
      <c r="U80" s="240"/>
      <c r="V80" s="240"/>
      <c r="W80" s="240"/>
      <c r="X80" s="240"/>
      <c r="Y80" s="240"/>
    </row>
  </sheetData>
  <sheetProtection algorithmName="SHA-512" hashValue="ZVNYBroZtN/4JXCGZSepD3elqlrMZlFnJ57gbA+63d/nDu1ALcpn6fBQH2GD6tZm7UAnAHtvnHzeZZdjybyHHA==" saltValue="tk9B7L0xhBrsdRj5lVH5sA==" spinCount="100000" sheet="1" objects="1" scenarios="1" selectLockedCells="1" selectUnlockedCells="1"/>
  <mergeCells count="56">
    <mergeCell ref="E78:H78"/>
    <mergeCell ref="E74:H74"/>
    <mergeCell ref="E75:H75"/>
    <mergeCell ref="E76:H76"/>
    <mergeCell ref="E77:H77"/>
    <mergeCell ref="E73:H73"/>
    <mergeCell ref="E61:H61"/>
    <mergeCell ref="E62:H62"/>
    <mergeCell ref="E63:H63"/>
    <mergeCell ref="E59:H59"/>
    <mergeCell ref="E64:H64"/>
    <mergeCell ref="E68:H68"/>
    <mergeCell ref="E69:H69"/>
    <mergeCell ref="E70:H70"/>
    <mergeCell ref="E71:H71"/>
    <mergeCell ref="E72:H72"/>
    <mergeCell ref="G2:J8"/>
    <mergeCell ref="E48:H48"/>
    <mergeCell ref="E53:H53"/>
    <mergeCell ref="B8:E13"/>
    <mergeCell ref="B39:D39"/>
    <mergeCell ref="E39:F39"/>
    <mergeCell ref="G39:H39"/>
    <mergeCell ref="B44:D44"/>
    <mergeCell ref="B48:D48"/>
    <mergeCell ref="B53:D53"/>
    <mergeCell ref="E52:H52"/>
    <mergeCell ref="B54:D54"/>
    <mergeCell ref="B55:D55"/>
    <mergeCell ref="B60:D60"/>
    <mergeCell ref="B61:D61"/>
    <mergeCell ref="P39:Q39"/>
    <mergeCell ref="E43:H43"/>
    <mergeCell ref="E47:H47"/>
    <mergeCell ref="E44:H44"/>
    <mergeCell ref="E45:H45"/>
    <mergeCell ref="B45:D45"/>
    <mergeCell ref="B47:D47"/>
    <mergeCell ref="E54:H54"/>
    <mergeCell ref="E55:H55"/>
    <mergeCell ref="E60:H60"/>
    <mergeCell ref="B46:D46"/>
    <mergeCell ref="E46:H46"/>
    <mergeCell ref="B62:D62"/>
    <mergeCell ref="B63:D63"/>
    <mergeCell ref="B64:D64"/>
    <mergeCell ref="B69:D69"/>
    <mergeCell ref="B70:D70"/>
    <mergeCell ref="B76:D76"/>
    <mergeCell ref="B77:D77"/>
    <mergeCell ref="B78:D78"/>
    <mergeCell ref="B71:D71"/>
    <mergeCell ref="B72:D72"/>
    <mergeCell ref="B73:D73"/>
    <mergeCell ref="B74:D74"/>
    <mergeCell ref="B75:D75"/>
  </mergeCells>
  <phoneticPr fontId="7" type="noConversion"/>
  <pageMargins left="0.7" right="0.7" top="0.75" bottom="0.75" header="0.3" footer="0.3"/>
  <pageSetup paperSize="9" orientation="portrait" horizontalDpi="4294967293"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D885C-ECCC-4CFF-8AD4-1727BCCEAE43}">
  <sheetPr>
    <tabColor rgb="FF6D65A0"/>
    <pageSetUpPr autoPageBreaks="0"/>
  </sheetPr>
  <dimension ref="A1:N52"/>
  <sheetViews>
    <sheetView showGridLines="0" zoomScale="90" zoomScaleNormal="90" workbookViewId="0">
      <pane xSplit="9" ySplit="13" topLeftCell="J14" activePane="bottomRight" state="frozen"/>
      <selection pane="topRight" activeCell="J1" sqref="J1"/>
      <selection pane="bottomLeft" activeCell="A12" sqref="A12"/>
      <selection pane="bottomRight" activeCell="L25" sqref="L25"/>
    </sheetView>
  </sheetViews>
  <sheetFormatPr defaultColWidth="0" defaultRowHeight="13" zeroHeight="1" x14ac:dyDescent="0.3"/>
  <cols>
    <col min="1" max="3" width="2.453125" style="15" customWidth="1"/>
    <col min="4" max="4" width="2.453125" style="48" customWidth="1"/>
    <col min="5" max="5" width="2.453125" style="33" customWidth="1"/>
    <col min="6" max="6" width="30.453125" style="15" customWidth="1"/>
    <col min="7" max="7" width="2.54296875" style="15" customWidth="1"/>
    <col min="8" max="8" width="11.453125" style="15" bestFit="1" customWidth="1"/>
    <col min="9" max="9" width="2.54296875" style="62" customWidth="1"/>
    <col min="10" max="10" width="12.453125" style="167" bestFit="1" customWidth="1"/>
    <col min="11" max="11" width="14.453125" style="167" customWidth="1"/>
    <col min="12" max="13" width="14.453125" style="167" bestFit="1" customWidth="1"/>
    <col min="14" max="14" width="2.54296875" style="15" customWidth="1"/>
    <col min="15" max="16384" width="8.54296875" style="15" hidden="1"/>
  </cols>
  <sheetData>
    <row r="1" spans="1:14" s="20" customFormat="1" ht="17.5" x14ac:dyDescent="0.3">
      <c r="A1" s="18" t="str" cm="1">
        <f t="array" aca="1" ref="A1" ca="1">RIGHT(CELL("filename",A$2),LEN(CELL("filename",A$2))-FIND("]",CELL("filename",A$2)))</f>
        <v>Bulk Supply Tariffs</v>
      </c>
      <c r="B1" s="18"/>
      <c r="C1" s="18"/>
      <c r="D1" s="18"/>
      <c r="E1" s="18"/>
      <c r="F1" s="18"/>
      <c r="G1" s="18"/>
      <c r="H1" s="18"/>
      <c r="I1" s="58"/>
      <c r="J1" s="169"/>
      <c r="K1" s="169"/>
      <c r="L1" s="169"/>
      <c r="M1" s="169"/>
    </row>
    <row r="2" spans="1:14" s="1" customFormat="1" x14ac:dyDescent="0.3">
      <c r="A2" s="21" t="str">
        <f>"["&amp;_xlfn.SINGLE(_ModelStatus)&amp;"] "&amp;_xlfn.SINGLE(_ModelName)&amp;" - "&amp;_xlfn.SINGLE(_OrganisationName)&amp;" - "&amp;_xlfn.SINGLE(_ModelVersion)&amp;" ("&amp;TEXT(_xlfn.SINGLE(_ModelDate),"dd/mm/yyyy")&amp;")"</f>
        <v>[Final] BSP model for NAVs - Yorkshire Water - Version Website (20/03/2024)</v>
      </c>
      <c r="B2" s="21"/>
      <c r="C2" s="21"/>
      <c r="D2" s="21"/>
      <c r="E2" s="21"/>
      <c r="F2" s="21"/>
      <c r="G2" s="21"/>
      <c r="H2" s="21"/>
      <c r="I2" s="59"/>
      <c r="J2" s="170"/>
      <c r="K2" s="170"/>
      <c r="L2" s="170"/>
      <c r="M2" s="170"/>
      <c r="N2" s="21"/>
    </row>
    <row r="3" spans="1:14" customFormat="1" x14ac:dyDescent="0.3">
      <c r="A3" s="47" t="s">
        <v>160</v>
      </c>
      <c r="D3" s="3"/>
      <c r="E3" s="49"/>
      <c r="I3" s="60"/>
      <c r="J3" s="171"/>
      <c r="K3" s="171"/>
      <c r="L3" s="171"/>
      <c r="M3" s="171"/>
    </row>
    <row r="4" spans="1:14" ht="13.5" customHeight="1" x14ac:dyDescent="0.3">
      <c r="E4" s="48"/>
      <c r="F4" s="48"/>
      <c r="G4" s="48"/>
      <c r="H4" s="48"/>
      <c r="I4" s="61"/>
      <c r="J4" s="172"/>
    </row>
    <row r="5" spans="1:14" customFormat="1" x14ac:dyDescent="0.3">
      <c r="B5" s="22" t="s">
        <v>43</v>
      </c>
      <c r="C5" s="22"/>
      <c r="D5" s="22"/>
      <c r="E5" s="22"/>
      <c r="F5" s="22"/>
      <c r="G5" s="22"/>
      <c r="H5" s="22"/>
      <c r="I5" s="58"/>
      <c r="J5" s="173"/>
      <c r="K5" s="173"/>
      <c r="L5" s="173"/>
      <c r="M5" s="173"/>
      <c r="N5" s="22"/>
    </row>
    <row r="6" spans="1:14" ht="4.4000000000000004" customHeight="1" x14ac:dyDescent="0.3">
      <c r="F6" s="415" t="s">
        <v>59</v>
      </c>
      <c r="G6" s="415"/>
      <c r="H6" s="415"/>
      <c r="I6" s="415"/>
      <c r="J6" s="415"/>
      <c r="K6" s="415"/>
    </row>
    <row r="7" spans="1:14" ht="3" customHeight="1" x14ac:dyDescent="0.3">
      <c r="D7" s="3"/>
      <c r="F7" s="415"/>
      <c r="G7" s="415"/>
      <c r="H7" s="415"/>
      <c r="I7" s="415"/>
      <c r="J7" s="415"/>
      <c r="K7" s="415"/>
    </row>
    <row r="8" spans="1:14" x14ac:dyDescent="0.3">
      <c r="D8" s="3"/>
      <c r="F8" s="415"/>
      <c r="G8" s="415"/>
      <c r="H8" s="415"/>
      <c r="I8" s="415"/>
      <c r="J8" s="415"/>
      <c r="K8" s="415"/>
    </row>
    <row r="9" spans="1:14" x14ac:dyDescent="0.3">
      <c r="D9" s="3"/>
      <c r="F9" s="415"/>
      <c r="G9" s="415"/>
      <c r="H9" s="415"/>
      <c r="I9" s="415"/>
      <c r="J9" s="415"/>
      <c r="K9" s="415"/>
    </row>
    <row r="10" spans="1:14" x14ac:dyDescent="0.3">
      <c r="D10" s="3"/>
      <c r="F10" s="182"/>
      <c r="G10" s="182"/>
      <c r="H10" s="182"/>
      <c r="I10" s="182"/>
      <c r="J10" s="182"/>
      <c r="K10" s="182"/>
    </row>
    <row r="11" spans="1:14" x14ac:dyDescent="0.3">
      <c r="D11" s="3"/>
      <c r="F11" s="69" t="s">
        <v>75</v>
      </c>
      <c r="G11" s="260" t="s">
        <v>73</v>
      </c>
      <c r="H11" s="182"/>
      <c r="I11" s="182"/>
      <c r="J11" s="182" t="str">
        <f>Cockpit!I17</f>
        <v>Yes</v>
      </c>
      <c r="K11" s="182"/>
    </row>
    <row r="12" spans="1:14" x14ac:dyDescent="0.3">
      <c r="D12" s="3"/>
      <c r="F12" s="69" t="s">
        <v>76</v>
      </c>
      <c r="G12" s="260" t="s">
        <v>73</v>
      </c>
      <c r="J12" s="182" t="str">
        <f>Cockpit!I18</f>
        <v>Yes</v>
      </c>
    </row>
    <row r="13" spans="1:14" x14ac:dyDescent="0.3">
      <c r="D13" s="3"/>
      <c r="J13" s="190" t="s">
        <v>244</v>
      </c>
      <c r="K13" s="191" t="s">
        <v>205</v>
      </c>
      <c r="L13" s="191" t="s">
        <v>207</v>
      </c>
      <c r="M13" s="191" t="s">
        <v>208</v>
      </c>
    </row>
    <row r="14" spans="1:14" x14ac:dyDescent="0.3">
      <c r="B14" s="22" t="s">
        <v>64</v>
      </c>
      <c r="C14" s="22"/>
      <c r="D14" s="22"/>
      <c r="E14" s="22"/>
      <c r="F14" s="22"/>
      <c r="G14" s="22"/>
      <c r="H14" s="22"/>
      <c r="I14" s="22"/>
      <c r="J14" s="173"/>
      <c r="K14" s="173"/>
      <c r="L14" s="173"/>
      <c r="M14" s="173"/>
      <c r="N14" s="120"/>
    </row>
    <row r="15" spans="1:14" x14ac:dyDescent="0.3">
      <c r="H15" s="3"/>
      <c r="I15" s="65"/>
      <c r="J15" s="174"/>
      <c r="K15" s="174"/>
      <c r="L15" s="174"/>
      <c r="M15" s="174"/>
      <c r="N15" s="3"/>
    </row>
    <row r="16" spans="1:14" s="14" customFormat="1" x14ac:dyDescent="0.3">
      <c r="A16" s="76"/>
      <c r="B16" s="15"/>
      <c r="C16" s="15"/>
      <c r="D16" s="189" t="s">
        <v>188</v>
      </c>
      <c r="E16" s="33"/>
      <c r="G16" s="15"/>
      <c r="H16" s="63" t="s">
        <v>171</v>
      </c>
      <c r="I16" s="63"/>
      <c r="J16" s="178">
        <f>'Avoided Operating Costs'!L104</f>
        <v>6.0999999999999999E-2</v>
      </c>
      <c r="K16" s="178">
        <f>'Avoided Operating Costs'!M104</f>
        <v>6.0999999999999999E-2</v>
      </c>
      <c r="L16" s="178">
        <f>'Avoided Operating Costs'!N104</f>
        <v>6.0999999999999999E-2</v>
      </c>
      <c r="M16" s="178">
        <f>'Avoided Operating Costs'!O104</f>
        <v>6.0999999999999999E-2</v>
      </c>
      <c r="N16" s="137"/>
    </row>
    <row r="17" spans="1:14" s="14" customFormat="1" x14ac:dyDescent="0.3">
      <c r="A17" s="76"/>
      <c r="B17" s="15"/>
      <c r="C17" s="15"/>
      <c r="D17" s="3"/>
      <c r="E17" s="33"/>
      <c r="F17" s="15"/>
      <c r="G17" s="15"/>
      <c r="H17" s="63"/>
      <c r="I17" s="63"/>
      <c r="J17" s="174"/>
      <c r="K17" s="174"/>
      <c r="L17" s="175"/>
      <c r="M17" s="175"/>
      <c r="N17" s="137"/>
    </row>
    <row r="18" spans="1:14" x14ac:dyDescent="0.3">
      <c r="C18" s="135" t="s">
        <v>167</v>
      </c>
      <c r="D18" s="135"/>
      <c r="E18" s="135"/>
      <c r="F18" s="135"/>
      <c r="G18" s="135"/>
      <c r="H18" s="135"/>
      <c r="I18" s="135"/>
      <c r="J18" s="135"/>
      <c r="K18" s="188"/>
      <c r="L18" s="188"/>
      <c r="M18" s="188"/>
      <c r="N18" s="76"/>
    </row>
    <row r="19" spans="1:14" s="14" customFormat="1" x14ac:dyDescent="0.3">
      <c r="A19" s="76"/>
      <c r="B19" s="15"/>
      <c r="C19" s="15"/>
      <c r="E19" s="49"/>
      <c r="F19" s="3"/>
      <c r="G19" s="3"/>
      <c r="H19" s="3"/>
      <c r="I19" s="63"/>
      <c r="J19" s="174"/>
      <c r="K19" s="174"/>
      <c r="L19" s="175"/>
      <c r="M19" s="175"/>
      <c r="N19" s="137"/>
    </row>
    <row r="20" spans="1:14" s="14" customFormat="1" x14ac:dyDescent="0.3">
      <c r="A20" s="76"/>
      <c r="B20" s="15"/>
      <c r="C20" s="15"/>
      <c r="D20" s="3" t="s">
        <v>260</v>
      </c>
      <c r="E20" s="49"/>
      <c r="F20" s="3"/>
      <c r="G20" s="3"/>
      <c r="H20" s="3"/>
      <c r="I20" s="63"/>
      <c r="J20" s="174"/>
      <c r="K20" s="174"/>
      <c r="L20" s="175"/>
      <c r="M20" s="175"/>
      <c r="N20" s="137"/>
    </row>
    <row r="21" spans="1:14" s="14" customFormat="1" x14ac:dyDescent="0.3">
      <c r="A21" s="76"/>
      <c r="B21" s="15"/>
      <c r="C21" s="15"/>
      <c r="D21" s="3"/>
      <c r="E21" s="33"/>
      <c r="F21" s="15" t="s">
        <v>261</v>
      </c>
      <c r="G21" s="15"/>
      <c r="H21" s="63" t="s">
        <v>91</v>
      </c>
      <c r="I21" s="63"/>
      <c r="J21" s="168">
        <f>'Relevant starting point'!$J$80</f>
        <v>179.57</v>
      </c>
      <c r="K21" s="150">
        <f t="shared" ref="K21:M22" si="0">J21</f>
        <v>179.57</v>
      </c>
      <c r="L21" s="150">
        <f t="shared" si="0"/>
        <v>179.57</v>
      </c>
      <c r="M21" s="150">
        <f t="shared" si="0"/>
        <v>179.57</v>
      </c>
      <c r="N21" s="137"/>
    </row>
    <row r="22" spans="1:14" s="14" customFormat="1" x14ac:dyDescent="0.3">
      <c r="A22" s="76"/>
      <c r="B22" s="15"/>
      <c r="C22" s="15"/>
      <c r="D22" s="3"/>
      <c r="E22" s="33"/>
      <c r="F22" s="15" t="s">
        <v>93</v>
      </c>
      <c r="G22" s="15"/>
      <c r="H22" s="63" t="s">
        <v>169</v>
      </c>
      <c r="I22" s="63"/>
      <c r="J22" s="168">
        <f>'Relevant starting point'!J81</f>
        <v>12.79</v>
      </c>
      <c r="K22" s="150">
        <f t="shared" si="0"/>
        <v>12.79</v>
      </c>
      <c r="L22" s="150">
        <f t="shared" si="0"/>
        <v>12.79</v>
      </c>
      <c r="M22" s="150">
        <f t="shared" si="0"/>
        <v>12.79</v>
      </c>
      <c r="N22" s="137"/>
    </row>
    <row r="23" spans="1:14" x14ac:dyDescent="0.3">
      <c r="N23" s="76"/>
    </row>
    <row r="24" spans="1:14" x14ac:dyDescent="0.3">
      <c r="A24" s="76"/>
      <c r="D24" s="3" t="s">
        <v>220</v>
      </c>
      <c r="F24" s="3"/>
      <c r="G24" s="3"/>
      <c r="H24" s="3"/>
      <c r="I24" s="63"/>
      <c r="J24" s="174"/>
      <c r="K24" s="165"/>
      <c r="L24" s="165"/>
      <c r="M24" s="165"/>
      <c r="N24" s="76"/>
    </row>
    <row r="25" spans="1:14" s="14" customFormat="1" x14ac:dyDescent="0.3">
      <c r="A25" s="76"/>
      <c r="B25" s="15"/>
      <c r="C25" s="15"/>
      <c r="D25" s="3"/>
      <c r="E25" s="49"/>
      <c r="F25" s="15" t="s">
        <v>262</v>
      </c>
      <c r="G25" s="15"/>
      <c r="H25" s="63" t="s">
        <v>169</v>
      </c>
      <c r="I25" s="63"/>
      <c r="J25" s="168">
        <f>'Avoided Operating Costs'!L92+'Avoided Operating Costs'!L94+'Avoided Operating Costs'!L95</f>
        <v>13.796364042397077</v>
      </c>
      <c r="K25" s="168">
        <f>'Avoided Operating Costs'!M92+'Avoided Operating Costs'!M94+'Avoided Operating Costs'!M95</f>
        <v>13.387379238548295</v>
      </c>
      <c r="L25" s="168">
        <f>'Avoided Operating Costs'!N92+'Avoided Operating Costs'!N94+'Avoided Operating Costs'!N95</f>
        <v>13.052777842663524</v>
      </c>
      <c r="M25" s="168">
        <f>'Avoided Operating Costs'!O92+'Avoided Operating Costs'!O94+'Avoided Operating Costs'!O95</f>
        <v>11.838160349151776</v>
      </c>
      <c r="N25" s="137"/>
    </row>
    <row r="26" spans="1:14" s="14" customFormat="1" x14ac:dyDescent="0.3">
      <c r="A26" s="76"/>
      <c r="B26" s="15"/>
      <c r="C26" s="15"/>
      <c r="D26" s="48"/>
      <c r="E26" s="33"/>
      <c r="F26" s="15" t="s">
        <v>263</v>
      </c>
      <c r="G26" s="15"/>
      <c r="H26" s="63" t="s">
        <v>169</v>
      </c>
      <c r="I26" s="62"/>
      <c r="J26" s="168">
        <f>'Avoided Operating Costs'!L96</f>
        <v>1.9190443050893908</v>
      </c>
      <c r="K26" s="168">
        <f>'Avoided Operating Costs'!M96</f>
        <v>1.8636123212994304</v>
      </c>
      <c r="L26" s="168">
        <f>'Avoided Operating Costs'!N96</f>
        <v>1.8182619342477864</v>
      </c>
      <c r="M26" s="168">
        <f>'Avoided Operating Costs'!O96</f>
        <v>1.6536380739533585</v>
      </c>
      <c r="N26" s="137"/>
    </row>
    <row r="27" spans="1:14" s="14" customFormat="1" x14ac:dyDescent="0.3">
      <c r="A27" s="76"/>
      <c r="B27" s="15"/>
      <c r="C27" s="15"/>
      <c r="D27" s="48"/>
      <c r="E27" s="33"/>
      <c r="F27" s="15" t="s">
        <v>264</v>
      </c>
      <c r="G27" s="15"/>
      <c r="H27" s="63" t="s">
        <v>169</v>
      </c>
      <c r="I27" s="62"/>
      <c r="J27" s="168">
        <f>'Avoided Operating Costs'!L93</f>
        <v>0.36260890123863254</v>
      </c>
      <c r="K27" s="168">
        <f>'Avoided Operating Costs'!M93</f>
        <v>0.36260890123863254</v>
      </c>
      <c r="L27" s="168">
        <f>'Avoided Operating Costs'!N93</f>
        <v>0.36260890123863254</v>
      </c>
      <c r="M27" s="168">
        <f>'Avoided Operating Costs'!O93</f>
        <v>0.36260890123863254</v>
      </c>
      <c r="N27" s="137"/>
    </row>
    <row r="28" spans="1:14" s="14" customFormat="1" x14ac:dyDescent="0.3">
      <c r="A28" s="76"/>
      <c r="B28" s="15"/>
      <c r="C28" s="15"/>
      <c r="D28" s="48"/>
      <c r="E28" s="33"/>
      <c r="F28" s="15" t="s">
        <v>265</v>
      </c>
      <c r="G28" s="15"/>
      <c r="H28" s="63" t="s">
        <v>169</v>
      </c>
      <c r="I28" s="62"/>
      <c r="J28" s="168">
        <f>'Avoided Capital Maintenance'!J72</f>
        <v>28.196972697987171</v>
      </c>
      <c r="K28" s="168">
        <f>'Avoided Capital Maintenance'!K72</f>
        <v>27.868604258563295</v>
      </c>
      <c r="L28" s="168">
        <f>'Avoided Capital Maintenance'!L72</f>
        <v>27.599957264440853</v>
      </c>
      <c r="M28" s="168">
        <f>'Avoided Capital Maintenance'!M72</f>
        <v>26.624757092972242</v>
      </c>
      <c r="N28" s="137"/>
    </row>
    <row r="29" spans="1:14" s="14" customFormat="1" x14ac:dyDescent="0.3">
      <c r="A29" s="76"/>
      <c r="B29" s="15"/>
      <c r="C29" s="15"/>
      <c r="D29" s="3"/>
      <c r="E29" s="33"/>
      <c r="F29" s="3"/>
      <c r="G29" s="3"/>
      <c r="H29" s="3"/>
      <c r="I29" s="63"/>
      <c r="J29" s="174"/>
      <c r="K29" s="174"/>
      <c r="L29" s="175"/>
      <c r="M29" s="175"/>
      <c r="N29" s="137"/>
    </row>
    <row r="30" spans="1:14" x14ac:dyDescent="0.3">
      <c r="C30" s="135" t="s">
        <v>172</v>
      </c>
      <c r="D30" s="135"/>
      <c r="E30" s="135"/>
      <c r="F30" s="135"/>
      <c r="G30" s="135"/>
      <c r="H30" s="135"/>
      <c r="I30" s="135"/>
      <c r="J30" s="135"/>
      <c r="K30" s="188"/>
      <c r="L30" s="188"/>
      <c r="M30" s="188"/>
      <c r="N30" s="76"/>
    </row>
    <row r="31" spans="1:14" s="14" customFormat="1" x14ac:dyDescent="0.3">
      <c r="A31" s="76"/>
      <c r="B31" s="15"/>
      <c r="C31" s="15"/>
      <c r="E31" s="49"/>
      <c r="F31" s="3"/>
      <c r="G31" s="3"/>
      <c r="H31" s="3"/>
      <c r="I31" s="63"/>
      <c r="J31" s="174"/>
      <c r="K31" s="174"/>
      <c r="L31" s="175"/>
      <c r="M31" s="175"/>
      <c r="N31" s="137"/>
    </row>
    <row r="32" spans="1:14" s="14" customFormat="1" x14ac:dyDescent="0.3">
      <c r="A32" s="76"/>
      <c r="B32" s="15"/>
      <c r="C32" s="15"/>
      <c r="D32" s="3" t="s">
        <v>260</v>
      </c>
      <c r="E32" s="49"/>
      <c r="F32" s="3"/>
      <c r="G32" s="3"/>
      <c r="H32" s="3"/>
      <c r="I32" s="63"/>
      <c r="J32" s="174"/>
      <c r="K32" s="174"/>
      <c r="L32" s="175"/>
      <c r="M32" s="175"/>
      <c r="N32" s="137"/>
    </row>
    <row r="33" spans="1:14" s="14" customFormat="1" x14ac:dyDescent="0.3">
      <c r="A33" s="76"/>
      <c r="B33" s="15"/>
      <c r="C33" s="15"/>
      <c r="D33" s="3"/>
      <c r="E33" s="33"/>
      <c r="F33" s="15" t="s">
        <v>261</v>
      </c>
      <c r="G33" s="15"/>
      <c r="H33" s="63" t="s">
        <v>91</v>
      </c>
      <c r="I33" s="63"/>
      <c r="J33" s="168">
        <f>'Relevant starting point'!$K$80</f>
        <v>207.77</v>
      </c>
      <c r="K33" s="150">
        <f>J33</f>
        <v>207.77</v>
      </c>
      <c r="L33" s="150">
        <f t="shared" ref="K33:M34" si="1">K33</f>
        <v>207.77</v>
      </c>
      <c r="M33" s="150">
        <f t="shared" si="1"/>
        <v>207.77</v>
      </c>
      <c r="N33" s="137"/>
    </row>
    <row r="34" spans="1:14" s="14" customFormat="1" x14ac:dyDescent="0.3">
      <c r="A34" s="76"/>
      <c r="B34" s="15"/>
      <c r="C34" s="15"/>
      <c r="D34" s="3"/>
      <c r="E34" s="33"/>
      <c r="F34" s="15" t="s">
        <v>93</v>
      </c>
      <c r="G34" s="15"/>
      <c r="H34" s="63" t="s">
        <v>169</v>
      </c>
      <c r="I34" s="63"/>
      <c r="J34" s="168">
        <f>'Relevant starting point'!$K$81</f>
        <v>0</v>
      </c>
      <c r="K34" s="150">
        <f t="shared" si="1"/>
        <v>0</v>
      </c>
      <c r="L34" s="150">
        <f t="shared" si="1"/>
        <v>0</v>
      </c>
      <c r="M34" s="150">
        <f t="shared" si="1"/>
        <v>0</v>
      </c>
      <c r="N34" s="137"/>
    </row>
    <row r="35" spans="1:14" x14ac:dyDescent="0.3">
      <c r="N35" s="76"/>
    </row>
    <row r="36" spans="1:14" x14ac:dyDescent="0.3">
      <c r="A36" s="76"/>
      <c r="D36" s="3" t="s">
        <v>220</v>
      </c>
      <c r="F36" s="3"/>
      <c r="G36" s="3"/>
      <c r="H36" s="3"/>
      <c r="I36" s="63"/>
      <c r="J36" s="174"/>
      <c r="K36" s="165"/>
      <c r="L36" s="165"/>
      <c r="M36" s="165"/>
      <c r="N36" s="76"/>
    </row>
    <row r="37" spans="1:14" s="14" customFormat="1" x14ac:dyDescent="0.3">
      <c r="A37" s="76"/>
      <c r="B37" s="15"/>
      <c r="C37" s="15"/>
      <c r="D37" s="3"/>
      <c r="E37" s="49"/>
      <c r="F37" s="15" t="s">
        <v>262</v>
      </c>
      <c r="G37" s="15"/>
      <c r="H37" s="63" t="s">
        <v>169</v>
      </c>
      <c r="I37" s="63"/>
      <c r="J37" s="168">
        <f>'Avoided Operating Costs'!L100</f>
        <v>9.3901216432691381</v>
      </c>
      <c r="K37" s="168">
        <f>'Avoided Operating Costs'!M100</f>
        <v>9.67395984765405</v>
      </c>
      <c r="L37" s="168">
        <f>'Avoided Operating Costs'!N100</f>
        <v>8.6015610291805498</v>
      </c>
      <c r="M37" s="168">
        <f>'Avoided Operating Costs'!O100</f>
        <v>7.7345639020310228</v>
      </c>
      <c r="N37" s="137"/>
    </row>
    <row r="38" spans="1:14" s="14" customFormat="1" x14ac:dyDescent="0.3">
      <c r="A38" s="76"/>
      <c r="B38" s="15"/>
      <c r="C38" s="15"/>
      <c r="D38" s="48"/>
      <c r="E38" s="33"/>
      <c r="F38" s="15" t="s">
        <v>263</v>
      </c>
      <c r="G38" s="15"/>
      <c r="H38" s="63" t="s">
        <v>169</v>
      </c>
      <c r="I38" s="62"/>
      <c r="J38" s="168">
        <f>'Avoided Operating Costs'!L101</f>
        <v>1.8581111395663938</v>
      </c>
      <c r="K38" s="168">
        <f>'Avoided Operating Costs'!M101</f>
        <v>1.9142768581202287</v>
      </c>
      <c r="L38" s="168">
        <f>'Avoided Operating Costs'!N101</f>
        <v>1.7020712801347959</v>
      </c>
      <c r="M38" s="168">
        <f>'Avoided Operating Costs'!O101</f>
        <v>1.5305104547131838</v>
      </c>
      <c r="N38" s="137"/>
    </row>
    <row r="39" spans="1:14" s="14" customFormat="1" x14ac:dyDescent="0.3">
      <c r="A39" s="76"/>
      <c r="B39" s="15"/>
      <c r="C39" s="15"/>
      <c r="D39" s="48"/>
      <c r="E39" s="33"/>
      <c r="F39" s="15" t="s">
        <v>265</v>
      </c>
      <c r="G39" s="15"/>
      <c r="H39" s="63" t="s">
        <v>169</v>
      </c>
      <c r="I39" s="62"/>
      <c r="J39" s="168">
        <f>'Avoided Capital Maintenance'!J73</f>
        <v>9.8938480241792579</v>
      </c>
      <c r="K39" s="168">
        <f>'Avoided Capital Maintenance'!K73</f>
        <v>10.192912526677285</v>
      </c>
      <c r="L39" s="168">
        <f>'Avoided Capital Maintenance'!L73</f>
        <v>9.0629856381484668</v>
      </c>
      <c r="M39" s="168">
        <f>'Avoided Capital Maintenance'!M73</f>
        <v>8.1494790682345268</v>
      </c>
      <c r="N39" s="137"/>
    </row>
    <row r="40" spans="1:14" s="14" customFormat="1" x14ac:dyDescent="0.3">
      <c r="A40" s="76"/>
      <c r="B40" s="15"/>
      <c r="C40" s="15"/>
      <c r="D40" s="3"/>
      <c r="E40" s="33"/>
      <c r="F40" s="3"/>
      <c r="G40" s="3"/>
      <c r="H40" s="3"/>
      <c r="I40" s="63"/>
      <c r="J40" s="174"/>
      <c r="K40" s="174"/>
      <c r="L40" s="175"/>
      <c r="M40" s="175"/>
      <c r="N40" s="137"/>
    </row>
    <row r="41" spans="1:14" x14ac:dyDescent="0.3">
      <c r="B41" s="22" t="s">
        <v>266</v>
      </c>
      <c r="C41" s="22"/>
      <c r="D41" s="22"/>
      <c r="E41" s="22"/>
      <c r="F41" s="22"/>
      <c r="G41" s="22"/>
      <c r="H41" s="22"/>
      <c r="I41" s="22"/>
      <c r="J41" s="173"/>
      <c r="K41" s="173"/>
      <c r="L41" s="173"/>
      <c r="M41" s="173"/>
      <c r="N41" s="120"/>
    </row>
    <row r="42" spans="1:14" x14ac:dyDescent="0.3">
      <c r="H42" s="3"/>
      <c r="I42" s="65"/>
      <c r="J42" s="174"/>
      <c r="K42" s="174"/>
      <c r="L42" s="174"/>
      <c r="M42" s="174"/>
      <c r="N42" s="3"/>
    </row>
    <row r="43" spans="1:14" x14ac:dyDescent="0.3">
      <c r="C43" s="3"/>
      <c r="D43" s="48" t="s">
        <v>267</v>
      </c>
      <c r="E43" s="3"/>
      <c r="F43" s="3"/>
      <c r="G43" s="3"/>
      <c r="H43" s="63"/>
      <c r="I43" s="15"/>
      <c r="J43" s="165"/>
      <c r="K43" s="165"/>
      <c r="L43" s="165"/>
      <c r="M43" s="165"/>
      <c r="N43" s="67"/>
    </row>
    <row r="44" spans="1:14" x14ac:dyDescent="0.3">
      <c r="C44" s="3"/>
      <c r="D44" s="33"/>
      <c r="F44" s="15" t="s">
        <v>168</v>
      </c>
      <c r="H44" s="63" t="s">
        <v>91</v>
      </c>
      <c r="I44" s="15"/>
      <c r="J44" s="74">
        <f>J21*(1-J16)</f>
        <v>168.61623</v>
      </c>
      <c r="K44" s="74">
        <f>K21*(1-K16)</f>
        <v>168.61623</v>
      </c>
      <c r="L44" s="74">
        <f>L21*(1-L16)</f>
        <v>168.61623</v>
      </c>
      <c r="M44" s="74">
        <f>M21*(1-M16)</f>
        <v>168.61623</v>
      </c>
      <c r="N44" s="67"/>
    </row>
    <row r="45" spans="1:14" x14ac:dyDescent="0.3">
      <c r="C45" s="3"/>
      <c r="D45" s="33"/>
      <c r="F45" s="15" t="s">
        <v>214</v>
      </c>
      <c r="H45" s="63" t="s">
        <v>169</v>
      </c>
      <c r="I45" s="15"/>
      <c r="J45" s="68">
        <f>J22-SUM(J25:J28)</f>
        <v>-31.484989946712268</v>
      </c>
      <c r="K45" s="68">
        <f>K22-SUM(K25:K28)</f>
        <v>-30.692204719649652</v>
      </c>
      <c r="L45" s="68">
        <f>L22-SUM(L25:L28)</f>
        <v>-30.043605942590794</v>
      </c>
      <c r="M45" s="68">
        <f>M22-SUM(M25:M28)</f>
        <v>-27.689164417316007</v>
      </c>
      <c r="N45" s="67"/>
    </row>
    <row r="46" spans="1:14" x14ac:dyDescent="0.3">
      <c r="C46" s="3"/>
      <c r="D46" s="33"/>
      <c r="E46" s="15"/>
      <c r="G46" s="63"/>
      <c r="H46" s="63"/>
      <c r="I46" s="15"/>
      <c r="J46" s="165"/>
      <c r="K46" s="224"/>
      <c r="L46" s="224"/>
      <c r="M46" s="224"/>
      <c r="N46" s="67"/>
    </row>
    <row r="47" spans="1:14" x14ac:dyDescent="0.3">
      <c r="C47" s="3"/>
      <c r="D47" s="48" t="s">
        <v>268</v>
      </c>
      <c r="E47" s="3"/>
      <c r="F47" s="3"/>
      <c r="G47" s="3"/>
      <c r="H47" s="63"/>
      <c r="I47" s="15"/>
      <c r="J47" s="165"/>
      <c r="K47" s="165"/>
      <c r="L47" s="165"/>
      <c r="M47" s="165"/>
      <c r="N47" s="67"/>
    </row>
    <row r="48" spans="1:14" x14ac:dyDescent="0.3">
      <c r="C48" s="3"/>
      <c r="D48" s="33"/>
      <c r="F48" s="15" t="s">
        <v>168</v>
      </c>
      <c r="H48" s="63" t="s">
        <v>91</v>
      </c>
      <c r="I48" s="15"/>
      <c r="J48" s="74">
        <f>IF(J11="Yes",J33*(1-J16),J33)</f>
        <v>195.09603000000001</v>
      </c>
      <c r="K48" s="74">
        <f>K33*(1-K16)</f>
        <v>195.09603000000001</v>
      </c>
      <c r="L48" s="74">
        <f>L33*(1-L16)</f>
        <v>195.09603000000001</v>
      </c>
      <c r="M48" s="74">
        <f>M33*(1-M16)</f>
        <v>195.09603000000001</v>
      </c>
      <c r="N48" s="67"/>
    </row>
    <row r="49" spans="1:14" x14ac:dyDescent="0.3">
      <c r="C49" s="3"/>
      <c r="D49" s="33"/>
      <c r="F49" s="15" t="s">
        <v>214</v>
      </c>
      <c r="H49" s="63" t="s">
        <v>169</v>
      </c>
      <c r="I49" s="15"/>
      <c r="J49" s="68">
        <f>J34-SUM(J37:J39)</f>
        <v>-21.142080807014789</v>
      </c>
      <c r="K49" s="68">
        <f>K34-SUM(K37:K39)</f>
        <v>-21.781149232451561</v>
      </c>
      <c r="L49" s="68">
        <f>L34-SUM(L37:L39)</f>
        <v>-19.366617947463812</v>
      </c>
      <c r="M49" s="68">
        <f>M34-SUM(M37:M39)</f>
        <v>-17.414553424978735</v>
      </c>
      <c r="N49" s="67"/>
    </row>
    <row r="50" spans="1:14" x14ac:dyDescent="0.3">
      <c r="C50" s="3"/>
      <c r="D50" s="33"/>
      <c r="E50" s="15"/>
      <c r="G50" s="63"/>
      <c r="H50" s="63"/>
      <c r="I50" s="15"/>
      <c r="J50" s="150"/>
      <c r="K50" s="150"/>
      <c r="L50" s="150"/>
      <c r="M50" s="150"/>
      <c r="N50" s="67"/>
    </row>
    <row r="51" spans="1:14" x14ac:dyDescent="0.3">
      <c r="D51" s="15"/>
      <c r="E51" s="15"/>
      <c r="I51" s="15"/>
      <c r="J51" s="71"/>
      <c r="K51" s="15"/>
      <c r="L51" s="15"/>
      <c r="M51" s="15"/>
    </row>
    <row r="52" spans="1:14" customFormat="1" x14ac:dyDescent="0.3">
      <c r="A52" s="22"/>
      <c r="B52" s="22" t="s">
        <v>68</v>
      </c>
      <c r="C52" s="22"/>
      <c r="D52" s="22"/>
      <c r="E52" s="22"/>
      <c r="F52" s="22"/>
      <c r="G52" s="22"/>
      <c r="H52" s="22"/>
      <c r="I52" s="58"/>
      <c r="J52" s="173"/>
      <c r="K52" s="173"/>
      <c r="L52" s="173"/>
      <c r="M52" s="173"/>
      <c r="N52" s="173"/>
    </row>
  </sheetData>
  <sheetProtection algorithmName="SHA-512" hashValue="S+qSf51R0lPaYnaMbZb83K7CmQhFVDBfXRtUZtcyp/iwEDVHUePHrWtRoviImIySFmT2JyzCBNdZEVyGyjjacg==" saltValue="di9AnHBhBBCfvFwNRW9AdQ==" spinCount="100000" sheet="1" objects="1" scenarios="1" selectLockedCells="1" selectUnlockedCells="1"/>
  <mergeCells count="1">
    <mergeCell ref="F6:K9"/>
  </mergeCells>
  <hyperlinks>
    <hyperlink ref="A3" location="Intro!A1" display="Return to Intro tab" xr:uid="{7C5F8D04-A77E-4007-BD9C-711A8E403064}"/>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4A471-BA41-4958-9CCE-F36A209506BF}">
  <sheetPr>
    <tabColor rgb="FF6D65A0"/>
  </sheetPr>
  <dimension ref="A1:Q77"/>
  <sheetViews>
    <sheetView showGridLines="0" topLeftCell="A26" zoomScale="90" zoomScaleNormal="90" workbookViewId="0">
      <selection activeCell="I28" sqref="I28"/>
    </sheetView>
  </sheetViews>
  <sheetFormatPr defaultColWidth="0" defaultRowHeight="13" zeroHeight="1" outlineLevelRow="1" x14ac:dyDescent="0.3"/>
  <cols>
    <col min="1" max="3" width="2.453125" style="15" customWidth="1"/>
    <col min="4" max="4" width="2.453125" style="48" customWidth="1"/>
    <col min="5" max="5" width="30.453125" style="15" customWidth="1"/>
    <col min="6" max="6" width="2.54296875" style="15" customWidth="1"/>
    <col min="7" max="7" width="11.453125" style="15" bestFit="1" customWidth="1"/>
    <col min="8" max="8" width="2.54296875" style="62" customWidth="1"/>
    <col min="9" max="9" width="12.54296875" style="167" bestFit="1" customWidth="1"/>
    <col min="10" max="12" width="16.453125" style="167" bestFit="1" customWidth="1"/>
    <col min="13" max="13" width="14.453125" style="15" bestFit="1" customWidth="1"/>
    <col min="14" max="14" width="2.54296875" style="15" customWidth="1"/>
    <col min="15" max="15" width="9.54296875" style="15" hidden="1" customWidth="1"/>
    <col min="16" max="16" width="7.453125" hidden="1" customWidth="1"/>
    <col min="17" max="18" width="8.54296875" style="15" hidden="1" customWidth="1"/>
    <col min="19" max="16384" width="8.54296875" style="15" hidden="1"/>
  </cols>
  <sheetData>
    <row r="1" spans="1:17" s="20" customFormat="1" ht="17.5" x14ac:dyDescent="0.3">
      <c r="A1" s="18" t="str" cm="1">
        <f t="array" aca="1" ref="A1" ca="1">RIGHT(CELL("filename",A$2),LEN(CELL("filename",A$2))-FIND("]",CELL("filename",A$2)))</f>
        <v>Avoided Capital Maintenance</v>
      </c>
      <c r="B1" s="18"/>
      <c r="C1" s="18"/>
      <c r="D1" s="18"/>
      <c r="E1" s="18"/>
      <c r="F1" s="18"/>
      <c r="G1" s="18"/>
      <c r="H1" s="58"/>
      <c r="I1" s="169"/>
      <c r="J1" s="169"/>
      <c r="K1" s="169"/>
      <c r="L1" s="169"/>
    </row>
    <row r="2" spans="1:17" s="1" customFormat="1" x14ac:dyDescent="0.3">
      <c r="A2" s="21" t="str">
        <f>"["&amp;_xlfn.SINGLE(_ModelStatus)&amp;"] "&amp;_xlfn.SINGLE(_ModelName)&amp;" - "&amp;_xlfn.SINGLE(_OrganisationName)&amp;" - "&amp;_xlfn.SINGLE(_ModelVersion)&amp;" ("&amp;TEXT(_xlfn.SINGLE(_ModelDate),"dd/mm/yyyy")&amp;")"</f>
        <v>[Final] BSP model for NAVs - Yorkshire Water - Version Website (20/03/2024)</v>
      </c>
      <c r="B2" s="21"/>
      <c r="C2" s="21"/>
      <c r="D2" s="21"/>
      <c r="E2" s="21"/>
      <c r="F2" s="21"/>
      <c r="G2" s="21"/>
      <c r="H2" s="59"/>
      <c r="I2" s="170"/>
      <c r="J2" s="170"/>
      <c r="K2" s="170"/>
      <c r="L2" s="170"/>
      <c r="M2" s="21"/>
      <c r="N2" s="21"/>
      <c r="O2" s="21"/>
    </row>
    <row r="3" spans="1:17" customFormat="1" x14ac:dyDescent="0.3">
      <c r="A3" s="47" t="s">
        <v>160</v>
      </c>
      <c r="D3" s="3"/>
      <c r="H3" s="60"/>
      <c r="I3" s="171"/>
      <c r="J3" s="171"/>
      <c r="K3" s="171"/>
      <c r="L3" s="171"/>
    </row>
    <row r="4" spans="1:17" ht="13.5" customHeight="1" x14ac:dyDescent="0.3">
      <c r="E4" s="48"/>
      <c r="F4" s="48"/>
      <c r="G4" s="48"/>
      <c r="H4" s="61"/>
      <c r="I4" s="172"/>
    </row>
    <row r="5" spans="1:17" customFormat="1" x14ac:dyDescent="0.3">
      <c r="B5" s="22" t="s">
        <v>43</v>
      </c>
      <c r="C5" s="22"/>
      <c r="D5" s="22"/>
      <c r="E5" s="22"/>
      <c r="F5" s="22"/>
      <c r="G5" s="22"/>
      <c r="H5" s="58"/>
      <c r="I5" s="173"/>
      <c r="J5" s="173"/>
      <c r="K5" s="173"/>
      <c r="L5" s="173"/>
      <c r="M5" s="22"/>
      <c r="N5" s="22"/>
      <c r="O5" s="22"/>
      <c r="P5" s="22"/>
      <c r="Q5" s="22"/>
    </row>
    <row r="6" spans="1:17" ht="4.4000000000000004" customHeight="1" x14ac:dyDescent="0.3">
      <c r="E6" s="415" t="s">
        <v>61</v>
      </c>
      <c r="F6" s="415"/>
      <c r="G6" s="415"/>
      <c r="H6" s="415"/>
      <c r="I6" s="415"/>
      <c r="J6" s="415"/>
      <c r="P6" s="15"/>
    </row>
    <row r="7" spans="1:17" hidden="1" x14ac:dyDescent="0.3">
      <c r="D7" s="3"/>
      <c r="E7" s="415"/>
      <c r="F7" s="415"/>
      <c r="G7" s="415"/>
      <c r="H7" s="415"/>
      <c r="I7" s="415"/>
      <c r="J7" s="415"/>
      <c r="P7" s="15"/>
    </row>
    <row r="8" spans="1:17" x14ac:dyDescent="0.3">
      <c r="D8" s="3"/>
      <c r="E8" s="415"/>
      <c r="F8" s="415"/>
      <c r="G8" s="415"/>
      <c r="H8" s="415"/>
      <c r="I8" s="415"/>
      <c r="J8" s="415"/>
      <c r="P8" s="15"/>
    </row>
    <row r="9" spans="1:17" x14ac:dyDescent="0.3">
      <c r="D9" s="3"/>
      <c r="E9" s="415"/>
      <c r="F9" s="415"/>
      <c r="G9" s="415"/>
      <c r="H9" s="415"/>
      <c r="I9" s="415"/>
      <c r="J9" s="415"/>
      <c r="P9" s="15"/>
    </row>
    <row r="10" spans="1:17" x14ac:dyDescent="0.3">
      <c r="D10" s="3"/>
      <c r="I10" s="55" t="s">
        <v>269</v>
      </c>
      <c r="J10" s="190" t="s">
        <v>244</v>
      </c>
      <c r="K10" s="191" t="s">
        <v>205</v>
      </c>
      <c r="L10" s="191" t="s">
        <v>207</v>
      </c>
      <c r="M10" s="191" t="s">
        <v>208</v>
      </c>
      <c r="P10" s="15"/>
    </row>
    <row r="11" spans="1:17" x14ac:dyDescent="0.3">
      <c r="B11" s="22" t="s">
        <v>64</v>
      </c>
      <c r="C11" s="22"/>
      <c r="D11" s="22"/>
      <c r="E11" s="22"/>
      <c r="F11" s="22"/>
      <c r="G11" s="22"/>
      <c r="H11" s="22"/>
      <c r="I11" s="173"/>
      <c r="J11" s="173"/>
      <c r="K11" s="173"/>
      <c r="L11" s="173"/>
      <c r="M11" s="22"/>
      <c r="N11" s="22"/>
      <c r="O11" s="22"/>
      <c r="P11" s="22"/>
      <c r="Q11" s="22"/>
    </row>
    <row r="12" spans="1:17" outlineLevel="1" x14ac:dyDescent="0.3">
      <c r="G12" s="3"/>
      <c r="H12" s="65"/>
      <c r="I12" s="174"/>
      <c r="J12" s="174"/>
      <c r="K12" s="174"/>
      <c r="L12" s="174"/>
      <c r="M12" s="3"/>
      <c r="N12" s="3"/>
      <c r="O12" s="3"/>
    </row>
    <row r="13" spans="1:17" s="14" customFormat="1" outlineLevel="1" x14ac:dyDescent="0.3">
      <c r="A13" s="76"/>
      <c r="B13" s="15"/>
      <c r="C13" s="15"/>
      <c r="D13" s="3" t="s">
        <v>270</v>
      </c>
      <c r="E13" s="3"/>
      <c r="F13" s="3"/>
      <c r="G13" s="3"/>
      <c r="H13" s="63"/>
      <c r="I13" s="174"/>
      <c r="J13" s="174"/>
      <c r="K13" s="175"/>
      <c r="L13" s="175"/>
    </row>
    <row r="14" spans="1:17" s="14" customFormat="1" outlineLevel="1" x14ac:dyDescent="0.3">
      <c r="A14" s="76"/>
      <c r="B14" s="15"/>
      <c r="C14" s="15"/>
      <c r="D14" s="3"/>
      <c r="E14" s="14" t="s">
        <v>271</v>
      </c>
      <c r="F14" s="15"/>
      <c r="G14" s="63" t="s">
        <v>272</v>
      </c>
      <c r="H14" s="63"/>
      <c r="I14" s="80">
        <v>367.67891003517798</v>
      </c>
      <c r="J14" s="150">
        <f t="shared" ref="J14:M20" si="0">I14</f>
        <v>367.67891003517798</v>
      </c>
      <c r="K14" s="150">
        <f t="shared" si="0"/>
        <v>367.67891003517798</v>
      </c>
      <c r="L14" s="150">
        <f t="shared" si="0"/>
        <v>367.67891003517798</v>
      </c>
      <c r="M14" s="150">
        <f t="shared" si="0"/>
        <v>367.67891003517798</v>
      </c>
    </row>
    <row r="15" spans="1:17" s="14" customFormat="1" outlineLevel="1" x14ac:dyDescent="0.3">
      <c r="A15" s="76"/>
      <c r="B15" s="15"/>
      <c r="C15" s="15"/>
      <c r="D15" s="3"/>
      <c r="E15" s="14" t="s">
        <v>273</v>
      </c>
      <c r="F15" s="15"/>
      <c r="G15" s="63" t="s">
        <v>274</v>
      </c>
      <c r="H15" s="63"/>
      <c r="I15" s="80">
        <v>0.18845627319392891</v>
      </c>
      <c r="J15" s="150">
        <f t="shared" si="0"/>
        <v>0.18845627319392891</v>
      </c>
      <c r="K15" s="150">
        <f t="shared" si="0"/>
        <v>0.18845627319392891</v>
      </c>
      <c r="L15" s="150">
        <f t="shared" si="0"/>
        <v>0.18845627319392891</v>
      </c>
      <c r="M15" s="150">
        <f t="shared" si="0"/>
        <v>0.18845627319392891</v>
      </c>
    </row>
    <row r="16" spans="1:17" s="14" customFormat="1" outlineLevel="1" x14ac:dyDescent="0.3">
      <c r="A16" s="76"/>
      <c r="B16" s="15"/>
      <c r="C16" s="15"/>
      <c r="D16" s="3"/>
      <c r="E16" s="14" t="s">
        <v>275</v>
      </c>
      <c r="F16" s="15"/>
      <c r="G16" s="63" t="s">
        <v>274</v>
      </c>
      <c r="H16" s="63"/>
      <c r="I16" s="80">
        <v>0.16308905267127491</v>
      </c>
      <c r="J16" s="150">
        <f t="shared" si="0"/>
        <v>0.16308905267127491</v>
      </c>
      <c r="K16" s="150">
        <f t="shared" si="0"/>
        <v>0.16308905267127491</v>
      </c>
      <c r="L16" s="150">
        <f t="shared" si="0"/>
        <v>0.16308905267127491</v>
      </c>
      <c r="M16" s="150">
        <f t="shared" si="0"/>
        <v>0.16308905267127491</v>
      </c>
    </row>
    <row r="17" spans="1:13" s="14" customFormat="1" outlineLevel="1" x14ac:dyDescent="0.3">
      <c r="A17" s="76"/>
      <c r="B17" s="15"/>
      <c r="C17" s="15"/>
      <c r="D17" s="3"/>
      <c r="E17" s="14" t="s">
        <v>276</v>
      </c>
      <c r="F17" s="15"/>
      <c r="G17" s="63" t="s">
        <v>274</v>
      </c>
      <c r="H17" s="63"/>
      <c r="I17" s="80">
        <v>0.19136929306863112</v>
      </c>
      <c r="J17" s="150">
        <f t="shared" si="0"/>
        <v>0.19136929306863112</v>
      </c>
      <c r="K17" s="150">
        <f t="shared" si="0"/>
        <v>0.19136929306863112</v>
      </c>
      <c r="L17" s="150">
        <f t="shared" si="0"/>
        <v>0.19136929306863112</v>
      </c>
      <c r="M17" s="150">
        <f t="shared" si="0"/>
        <v>0.19136929306863112</v>
      </c>
    </row>
    <row r="18" spans="1:13" s="14" customFormat="1" outlineLevel="1" x14ac:dyDescent="0.3">
      <c r="A18" s="76"/>
      <c r="B18" s="15"/>
      <c r="C18" s="15"/>
      <c r="D18" s="3"/>
      <c r="E18" s="14" t="s">
        <v>277</v>
      </c>
      <c r="F18" s="15"/>
      <c r="G18" s="63" t="s">
        <v>274</v>
      </c>
      <c r="H18" s="63"/>
      <c r="I18" s="80">
        <v>8.5893618732062291E-2</v>
      </c>
      <c r="J18" s="150">
        <f t="shared" si="0"/>
        <v>8.5893618732062291E-2</v>
      </c>
      <c r="K18" s="150">
        <f t="shared" si="0"/>
        <v>8.5893618732062291E-2</v>
      </c>
      <c r="L18" s="150">
        <f t="shared" si="0"/>
        <v>8.5893618732062291E-2</v>
      </c>
      <c r="M18" s="150">
        <f t="shared" si="0"/>
        <v>8.5893618732062291E-2</v>
      </c>
    </row>
    <row r="19" spans="1:13" s="14" customFormat="1" outlineLevel="1" x14ac:dyDescent="0.3">
      <c r="A19" s="76"/>
      <c r="B19" s="15"/>
      <c r="C19" s="15"/>
      <c r="D19" s="3"/>
      <c r="E19" s="14" t="s">
        <v>278</v>
      </c>
      <c r="F19" s="15"/>
      <c r="G19" s="63" t="s">
        <v>274</v>
      </c>
      <c r="H19" s="63"/>
      <c r="I19" s="80">
        <v>0.39965147555966979</v>
      </c>
      <c r="J19" s="150">
        <f t="shared" si="0"/>
        <v>0.39965147555966979</v>
      </c>
      <c r="K19" s="150">
        <f t="shared" si="0"/>
        <v>0.39965147555966979</v>
      </c>
      <c r="L19" s="150">
        <f t="shared" si="0"/>
        <v>0.39965147555966979</v>
      </c>
      <c r="M19" s="150">
        <f t="shared" si="0"/>
        <v>0.39965147555966979</v>
      </c>
    </row>
    <row r="20" spans="1:13" s="14" customFormat="1" outlineLevel="1" x14ac:dyDescent="0.3">
      <c r="A20" s="76"/>
      <c r="B20" s="15"/>
      <c r="C20" s="15"/>
      <c r="D20" s="3"/>
      <c r="E20" s="14" t="s">
        <v>279</v>
      </c>
      <c r="F20" s="15"/>
      <c r="G20" s="63" t="s">
        <v>274</v>
      </c>
      <c r="H20" s="63"/>
      <c r="I20" s="216">
        <v>0.70040033046619665</v>
      </c>
      <c r="J20" s="150">
        <f t="shared" si="0"/>
        <v>0.70040033046619665</v>
      </c>
      <c r="K20" s="150">
        <f t="shared" si="0"/>
        <v>0.70040033046619665</v>
      </c>
      <c r="L20" s="150">
        <f t="shared" si="0"/>
        <v>0.70040033046619665</v>
      </c>
      <c r="M20" s="150">
        <f t="shared" si="0"/>
        <v>0.70040033046619665</v>
      </c>
    </row>
    <row r="21" spans="1:13" s="14" customFormat="1" outlineLevel="1" x14ac:dyDescent="0.3">
      <c r="A21" s="76"/>
      <c r="B21" s="15"/>
      <c r="C21" s="15"/>
      <c r="D21" s="3"/>
      <c r="E21" s="15"/>
      <c r="F21" s="15"/>
      <c r="G21" s="63"/>
      <c r="H21" s="63"/>
      <c r="I21" s="194"/>
      <c r="J21" s="174"/>
      <c r="K21" s="175"/>
      <c r="L21" s="175"/>
    </row>
    <row r="22" spans="1:13" s="14" customFormat="1" outlineLevel="1" x14ac:dyDescent="0.3">
      <c r="A22" s="76"/>
      <c r="B22" s="15"/>
      <c r="C22" s="15"/>
      <c r="D22" s="3" t="s">
        <v>280</v>
      </c>
      <c r="E22" s="3"/>
      <c r="F22" s="3"/>
      <c r="G22" s="3"/>
      <c r="H22" s="63"/>
      <c r="I22" s="174"/>
      <c r="J22" s="174"/>
      <c r="K22" s="175"/>
      <c r="L22" s="175"/>
    </row>
    <row r="23" spans="1:13" s="14" customFormat="1" outlineLevel="1" x14ac:dyDescent="0.3">
      <c r="A23" s="76"/>
      <c r="B23" s="15"/>
      <c r="C23" s="15"/>
      <c r="D23" s="3"/>
      <c r="E23" s="14" t="s">
        <v>271</v>
      </c>
      <c r="F23" s="15"/>
      <c r="G23" s="63" t="s">
        <v>281</v>
      </c>
      <c r="H23" s="63"/>
      <c r="I23" s="217">
        <v>15</v>
      </c>
      <c r="J23" s="150">
        <f t="shared" ref="J23:M29" si="1">I23</f>
        <v>15</v>
      </c>
      <c r="K23" s="150">
        <f t="shared" si="1"/>
        <v>15</v>
      </c>
      <c r="L23" s="150">
        <f t="shared" si="1"/>
        <v>15</v>
      </c>
      <c r="M23" s="150">
        <f t="shared" si="1"/>
        <v>15</v>
      </c>
    </row>
    <row r="24" spans="1:13" s="14" customFormat="1" outlineLevel="1" x14ac:dyDescent="0.3">
      <c r="A24" s="76"/>
      <c r="B24" s="15"/>
      <c r="C24" s="15"/>
      <c r="D24" s="3"/>
      <c r="E24" s="14" t="s">
        <v>273</v>
      </c>
      <c r="F24" s="15"/>
      <c r="G24" s="63" t="s">
        <v>281</v>
      </c>
      <c r="H24" s="63"/>
      <c r="I24" s="217">
        <v>70</v>
      </c>
      <c r="J24" s="150">
        <f t="shared" si="1"/>
        <v>70</v>
      </c>
      <c r="K24" s="150">
        <f t="shared" si="1"/>
        <v>70</v>
      </c>
      <c r="L24" s="150">
        <f t="shared" si="1"/>
        <v>70</v>
      </c>
      <c r="M24" s="150">
        <f t="shared" si="1"/>
        <v>70</v>
      </c>
    </row>
    <row r="25" spans="1:13" s="14" customFormat="1" outlineLevel="1" x14ac:dyDescent="0.3">
      <c r="A25" s="76"/>
      <c r="B25" s="15"/>
      <c r="C25" s="15"/>
      <c r="D25" s="3"/>
      <c r="E25" s="14" t="s">
        <v>275</v>
      </c>
      <c r="F25" s="15"/>
      <c r="G25" s="63" t="s">
        <v>281</v>
      </c>
      <c r="H25" s="63"/>
      <c r="I25" s="217">
        <v>25</v>
      </c>
      <c r="J25" s="150">
        <f t="shared" si="1"/>
        <v>25</v>
      </c>
      <c r="K25" s="150">
        <f t="shared" si="1"/>
        <v>25</v>
      </c>
      <c r="L25" s="150">
        <f t="shared" si="1"/>
        <v>25</v>
      </c>
      <c r="M25" s="150">
        <f t="shared" si="1"/>
        <v>25</v>
      </c>
    </row>
    <row r="26" spans="1:13" s="14" customFormat="1" outlineLevel="1" x14ac:dyDescent="0.3">
      <c r="A26" s="76"/>
      <c r="B26" s="15"/>
      <c r="C26" s="15"/>
      <c r="D26" s="3"/>
      <c r="E26" s="14" t="s">
        <v>276</v>
      </c>
      <c r="F26" s="15"/>
      <c r="G26" s="63" t="s">
        <v>281</v>
      </c>
      <c r="H26" s="63"/>
      <c r="I26" s="217">
        <v>70</v>
      </c>
      <c r="J26" s="150">
        <f t="shared" si="1"/>
        <v>70</v>
      </c>
      <c r="K26" s="150">
        <f t="shared" si="1"/>
        <v>70</v>
      </c>
      <c r="L26" s="150">
        <f t="shared" si="1"/>
        <v>70</v>
      </c>
      <c r="M26" s="150">
        <f t="shared" si="1"/>
        <v>70</v>
      </c>
    </row>
    <row r="27" spans="1:13" s="14" customFormat="1" outlineLevel="1" x14ac:dyDescent="0.3">
      <c r="A27" s="76"/>
      <c r="B27" s="15"/>
      <c r="C27" s="15"/>
      <c r="D27" s="3"/>
      <c r="E27" s="14" t="s">
        <v>277</v>
      </c>
      <c r="F27" s="15"/>
      <c r="G27" s="63" t="s">
        <v>281</v>
      </c>
      <c r="H27" s="63"/>
      <c r="I27" s="217">
        <v>25</v>
      </c>
      <c r="J27" s="150">
        <f t="shared" si="1"/>
        <v>25</v>
      </c>
      <c r="K27" s="150">
        <f t="shared" si="1"/>
        <v>25</v>
      </c>
      <c r="L27" s="150">
        <f t="shared" si="1"/>
        <v>25</v>
      </c>
      <c r="M27" s="150">
        <f t="shared" si="1"/>
        <v>25</v>
      </c>
    </row>
    <row r="28" spans="1:13" s="14" customFormat="1" outlineLevel="1" x14ac:dyDescent="0.3">
      <c r="A28" s="76"/>
      <c r="B28" s="15"/>
      <c r="C28" s="15"/>
      <c r="D28" s="3"/>
      <c r="E28" s="14" t="s">
        <v>278</v>
      </c>
      <c r="F28" s="15"/>
      <c r="G28" s="63" t="s">
        <v>281</v>
      </c>
      <c r="H28" s="63"/>
      <c r="I28" s="217">
        <v>25</v>
      </c>
      <c r="J28" s="150">
        <f t="shared" si="1"/>
        <v>25</v>
      </c>
      <c r="K28" s="150">
        <f t="shared" si="1"/>
        <v>25</v>
      </c>
      <c r="L28" s="150">
        <f t="shared" si="1"/>
        <v>25</v>
      </c>
      <c r="M28" s="150">
        <f t="shared" si="1"/>
        <v>25</v>
      </c>
    </row>
    <row r="29" spans="1:13" s="14" customFormat="1" outlineLevel="1" x14ac:dyDescent="0.3">
      <c r="A29" s="76"/>
      <c r="B29" s="15"/>
      <c r="C29" s="15"/>
      <c r="D29" s="3"/>
      <c r="E29" s="14" t="s">
        <v>279</v>
      </c>
      <c r="F29" s="15"/>
      <c r="G29" s="63" t="s">
        <v>281</v>
      </c>
      <c r="H29" s="63"/>
      <c r="I29" s="217">
        <v>100</v>
      </c>
      <c r="J29" s="150">
        <f t="shared" si="1"/>
        <v>100</v>
      </c>
      <c r="K29" s="150">
        <f t="shared" si="1"/>
        <v>100</v>
      </c>
      <c r="L29" s="150">
        <f t="shared" si="1"/>
        <v>100</v>
      </c>
      <c r="M29" s="150">
        <f t="shared" si="1"/>
        <v>100</v>
      </c>
    </row>
    <row r="30" spans="1:13" s="193" customFormat="1" outlineLevel="1" x14ac:dyDescent="0.3">
      <c r="A30" s="112"/>
      <c r="B30" s="144"/>
      <c r="C30" s="144"/>
      <c r="D30" s="3"/>
      <c r="E30" s="144"/>
      <c r="F30" s="144"/>
      <c r="G30" s="145"/>
      <c r="H30" s="145"/>
      <c r="I30" s="194"/>
      <c r="J30" s="174"/>
      <c r="K30" s="215"/>
      <c r="L30" s="215"/>
    </row>
    <row r="31" spans="1:13" s="14" customFormat="1" outlineLevel="1" x14ac:dyDescent="0.3">
      <c r="A31" s="76"/>
      <c r="B31" s="15"/>
      <c r="C31" s="15"/>
      <c r="D31" s="3" t="s">
        <v>187</v>
      </c>
      <c r="F31" s="15"/>
      <c r="G31" s="63" t="s">
        <v>171</v>
      </c>
      <c r="H31" s="63"/>
      <c r="I31" s="311">
        <f>Cockpit!$I$37</f>
        <v>4.1599999999999998E-2</v>
      </c>
      <c r="J31" s="219"/>
      <c r="K31" s="219"/>
      <c r="L31" s="219"/>
      <c r="M31" s="220"/>
    </row>
    <row r="32" spans="1:13" s="14" customFormat="1" outlineLevel="1" x14ac:dyDescent="0.3">
      <c r="A32" s="76"/>
      <c r="B32" s="15"/>
      <c r="C32" s="15"/>
      <c r="D32" s="3"/>
      <c r="E32" s="3"/>
      <c r="F32" s="3"/>
      <c r="G32" s="3"/>
      <c r="H32" s="63"/>
      <c r="I32" s="174"/>
      <c r="J32" s="174"/>
      <c r="K32" s="175"/>
      <c r="L32" s="175"/>
    </row>
    <row r="33" spans="1:17" outlineLevel="1" x14ac:dyDescent="0.3">
      <c r="C33" s="3"/>
      <c r="D33" s="48" t="s">
        <v>282</v>
      </c>
      <c r="E33" s="3"/>
      <c r="F33" s="3"/>
      <c r="G33" s="63"/>
      <c r="H33" s="15"/>
      <c r="J33" s="165"/>
      <c r="K33" s="165"/>
      <c r="L33" s="165"/>
      <c r="M33" s="165"/>
      <c r="N33" s="67"/>
    </row>
    <row r="34" spans="1:17" outlineLevel="1" x14ac:dyDescent="0.3">
      <c r="C34" s="3"/>
      <c r="D34" s="33"/>
      <c r="E34" s="15" t="s">
        <v>167</v>
      </c>
      <c r="F34" s="63" t="s">
        <v>197</v>
      </c>
      <c r="G34" s="63"/>
      <c r="H34" s="15"/>
      <c r="J34" s="168">
        <f>'Avoided Operating Costs'!L69</f>
        <v>10</v>
      </c>
      <c r="K34" s="168">
        <f>'Avoided Operating Costs'!M69</f>
        <v>9.6733279408078303</v>
      </c>
      <c r="L34" s="168">
        <f>'Avoided Operating Costs'!N69</f>
        <v>9.4060688006793178</v>
      </c>
      <c r="M34" s="168">
        <f>'Avoided Operating Costs'!O69</f>
        <v>8.4359065990464579</v>
      </c>
      <c r="N34" s="67"/>
    </row>
    <row r="35" spans="1:17" outlineLevel="1" x14ac:dyDescent="0.3">
      <c r="C35" s="3"/>
      <c r="D35" s="33"/>
      <c r="E35" s="15" t="s">
        <v>258</v>
      </c>
      <c r="F35" s="63" t="s">
        <v>197</v>
      </c>
      <c r="G35" s="63"/>
      <c r="H35" s="15"/>
      <c r="J35" s="168">
        <f>'Avoided Operating Costs'!L70</f>
        <v>10</v>
      </c>
      <c r="K35" s="168">
        <f>'Avoided Operating Costs'!M70</f>
        <v>10.302273192156534</v>
      </c>
      <c r="L35" s="168">
        <f>'Avoided Operating Costs'!N70</f>
        <v>9.160223217498114</v>
      </c>
      <c r="M35" s="168">
        <f>'Avoided Operating Costs'!O70</f>
        <v>8.2369155543103929</v>
      </c>
      <c r="N35" s="67"/>
    </row>
    <row r="36" spans="1:17" s="144" customFormat="1" x14ac:dyDescent="0.3">
      <c r="C36" s="3"/>
      <c r="D36" s="143"/>
      <c r="F36" s="145"/>
      <c r="G36" s="145"/>
      <c r="J36" s="183"/>
      <c r="K36" s="183"/>
      <c r="L36" s="183"/>
      <c r="M36" s="183"/>
      <c r="N36" s="148"/>
      <c r="P36" s="184"/>
    </row>
    <row r="37" spans="1:17" x14ac:dyDescent="0.3">
      <c r="B37" s="22" t="s">
        <v>283</v>
      </c>
      <c r="C37" s="22"/>
      <c r="D37" s="22"/>
      <c r="E37" s="22"/>
      <c r="F37" s="22"/>
      <c r="G37" s="22"/>
      <c r="H37" s="22"/>
      <c r="I37" s="173"/>
      <c r="J37" s="173"/>
      <c r="K37" s="173"/>
      <c r="L37" s="173"/>
      <c r="M37" s="22"/>
      <c r="N37" s="22"/>
      <c r="O37" s="22"/>
      <c r="P37" s="22"/>
      <c r="Q37" s="22"/>
    </row>
    <row r="38" spans="1:17" x14ac:dyDescent="0.3">
      <c r="G38" s="3"/>
      <c r="H38" s="65"/>
      <c r="I38" s="174"/>
      <c r="J38" s="174"/>
      <c r="K38" s="174"/>
      <c r="L38" s="174"/>
      <c r="M38" s="3"/>
      <c r="N38" s="3"/>
      <c r="O38" s="3"/>
    </row>
    <row r="39" spans="1:17" s="14" customFormat="1" x14ac:dyDescent="0.3">
      <c r="A39" s="76"/>
      <c r="B39" s="15"/>
      <c r="C39" s="15"/>
      <c r="D39" s="3" t="s">
        <v>284</v>
      </c>
      <c r="E39" s="3"/>
      <c r="F39" s="3"/>
      <c r="G39" s="3"/>
      <c r="H39" s="63"/>
      <c r="J39" s="174"/>
      <c r="K39" s="174"/>
      <c r="L39" s="175"/>
      <c r="M39" s="175"/>
    </row>
    <row r="40" spans="1:17" x14ac:dyDescent="0.3">
      <c r="C40" s="3"/>
      <c r="D40" s="33"/>
      <c r="E40" s="15" t="s">
        <v>285</v>
      </c>
      <c r="F40" s="63"/>
      <c r="G40" s="63" t="s">
        <v>286</v>
      </c>
      <c r="H40" s="15"/>
      <c r="I40" s="221"/>
      <c r="J40" s="192">
        <v>1694.0966608084357</v>
      </c>
      <c r="K40" s="150">
        <f t="shared" ref="K40:M41" si="2">J40</f>
        <v>1694.0966608084357</v>
      </c>
      <c r="L40" s="150">
        <f t="shared" si="2"/>
        <v>1694.0966608084357</v>
      </c>
      <c r="M40" s="150">
        <f t="shared" si="2"/>
        <v>1694.0966608084357</v>
      </c>
      <c r="N40" s="67"/>
    </row>
    <row r="41" spans="1:17" x14ac:dyDescent="0.3">
      <c r="C41" s="3"/>
      <c r="D41" s="33"/>
      <c r="E41" s="15" t="s">
        <v>279</v>
      </c>
      <c r="F41" s="63"/>
      <c r="G41" s="63" t="s">
        <v>286</v>
      </c>
      <c r="H41" s="15"/>
      <c r="I41" s="221"/>
      <c r="J41" s="192">
        <v>1499.466019417476</v>
      </c>
      <c r="K41" s="150">
        <f t="shared" si="2"/>
        <v>1499.466019417476</v>
      </c>
      <c r="L41" s="150">
        <f t="shared" si="2"/>
        <v>1499.466019417476</v>
      </c>
      <c r="M41" s="150">
        <f t="shared" si="2"/>
        <v>1499.466019417476</v>
      </c>
      <c r="N41" s="67"/>
    </row>
    <row r="42" spans="1:17" s="144" customFormat="1" x14ac:dyDescent="0.3">
      <c r="C42" s="3"/>
      <c r="D42" s="143"/>
      <c r="F42" s="145"/>
      <c r="G42" s="145"/>
      <c r="J42" s="183"/>
      <c r="K42" s="183"/>
      <c r="L42" s="183"/>
      <c r="M42" s="183"/>
      <c r="N42" s="148"/>
      <c r="P42" s="184"/>
    </row>
    <row r="43" spans="1:17" s="14" customFormat="1" x14ac:dyDescent="0.3">
      <c r="A43" s="76"/>
      <c r="B43" s="15"/>
      <c r="C43" s="15"/>
      <c r="D43" s="3" t="s">
        <v>287</v>
      </c>
      <c r="E43" s="3"/>
      <c r="F43" s="3"/>
      <c r="G43" s="3"/>
      <c r="H43" s="63"/>
      <c r="J43" s="174"/>
      <c r="K43" s="174"/>
      <c r="L43" s="175"/>
      <c r="M43" s="175"/>
    </row>
    <row r="44" spans="1:17" s="14" customFormat="1" x14ac:dyDescent="0.3">
      <c r="A44" s="76"/>
      <c r="B44" s="15"/>
      <c r="C44" s="15"/>
      <c r="D44" s="3"/>
      <c r="E44" s="14" t="s">
        <v>271</v>
      </c>
      <c r="F44" s="15"/>
      <c r="G44" s="63" t="s">
        <v>169</v>
      </c>
      <c r="H44" s="63"/>
      <c r="I44" s="220"/>
      <c r="J44" s="55">
        <f>IF(SUM(J34:J35)=0,0,'Avoided Capital Maintenance'!J14)</f>
        <v>367.67891003517798</v>
      </c>
      <c r="K44" s="55">
        <f>'Avoided Capital Maintenance'!K14</f>
        <v>367.67891003517798</v>
      </c>
      <c r="L44" s="55">
        <f>'Avoided Capital Maintenance'!L14</f>
        <v>367.67891003517798</v>
      </c>
      <c r="M44" s="55">
        <f>'Avoided Capital Maintenance'!M14</f>
        <v>367.67891003517798</v>
      </c>
    </row>
    <row r="45" spans="1:17" s="14" customFormat="1" x14ac:dyDescent="0.3">
      <c r="A45" s="76"/>
      <c r="B45" s="15"/>
      <c r="C45" s="15"/>
      <c r="D45" s="3"/>
      <c r="E45" s="14" t="s">
        <v>273</v>
      </c>
      <c r="F45" s="15"/>
      <c r="G45" s="63" t="s">
        <v>169</v>
      </c>
      <c r="H45" s="63"/>
      <c r="I45" s="220"/>
      <c r="J45" s="55">
        <f>'Avoided Capital Maintenance'!J15*J$34*'Avoided Capital Maintenance'!J24</f>
        <v>131.91939123575023</v>
      </c>
      <c r="K45" s="55">
        <f>'Avoided Capital Maintenance'!K15*K$34*'Avoided Capital Maintenance'!K24</f>
        <v>127.60995331751424</v>
      </c>
      <c r="L45" s="55">
        <f>'Avoided Capital Maintenance'!L15*L$34*'Avoided Capital Maintenance'!L24</f>
        <v>124.08428701071989</v>
      </c>
      <c r="M45" s="55">
        <f>'Avoided Capital Maintenance'!M15*M$34*'Avoided Capital Maintenance'!M24</f>
        <v>111.28596630678568</v>
      </c>
    </row>
    <row r="46" spans="1:17" s="14" customFormat="1" x14ac:dyDescent="0.3">
      <c r="A46" s="76"/>
      <c r="B46" s="15"/>
      <c r="C46" s="15"/>
      <c r="D46" s="3"/>
      <c r="E46" s="14" t="s">
        <v>275</v>
      </c>
      <c r="F46" s="15"/>
      <c r="G46" s="63" t="s">
        <v>169</v>
      </c>
      <c r="H46" s="63"/>
      <c r="I46" s="220"/>
      <c r="J46" s="55">
        <f>'Avoided Capital Maintenance'!J16*J$34*'Avoided Capital Maintenance'!J25</f>
        <v>40.772263167818728</v>
      </c>
      <c r="K46" s="55">
        <f>'Avoided Capital Maintenance'!K16*K$34*'Avoided Capital Maintenance'!K25</f>
        <v>39.440347251123086</v>
      </c>
      <c r="L46" s="55">
        <f>'Avoided Capital Maintenance'!L16*L$34*'Avoided Capital Maintenance'!L25</f>
        <v>38.350671251590626</v>
      </c>
      <c r="M46" s="55">
        <f>'Avoided Capital Maintenance'!M16*M$34*'Avoided Capital Maintenance'!M25</f>
        <v>34.395100391546087</v>
      </c>
    </row>
    <row r="47" spans="1:17" s="14" customFormat="1" x14ac:dyDescent="0.3">
      <c r="A47" s="76"/>
      <c r="B47" s="15"/>
      <c r="C47" s="15"/>
      <c r="D47" s="3"/>
      <c r="E47" s="14" t="s">
        <v>276</v>
      </c>
      <c r="F47" s="15"/>
      <c r="G47" s="63" t="s">
        <v>169</v>
      </c>
      <c r="H47" s="63"/>
      <c r="I47" s="220"/>
      <c r="J47" s="55">
        <f>'Avoided Capital Maintenance'!J40*(J17*J$34)</f>
        <v>3241.9808036883892</v>
      </c>
      <c r="K47" s="55">
        <f>'Avoided Capital Maintenance'!K40*(K17*K$34)</f>
        <v>3136.0743491881517</v>
      </c>
      <c r="L47" s="55">
        <f>'Avoided Capital Maintenance'!L40*(L17*L$34)</f>
        <v>3049.4294489974618</v>
      </c>
      <c r="M47" s="55">
        <f>'Avoided Capital Maintenance'!M40*(M17*M$34)</f>
        <v>2734.9047255816818</v>
      </c>
    </row>
    <row r="48" spans="1:17" s="14" customFormat="1" x14ac:dyDescent="0.3">
      <c r="A48" s="76"/>
      <c r="B48" s="15"/>
      <c r="C48" s="15"/>
      <c r="D48" s="3"/>
      <c r="E48" s="14" t="s">
        <v>277</v>
      </c>
      <c r="F48" s="15"/>
      <c r="G48" s="63" t="s">
        <v>169</v>
      </c>
      <c r="H48" s="63"/>
      <c r="I48" s="220"/>
      <c r="J48" s="55">
        <f>'Avoided Capital Maintenance'!J18*J$34*'Avoided Capital Maintenance'!J27</f>
        <v>21.473404683015573</v>
      </c>
      <c r="K48" s="55">
        <f>'Avoided Capital Maintenance'!K18*K$34*'Avoided Capital Maintenance'!K27</f>
        <v>20.771928550448827</v>
      </c>
      <c r="L48" s="55">
        <f>'Avoided Capital Maintenance'!L18*L$34*'Avoided Capital Maintenance'!L27</f>
        <v>20.198032183327395</v>
      </c>
      <c r="M48" s="55">
        <f>'Avoided Capital Maintenance'!M18*M$34*'Avoided Capital Maintenance'!M27</f>
        <v>18.114763626944619</v>
      </c>
    </row>
    <row r="49" spans="1:17" s="14" customFormat="1" x14ac:dyDescent="0.3">
      <c r="A49" s="76"/>
      <c r="B49" s="15"/>
      <c r="C49" s="15"/>
      <c r="D49" s="3"/>
      <c r="E49" s="14" t="s">
        <v>278</v>
      </c>
      <c r="F49" s="15"/>
      <c r="G49" s="63" t="s">
        <v>169</v>
      </c>
      <c r="H49" s="63"/>
      <c r="I49" s="220"/>
      <c r="J49" s="55">
        <f>'Avoided Capital Maintenance'!J28*(J19*J$35)</f>
        <v>99.912868889917448</v>
      </c>
      <c r="K49" s="55">
        <f>'Avoided Capital Maintenance'!K28*(K19*K$35)</f>
        <v>102.93296707160471</v>
      </c>
      <c r="L49" s="55">
        <f>'Avoided Capital Maintenance'!L28*(L19*L$35)</f>
        <v>91.52241813322668</v>
      </c>
      <c r="M49" s="55">
        <f>'Avoided Capital Maintenance'!M28*(M19*M$35)</f>
        <v>82.297386383513597</v>
      </c>
    </row>
    <row r="50" spans="1:17" s="14" customFormat="1" x14ac:dyDescent="0.3">
      <c r="A50" s="76"/>
      <c r="B50" s="15"/>
      <c r="C50" s="15"/>
      <c r="D50" s="3"/>
      <c r="E50" s="14" t="s">
        <v>279</v>
      </c>
      <c r="F50" s="15"/>
      <c r="G50" s="63" t="s">
        <v>169</v>
      </c>
      <c r="H50" s="63"/>
      <c r="I50" s="220"/>
      <c r="J50" s="55">
        <f>'Avoided Capital Maintenance'!J41*(J20*J$35)</f>
        <v>10502.264955228327</v>
      </c>
      <c r="K50" s="55">
        <f>'Avoided Capital Maintenance'!K41*(K20*K$35)</f>
        <v>10819.720270517382</v>
      </c>
      <c r="L50" s="55">
        <f>'Avoided Capital Maintenance'!L41*(L20*L$35)</f>
        <v>9620.3091279199307</v>
      </c>
      <c r="M50" s="55">
        <f>'Avoided Capital Maintenance'!M41*(M20*M$35)</f>
        <v>8650.626956520915</v>
      </c>
    </row>
    <row r="51" spans="1:17" s="14" customFormat="1" x14ac:dyDescent="0.3">
      <c r="A51" s="76"/>
      <c r="B51" s="15"/>
      <c r="C51" s="15"/>
      <c r="D51" s="3"/>
      <c r="E51" s="15"/>
      <c r="F51" s="15"/>
      <c r="G51" s="63"/>
      <c r="H51" s="63"/>
      <c r="I51" s="174"/>
      <c r="J51" s="174"/>
      <c r="K51" s="174"/>
      <c r="L51" s="175"/>
      <c r="M51" s="175"/>
    </row>
    <row r="52" spans="1:17" s="14" customFormat="1" x14ac:dyDescent="0.3">
      <c r="A52" s="76"/>
      <c r="B52" s="15"/>
      <c r="C52" s="15"/>
      <c r="D52" s="3" t="s">
        <v>288</v>
      </c>
      <c r="E52" s="3"/>
      <c r="F52" s="3"/>
      <c r="G52" s="3"/>
      <c r="H52" s="63"/>
      <c r="J52" s="174"/>
      <c r="K52" s="174"/>
      <c r="L52" s="175"/>
      <c r="M52" s="175"/>
    </row>
    <row r="53" spans="1:17" s="14" customFormat="1" x14ac:dyDescent="0.3">
      <c r="A53" s="76"/>
      <c r="B53" s="15"/>
      <c r="C53" s="15"/>
      <c r="D53" s="3"/>
      <c r="E53" s="14" t="s">
        <v>271</v>
      </c>
      <c r="F53" s="15"/>
      <c r="G53" s="63" t="s">
        <v>289</v>
      </c>
      <c r="H53" s="63"/>
      <c r="I53" s="220"/>
      <c r="J53" s="55">
        <f>-1*FV($I$31,'Avoided Capital Maintenance'!J23,1)</f>
        <v>20.26332475091451</v>
      </c>
      <c r="K53" s="55">
        <f>-1*FV($I$31,'Avoided Capital Maintenance'!K23,1)</f>
        <v>20.26332475091451</v>
      </c>
      <c r="L53" s="55">
        <f>-1*FV($I$31,'Avoided Capital Maintenance'!L23,1)</f>
        <v>20.26332475091451</v>
      </c>
      <c r="M53" s="55">
        <f>-1*FV($I$31,'Avoided Capital Maintenance'!M23,1)</f>
        <v>20.26332475091451</v>
      </c>
    </row>
    <row r="54" spans="1:17" s="14" customFormat="1" x14ac:dyDescent="0.3">
      <c r="A54" s="76"/>
      <c r="B54" s="15"/>
      <c r="C54" s="15"/>
      <c r="D54" s="3"/>
      <c r="E54" s="14" t="s">
        <v>273</v>
      </c>
      <c r="F54" s="15"/>
      <c r="G54" s="63" t="s">
        <v>289</v>
      </c>
      <c r="H54" s="63"/>
      <c r="I54" s="220"/>
      <c r="J54" s="55">
        <f>-1*FV($I$31,'Avoided Capital Maintenance'!J24,1)</f>
        <v>392.80659461235678</v>
      </c>
      <c r="K54" s="55">
        <f>-1*FV($I$31,'Avoided Capital Maintenance'!K24,1)</f>
        <v>392.80659461235678</v>
      </c>
      <c r="L54" s="55">
        <f>-1*FV($I$31,'Avoided Capital Maintenance'!L24,1)</f>
        <v>392.80659461235678</v>
      </c>
      <c r="M54" s="55">
        <f>-1*FV($I$31,'Avoided Capital Maintenance'!M24,1)</f>
        <v>392.80659461235678</v>
      </c>
    </row>
    <row r="55" spans="1:17" s="14" customFormat="1" x14ac:dyDescent="0.3">
      <c r="A55" s="76"/>
      <c r="B55" s="15"/>
      <c r="C55" s="15"/>
      <c r="D55" s="3"/>
      <c r="E55" s="14" t="s">
        <v>275</v>
      </c>
      <c r="F55" s="15"/>
      <c r="G55" s="63" t="s">
        <v>289</v>
      </c>
      <c r="H55" s="63"/>
      <c r="I55" s="220"/>
      <c r="J55" s="55">
        <f>-1*FV($I$31,'Avoided Capital Maintenance'!J25,1)</f>
        <v>42.554901834013812</v>
      </c>
      <c r="K55" s="55">
        <f>-1*FV($I$31,'Avoided Capital Maintenance'!K25,1)</f>
        <v>42.554901834013812</v>
      </c>
      <c r="L55" s="55">
        <f>-1*FV($I$31,'Avoided Capital Maintenance'!L25,1)</f>
        <v>42.554901834013812</v>
      </c>
      <c r="M55" s="55">
        <f>-1*FV($I$31,'Avoided Capital Maintenance'!M25,1)</f>
        <v>42.554901834013812</v>
      </c>
    </row>
    <row r="56" spans="1:17" s="14" customFormat="1" x14ac:dyDescent="0.3">
      <c r="A56" s="76"/>
      <c r="B56" s="15"/>
      <c r="C56" s="15"/>
      <c r="D56" s="3"/>
      <c r="E56" s="14" t="s">
        <v>276</v>
      </c>
      <c r="F56" s="15"/>
      <c r="G56" s="63" t="s">
        <v>289</v>
      </c>
      <c r="H56" s="63"/>
      <c r="I56" s="220"/>
      <c r="J56" s="55">
        <f>-1*FV($I$31,'Avoided Capital Maintenance'!J26,1)</f>
        <v>392.80659461235678</v>
      </c>
      <c r="K56" s="55">
        <f>-1*FV($I$31,'Avoided Capital Maintenance'!K26,1)</f>
        <v>392.80659461235678</v>
      </c>
      <c r="L56" s="55">
        <f>-1*FV($I$31,'Avoided Capital Maintenance'!L26,1)</f>
        <v>392.80659461235678</v>
      </c>
      <c r="M56" s="55">
        <f>-1*FV($I$31,'Avoided Capital Maintenance'!M26,1)</f>
        <v>392.80659461235678</v>
      </c>
    </row>
    <row r="57" spans="1:17" s="14" customFormat="1" x14ac:dyDescent="0.3">
      <c r="A57" s="76"/>
      <c r="B57" s="15"/>
      <c r="C57" s="15"/>
      <c r="D57" s="3"/>
      <c r="E57" s="14" t="s">
        <v>277</v>
      </c>
      <c r="F57" s="15"/>
      <c r="G57" s="63" t="s">
        <v>289</v>
      </c>
      <c r="H57" s="63"/>
      <c r="I57" s="220"/>
      <c r="J57" s="55">
        <f>-1*FV($I$31,'Avoided Capital Maintenance'!J27,1)</f>
        <v>42.554901834013812</v>
      </c>
      <c r="K57" s="55">
        <f>-1*FV($I$31,'Avoided Capital Maintenance'!K27,1)</f>
        <v>42.554901834013812</v>
      </c>
      <c r="L57" s="55">
        <f>-1*FV($I$31,'Avoided Capital Maintenance'!L27,1)</f>
        <v>42.554901834013812</v>
      </c>
      <c r="M57" s="55">
        <f>-1*FV($I$31,'Avoided Capital Maintenance'!M27,1)</f>
        <v>42.554901834013812</v>
      </c>
    </row>
    <row r="58" spans="1:17" s="14" customFormat="1" x14ac:dyDescent="0.3">
      <c r="A58" s="76"/>
      <c r="B58" s="15"/>
      <c r="C58" s="15"/>
      <c r="D58" s="3"/>
      <c r="E58" s="14" t="s">
        <v>278</v>
      </c>
      <c r="F58" s="15"/>
      <c r="G58" s="63" t="s">
        <v>289</v>
      </c>
      <c r="H58" s="63"/>
      <c r="I58" s="220"/>
      <c r="J58" s="55">
        <f>-1*FV($I$31,'Avoided Capital Maintenance'!J28,1)</f>
        <v>42.554901834013812</v>
      </c>
      <c r="K58" s="55">
        <f>-1*FV($I$31,'Avoided Capital Maintenance'!K28,1)</f>
        <v>42.554901834013812</v>
      </c>
      <c r="L58" s="55">
        <f>-1*FV($I$31,'Avoided Capital Maintenance'!L28,1)</f>
        <v>42.554901834013812</v>
      </c>
      <c r="M58" s="55">
        <f>-1*FV($I$31,'Avoided Capital Maintenance'!M28,1)</f>
        <v>42.554901834013812</v>
      </c>
    </row>
    <row r="59" spans="1:17" s="14" customFormat="1" x14ac:dyDescent="0.3">
      <c r="A59" s="76"/>
      <c r="B59" s="15"/>
      <c r="C59" s="15"/>
      <c r="D59" s="3"/>
      <c r="E59" s="14" t="s">
        <v>279</v>
      </c>
      <c r="F59" s="15"/>
      <c r="G59" s="63" t="s">
        <v>289</v>
      </c>
      <c r="H59" s="63"/>
      <c r="I59" s="220"/>
      <c r="J59" s="218">
        <f>-1*FV($I$31,'Avoided Capital Maintenance'!J29,1)</f>
        <v>1391.7676796370574</v>
      </c>
      <c r="K59" s="55">
        <f>-1*FV($I$31,'Avoided Capital Maintenance'!K29,1)</f>
        <v>1391.7676796370574</v>
      </c>
      <c r="L59" s="55">
        <f>-1*FV($I$31,'Avoided Capital Maintenance'!L29,1)</f>
        <v>1391.7676796370574</v>
      </c>
      <c r="M59" s="55">
        <f>-1*FV($I$31,'Avoided Capital Maintenance'!M29,1)</f>
        <v>1391.7676796370574</v>
      </c>
    </row>
    <row r="60" spans="1:17" s="14" customFormat="1" x14ac:dyDescent="0.3">
      <c r="A60" s="76"/>
      <c r="B60" s="15"/>
      <c r="C60" s="15"/>
      <c r="D60" s="3"/>
      <c r="E60" s="15"/>
      <c r="F60" s="15"/>
      <c r="G60" s="63"/>
      <c r="H60" s="63"/>
      <c r="J60" s="194"/>
      <c r="K60" s="174"/>
      <c r="L60" s="175"/>
      <c r="M60" s="175"/>
    </row>
    <row r="61" spans="1:17" x14ac:dyDescent="0.3">
      <c r="B61" s="22" t="s">
        <v>51</v>
      </c>
      <c r="C61" s="22"/>
      <c r="D61" s="22"/>
      <c r="E61" s="22"/>
      <c r="F61" s="22"/>
      <c r="G61" s="22"/>
      <c r="H61" s="22"/>
      <c r="I61" s="173"/>
      <c r="J61" s="173"/>
      <c r="K61" s="173"/>
      <c r="L61" s="173"/>
      <c r="M61" s="173"/>
      <c r="N61" s="22"/>
      <c r="O61" s="22"/>
      <c r="P61" s="22"/>
      <c r="Q61" s="22"/>
    </row>
    <row r="62" spans="1:17" x14ac:dyDescent="0.3">
      <c r="G62" s="3"/>
      <c r="H62" s="65"/>
      <c r="J62" s="174"/>
      <c r="K62" s="174"/>
      <c r="L62" s="174"/>
      <c r="M62" s="174"/>
      <c r="N62" s="3"/>
      <c r="O62" s="3"/>
    </row>
    <row r="63" spans="1:17" s="14" customFormat="1" x14ac:dyDescent="0.3">
      <c r="A63" s="76"/>
      <c r="B63" s="15"/>
      <c r="C63" s="15"/>
      <c r="D63" s="3" t="s">
        <v>60</v>
      </c>
      <c r="E63" s="3"/>
      <c r="F63" s="3"/>
      <c r="G63" s="3"/>
      <c r="H63" s="63"/>
      <c r="J63" s="174"/>
      <c r="K63" s="174"/>
      <c r="L63" s="175"/>
      <c r="M63" s="175"/>
    </row>
    <row r="64" spans="1:17" s="14" customFormat="1" x14ac:dyDescent="0.3">
      <c r="A64" s="76"/>
      <c r="B64" s="15"/>
      <c r="C64" s="15"/>
      <c r="D64" s="3"/>
      <c r="E64" s="14" t="s">
        <v>271</v>
      </c>
      <c r="F64" s="15"/>
      <c r="G64" s="63" t="s">
        <v>94</v>
      </c>
      <c r="H64" s="63"/>
      <c r="I64" s="220"/>
      <c r="J64" s="55">
        <f t="shared" ref="J64:M70" si="3">J44/J53</f>
        <v>18.145043548126729</v>
      </c>
      <c r="K64" s="55">
        <f t="shared" si="3"/>
        <v>18.145043548126729</v>
      </c>
      <c r="L64" s="55">
        <f t="shared" si="3"/>
        <v>18.145043548126729</v>
      </c>
      <c r="M64" s="55">
        <f t="shared" si="3"/>
        <v>18.145043548126729</v>
      </c>
    </row>
    <row r="65" spans="1:17" s="14" customFormat="1" x14ac:dyDescent="0.3">
      <c r="A65" s="76"/>
      <c r="B65" s="15"/>
      <c r="C65" s="15"/>
      <c r="D65" s="3"/>
      <c r="E65" s="14" t="s">
        <v>273</v>
      </c>
      <c r="F65" s="15"/>
      <c r="G65" s="63" t="s">
        <v>94</v>
      </c>
      <c r="H65" s="63"/>
      <c r="I65" s="220"/>
      <c r="J65" s="55">
        <f t="shared" si="3"/>
        <v>0.33583802574886901</v>
      </c>
      <c r="K65" s="55">
        <f t="shared" si="3"/>
        <v>0.32486713580622745</v>
      </c>
      <c r="L65" s="55">
        <f t="shared" si="3"/>
        <v>0.31589155760781745</v>
      </c>
      <c r="M65" s="55">
        <f t="shared" si="3"/>
        <v>0.28330982176256186</v>
      </c>
    </row>
    <row r="66" spans="1:17" s="14" customFormat="1" x14ac:dyDescent="0.3">
      <c r="A66" s="76"/>
      <c r="B66" s="15"/>
      <c r="C66" s="15"/>
      <c r="D66" s="3"/>
      <c r="E66" s="14" t="s">
        <v>275</v>
      </c>
      <c r="F66" s="15"/>
      <c r="G66" s="63" t="s">
        <v>94</v>
      </c>
      <c r="H66" s="63"/>
      <c r="I66" s="220"/>
      <c r="J66" s="55">
        <f t="shared" si="3"/>
        <v>0.95810967504640709</v>
      </c>
      <c r="K66" s="55">
        <f t="shared" si="3"/>
        <v>0.92681090899847207</v>
      </c>
      <c r="L66" s="55">
        <f t="shared" si="3"/>
        <v>0.90120455220830109</v>
      </c>
      <c r="M66" s="55">
        <f t="shared" si="3"/>
        <v>0.80825237303342434</v>
      </c>
    </row>
    <row r="67" spans="1:17" s="14" customFormat="1" x14ac:dyDescent="0.3">
      <c r="A67" s="76"/>
      <c r="B67" s="15"/>
      <c r="C67" s="15"/>
      <c r="D67" s="3"/>
      <c r="E67" s="14" t="s">
        <v>276</v>
      </c>
      <c r="F67" s="15"/>
      <c r="G67" s="63" t="s">
        <v>94</v>
      </c>
      <c r="H67" s="63"/>
      <c r="I67" s="220"/>
      <c r="J67" s="55">
        <f t="shared" si="3"/>
        <v>8.2533767206422652</v>
      </c>
      <c r="K67" s="55">
        <f t="shared" si="3"/>
        <v>7.9837619637801724</v>
      </c>
      <c r="L67" s="55">
        <f t="shared" si="3"/>
        <v>7.7631829272286206</v>
      </c>
      <c r="M67" s="55">
        <f t="shared" si="3"/>
        <v>6.9624715142082501</v>
      </c>
    </row>
    <row r="68" spans="1:17" s="14" customFormat="1" x14ac:dyDescent="0.3">
      <c r="A68" s="76"/>
      <c r="B68" s="15"/>
      <c r="C68" s="15"/>
      <c r="D68" s="3"/>
      <c r="E68" s="14" t="s">
        <v>277</v>
      </c>
      <c r="F68" s="15"/>
      <c r="G68" s="63" t="s">
        <v>94</v>
      </c>
      <c r="H68" s="63"/>
      <c r="I68" s="220"/>
      <c r="J68" s="55">
        <f t="shared" si="3"/>
        <v>0.50460472842289683</v>
      </c>
      <c r="K68" s="55">
        <f t="shared" si="3"/>
        <v>0.48812070185169554</v>
      </c>
      <c r="L68" s="55">
        <f t="shared" si="3"/>
        <v>0.47463467926938702</v>
      </c>
      <c r="M68" s="55">
        <f t="shared" si="3"/>
        <v>0.42567983584127611</v>
      </c>
    </row>
    <row r="69" spans="1:17" s="14" customFormat="1" x14ac:dyDescent="0.3">
      <c r="A69" s="76"/>
      <c r="B69" s="15"/>
      <c r="C69" s="15"/>
      <c r="D69" s="3"/>
      <c r="E69" s="14" t="s">
        <v>278</v>
      </c>
      <c r="F69" s="15"/>
      <c r="G69" s="63" t="s">
        <v>94</v>
      </c>
      <c r="H69" s="63"/>
      <c r="I69" s="220"/>
      <c r="J69" s="55">
        <f>J49/J58</f>
        <v>2.3478580512212073</v>
      </c>
      <c r="K69" s="55">
        <f t="shared" si="3"/>
        <v>2.4188275060085127</v>
      </c>
      <c r="L69" s="55">
        <f t="shared" si="3"/>
        <v>2.1506903832186377</v>
      </c>
      <c r="M69" s="55">
        <f t="shared" si="3"/>
        <v>1.9339108501416848</v>
      </c>
    </row>
    <row r="70" spans="1:17" s="14" customFormat="1" x14ac:dyDescent="0.3">
      <c r="A70" s="76"/>
      <c r="B70" s="15"/>
      <c r="C70" s="15"/>
      <c r="D70" s="3"/>
      <c r="E70" s="14" t="s">
        <v>279</v>
      </c>
      <c r="F70" s="15"/>
      <c r="G70" s="63" t="s">
        <v>94</v>
      </c>
      <c r="H70" s="63"/>
      <c r="I70" s="220"/>
      <c r="J70" s="55">
        <f t="shared" si="3"/>
        <v>7.5459899729580506</v>
      </c>
      <c r="K70" s="55">
        <f t="shared" si="3"/>
        <v>7.7740850206687719</v>
      </c>
      <c r="L70" s="55">
        <f t="shared" si="3"/>
        <v>6.9122952549298295</v>
      </c>
      <c r="M70" s="55">
        <f t="shared" si="3"/>
        <v>6.2155682180928427</v>
      </c>
    </row>
    <row r="71" spans="1:17" s="14" customFormat="1" x14ac:dyDescent="0.3">
      <c r="A71" s="76"/>
      <c r="B71" s="15"/>
      <c r="C71" s="15"/>
      <c r="D71" s="3"/>
      <c r="F71" s="15"/>
      <c r="G71" s="63"/>
      <c r="H71" s="63"/>
      <c r="J71" s="71"/>
      <c r="K71" s="71"/>
      <c r="L71" s="71"/>
      <c r="M71" s="71"/>
    </row>
    <row r="72" spans="1:17" s="14" customFormat="1" x14ac:dyDescent="0.3">
      <c r="A72" s="76"/>
      <c r="B72" s="15"/>
      <c r="C72" s="15"/>
      <c r="D72" s="3"/>
      <c r="E72" s="185" t="s">
        <v>167</v>
      </c>
      <c r="F72" s="186"/>
      <c r="G72" s="186" t="s">
        <v>169</v>
      </c>
      <c r="H72" s="185"/>
      <c r="I72" s="220"/>
      <c r="J72" s="180">
        <f>SUM(J64:J68)</f>
        <v>28.196972697987171</v>
      </c>
      <c r="K72" s="180">
        <f>SUM(K64:K68)</f>
        <v>27.868604258563295</v>
      </c>
      <c r="L72" s="180">
        <f>SUM(L64:L68)</f>
        <v>27.599957264440853</v>
      </c>
      <c r="M72" s="180">
        <f>SUM(M64:M68)</f>
        <v>26.624757092972242</v>
      </c>
    </row>
    <row r="73" spans="1:17" s="14" customFormat="1" x14ac:dyDescent="0.3">
      <c r="A73" s="76"/>
      <c r="B73" s="15"/>
      <c r="C73" s="15"/>
      <c r="D73" s="3"/>
      <c r="E73" s="185" t="s">
        <v>172</v>
      </c>
      <c r="F73" s="186"/>
      <c r="G73" s="186" t="s">
        <v>169</v>
      </c>
      <c r="H73" s="185"/>
      <c r="I73" s="220"/>
      <c r="J73" s="180">
        <f>SUM(J69:J70)</f>
        <v>9.8938480241792579</v>
      </c>
      <c r="K73" s="180">
        <f>SUM(K69:K70)</f>
        <v>10.192912526677285</v>
      </c>
      <c r="L73" s="180">
        <f>SUM(L69:L70)</f>
        <v>9.0629856381484668</v>
      </c>
      <c r="M73" s="180">
        <f>SUM(M69:M70)</f>
        <v>8.1494790682345268</v>
      </c>
    </row>
    <row r="74" spans="1:17" s="14" customFormat="1" x14ac:dyDescent="0.3">
      <c r="A74" s="76"/>
      <c r="B74" s="15"/>
      <c r="C74" s="15"/>
      <c r="D74" s="3"/>
      <c r="E74" s="36" t="s">
        <v>257</v>
      </c>
      <c r="F74" s="73"/>
      <c r="G74" s="73" t="s">
        <v>169</v>
      </c>
      <c r="H74" s="36"/>
      <c r="I74" s="220"/>
      <c r="J74" s="187">
        <f>J73+J72</f>
        <v>38.090820722166427</v>
      </c>
      <c r="K74" s="187">
        <f>K73+K72</f>
        <v>38.061516785240578</v>
      </c>
      <c r="L74" s="187">
        <f>L73+L72</f>
        <v>36.662942902589322</v>
      </c>
      <c r="M74" s="187">
        <f>M73+M72</f>
        <v>34.774236161206773</v>
      </c>
    </row>
    <row r="75" spans="1:17" s="14" customFormat="1" x14ac:dyDescent="0.3">
      <c r="A75" s="76"/>
      <c r="B75" s="15"/>
      <c r="C75" s="15"/>
      <c r="D75" s="3"/>
      <c r="E75" s="15"/>
      <c r="F75" s="15"/>
      <c r="G75" s="63"/>
      <c r="H75" s="63"/>
      <c r="I75" s="194"/>
      <c r="J75" s="174"/>
      <c r="K75" s="175"/>
      <c r="L75" s="175"/>
    </row>
    <row r="76" spans="1:17" s="14" customFormat="1" x14ac:dyDescent="0.3">
      <c r="A76" s="76"/>
      <c r="B76" s="15"/>
      <c r="C76" s="15"/>
      <c r="D76" s="3"/>
      <c r="E76" s="15"/>
      <c r="F76" s="15"/>
      <c r="G76" s="63"/>
      <c r="H76" s="63"/>
      <c r="I76" s="194"/>
      <c r="J76" s="174"/>
      <c r="K76" s="175"/>
      <c r="L76" s="175"/>
    </row>
    <row r="77" spans="1:17" customFormat="1" x14ac:dyDescent="0.3">
      <c r="A77" s="22"/>
      <c r="B77" s="22" t="s">
        <v>68</v>
      </c>
      <c r="C77" s="22"/>
      <c r="D77" s="22"/>
      <c r="E77" s="22"/>
      <c r="F77" s="22"/>
      <c r="G77" s="22"/>
      <c r="H77" s="58"/>
      <c r="I77" s="173"/>
      <c r="J77" s="173"/>
      <c r="K77" s="173"/>
      <c r="L77" s="173"/>
      <c r="M77" s="173"/>
      <c r="N77" s="173"/>
      <c r="O77" s="173"/>
      <c r="P77" s="173"/>
      <c r="Q77" s="173"/>
    </row>
  </sheetData>
  <sheetProtection algorithmName="SHA-512" hashValue="7HrZ2ikTCNFcf/vXsVAJZ2KqeItyZAoapGEQp/HqnFNDAPn9tChVSlXQ9TMRoi3cC6jeetHeQE6YrW3AFodcQw==" saltValue="p1oEuI3JMheK2W7/34x4iA==" spinCount="100000" sheet="1" objects="1" scenarios="1" selectLockedCells="1" selectUnlockedCells="1"/>
  <mergeCells count="1">
    <mergeCell ref="E6:J9"/>
  </mergeCells>
  <hyperlinks>
    <hyperlink ref="A3" location="Intro!A1" display="Return to Intro tab" xr:uid="{30A19310-80E5-4BE0-9719-040FB083EB5F}"/>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0355-CA2F-41A5-B156-7C4E703111C9}">
  <sheetPr>
    <tabColor rgb="FF6D65A0"/>
  </sheetPr>
  <dimension ref="A1:U106"/>
  <sheetViews>
    <sheetView showGridLines="0" topLeftCell="A27" zoomScale="80" zoomScaleNormal="80" workbookViewId="0">
      <selection activeCell="L27" sqref="L27"/>
    </sheetView>
  </sheetViews>
  <sheetFormatPr defaultColWidth="0" defaultRowHeight="13" zeroHeight="1" outlineLevelRow="1" x14ac:dyDescent="0.3"/>
  <cols>
    <col min="1" max="4" width="2.453125" style="15" customWidth="1"/>
    <col min="5" max="6" width="2.453125" style="48" customWidth="1"/>
    <col min="7" max="7" width="30.453125" style="15" customWidth="1"/>
    <col min="8" max="8" width="2.54296875" style="15" customWidth="1"/>
    <col min="9" max="9" width="11.453125" style="15" bestFit="1" customWidth="1"/>
    <col min="10" max="10" width="2.54296875" style="62" customWidth="1"/>
    <col min="11" max="11" width="9.453125" style="62" bestFit="1" customWidth="1"/>
    <col min="12" max="12" width="12.54296875" style="167" bestFit="1" customWidth="1"/>
    <col min="13" max="15" width="16.453125" style="167" bestFit="1" customWidth="1"/>
    <col min="16" max="16" width="2.54296875" style="15" customWidth="1"/>
    <col min="17" max="17" width="9.54296875" style="15" hidden="1" customWidth="1"/>
    <col min="18" max="18" width="7.453125" hidden="1" customWidth="1"/>
    <col min="19" max="19" width="8.54296875" style="15" hidden="1" customWidth="1"/>
    <col min="20" max="21" width="0" style="15" hidden="1" customWidth="1"/>
    <col min="22" max="16384" width="8.54296875" style="15" hidden="1"/>
  </cols>
  <sheetData>
    <row r="1" spans="1:19" s="20" customFormat="1" ht="17.5" x14ac:dyDescent="0.3">
      <c r="A1" s="18" t="str" cm="1">
        <f t="array" aca="1" ref="A1" ca="1">RIGHT(CELL("filename",A$2),LEN(CELL("filename",A$2))-FIND("]",CELL("filename",A$2)))</f>
        <v>Avoided Operating Costs</v>
      </c>
      <c r="B1" s="18"/>
      <c r="C1" s="18"/>
      <c r="D1" s="18"/>
      <c r="E1" s="18"/>
      <c r="F1" s="18"/>
      <c r="G1" s="18"/>
      <c r="H1" s="18"/>
      <c r="I1" s="18"/>
      <c r="J1" s="58"/>
      <c r="K1" s="58"/>
      <c r="L1" s="169"/>
      <c r="M1" s="169"/>
      <c r="N1" s="169"/>
      <c r="O1" s="169"/>
    </row>
    <row r="2" spans="1:19" s="1" customFormat="1" x14ac:dyDescent="0.3">
      <c r="A2" s="21" t="str">
        <f>"["&amp;_xlfn.SINGLE(_ModelStatus)&amp;"] "&amp;_xlfn.SINGLE(_ModelName)&amp;" - "&amp;_xlfn.SINGLE(_OrganisationName)&amp;" - "&amp;_xlfn.SINGLE(_ModelVersion)&amp;" ("&amp;TEXT(_xlfn.SINGLE(_ModelDate),"dd/mm/yyyy")&amp;")"</f>
        <v>[Final] BSP model for NAVs - Yorkshire Water - Version Website (20/03/2024)</v>
      </c>
      <c r="B2" s="21"/>
      <c r="C2" s="21"/>
      <c r="D2" s="21"/>
      <c r="E2" s="21"/>
      <c r="F2" s="21"/>
      <c r="G2" s="21"/>
      <c r="H2" s="21"/>
      <c r="I2" s="21"/>
      <c r="J2" s="59"/>
      <c r="K2" s="59"/>
      <c r="L2" s="170"/>
      <c r="M2" s="170"/>
      <c r="N2" s="170"/>
      <c r="O2" s="170"/>
      <c r="P2" s="21"/>
      <c r="Q2" s="21"/>
    </row>
    <row r="3" spans="1:19" customFormat="1" x14ac:dyDescent="0.3">
      <c r="A3" s="47" t="s">
        <v>160</v>
      </c>
      <c r="E3" s="3"/>
      <c r="F3" s="3"/>
      <c r="J3" s="60"/>
      <c r="K3" s="60"/>
      <c r="L3" s="171"/>
      <c r="M3" s="171"/>
      <c r="N3" s="171"/>
      <c r="O3" s="171"/>
    </row>
    <row r="4" spans="1:19" ht="13.5" customHeight="1" x14ac:dyDescent="0.3">
      <c r="G4" s="48"/>
      <c r="H4" s="48"/>
      <c r="I4" s="48"/>
      <c r="J4" s="61"/>
      <c r="K4" s="61"/>
      <c r="L4" s="172"/>
    </row>
    <row r="5" spans="1:19" customFormat="1" x14ac:dyDescent="0.3">
      <c r="B5" s="22" t="s">
        <v>43</v>
      </c>
      <c r="C5" s="22"/>
      <c r="D5" s="22"/>
      <c r="E5" s="22"/>
      <c r="F5" s="22"/>
      <c r="G5" s="22"/>
      <c r="H5" s="22"/>
      <c r="I5" s="22"/>
      <c r="J5" s="58"/>
      <c r="K5" s="58"/>
      <c r="L5" s="173"/>
      <c r="M5" s="173"/>
      <c r="N5" s="173"/>
      <c r="O5" s="173"/>
      <c r="P5" s="22"/>
      <c r="Q5" s="22"/>
      <c r="R5" s="22"/>
      <c r="S5" s="22"/>
    </row>
    <row r="6" spans="1:19" ht="4.4000000000000004" customHeight="1" x14ac:dyDescent="0.3">
      <c r="G6" s="415" t="s">
        <v>59</v>
      </c>
      <c r="H6" s="415"/>
      <c r="I6" s="415"/>
      <c r="J6" s="415"/>
      <c r="K6" s="415"/>
      <c r="L6" s="415"/>
      <c r="M6" s="415"/>
      <c r="R6" s="15"/>
    </row>
    <row r="7" spans="1:19" hidden="1" x14ac:dyDescent="0.3">
      <c r="E7" s="3"/>
      <c r="F7" s="3"/>
      <c r="G7" s="415"/>
      <c r="H7" s="415"/>
      <c r="I7" s="415"/>
      <c r="J7" s="415"/>
      <c r="K7" s="415"/>
      <c r="L7" s="415"/>
      <c r="M7" s="415"/>
      <c r="R7" s="15"/>
    </row>
    <row r="8" spans="1:19" x14ac:dyDescent="0.3">
      <c r="E8" s="3"/>
      <c r="F8" s="3"/>
      <c r="G8" s="415"/>
      <c r="H8" s="415"/>
      <c r="I8" s="415"/>
      <c r="J8" s="415"/>
      <c r="K8" s="415"/>
      <c r="L8" s="415"/>
      <c r="M8" s="415"/>
      <c r="R8" s="15"/>
    </row>
    <row r="9" spans="1:19" x14ac:dyDescent="0.3">
      <c r="E9" s="3"/>
      <c r="F9" s="3"/>
      <c r="G9" s="415"/>
      <c r="H9" s="415"/>
      <c r="I9" s="415"/>
      <c r="J9" s="415"/>
      <c r="K9" s="415"/>
      <c r="L9" s="415"/>
      <c r="M9" s="415"/>
      <c r="R9" s="15"/>
    </row>
    <row r="10" spans="1:19" x14ac:dyDescent="0.3">
      <c r="E10" s="3"/>
      <c r="F10" s="3"/>
      <c r="G10" s="182"/>
      <c r="H10" s="182"/>
      <c r="I10" s="182"/>
      <c r="J10" s="182"/>
      <c r="K10" s="182"/>
      <c r="L10" s="182"/>
      <c r="M10" s="182"/>
      <c r="R10" s="15"/>
    </row>
    <row r="11" spans="1:19" x14ac:dyDescent="0.3">
      <c r="E11" s="3"/>
      <c r="F11" s="3"/>
      <c r="K11" s="55" t="s">
        <v>269</v>
      </c>
      <c r="L11" s="190" t="s">
        <v>244</v>
      </c>
      <c r="M11" s="191" t="s">
        <v>205</v>
      </c>
      <c r="N11" s="191" t="s">
        <v>207</v>
      </c>
      <c r="O11" s="191" t="s">
        <v>208</v>
      </c>
      <c r="R11" s="15"/>
    </row>
    <row r="12" spans="1:19" x14ac:dyDescent="0.3">
      <c r="B12" s="22" t="s">
        <v>64</v>
      </c>
      <c r="C12" s="22"/>
      <c r="D12" s="22"/>
      <c r="E12" s="22"/>
      <c r="F12" s="22"/>
      <c r="G12" s="22"/>
      <c r="H12" s="22"/>
      <c r="I12" s="22"/>
      <c r="J12" s="22"/>
      <c r="K12" s="22"/>
      <c r="L12" s="173"/>
      <c r="M12" s="173"/>
      <c r="N12" s="173"/>
      <c r="O12" s="173"/>
      <c r="P12" s="22"/>
      <c r="Q12" s="22"/>
      <c r="R12" s="22"/>
      <c r="S12" s="22"/>
    </row>
    <row r="13" spans="1:19" x14ac:dyDescent="0.3">
      <c r="I13" s="3"/>
      <c r="J13" s="65"/>
      <c r="K13" s="65"/>
      <c r="L13" s="174"/>
      <c r="M13" s="174"/>
      <c r="N13" s="174"/>
      <c r="O13" s="174"/>
      <c r="P13" s="3"/>
      <c r="Q13" s="3"/>
    </row>
    <row r="14" spans="1:19" s="14" customFormat="1" outlineLevel="1" x14ac:dyDescent="0.3">
      <c r="A14" s="76"/>
      <c r="B14" s="15"/>
      <c r="C14" s="15"/>
      <c r="D14" s="15"/>
      <c r="E14" s="3" t="s">
        <v>270</v>
      </c>
      <c r="F14" s="3"/>
      <c r="G14" s="3"/>
      <c r="H14" s="3"/>
      <c r="I14" s="3"/>
      <c r="J14" s="63"/>
      <c r="K14" s="63"/>
      <c r="L14" s="174"/>
      <c r="M14" s="174"/>
      <c r="N14" s="175"/>
      <c r="O14" s="175"/>
    </row>
    <row r="15" spans="1:19" s="14" customFormat="1" outlineLevel="1" x14ac:dyDescent="0.3">
      <c r="A15" s="76"/>
      <c r="B15" s="15"/>
      <c r="C15" s="15"/>
      <c r="D15" s="15"/>
      <c r="E15" s="3"/>
      <c r="F15" s="3"/>
      <c r="G15" s="15" t="s">
        <v>67</v>
      </c>
      <c r="H15" s="15"/>
      <c r="I15" s="63" t="s">
        <v>169</v>
      </c>
      <c r="J15" s="63"/>
      <c r="K15" s="168">
        <v>1.2766277398751773</v>
      </c>
      <c r="L15" s="150">
        <f>K15</f>
        <v>1.2766277398751773</v>
      </c>
      <c r="M15" s="150">
        <f>L15</f>
        <v>1.2766277398751773</v>
      </c>
      <c r="N15" s="150">
        <f>M15</f>
        <v>1.2766277398751773</v>
      </c>
      <c r="O15" s="150">
        <f>N15</f>
        <v>1.2766277398751773</v>
      </c>
    </row>
    <row r="16" spans="1:19" s="14" customFormat="1" outlineLevel="1" x14ac:dyDescent="0.3">
      <c r="A16" s="76"/>
      <c r="B16" s="15"/>
      <c r="C16" s="15"/>
      <c r="D16" s="15"/>
      <c r="E16" s="3"/>
      <c r="F16" s="3"/>
      <c r="G16" s="15" t="s">
        <v>290</v>
      </c>
      <c r="H16" s="15"/>
      <c r="I16" s="63" t="s">
        <v>169</v>
      </c>
      <c r="J16" s="63"/>
      <c r="K16" s="168">
        <v>0.36260890123863254</v>
      </c>
      <c r="L16" s="150">
        <f t="shared" ref="L16:O19" si="0">K16</f>
        <v>0.36260890123863254</v>
      </c>
      <c r="M16" s="150">
        <f t="shared" si="0"/>
        <v>0.36260890123863254</v>
      </c>
      <c r="N16" s="150">
        <f t="shared" si="0"/>
        <v>0.36260890123863254</v>
      </c>
      <c r="O16" s="150">
        <f t="shared" si="0"/>
        <v>0.36260890123863254</v>
      </c>
    </row>
    <row r="17" spans="1:15" s="14" customFormat="1" outlineLevel="1" x14ac:dyDescent="0.3">
      <c r="A17" s="76"/>
      <c r="B17" s="15"/>
      <c r="C17" s="15"/>
      <c r="D17" s="15"/>
      <c r="E17" s="3"/>
      <c r="F17" s="3"/>
      <c r="G17" s="15" t="s">
        <v>291</v>
      </c>
      <c r="H17" s="15"/>
      <c r="I17" s="63" t="s">
        <v>274</v>
      </c>
      <c r="J17" s="63"/>
      <c r="K17" s="177">
        <v>6.587581874862504E-2</v>
      </c>
      <c r="L17" s="150">
        <f t="shared" si="0"/>
        <v>6.587581874862504E-2</v>
      </c>
      <c r="M17" s="150">
        <f t="shared" si="0"/>
        <v>6.587581874862504E-2</v>
      </c>
      <c r="N17" s="150">
        <f t="shared" si="0"/>
        <v>6.587581874862504E-2</v>
      </c>
      <c r="O17" s="150">
        <f t="shared" si="0"/>
        <v>6.587581874862504E-2</v>
      </c>
    </row>
    <row r="18" spans="1:15" s="14" customFormat="1" outlineLevel="1" x14ac:dyDescent="0.3">
      <c r="A18" s="76"/>
      <c r="B18" s="15"/>
      <c r="C18" s="15"/>
      <c r="D18" s="15"/>
      <c r="E18" s="3"/>
      <c r="F18" s="3"/>
      <c r="G18" s="15" t="s">
        <v>292</v>
      </c>
      <c r="H18" s="15"/>
      <c r="I18" s="63" t="s">
        <v>274</v>
      </c>
      <c r="J18" s="63"/>
      <c r="K18" s="177">
        <v>0.93901216432691381</v>
      </c>
      <c r="L18" s="150">
        <f t="shared" si="0"/>
        <v>0.93901216432691381</v>
      </c>
      <c r="M18" s="150">
        <f t="shared" si="0"/>
        <v>0.93901216432691381</v>
      </c>
      <c r="N18" s="150">
        <f t="shared" si="0"/>
        <v>0.93901216432691381</v>
      </c>
      <c r="O18" s="150">
        <f t="shared" si="0"/>
        <v>0.93901216432691381</v>
      </c>
    </row>
    <row r="19" spans="1:15" s="14" customFormat="1" outlineLevel="1" x14ac:dyDescent="0.3">
      <c r="A19" s="76"/>
      <c r="B19" s="15"/>
      <c r="C19" s="15"/>
      <c r="D19" s="15"/>
      <c r="E19" s="3"/>
      <c r="F19" s="3"/>
      <c r="G19" s="15" t="s">
        <v>293</v>
      </c>
      <c r="H19" s="15"/>
      <c r="I19" s="63" t="s">
        <v>274</v>
      </c>
      <c r="J19" s="63"/>
      <c r="K19" s="177">
        <v>1.1860978115035647</v>
      </c>
      <c r="L19" s="150">
        <f t="shared" si="0"/>
        <v>1.1860978115035647</v>
      </c>
      <c r="M19" s="150">
        <f t="shared" si="0"/>
        <v>1.1860978115035647</v>
      </c>
      <c r="N19" s="150">
        <f t="shared" si="0"/>
        <v>1.1860978115035647</v>
      </c>
      <c r="O19" s="150">
        <f t="shared" si="0"/>
        <v>1.1860978115035647</v>
      </c>
    </row>
    <row r="20" spans="1:15" outlineLevel="1" x14ac:dyDescent="0.3">
      <c r="K20" s="167"/>
      <c r="L20" s="195"/>
      <c r="M20" s="195"/>
      <c r="N20" s="195"/>
      <c r="O20" s="195"/>
    </row>
    <row r="21" spans="1:15" outlineLevel="1" x14ac:dyDescent="0.3">
      <c r="E21" s="3" t="s">
        <v>222</v>
      </c>
      <c r="F21" s="3"/>
      <c r="K21" s="167"/>
      <c r="L21" s="195"/>
      <c r="M21" s="195"/>
      <c r="N21" s="195"/>
      <c r="O21" s="195"/>
    </row>
    <row r="22" spans="1:15" s="14" customFormat="1" outlineLevel="1" x14ac:dyDescent="0.3">
      <c r="A22" s="76"/>
      <c r="B22" s="15"/>
      <c r="C22" s="15"/>
      <c r="D22" s="15"/>
      <c r="E22" s="3"/>
      <c r="F22" s="3"/>
      <c r="G22" s="15" t="s">
        <v>167</v>
      </c>
      <c r="H22" s="15"/>
      <c r="I22" s="63" t="s">
        <v>171</v>
      </c>
      <c r="J22" s="63"/>
      <c r="K22" s="178">
        <v>0.13553555845672963</v>
      </c>
      <c r="L22" s="214">
        <f t="shared" ref="L22:O23" si="1">K22</f>
        <v>0.13553555845672963</v>
      </c>
      <c r="M22" s="214">
        <f t="shared" si="1"/>
        <v>0.13553555845672963</v>
      </c>
      <c r="N22" s="214">
        <f t="shared" si="1"/>
        <v>0.13553555845672963</v>
      </c>
      <c r="O22" s="214">
        <f t="shared" si="1"/>
        <v>0.13553555845672963</v>
      </c>
    </row>
    <row r="23" spans="1:15" s="14" customFormat="1" outlineLevel="1" x14ac:dyDescent="0.3">
      <c r="A23" s="76"/>
      <c r="B23" s="15"/>
      <c r="C23" s="15"/>
      <c r="D23" s="15"/>
      <c r="E23" s="3"/>
      <c r="F23" s="3"/>
      <c r="G23" s="15" t="s">
        <v>258</v>
      </c>
      <c r="H23" s="15"/>
      <c r="I23" s="63" t="s">
        <v>171</v>
      </c>
      <c r="J23" s="63"/>
      <c r="K23" s="178">
        <v>0.19787934705811744</v>
      </c>
      <c r="L23" s="293">
        <f t="shared" si="1"/>
        <v>0.19787934705811744</v>
      </c>
      <c r="M23" s="214">
        <f t="shared" si="1"/>
        <v>0.19787934705811744</v>
      </c>
      <c r="N23" s="214">
        <f t="shared" si="1"/>
        <v>0.19787934705811744</v>
      </c>
      <c r="O23" s="214">
        <f t="shared" si="1"/>
        <v>0.19787934705811744</v>
      </c>
    </row>
    <row r="24" spans="1:15" s="14" customFormat="1" outlineLevel="1" x14ac:dyDescent="0.3">
      <c r="A24" s="76"/>
      <c r="B24" s="15"/>
      <c r="C24" s="15"/>
      <c r="D24" s="15"/>
      <c r="E24" s="3"/>
      <c r="F24" s="3"/>
      <c r="G24" s="15"/>
      <c r="H24" s="15"/>
      <c r="I24" s="63"/>
      <c r="J24" s="63"/>
      <c r="K24" s="63"/>
      <c r="L24" s="292"/>
      <c r="M24" s="174"/>
      <c r="N24" s="175"/>
      <c r="O24" s="175"/>
    </row>
    <row r="25" spans="1:15" s="14" customFormat="1" outlineLevel="1" x14ac:dyDescent="0.3">
      <c r="A25" s="76"/>
      <c r="B25" s="15"/>
      <c r="C25" s="15"/>
      <c r="D25" s="15"/>
      <c r="E25" s="3" t="s">
        <v>294</v>
      </c>
      <c r="F25" s="3"/>
      <c r="G25" s="15"/>
      <c r="H25" s="15"/>
      <c r="I25" s="63"/>
      <c r="J25" s="63"/>
      <c r="K25" s="63"/>
      <c r="M25" s="174"/>
      <c r="N25" s="175"/>
      <c r="O25" s="175"/>
    </row>
    <row r="26" spans="1:15" s="14" customFormat="1" outlineLevel="1" x14ac:dyDescent="0.3">
      <c r="A26" s="76"/>
      <c r="B26" s="15"/>
      <c r="C26" s="15"/>
      <c r="D26" s="15"/>
      <c r="E26" s="3"/>
      <c r="F26" s="3"/>
      <c r="G26" s="15" t="s">
        <v>295</v>
      </c>
      <c r="H26" s="15"/>
      <c r="I26" s="63" t="s">
        <v>296</v>
      </c>
      <c r="J26" s="63"/>
      <c r="K26" s="212"/>
      <c r="L26" s="168">
        <f>Cockpit!$I$27</f>
        <v>100</v>
      </c>
      <c r="M26" s="150">
        <f t="shared" ref="M26:O28" si="2">L26</f>
        <v>100</v>
      </c>
      <c r="N26" s="150">
        <f t="shared" si="2"/>
        <v>100</v>
      </c>
      <c r="O26" s="150">
        <f t="shared" si="2"/>
        <v>100</v>
      </c>
    </row>
    <row r="27" spans="1:15" s="14" customFormat="1" outlineLevel="1" x14ac:dyDescent="0.3">
      <c r="A27" s="76"/>
      <c r="B27" s="15"/>
      <c r="C27" s="15"/>
      <c r="D27" s="15"/>
      <c r="E27" s="3"/>
      <c r="F27" s="3"/>
      <c r="G27" s="15" t="s">
        <v>297</v>
      </c>
      <c r="H27" s="15"/>
      <c r="I27" s="63" t="s">
        <v>296</v>
      </c>
      <c r="J27" s="63"/>
      <c r="K27" s="212"/>
      <c r="L27" s="168">
        <f>Cockpit!$I$28</f>
        <v>0</v>
      </c>
      <c r="M27" s="150">
        <f t="shared" si="2"/>
        <v>0</v>
      </c>
      <c r="N27" s="150">
        <f t="shared" si="2"/>
        <v>0</v>
      </c>
      <c r="O27" s="150">
        <f t="shared" si="2"/>
        <v>0</v>
      </c>
    </row>
    <row r="28" spans="1:15" s="14" customFormat="1" outlineLevel="1" x14ac:dyDescent="0.3">
      <c r="A28" s="76"/>
      <c r="B28" s="15"/>
      <c r="C28" s="15"/>
      <c r="D28" s="15"/>
      <c r="F28" s="3"/>
      <c r="G28" s="14" t="s">
        <v>257</v>
      </c>
      <c r="H28" s="15"/>
      <c r="I28" s="63" t="s">
        <v>296</v>
      </c>
      <c r="J28" s="63"/>
      <c r="K28" s="212"/>
      <c r="L28" s="168">
        <f>Cockpit!$I$29</f>
        <v>100</v>
      </c>
      <c r="M28" s="150">
        <f t="shared" si="2"/>
        <v>100</v>
      </c>
      <c r="N28" s="150">
        <f t="shared" si="2"/>
        <v>100</v>
      </c>
      <c r="O28" s="150">
        <f t="shared" si="2"/>
        <v>100</v>
      </c>
    </row>
    <row r="29" spans="1:15" s="137" customFormat="1" outlineLevel="1" x14ac:dyDescent="0.3">
      <c r="A29" s="76"/>
      <c r="B29" s="76"/>
      <c r="C29" s="76"/>
      <c r="D29" s="76"/>
      <c r="E29" s="3"/>
      <c r="F29" s="3"/>
      <c r="G29" s="76"/>
      <c r="H29" s="76"/>
      <c r="I29" s="200"/>
      <c r="J29" s="200"/>
      <c r="K29" s="200"/>
      <c r="L29" s="174"/>
      <c r="M29" s="174"/>
      <c r="N29" s="201"/>
      <c r="O29" s="201"/>
    </row>
    <row r="30" spans="1:15" s="14" customFormat="1" outlineLevel="1" x14ac:dyDescent="0.3">
      <c r="A30" s="76"/>
      <c r="B30" s="15"/>
      <c r="C30" s="15"/>
      <c r="D30" s="15"/>
      <c r="E30" s="3" t="s">
        <v>298</v>
      </c>
      <c r="F30" s="3"/>
      <c r="G30" s="15"/>
      <c r="H30" s="15"/>
      <c r="I30" s="63"/>
      <c r="J30" s="63"/>
      <c r="K30" s="63"/>
      <c r="M30" s="174"/>
      <c r="N30" s="175"/>
      <c r="O30" s="175"/>
    </row>
    <row r="31" spans="1:15" s="14" customFormat="1" outlineLevel="1" x14ac:dyDescent="0.3">
      <c r="A31" s="76"/>
      <c r="B31" s="15"/>
      <c r="C31" s="15"/>
      <c r="D31" s="15"/>
      <c r="E31" s="3"/>
      <c r="F31" s="3"/>
      <c r="G31" s="15" t="s">
        <v>295</v>
      </c>
      <c r="H31" s="15"/>
      <c r="I31" s="63" t="s">
        <v>85</v>
      </c>
      <c r="J31" s="63"/>
      <c r="K31" s="212"/>
      <c r="L31" s="168">
        <f>Cockpit!$I$32</f>
        <v>130</v>
      </c>
      <c r="M31" s="150">
        <f t="shared" ref="M31:O32" si="3">L31</f>
        <v>130</v>
      </c>
      <c r="N31" s="150">
        <f t="shared" si="3"/>
        <v>130</v>
      </c>
      <c r="O31" s="150">
        <f t="shared" si="3"/>
        <v>130</v>
      </c>
    </row>
    <row r="32" spans="1:15" s="14" customFormat="1" outlineLevel="1" x14ac:dyDescent="0.3">
      <c r="A32" s="76"/>
      <c r="B32" s="15"/>
      <c r="C32" s="15"/>
      <c r="D32" s="15"/>
      <c r="E32" s="3"/>
      <c r="F32" s="3"/>
      <c r="G32" s="15" t="s">
        <v>297</v>
      </c>
      <c r="H32" s="15"/>
      <c r="I32" s="63" t="s">
        <v>85</v>
      </c>
      <c r="J32" s="63"/>
      <c r="K32" s="212"/>
      <c r="L32" s="168">
        <f>Cockpit!$I$33</f>
        <v>0</v>
      </c>
      <c r="M32" s="150">
        <f t="shared" si="3"/>
        <v>0</v>
      </c>
      <c r="N32" s="150">
        <f t="shared" si="3"/>
        <v>0</v>
      </c>
      <c r="O32" s="150">
        <f t="shared" si="3"/>
        <v>0</v>
      </c>
    </row>
    <row r="33" spans="1:15" s="137" customFormat="1" outlineLevel="1" x14ac:dyDescent="0.3">
      <c r="A33" s="76"/>
      <c r="B33" s="76"/>
      <c r="C33" s="76"/>
      <c r="D33" s="76"/>
      <c r="E33" s="3"/>
      <c r="F33" s="3"/>
      <c r="G33" s="76"/>
      <c r="H33" s="76"/>
      <c r="I33" s="200"/>
      <c r="J33" s="200"/>
      <c r="K33" s="200"/>
      <c r="L33" s="174"/>
      <c r="M33" s="174"/>
      <c r="N33" s="201"/>
      <c r="O33" s="201"/>
    </row>
    <row r="34" spans="1:15" outlineLevel="1" x14ac:dyDescent="0.3">
      <c r="A34" s="76"/>
      <c r="E34" s="3" t="s">
        <v>181</v>
      </c>
      <c r="F34" s="3"/>
      <c r="G34" s="3"/>
      <c r="H34" s="3"/>
      <c r="I34" s="3"/>
      <c r="J34" s="63"/>
      <c r="K34" s="63"/>
      <c r="L34" s="174"/>
      <c r="M34" s="165"/>
      <c r="N34" s="165"/>
      <c r="O34" s="165"/>
    </row>
    <row r="35" spans="1:15" s="14" customFormat="1" outlineLevel="1" x14ac:dyDescent="0.3">
      <c r="A35" s="76"/>
      <c r="B35" s="15"/>
      <c r="C35" s="15"/>
      <c r="D35" s="15"/>
      <c r="E35" s="3"/>
      <c r="F35" s="3"/>
      <c r="G35" s="15" t="s">
        <v>276</v>
      </c>
      <c r="H35" s="15"/>
      <c r="I35" s="63" t="s">
        <v>79</v>
      </c>
      <c r="J35" s="63"/>
      <c r="K35" s="212"/>
      <c r="L35" s="168">
        <f>Cockpit!I21</f>
        <v>1</v>
      </c>
      <c r="M35" s="212"/>
      <c r="N35" s="212"/>
      <c r="O35" s="212"/>
    </row>
    <row r="36" spans="1:15" s="14" customFormat="1" outlineLevel="1" x14ac:dyDescent="0.3">
      <c r="A36" s="76"/>
      <c r="B36" s="15"/>
      <c r="C36" s="15"/>
      <c r="D36" s="15"/>
      <c r="E36" s="48"/>
      <c r="F36" s="48"/>
      <c r="G36" s="15" t="s">
        <v>279</v>
      </c>
      <c r="H36" s="15"/>
      <c r="I36" s="63" t="s">
        <v>79</v>
      </c>
      <c r="J36" s="62"/>
      <c r="K36" s="213"/>
      <c r="L36" s="168">
        <f>Cockpit!I23</f>
        <v>1</v>
      </c>
      <c r="M36" s="213"/>
      <c r="N36" s="213"/>
      <c r="O36" s="213"/>
    </row>
    <row r="37" spans="1:15" s="14" customFormat="1" outlineLevel="1" x14ac:dyDescent="0.3">
      <c r="A37" s="76"/>
      <c r="B37" s="15"/>
      <c r="C37" s="15"/>
      <c r="D37" s="15"/>
      <c r="E37" s="48"/>
      <c r="F37" s="48"/>
      <c r="G37" s="15" t="s">
        <v>299</v>
      </c>
      <c r="H37" s="15"/>
      <c r="I37" s="63" t="s">
        <v>197</v>
      </c>
      <c r="J37" s="62"/>
      <c r="K37" s="168">
        <f>Cockpit!$I$48</f>
        <v>4</v>
      </c>
      <c r="L37" s="55">
        <f>K37</f>
        <v>4</v>
      </c>
      <c r="M37" s="55">
        <f>L37</f>
        <v>4</v>
      </c>
      <c r="N37" s="55">
        <f>M37</f>
        <v>4</v>
      </c>
      <c r="O37" s="55">
        <f>N37</f>
        <v>4</v>
      </c>
    </row>
    <row r="38" spans="1:15" s="14" customFormat="1" outlineLevel="1" x14ac:dyDescent="0.3">
      <c r="A38" s="76"/>
      <c r="B38" s="15"/>
      <c r="C38" s="15"/>
      <c r="D38" s="15"/>
      <c r="E38" s="3"/>
      <c r="F38" s="3"/>
      <c r="G38" s="3"/>
      <c r="H38" s="3"/>
      <c r="I38" s="3"/>
      <c r="J38" s="63"/>
      <c r="K38" s="63"/>
      <c r="L38" s="174"/>
      <c r="M38" s="174"/>
      <c r="N38" s="175"/>
      <c r="O38" s="175"/>
    </row>
    <row r="39" spans="1:15" s="14" customFormat="1" hidden="1" outlineLevel="1" x14ac:dyDescent="0.3">
      <c r="A39" s="76"/>
      <c r="B39" s="15"/>
      <c r="C39" s="15"/>
      <c r="D39" s="15"/>
      <c r="E39" s="3" t="s">
        <v>300</v>
      </c>
      <c r="F39" s="3"/>
      <c r="G39" s="3"/>
      <c r="H39" s="3"/>
      <c r="I39" s="3"/>
      <c r="J39" s="63"/>
      <c r="K39" s="205" t="s">
        <v>301</v>
      </c>
      <c r="L39" s="174"/>
      <c r="M39" s="174"/>
      <c r="N39" s="175"/>
      <c r="O39" s="175"/>
    </row>
    <row r="40" spans="1:15" s="14" customFormat="1" hidden="1" outlineLevel="1" x14ac:dyDescent="0.3">
      <c r="A40" s="76"/>
      <c r="B40" s="15"/>
      <c r="C40" s="15"/>
      <c r="D40" s="15"/>
      <c r="E40" s="3"/>
      <c r="F40" s="49" t="s">
        <v>167</v>
      </c>
      <c r="H40" s="3"/>
      <c r="I40" s="3"/>
      <c r="J40" s="63"/>
      <c r="K40" s="63"/>
      <c r="L40" s="174"/>
      <c r="M40" s="174"/>
      <c r="N40" s="175"/>
      <c r="O40" s="175"/>
    </row>
    <row r="41" spans="1:15" s="14" customFormat="1" hidden="1" outlineLevel="1" x14ac:dyDescent="0.3">
      <c r="A41" s="76"/>
      <c r="B41" s="15"/>
      <c r="C41" s="15"/>
      <c r="D41" s="15"/>
      <c r="E41" s="3"/>
      <c r="F41" s="3"/>
      <c r="G41" s="196" t="s">
        <v>365</v>
      </c>
      <c r="I41" s="65" t="s">
        <v>289</v>
      </c>
      <c r="K41" s="149">
        <f>Cockpit!$I$53</f>
        <v>0</v>
      </c>
      <c r="L41" s="176"/>
      <c r="M41" s="197">
        <v>9.7216820335855533E-3</v>
      </c>
      <c r="N41" s="197">
        <v>9.4121433877799102E-3</v>
      </c>
      <c r="O41" s="197">
        <v>8.3400165880401413E-3</v>
      </c>
    </row>
    <row r="42" spans="1:15" s="14" customFormat="1" hidden="1" outlineLevel="1" x14ac:dyDescent="0.3">
      <c r="A42" s="76"/>
      <c r="B42" s="15"/>
      <c r="C42" s="15"/>
      <c r="D42" s="15"/>
      <c r="E42" s="3"/>
      <c r="F42" s="3"/>
      <c r="G42" s="196" t="s">
        <v>366</v>
      </c>
      <c r="I42" s="65" t="s">
        <v>289</v>
      </c>
      <c r="K42" s="55">
        <f>K41</f>
        <v>0</v>
      </c>
      <c r="L42" s="176"/>
      <c r="M42" s="197">
        <v>0</v>
      </c>
      <c r="N42" s="197">
        <v>0</v>
      </c>
      <c r="O42" s="197">
        <v>0</v>
      </c>
    </row>
    <row r="43" spans="1:15" s="14" customFormat="1" hidden="1" outlineLevel="1" x14ac:dyDescent="0.3">
      <c r="A43" s="76"/>
      <c r="B43" s="15"/>
      <c r="C43" s="15"/>
      <c r="D43" s="15"/>
      <c r="E43" s="3"/>
      <c r="F43" s="3"/>
      <c r="G43" s="196" t="s">
        <v>202</v>
      </c>
      <c r="I43" s="65" t="s">
        <v>79</v>
      </c>
      <c r="K43" s="149">
        <f>Cockpit!I54</f>
        <v>0</v>
      </c>
      <c r="L43" s="176"/>
      <c r="M43" s="197">
        <v>0.66993939393939395</v>
      </c>
      <c r="N43" s="197">
        <v>1.2466521739130436</v>
      </c>
      <c r="O43" s="197">
        <v>2.2246315789473683</v>
      </c>
    </row>
    <row r="44" spans="1:15" s="14" customFormat="1" hidden="1" outlineLevel="1" x14ac:dyDescent="0.3">
      <c r="A44" s="76"/>
      <c r="B44" s="15"/>
      <c r="C44" s="15"/>
      <c r="D44" s="15"/>
      <c r="E44" s="3"/>
      <c r="F44" s="3"/>
      <c r="G44" s="196" t="s">
        <v>203</v>
      </c>
      <c r="I44" s="65" t="s">
        <v>197</v>
      </c>
      <c r="K44" s="149">
        <f>Cockpit!I55</f>
        <v>1</v>
      </c>
      <c r="L44" s="176"/>
      <c r="M44" s="202">
        <v>9.6733279408078303</v>
      </c>
      <c r="N44" s="202">
        <v>9.4060688006793178</v>
      </c>
      <c r="O44" s="202">
        <v>8.4359065990464579</v>
      </c>
    </row>
    <row r="45" spans="1:15" s="14" customFormat="1" hidden="1" outlineLevel="1" x14ac:dyDescent="0.3">
      <c r="A45" s="76"/>
      <c r="B45" s="15"/>
      <c r="C45" s="15"/>
      <c r="D45" s="15"/>
      <c r="E45" s="3"/>
      <c r="F45" s="198" t="s">
        <v>172</v>
      </c>
      <c r="I45" s="193"/>
      <c r="J45" s="193"/>
      <c r="K45" s="193"/>
      <c r="L45" s="174"/>
      <c r="M45" s="204"/>
      <c r="N45" s="204"/>
      <c r="O45" s="204"/>
    </row>
    <row r="46" spans="1:15" s="14" customFormat="1" hidden="1" outlineLevel="1" x14ac:dyDescent="0.3">
      <c r="A46" s="76"/>
      <c r="B46" s="15"/>
      <c r="C46" s="15"/>
      <c r="D46" s="15"/>
      <c r="E46" s="3"/>
      <c r="F46" s="3"/>
      <c r="G46" s="196" t="s">
        <v>365</v>
      </c>
      <c r="I46" s="65" t="s">
        <v>289</v>
      </c>
      <c r="K46" s="55">
        <f>K41</f>
        <v>0</v>
      </c>
      <c r="L46" s="176"/>
      <c r="M46" s="203">
        <v>1.0113336210617175E-2</v>
      </c>
      <c r="N46" s="203">
        <v>9.8704411704064136E-3</v>
      </c>
      <c r="O46" s="203">
        <v>8.0251088310558313E-3</v>
      </c>
    </row>
    <row r="47" spans="1:15" s="14" customFormat="1" hidden="1" outlineLevel="1" x14ac:dyDescent="0.3">
      <c r="A47" s="76"/>
      <c r="B47" s="15"/>
      <c r="C47" s="15"/>
      <c r="D47" s="15"/>
      <c r="E47" s="3"/>
      <c r="F47" s="3"/>
      <c r="G47" s="196" t="s">
        <v>366</v>
      </c>
      <c r="I47" s="65" t="s">
        <v>289</v>
      </c>
      <c r="K47" s="55">
        <f>K42</f>
        <v>0</v>
      </c>
      <c r="L47" s="176"/>
      <c r="M47" s="197">
        <v>0</v>
      </c>
      <c r="N47" s="197">
        <v>0</v>
      </c>
      <c r="O47" s="197">
        <v>0</v>
      </c>
    </row>
    <row r="48" spans="1:15" s="14" customFormat="1" hidden="1" outlineLevel="1" x14ac:dyDescent="0.3">
      <c r="A48" s="76"/>
      <c r="B48" s="15"/>
      <c r="C48" s="15"/>
      <c r="D48" s="15"/>
      <c r="E48" s="3"/>
      <c r="F48" s="3"/>
      <c r="G48" s="196" t="s">
        <v>202</v>
      </c>
      <c r="I48" s="65" t="s">
        <v>79</v>
      </c>
      <c r="K48" s="55">
        <f>K43</f>
        <v>0</v>
      </c>
      <c r="L48" s="176"/>
      <c r="M48" s="197">
        <v>0.64157142857142857</v>
      </c>
      <c r="N48" s="197">
        <v>1.2934444444444446</v>
      </c>
      <c r="O48" s="197">
        <v>2.0900909090909092</v>
      </c>
    </row>
    <row r="49" spans="1:19" s="14" customFormat="1" hidden="1" outlineLevel="1" x14ac:dyDescent="0.3">
      <c r="A49" s="76"/>
      <c r="B49" s="15"/>
      <c r="C49" s="15"/>
      <c r="D49" s="15"/>
      <c r="E49" s="3"/>
      <c r="F49" s="3"/>
      <c r="G49" s="196" t="s">
        <v>203</v>
      </c>
      <c r="I49" s="65" t="s">
        <v>197</v>
      </c>
      <c r="K49" s="55">
        <f>K44</f>
        <v>1</v>
      </c>
      <c r="L49" s="176"/>
      <c r="M49" s="197">
        <v>10.302273192156534</v>
      </c>
      <c r="N49" s="197">
        <v>9.160223217498114</v>
      </c>
      <c r="O49" s="197">
        <v>8.2369155543103929</v>
      </c>
    </row>
    <row r="50" spans="1:19" s="14" customFormat="1" hidden="1" outlineLevel="1" x14ac:dyDescent="0.3">
      <c r="A50" s="76"/>
      <c r="B50" s="15"/>
      <c r="C50" s="15"/>
      <c r="D50" s="15"/>
      <c r="E50" s="3"/>
      <c r="F50" s="3"/>
      <c r="G50" s="3"/>
      <c r="H50" s="3"/>
      <c r="I50" s="3"/>
      <c r="J50" s="63"/>
      <c r="K50" s="63"/>
      <c r="L50" s="174"/>
      <c r="M50" s="174"/>
      <c r="N50" s="175"/>
      <c r="O50" s="175"/>
    </row>
    <row r="51" spans="1:19" s="14" customFormat="1" outlineLevel="1" x14ac:dyDescent="0.3">
      <c r="A51" s="76"/>
      <c r="B51" s="15"/>
      <c r="C51" s="15"/>
      <c r="D51" s="15"/>
      <c r="E51" s="3" t="s">
        <v>188</v>
      </c>
      <c r="F51" s="3"/>
      <c r="G51" s="3"/>
      <c r="H51" s="3"/>
      <c r="I51" s="3"/>
      <c r="J51" s="63"/>
      <c r="K51" s="63"/>
      <c r="L51" s="174"/>
      <c r="M51" s="174"/>
      <c r="N51" s="175"/>
      <c r="O51" s="175"/>
    </row>
    <row r="52" spans="1:19" s="14" customFormat="1" outlineLevel="1" x14ac:dyDescent="0.3">
      <c r="A52" s="76"/>
      <c r="B52" s="15"/>
      <c r="C52" s="15"/>
      <c r="D52" s="15"/>
      <c r="E52" s="3"/>
      <c r="F52" s="3"/>
      <c r="G52" s="269" t="s">
        <v>189</v>
      </c>
      <c r="H52" s="3"/>
      <c r="I52" s="3"/>
      <c r="J52" s="63"/>
      <c r="K52" s="270">
        <f>Cockpit!I40</f>
        <v>0</v>
      </c>
      <c r="L52" s="176"/>
      <c r="M52" s="176"/>
      <c r="N52" s="219"/>
      <c r="O52" s="219"/>
    </row>
    <row r="53" spans="1:19" s="14" customFormat="1" outlineLevel="1" x14ac:dyDescent="0.3">
      <c r="A53" s="76"/>
      <c r="B53" s="15"/>
      <c r="C53" s="15"/>
      <c r="D53" s="15"/>
      <c r="E53" s="3"/>
      <c r="F53" s="3"/>
      <c r="G53" s="269" t="s">
        <v>302</v>
      </c>
      <c r="H53" s="3"/>
      <c r="I53" s="3"/>
      <c r="J53" s="63"/>
      <c r="K53" s="178">
        <f>Cockpit!I41</f>
        <v>6.0999999999999999E-2</v>
      </c>
      <c r="L53" s="176"/>
      <c r="M53" s="176"/>
      <c r="N53" s="219"/>
      <c r="O53" s="219"/>
    </row>
    <row r="54" spans="1:19" s="14" customFormat="1" outlineLevel="1" x14ac:dyDescent="0.3">
      <c r="A54" s="76"/>
      <c r="B54" s="15"/>
      <c r="C54" s="15"/>
      <c r="D54" s="15"/>
      <c r="E54" s="3"/>
      <c r="F54" s="3"/>
      <c r="G54" s="269" t="s">
        <v>192</v>
      </c>
      <c r="H54" s="3"/>
      <c r="I54" s="3"/>
      <c r="J54" s="63"/>
      <c r="K54" s="178">
        <f>Cockpit!I43</f>
        <v>1</v>
      </c>
      <c r="L54" s="176"/>
      <c r="M54" s="176"/>
      <c r="N54" s="219"/>
      <c r="O54" s="219"/>
    </row>
    <row r="55" spans="1:19" s="14" customFormat="1" outlineLevel="1" x14ac:dyDescent="0.3">
      <c r="A55" s="76"/>
      <c r="B55" s="15"/>
      <c r="C55" s="15"/>
      <c r="D55" s="15"/>
      <c r="E55" s="3"/>
      <c r="F55" s="3"/>
      <c r="G55" s="269" t="s">
        <v>194</v>
      </c>
      <c r="H55" s="3"/>
      <c r="I55" s="3"/>
      <c r="J55" s="63"/>
      <c r="K55" s="178">
        <f>Cockpit!I44</f>
        <v>0.08</v>
      </c>
      <c r="L55" s="176"/>
      <c r="M55" s="176"/>
      <c r="N55" s="219"/>
      <c r="O55" s="219"/>
    </row>
    <row r="56" spans="1:19" s="14" customFormat="1" outlineLevel="1" x14ac:dyDescent="0.3">
      <c r="A56" s="76"/>
      <c r="B56" s="15"/>
      <c r="C56" s="15"/>
      <c r="D56" s="15"/>
      <c r="E56" s="3"/>
      <c r="F56" s="3"/>
      <c r="G56" s="3"/>
      <c r="H56" s="3"/>
      <c r="I56" s="3"/>
      <c r="J56" s="63"/>
      <c r="K56" s="63"/>
      <c r="L56" s="174"/>
      <c r="M56" s="174"/>
      <c r="N56" s="175"/>
      <c r="O56" s="175"/>
    </row>
    <row r="57" spans="1:19" x14ac:dyDescent="0.3">
      <c r="B57" s="22" t="s">
        <v>283</v>
      </c>
      <c r="C57" s="22"/>
      <c r="D57" s="22"/>
      <c r="E57" s="22"/>
      <c r="F57" s="22"/>
      <c r="G57" s="22"/>
      <c r="H57" s="22"/>
      <c r="I57" s="22"/>
      <c r="J57" s="22"/>
      <c r="K57" s="22"/>
      <c r="L57" s="173"/>
      <c r="M57" s="173"/>
      <c r="N57" s="173"/>
      <c r="O57" s="173"/>
      <c r="P57" s="22"/>
      <c r="Q57" s="22"/>
      <c r="R57" s="22"/>
      <c r="S57" s="22"/>
    </row>
    <row r="58" spans="1:19" x14ac:dyDescent="0.3">
      <c r="I58" s="3"/>
      <c r="J58" s="65"/>
      <c r="K58" s="65"/>
      <c r="L58" s="174"/>
      <c r="M58" s="174"/>
      <c r="N58" s="174"/>
      <c r="O58" s="174"/>
      <c r="P58" s="3"/>
      <c r="Q58" s="3"/>
    </row>
    <row r="59" spans="1:19" x14ac:dyDescent="0.3">
      <c r="E59" s="48" t="s">
        <v>181</v>
      </c>
      <c r="I59" s="3"/>
      <c r="J59" s="65"/>
      <c r="K59" s="65"/>
      <c r="L59" s="174"/>
      <c r="M59" s="174"/>
      <c r="N59" s="174"/>
      <c r="O59" s="174"/>
      <c r="P59" s="3"/>
      <c r="Q59" s="3"/>
    </row>
    <row r="60" spans="1:19" x14ac:dyDescent="0.3">
      <c r="G60" s="15" t="s">
        <v>276</v>
      </c>
      <c r="I60" s="63" t="s">
        <v>79</v>
      </c>
      <c r="J60" s="63"/>
      <c r="K60" s="63"/>
      <c r="L60" s="168">
        <f>L35</f>
        <v>1</v>
      </c>
      <c r="M60" s="150">
        <f>IF($K41=1,M41*M28+M42,M43)</f>
        <v>0.66993939393939395</v>
      </c>
      <c r="N60" s="150">
        <f>IF($K41=1,N41*N28+N42,N43)</f>
        <v>1.2466521739130436</v>
      </c>
      <c r="O60" s="150">
        <f>IF($K41=1,O41*O28+O42,O43)</f>
        <v>2.2246315789473683</v>
      </c>
      <c r="P60" s="3"/>
      <c r="Q60" s="3"/>
    </row>
    <row r="61" spans="1:19" x14ac:dyDescent="0.3">
      <c r="G61" s="15" t="s">
        <v>279</v>
      </c>
      <c r="I61" s="63" t="s">
        <v>79</v>
      </c>
      <c r="L61" s="168">
        <f>L36</f>
        <v>1</v>
      </c>
      <c r="M61" s="150">
        <f>IF($K46=1,M46*M28+M47,M48)</f>
        <v>0.64157142857142857</v>
      </c>
      <c r="N61" s="150">
        <f>IF($K46=1,N46*N28+N47,N48)</f>
        <v>1.2934444444444446</v>
      </c>
      <c r="O61" s="150">
        <f>IF($K46=1,O46*O28+O47,O48)</f>
        <v>2.0900909090909092</v>
      </c>
      <c r="P61" s="3"/>
      <c r="Q61" s="3"/>
    </row>
    <row r="62" spans="1:19" x14ac:dyDescent="0.3">
      <c r="I62" s="3"/>
      <c r="J62" s="65"/>
      <c r="K62" s="65"/>
      <c r="L62" s="174"/>
      <c r="M62" s="174"/>
      <c r="N62" s="174"/>
      <c r="O62" s="174"/>
      <c r="P62" s="3"/>
      <c r="Q62" s="3"/>
    </row>
    <row r="63" spans="1:19" x14ac:dyDescent="0.3">
      <c r="I63" s="3"/>
      <c r="J63" s="65"/>
      <c r="K63" s="65"/>
      <c r="L63" s="174"/>
      <c r="M63" s="174"/>
      <c r="N63" s="174"/>
      <c r="O63" s="174"/>
      <c r="P63" s="3"/>
      <c r="Q63" s="3"/>
    </row>
    <row r="64" spans="1:19" x14ac:dyDescent="0.3">
      <c r="C64" s="3"/>
      <c r="D64" s="3"/>
      <c r="E64" s="48" t="s">
        <v>282</v>
      </c>
      <c r="G64" s="3"/>
      <c r="H64" s="3"/>
      <c r="I64" s="63"/>
      <c r="J64" s="15"/>
      <c r="K64" s="15"/>
      <c r="L64" s="165"/>
      <c r="M64" s="165"/>
      <c r="N64" s="165"/>
      <c r="O64" s="165"/>
      <c r="P64" s="67"/>
    </row>
    <row r="65" spans="3:16" x14ac:dyDescent="0.3">
      <c r="C65" s="3"/>
      <c r="D65" s="3"/>
      <c r="F65" s="33" t="s">
        <v>303</v>
      </c>
      <c r="G65" s="3"/>
      <c r="H65" s="3"/>
      <c r="I65" s="63"/>
      <c r="J65" s="15"/>
      <c r="K65" s="15"/>
      <c r="L65" s="165"/>
      <c r="M65" s="165"/>
      <c r="N65" s="165"/>
      <c r="O65" s="165"/>
      <c r="P65" s="67"/>
    </row>
    <row r="66" spans="3:16" x14ac:dyDescent="0.3">
      <c r="C66" s="3"/>
      <c r="D66" s="3"/>
      <c r="E66" s="33"/>
      <c r="F66" s="33"/>
      <c r="G66" s="15" t="s">
        <v>167</v>
      </c>
      <c r="H66" s="63" t="s">
        <v>197</v>
      </c>
      <c r="I66" s="63"/>
      <c r="J66" s="15"/>
      <c r="K66" s="15"/>
      <c r="L66" s="150">
        <f>(L60*1000/L$28)</f>
        <v>10</v>
      </c>
      <c r="M66" s="150">
        <f>(IF($K44=1,M44,IF($K43=1,(M60*1000)/M28,M41*1000)))</f>
        <v>9.6733279408078303</v>
      </c>
      <c r="N66" s="150">
        <f>(IF($K44=1,N44,IF($K43=1,(N60*1000)/N28,N41*1000)))</f>
        <v>9.4060688006793178</v>
      </c>
      <c r="O66" s="150">
        <f>(IF($K44=1,O44,IF($K43=1,(O60*1000)/O28,O41*1000)))</f>
        <v>8.4359065990464579</v>
      </c>
      <c r="P66" s="67"/>
    </row>
    <row r="67" spans="3:16" x14ac:dyDescent="0.3">
      <c r="C67" s="3"/>
      <c r="D67" s="3"/>
      <c r="E67" s="33"/>
      <c r="F67" s="33"/>
      <c r="G67" s="15" t="s">
        <v>258</v>
      </c>
      <c r="H67" s="63" t="s">
        <v>197</v>
      </c>
      <c r="I67" s="63"/>
      <c r="J67" s="15"/>
      <c r="K67" s="15"/>
      <c r="L67" s="150">
        <f>(L61*1000/L$28)</f>
        <v>10</v>
      </c>
      <c r="M67" s="150">
        <f>(IF($K49=1,M49,IF($K48=1,(M61*1000)/M28,M46*1000)))</f>
        <v>10.302273192156534</v>
      </c>
      <c r="N67" s="150">
        <f>(IF($K49=1,N49,IF($K48=1,(N61*1000)/N28,N46*1000)))</f>
        <v>9.160223217498114</v>
      </c>
      <c r="O67" s="150">
        <f>(IF($K49=1,O49,IF($K48=1,(O61*1000)/O28,O46*1000)))</f>
        <v>8.2369155543103929</v>
      </c>
      <c r="P67" s="67"/>
    </row>
    <row r="68" spans="3:16" x14ac:dyDescent="0.3">
      <c r="C68" s="3"/>
      <c r="D68" s="3"/>
      <c r="E68" s="33"/>
      <c r="F68" s="33" t="s">
        <v>304</v>
      </c>
      <c r="G68" s="3"/>
      <c r="H68" s="3"/>
      <c r="I68" s="63"/>
      <c r="J68" s="15"/>
      <c r="K68" s="15"/>
      <c r="L68" s="165"/>
      <c r="M68" s="165"/>
      <c r="N68" s="165"/>
      <c r="O68" s="165"/>
      <c r="P68" s="67"/>
    </row>
    <row r="69" spans="3:16" x14ac:dyDescent="0.3">
      <c r="C69" s="3"/>
      <c r="D69" s="3"/>
      <c r="E69" s="33"/>
      <c r="F69" s="33"/>
      <c r="G69" s="15" t="s">
        <v>167</v>
      </c>
      <c r="H69" s="63" t="s">
        <v>197</v>
      </c>
      <c r="I69" s="63"/>
      <c r="J69" s="15"/>
      <c r="K69" s="15"/>
      <c r="L69" s="222">
        <f t="shared" ref="L69:O70" si="4">IF(AND(L66&lt;L$37,L66&gt;0),L$37,L66)</f>
        <v>10</v>
      </c>
      <c r="M69" s="222">
        <f t="shared" si="4"/>
        <v>9.6733279408078303</v>
      </c>
      <c r="N69" s="222">
        <f t="shared" si="4"/>
        <v>9.4060688006793178</v>
      </c>
      <c r="O69" s="222">
        <f t="shared" si="4"/>
        <v>8.4359065990464579</v>
      </c>
      <c r="P69" s="67"/>
    </row>
    <row r="70" spans="3:16" x14ac:dyDescent="0.3">
      <c r="C70" s="3"/>
      <c r="D70" s="3"/>
      <c r="E70" s="33"/>
      <c r="F70" s="33"/>
      <c r="G70" s="15" t="s">
        <v>258</v>
      </c>
      <c r="H70" s="63" t="s">
        <v>197</v>
      </c>
      <c r="I70" s="63"/>
      <c r="J70" s="15"/>
      <c r="K70" s="15"/>
      <c r="L70" s="222">
        <f>IF(AND(L67&lt;L$37,L67&gt;0),L$37,L67)</f>
        <v>10</v>
      </c>
      <c r="M70" s="222">
        <f t="shared" si="4"/>
        <v>10.302273192156534</v>
      </c>
      <c r="N70" s="222">
        <f t="shared" si="4"/>
        <v>9.160223217498114</v>
      </c>
      <c r="O70" s="222">
        <f t="shared" si="4"/>
        <v>8.2369155543103929</v>
      </c>
      <c r="P70" s="67"/>
    </row>
    <row r="71" spans="3:16" x14ac:dyDescent="0.3">
      <c r="C71" s="3"/>
      <c r="D71" s="3"/>
      <c r="E71" s="33"/>
      <c r="F71" s="33"/>
      <c r="H71" s="63"/>
      <c r="I71" s="63"/>
      <c r="J71" s="15"/>
      <c r="K71" s="144"/>
      <c r="L71" s="223"/>
      <c r="M71" s="183"/>
      <c r="N71" s="183"/>
      <c r="O71" s="183"/>
      <c r="P71" s="67"/>
    </row>
    <row r="72" spans="3:16" x14ac:dyDescent="0.3">
      <c r="C72" s="3"/>
      <c r="D72" s="3"/>
      <c r="E72" s="33"/>
      <c r="F72" s="33"/>
      <c r="H72" s="63"/>
      <c r="I72" s="63"/>
      <c r="J72" s="15"/>
      <c r="K72" s="144"/>
      <c r="L72" s="183"/>
      <c r="M72" s="183"/>
      <c r="N72" s="183"/>
      <c r="O72" s="183"/>
      <c r="P72" s="67"/>
    </row>
    <row r="73" spans="3:16" x14ac:dyDescent="0.3">
      <c r="C73" s="33"/>
      <c r="D73" s="33"/>
      <c r="E73" s="48" t="s">
        <v>305</v>
      </c>
      <c r="H73" s="63"/>
      <c r="I73" s="63"/>
      <c r="J73" s="15"/>
      <c r="K73" s="15"/>
      <c r="L73" s="183"/>
      <c r="M73" s="183"/>
      <c r="N73" s="183"/>
      <c r="O73" s="183"/>
      <c r="P73" s="67"/>
    </row>
    <row r="74" spans="3:16" x14ac:dyDescent="0.3">
      <c r="C74" s="33"/>
      <c r="D74" s="33"/>
      <c r="E74" s="33"/>
      <c r="F74" s="33"/>
      <c r="G74" s="15" t="s">
        <v>167</v>
      </c>
      <c r="H74" s="63" t="s">
        <v>169</v>
      </c>
      <c r="I74" s="63"/>
      <c r="J74" s="15"/>
      <c r="K74" s="15"/>
      <c r="L74" s="150">
        <f t="shared" ref="L74:O75" si="5">L69*L17</f>
        <v>0.65875818748625037</v>
      </c>
      <c r="M74" s="150">
        <f t="shared" si="5"/>
        <v>0.63723839812466687</v>
      </c>
      <c r="N74" s="150">
        <f t="shared" si="5"/>
        <v>0.6196324834506477</v>
      </c>
      <c r="O74" s="150">
        <f t="shared" si="5"/>
        <v>0.55572225409911435</v>
      </c>
      <c r="P74" s="67"/>
    </row>
    <row r="75" spans="3:16" x14ac:dyDescent="0.3">
      <c r="C75" s="33"/>
      <c r="D75" s="33"/>
      <c r="E75" s="33"/>
      <c r="F75" s="33"/>
      <c r="G75" s="15" t="s">
        <v>258</v>
      </c>
      <c r="I75" s="63"/>
      <c r="J75" s="15"/>
      <c r="K75" s="15"/>
      <c r="L75" s="150">
        <f t="shared" si="5"/>
        <v>9.3901216432691381</v>
      </c>
      <c r="M75" s="150">
        <f t="shared" si="5"/>
        <v>9.67395984765405</v>
      </c>
      <c r="N75" s="150">
        <f t="shared" si="5"/>
        <v>8.6015610291805498</v>
      </c>
      <c r="O75" s="150">
        <f t="shared" si="5"/>
        <v>7.7345639020310228</v>
      </c>
      <c r="P75" s="67"/>
    </row>
    <row r="76" spans="3:16" x14ac:dyDescent="0.3">
      <c r="C76" s="3"/>
      <c r="D76" s="3"/>
      <c r="E76" s="67"/>
      <c r="F76" s="67"/>
      <c r="G76" s="223"/>
      <c r="I76" s="63"/>
      <c r="J76" s="15"/>
      <c r="K76" s="15"/>
      <c r="L76" s="174"/>
      <c r="M76" s="174"/>
      <c r="N76" s="165"/>
      <c r="O76" s="165"/>
      <c r="P76" s="67"/>
    </row>
    <row r="77" spans="3:16" x14ac:dyDescent="0.3">
      <c r="C77" s="3"/>
      <c r="D77" s="3"/>
      <c r="E77" s="154" t="str">
        <f>G19</f>
        <v>Leakage management</v>
      </c>
      <c r="F77" s="154"/>
      <c r="H77" s="63" t="s">
        <v>169</v>
      </c>
      <c r="I77" s="63"/>
      <c r="J77" s="15"/>
      <c r="K77" s="15"/>
      <c r="L77" s="150">
        <f t="shared" ref="L77:N77" si="6">L19*L69</f>
        <v>11.860978115035648</v>
      </c>
      <c r="M77" s="150">
        <f t="shared" si="6"/>
        <v>11.473513100548452</v>
      </c>
      <c r="N77" s="150">
        <f t="shared" si="6"/>
        <v>11.156517619337698</v>
      </c>
      <c r="O77" s="150">
        <f>O19*O69</f>
        <v>10.005810355177484</v>
      </c>
      <c r="P77" s="67"/>
    </row>
    <row r="78" spans="3:16" x14ac:dyDescent="0.3">
      <c r="C78" s="3"/>
      <c r="D78" s="3"/>
      <c r="E78" s="113"/>
      <c r="F78" s="113"/>
      <c r="G78" s="112"/>
      <c r="H78" s="138"/>
      <c r="I78" s="138"/>
      <c r="J78" s="15"/>
      <c r="K78" s="15"/>
      <c r="L78" s="179"/>
      <c r="M78" s="179"/>
      <c r="N78" s="165"/>
      <c r="O78" s="165"/>
      <c r="P78" s="67"/>
    </row>
    <row r="79" spans="3:16" x14ac:dyDescent="0.3">
      <c r="C79" s="33"/>
      <c r="D79" s="33"/>
      <c r="E79" s="48" t="s">
        <v>306</v>
      </c>
      <c r="H79" s="63"/>
      <c r="I79" s="63"/>
      <c r="J79" s="15"/>
      <c r="K79" s="15"/>
      <c r="L79" s="179"/>
      <c r="M79" s="179"/>
      <c r="N79" s="165"/>
      <c r="O79" s="165"/>
      <c r="P79" s="67"/>
    </row>
    <row r="80" spans="3:16" x14ac:dyDescent="0.3">
      <c r="C80" s="33"/>
      <c r="D80" s="33"/>
      <c r="E80" s="33"/>
      <c r="F80" s="33"/>
      <c r="G80" s="15" t="s">
        <v>167</v>
      </c>
      <c r="H80" s="63" t="s">
        <v>169</v>
      </c>
      <c r="I80" s="63"/>
      <c r="J80" s="15"/>
      <c r="K80" s="15"/>
      <c r="L80" s="150">
        <f t="shared" ref="L80:N80" si="7">SUM(L15:L16,L74,L77)*L22</f>
        <v>1.9190443050893908</v>
      </c>
      <c r="M80" s="150">
        <f t="shared" si="7"/>
        <v>1.8636123212994304</v>
      </c>
      <c r="N80" s="150">
        <f t="shared" si="7"/>
        <v>1.8182619342477864</v>
      </c>
      <c r="O80" s="150">
        <f>SUM(O15:O16,O74,O77)*O22</f>
        <v>1.6536380739533585</v>
      </c>
      <c r="P80" s="67"/>
    </row>
    <row r="81" spans="2:19" x14ac:dyDescent="0.3">
      <c r="C81" s="33"/>
      <c r="D81" s="33"/>
      <c r="E81" s="33"/>
      <c r="F81" s="33"/>
      <c r="G81" s="15" t="s">
        <v>258</v>
      </c>
      <c r="I81" s="63"/>
      <c r="J81" s="15"/>
      <c r="K81" s="15"/>
      <c r="L81" s="150">
        <f>L75*L23</f>
        <v>1.8581111395663938</v>
      </c>
      <c r="M81" s="150">
        <f>M75*M23</f>
        <v>1.9142768581202287</v>
      </c>
      <c r="N81" s="150">
        <f>N75*N23</f>
        <v>1.7020712801347959</v>
      </c>
      <c r="O81" s="150">
        <f>O75*O23</f>
        <v>1.5305104547131838</v>
      </c>
      <c r="P81" s="67"/>
    </row>
    <row r="82" spans="2:19" x14ac:dyDescent="0.3">
      <c r="C82" s="3"/>
      <c r="D82" s="3"/>
      <c r="E82" s="67"/>
      <c r="F82" s="67"/>
      <c r="G82" s="223"/>
      <c r="I82" s="63"/>
      <c r="J82" s="15"/>
      <c r="K82" s="15"/>
      <c r="L82" s="174"/>
      <c r="M82" s="174"/>
      <c r="N82" s="165"/>
      <c r="O82" s="165"/>
      <c r="P82" s="67"/>
    </row>
    <row r="83" spans="2:19" x14ac:dyDescent="0.3">
      <c r="C83" s="3"/>
      <c r="D83" s="3"/>
      <c r="E83" s="189" t="s">
        <v>307</v>
      </c>
      <c r="F83" s="67"/>
      <c r="G83" s="223"/>
      <c r="I83" s="63"/>
      <c r="J83" s="15"/>
      <c r="K83" s="15"/>
      <c r="L83" s="174"/>
      <c r="M83" s="174"/>
      <c r="N83" s="165"/>
      <c r="O83" s="165"/>
      <c r="P83" s="67"/>
    </row>
    <row r="84" spans="2:19" x14ac:dyDescent="0.3">
      <c r="C84" s="3"/>
      <c r="D84" s="3"/>
      <c r="E84" s="67"/>
      <c r="F84" s="67"/>
      <c r="G84" s="223" t="s">
        <v>308</v>
      </c>
      <c r="H84" s="65" t="s">
        <v>309</v>
      </c>
      <c r="I84" s="63"/>
      <c r="J84" s="15"/>
      <c r="K84" s="15"/>
      <c r="L84" s="160" t="str">
        <f>IF($K$52=1,IF(L60=0,L61*$K$54*10^3,L60*$K$54*10^3),"n.a.")</f>
        <v>n.a.</v>
      </c>
      <c r="M84" s="160" t="str">
        <f t="shared" ref="M84:O84" si="8">IF($K$52=1,IF(M60=0,M61*$K$54*10^3,M60*$K$54*10^3),"n.a.")</f>
        <v>n.a.</v>
      </c>
      <c r="N84" s="160" t="str">
        <f t="shared" si="8"/>
        <v>n.a.</v>
      </c>
      <c r="O84" s="160" t="str">
        <f t="shared" si="8"/>
        <v>n.a.</v>
      </c>
      <c r="P84" s="67"/>
    </row>
    <row r="85" spans="2:19" x14ac:dyDescent="0.3">
      <c r="C85" s="3"/>
      <c r="D85" s="3"/>
      <c r="E85" s="67"/>
      <c r="F85" s="67"/>
      <c r="G85" s="223" t="s">
        <v>310</v>
      </c>
      <c r="H85" s="65" t="s">
        <v>309</v>
      </c>
      <c r="I85" s="63"/>
      <c r="J85" s="15"/>
      <c r="K85" s="15"/>
      <c r="L85" s="160" t="str">
        <f>IFERROR(L84+L31*L26+L27*L32,"n.a.")</f>
        <v>n.a.</v>
      </c>
      <c r="M85" s="160" t="str">
        <f t="shared" ref="M85:O85" si="9">IFERROR(M84+M31*M26+M27*M32,"n.a.")</f>
        <v>n.a.</v>
      </c>
      <c r="N85" s="160" t="str">
        <f t="shared" si="9"/>
        <v>n.a.</v>
      </c>
      <c r="O85" s="160" t="str">
        <f t="shared" si="9"/>
        <v>n.a.</v>
      </c>
      <c r="P85" s="67"/>
    </row>
    <row r="86" spans="2:19" x14ac:dyDescent="0.3">
      <c r="C86" s="3"/>
      <c r="D86" s="3"/>
      <c r="E86" s="67"/>
      <c r="F86" s="67"/>
      <c r="G86" s="223" t="s">
        <v>307</v>
      </c>
      <c r="H86" s="15" t="s">
        <v>171</v>
      </c>
      <c r="I86" s="63"/>
      <c r="J86" s="15"/>
      <c r="K86" s="15"/>
      <c r="L86" s="214">
        <f>IF($K$52=0,$K$53,IF(L84/L85&gt;$K$55,$K$55,L84/L85))</f>
        <v>6.0999999999999999E-2</v>
      </c>
      <c r="M86" s="214">
        <f t="shared" ref="M86:O86" si="10">IF($K$52=0,$K$53,IF(M84/M85&gt;$K$55,$K$55,M84/M85))</f>
        <v>6.0999999999999999E-2</v>
      </c>
      <c r="N86" s="214">
        <f t="shared" si="10"/>
        <v>6.0999999999999999E-2</v>
      </c>
      <c r="O86" s="214">
        <f t="shared" si="10"/>
        <v>6.0999999999999999E-2</v>
      </c>
      <c r="P86" s="67"/>
    </row>
    <row r="87" spans="2:19" x14ac:dyDescent="0.3">
      <c r="C87" s="3"/>
      <c r="D87" s="3"/>
      <c r="E87" s="67"/>
      <c r="F87" s="67"/>
      <c r="G87" s="223"/>
      <c r="I87" s="63"/>
      <c r="J87" s="15"/>
      <c r="K87" s="15"/>
      <c r="L87" s="174"/>
      <c r="M87" s="174"/>
      <c r="N87" s="165"/>
      <c r="O87" s="165"/>
      <c r="P87" s="67"/>
    </row>
    <row r="88" spans="2:19" x14ac:dyDescent="0.3">
      <c r="C88" s="3"/>
      <c r="D88" s="3"/>
      <c r="E88" s="67"/>
      <c r="F88" s="67"/>
      <c r="G88" s="223"/>
      <c r="I88" s="63"/>
      <c r="J88" s="15"/>
      <c r="K88" s="15"/>
      <c r="L88" s="174"/>
      <c r="M88" s="174"/>
      <c r="N88" s="165"/>
      <c r="O88" s="165"/>
      <c r="P88" s="67"/>
    </row>
    <row r="89" spans="2:19" x14ac:dyDescent="0.3">
      <c r="B89" s="22" t="s">
        <v>51</v>
      </c>
      <c r="C89" s="22"/>
      <c r="D89" s="22"/>
      <c r="E89" s="22"/>
      <c r="F89" s="22"/>
      <c r="G89" s="22"/>
      <c r="H89" s="22"/>
      <c r="I89" s="22"/>
      <c r="J89" s="22"/>
      <c r="K89" s="22"/>
      <c r="L89" s="173"/>
      <c r="M89" s="173"/>
      <c r="N89" s="173"/>
      <c r="O89" s="173"/>
      <c r="P89" s="22"/>
      <c r="Q89" s="22"/>
      <c r="R89" s="22"/>
      <c r="S89" s="22"/>
    </row>
    <row r="90" spans="2:19" x14ac:dyDescent="0.3">
      <c r="I90" s="3"/>
      <c r="J90" s="65"/>
      <c r="K90" s="65"/>
      <c r="L90" s="174"/>
      <c r="M90" s="174"/>
      <c r="N90" s="174"/>
      <c r="O90" s="174"/>
      <c r="P90" s="3"/>
      <c r="Q90" s="3"/>
    </row>
    <row r="91" spans="2:19" x14ac:dyDescent="0.3">
      <c r="C91" s="3"/>
      <c r="D91" s="3"/>
      <c r="E91" s="48" t="s">
        <v>167</v>
      </c>
      <c r="G91" s="3"/>
      <c r="H91" s="3"/>
      <c r="I91" s="63"/>
      <c r="J91" s="15"/>
      <c r="K91" s="15"/>
      <c r="L91" s="165"/>
      <c r="M91" s="165"/>
      <c r="N91" s="165"/>
      <c r="O91" s="165"/>
      <c r="P91" s="67"/>
    </row>
    <row r="92" spans="2:19" x14ac:dyDescent="0.3">
      <c r="C92" s="3"/>
      <c r="D92" s="3"/>
      <c r="E92" s="33"/>
      <c r="F92" s="33"/>
      <c r="G92" s="15" t="str">
        <f>G15</f>
        <v>Scientific services</v>
      </c>
      <c r="H92" s="63" t="s">
        <v>169</v>
      </c>
      <c r="I92" s="63"/>
      <c r="J92" s="15"/>
      <c r="K92" s="15"/>
      <c r="L92" s="180">
        <f>$K$15</f>
        <v>1.2766277398751773</v>
      </c>
      <c r="M92" s="180">
        <f>$K$15</f>
        <v>1.2766277398751773</v>
      </c>
      <c r="N92" s="180">
        <f>$K$15</f>
        <v>1.2766277398751773</v>
      </c>
      <c r="O92" s="180">
        <f>$K$15</f>
        <v>1.2766277398751773</v>
      </c>
      <c r="P92" s="67"/>
    </row>
    <row r="93" spans="2:19" x14ac:dyDescent="0.3">
      <c r="C93" s="3"/>
      <c r="D93" s="3"/>
      <c r="E93" s="33"/>
      <c r="F93" s="33"/>
      <c r="G93" s="15" t="str">
        <f>G16</f>
        <v>Emergency response</v>
      </c>
      <c r="H93" s="63" t="s">
        <v>169</v>
      </c>
      <c r="I93" s="63"/>
      <c r="J93" s="15"/>
      <c r="K93" s="15"/>
      <c r="L93" s="180">
        <f>$K$16</f>
        <v>0.36260890123863254</v>
      </c>
      <c r="M93" s="180">
        <f>$K$16</f>
        <v>0.36260890123863254</v>
      </c>
      <c r="N93" s="180">
        <f>$K$16</f>
        <v>0.36260890123863254</v>
      </c>
      <c r="O93" s="180">
        <f>$K$16</f>
        <v>0.36260890123863254</v>
      </c>
      <c r="P93" s="67"/>
    </row>
    <row r="94" spans="2:19" x14ac:dyDescent="0.3">
      <c r="C94" s="3"/>
      <c r="D94" s="3"/>
      <c r="E94" s="33"/>
      <c r="F94" s="33"/>
      <c r="G94" s="15" t="str">
        <f>G17</f>
        <v>Water Operational costs</v>
      </c>
      <c r="H94" s="63" t="s">
        <v>169</v>
      </c>
      <c r="I94" s="63"/>
      <c r="J94" s="15"/>
      <c r="K94" s="15"/>
      <c r="L94" s="180">
        <f>L74</f>
        <v>0.65875818748625037</v>
      </c>
      <c r="M94" s="180">
        <f>M74</f>
        <v>0.63723839812466687</v>
      </c>
      <c r="N94" s="180">
        <f>N74</f>
        <v>0.6196324834506477</v>
      </c>
      <c r="O94" s="180">
        <f>O74</f>
        <v>0.55572225409911435</v>
      </c>
      <c r="P94" s="67"/>
    </row>
    <row r="95" spans="2:19" x14ac:dyDescent="0.3">
      <c r="C95" s="33"/>
      <c r="D95" s="33"/>
      <c r="E95" s="33"/>
      <c r="F95" s="33"/>
      <c r="G95" s="15" t="str">
        <f>G19</f>
        <v>Leakage management</v>
      </c>
      <c r="H95" s="63" t="s">
        <v>169</v>
      </c>
      <c r="I95" s="63"/>
      <c r="J95" s="15"/>
      <c r="K95" s="15"/>
      <c r="L95" s="180">
        <f>L$77</f>
        <v>11.860978115035648</v>
      </c>
      <c r="M95" s="180">
        <f>M$77</f>
        <v>11.473513100548452</v>
      </c>
      <c r="N95" s="180">
        <f>N$77</f>
        <v>11.156517619337698</v>
      </c>
      <c r="O95" s="180">
        <f>O$77</f>
        <v>10.005810355177484</v>
      </c>
      <c r="P95" s="67"/>
    </row>
    <row r="96" spans="2:19" x14ac:dyDescent="0.3">
      <c r="C96" s="33"/>
      <c r="D96" s="33"/>
      <c r="E96" s="33"/>
      <c r="F96" s="33"/>
      <c r="G96" s="15" t="str">
        <f>E21</f>
        <v>Business overheads</v>
      </c>
      <c r="H96" s="63" t="s">
        <v>169</v>
      </c>
      <c r="I96" s="63"/>
      <c r="J96" s="15"/>
      <c r="K96" s="15"/>
      <c r="L96" s="180">
        <f>L80</f>
        <v>1.9190443050893908</v>
      </c>
      <c r="M96" s="180">
        <f>M80</f>
        <v>1.8636123212994304</v>
      </c>
      <c r="N96" s="180">
        <f>N80</f>
        <v>1.8182619342477864</v>
      </c>
      <c r="O96" s="180">
        <f>O80</f>
        <v>1.6536380739533585</v>
      </c>
      <c r="P96" s="67"/>
    </row>
    <row r="97" spans="1:19" x14ac:dyDescent="0.3">
      <c r="C97" s="33"/>
      <c r="D97" s="33"/>
      <c r="E97" s="33"/>
      <c r="F97" s="33"/>
      <c r="G97" s="36" t="s">
        <v>257</v>
      </c>
      <c r="H97" s="73" t="s">
        <v>169</v>
      </c>
      <c r="I97" s="73"/>
      <c r="J97" s="36"/>
      <c r="K97" s="36"/>
      <c r="L97" s="181">
        <f>SUM(L92:L96)</f>
        <v>16.0780172487251</v>
      </c>
      <c r="M97" s="181">
        <f>SUM(M92:M96)</f>
        <v>15.61360046108636</v>
      </c>
      <c r="N97" s="181">
        <f>SUM(N92:N96)</f>
        <v>15.233648678149942</v>
      </c>
      <c r="O97" s="181">
        <f>SUM(O92:O96)</f>
        <v>13.854407324343766</v>
      </c>
      <c r="P97" s="67"/>
    </row>
    <row r="98" spans="1:19" x14ac:dyDescent="0.3"/>
    <row r="99" spans="1:19" x14ac:dyDescent="0.3">
      <c r="C99" s="3"/>
      <c r="D99" s="3"/>
      <c r="E99" s="48" t="s">
        <v>172</v>
      </c>
      <c r="G99" s="3"/>
      <c r="H99" s="3"/>
      <c r="I99" s="63"/>
      <c r="J99" s="15"/>
      <c r="K99" s="15"/>
      <c r="L99" s="165"/>
      <c r="M99" s="165"/>
      <c r="N99" s="165"/>
      <c r="O99" s="165"/>
      <c r="P99" s="67"/>
    </row>
    <row r="100" spans="1:19" x14ac:dyDescent="0.3">
      <c r="C100" s="3"/>
      <c r="D100" s="3"/>
      <c r="E100" s="33"/>
      <c r="F100" s="33"/>
      <c r="G100" s="15" t="s">
        <v>311</v>
      </c>
      <c r="H100" s="63" t="s">
        <v>169</v>
      </c>
      <c r="I100" s="63"/>
      <c r="J100" s="15"/>
      <c r="K100" s="15"/>
      <c r="L100" s="180">
        <f>L75</f>
        <v>9.3901216432691381</v>
      </c>
      <c r="M100" s="180">
        <f>M75</f>
        <v>9.67395984765405</v>
      </c>
      <c r="N100" s="180">
        <f>N75</f>
        <v>8.6015610291805498</v>
      </c>
      <c r="O100" s="180">
        <f>O75</f>
        <v>7.7345639020310228</v>
      </c>
      <c r="P100" s="67"/>
    </row>
    <row r="101" spans="1:19" x14ac:dyDescent="0.3">
      <c r="C101" s="33"/>
      <c r="D101" s="33"/>
      <c r="E101" s="33"/>
      <c r="F101" s="33"/>
      <c r="G101" s="15" t="str">
        <f>G96</f>
        <v>Business overheads</v>
      </c>
      <c r="H101" s="63" t="s">
        <v>169</v>
      </c>
      <c r="I101" s="63"/>
      <c r="J101" s="15"/>
      <c r="K101" s="15"/>
      <c r="L101" s="180">
        <f>L81</f>
        <v>1.8581111395663938</v>
      </c>
      <c r="M101" s="180">
        <f>M81</f>
        <v>1.9142768581202287</v>
      </c>
      <c r="N101" s="180">
        <f>N81</f>
        <v>1.7020712801347959</v>
      </c>
      <c r="O101" s="180">
        <f>O81</f>
        <v>1.5305104547131838</v>
      </c>
      <c r="P101" s="67"/>
    </row>
    <row r="102" spans="1:19" x14ac:dyDescent="0.3">
      <c r="C102" s="33"/>
      <c r="D102" s="33"/>
      <c r="E102" s="33"/>
      <c r="F102" s="33"/>
      <c r="G102" s="36" t="str">
        <f>G97</f>
        <v>Total</v>
      </c>
      <c r="H102" s="73" t="s">
        <v>169</v>
      </c>
      <c r="I102" s="73"/>
      <c r="J102" s="36"/>
      <c r="K102" s="36"/>
      <c r="L102" s="181">
        <f>SUM(L100:L101)</f>
        <v>11.248232782835531</v>
      </c>
      <c r="M102" s="181">
        <f>SUM(M100:M101)</f>
        <v>11.588236705774278</v>
      </c>
      <c r="N102" s="181">
        <f>SUM(N100:N101)</f>
        <v>10.303632309315345</v>
      </c>
      <c r="O102" s="181">
        <f>SUM(O100:O101)</f>
        <v>9.265074356744206</v>
      </c>
      <c r="P102" s="67"/>
    </row>
    <row r="103" spans="1:19" x14ac:dyDescent="0.3"/>
    <row r="104" spans="1:19" x14ac:dyDescent="0.3">
      <c r="E104" s="48" t="s">
        <v>188</v>
      </c>
      <c r="H104" s="15" t="s">
        <v>171</v>
      </c>
      <c r="L104" s="271">
        <f>L86</f>
        <v>6.0999999999999999E-2</v>
      </c>
      <c r="M104" s="271">
        <f t="shared" ref="M104:O104" si="11">M86</f>
        <v>6.0999999999999999E-2</v>
      </c>
      <c r="N104" s="271">
        <f t="shared" si="11"/>
        <v>6.0999999999999999E-2</v>
      </c>
      <c r="O104" s="271">
        <f t="shared" si="11"/>
        <v>6.0999999999999999E-2</v>
      </c>
    </row>
    <row r="105" spans="1:19" x14ac:dyDescent="0.3"/>
    <row r="106" spans="1:19" customFormat="1" x14ac:dyDescent="0.3">
      <c r="A106" s="22"/>
      <c r="B106" s="22" t="s">
        <v>68</v>
      </c>
      <c r="C106" s="22"/>
      <c r="D106" s="22"/>
      <c r="E106" s="22"/>
      <c r="F106" s="22"/>
      <c r="G106" s="22"/>
      <c r="H106" s="22"/>
      <c r="I106" s="22"/>
      <c r="J106" s="58"/>
      <c r="K106" s="58"/>
      <c r="L106" s="173"/>
      <c r="M106" s="173"/>
      <c r="N106" s="173"/>
      <c r="O106" s="173"/>
      <c r="P106" s="173"/>
      <c r="Q106" s="173"/>
      <c r="R106" s="173"/>
      <c r="S106" s="173"/>
    </row>
  </sheetData>
  <sheetProtection algorithmName="SHA-512" hashValue="sD5RvFajmELTZNpONnqIvcRN3h3u2uRGqU3Bj+y3CBrJuNAC66GAmRxjlTuY1WD+jO0kpQUHqvdm+L47Jb9E2Q==" saltValue="pf9p/oQKwyrlmb1LIoWyVg==" spinCount="100000" sheet="1" objects="1" scenarios="1" selectLockedCells="1" selectUnlockedCells="1"/>
  <mergeCells count="1">
    <mergeCell ref="G6:M9"/>
  </mergeCells>
  <hyperlinks>
    <hyperlink ref="A3" location="Intro!A1" display="Return to Intro tab" xr:uid="{A9E70470-2802-4997-B2E5-E9700311C097}"/>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A4742-E047-4B75-B482-F49DA33E3B17}">
  <sheetPr>
    <tabColor rgb="FF6D65A0"/>
  </sheetPr>
  <dimension ref="A1:AB83"/>
  <sheetViews>
    <sheetView showGridLines="0" topLeftCell="A40" zoomScale="90" zoomScaleNormal="90" workbookViewId="0">
      <selection activeCell="K72" sqref="K72"/>
    </sheetView>
  </sheetViews>
  <sheetFormatPr defaultColWidth="0" defaultRowHeight="13" zeroHeight="1" outlineLevelRow="1" x14ac:dyDescent="0.3"/>
  <cols>
    <col min="1" max="3" width="2.453125" style="15" customWidth="1"/>
    <col min="4" max="4" width="2.453125" style="48" customWidth="1"/>
    <col min="5" max="5" width="2.453125" style="33" customWidth="1"/>
    <col min="6" max="6" width="30.453125" style="15" customWidth="1"/>
    <col min="7" max="7" width="2.54296875" style="15" customWidth="1"/>
    <col min="8" max="8" width="11.453125" style="15" bestFit="1" customWidth="1"/>
    <col min="9" max="9" width="2.54296875" style="62" customWidth="1"/>
    <col min="10" max="10" width="12.453125" style="15" bestFit="1" customWidth="1"/>
    <col min="11" max="11" width="12.54296875" style="15" bestFit="1" customWidth="1"/>
    <col min="12" max="12" width="4.453125" style="76" customWidth="1"/>
    <col min="13" max="13" width="2.54296875" style="15" hidden="1" customWidth="1"/>
    <col min="14" max="14" width="36.54296875" style="15" hidden="1" customWidth="1"/>
    <col min="15" max="15" width="2.54296875" style="15" hidden="1" customWidth="1"/>
    <col min="16" max="16" width="6.54296875" style="15" hidden="1" customWidth="1"/>
    <col min="17" max="17" width="2.54296875" style="15" hidden="1" customWidth="1"/>
    <col min="18" max="18" width="9.54296875" style="15" hidden="1" customWidth="1"/>
    <col min="19" max="19" width="7.453125" hidden="1" customWidth="1"/>
    <col min="20" max="27" width="8.54296875" style="15" hidden="1" customWidth="1"/>
    <col min="28" max="28" width="0" style="15" hidden="1" customWidth="1"/>
    <col min="29" max="16384" width="8.54296875" style="15" hidden="1"/>
  </cols>
  <sheetData>
    <row r="1" spans="1:20" s="20" customFormat="1" ht="17.5" x14ac:dyDescent="0.3">
      <c r="A1" s="18" t="str" cm="1">
        <f t="array" aca="1" ref="A1" ca="1">RIGHT(CELL("filename",A$2),LEN(CELL("filename",A$2))-FIND("]",CELL("filename",A$2)))</f>
        <v>Relevant starting point</v>
      </c>
      <c r="B1" s="18"/>
      <c r="C1" s="18"/>
      <c r="D1" s="18"/>
      <c r="E1" s="18"/>
      <c r="F1" s="18"/>
      <c r="G1" s="18"/>
      <c r="H1" s="18"/>
      <c r="I1" s="58"/>
      <c r="J1" s="18"/>
      <c r="K1" s="18"/>
      <c r="L1" s="18"/>
      <c r="M1" s="18"/>
      <c r="N1" s="18"/>
      <c r="O1" s="18"/>
    </row>
    <row r="2" spans="1:20" s="1" customFormat="1" x14ac:dyDescent="0.3">
      <c r="A2" s="21" t="str">
        <f>"["&amp;_xlfn.SINGLE(_ModelStatus)&amp;"] "&amp;_xlfn.SINGLE(_ModelName)&amp;" - "&amp;_xlfn.SINGLE(_OrganisationName)&amp;" - "&amp;_xlfn.SINGLE(_ModelVersion)&amp;" ("&amp;TEXT(_xlfn.SINGLE(_ModelDate),"dd/mm/yyyy")&amp;")"</f>
        <v>[Final] BSP model for NAVs - Yorkshire Water - Version Website (20/03/2024)</v>
      </c>
      <c r="B2" s="21"/>
      <c r="C2" s="21"/>
      <c r="D2" s="21"/>
      <c r="E2" s="21"/>
      <c r="F2" s="21"/>
      <c r="G2" s="21"/>
      <c r="H2" s="21"/>
      <c r="I2" s="59"/>
      <c r="J2" s="21"/>
      <c r="K2" s="21"/>
      <c r="L2" s="21"/>
      <c r="M2" s="21"/>
      <c r="N2" s="21"/>
      <c r="O2" s="21"/>
      <c r="P2" s="21"/>
      <c r="Q2" s="21"/>
      <c r="R2" s="21"/>
    </row>
    <row r="3" spans="1:20" customFormat="1" x14ac:dyDescent="0.3">
      <c r="A3" s="47" t="s">
        <v>160</v>
      </c>
      <c r="D3" s="3"/>
      <c r="E3" s="49"/>
      <c r="I3" s="60"/>
    </row>
    <row r="4" spans="1:20" ht="13.5" customHeight="1" x14ac:dyDescent="0.3">
      <c r="E4" s="48"/>
      <c r="F4" s="48"/>
      <c r="G4" s="48"/>
      <c r="H4" s="48"/>
      <c r="I4" s="61"/>
      <c r="J4" s="48"/>
      <c r="L4" s="15"/>
    </row>
    <row r="5" spans="1:20" customFormat="1" x14ac:dyDescent="0.3">
      <c r="B5" s="22" t="s">
        <v>43</v>
      </c>
      <c r="C5" s="22"/>
      <c r="D5" s="22"/>
      <c r="E5" s="22"/>
      <c r="F5" s="22"/>
      <c r="G5" s="22"/>
      <c r="H5" s="22"/>
      <c r="I5" s="58"/>
      <c r="J5" s="22"/>
      <c r="K5" s="22"/>
      <c r="L5" s="120"/>
      <c r="M5" s="22"/>
      <c r="N5" s="22"/>
      <c r="O5" s="22"/>
      <c r="P5" s="22"/>
      <c r="Q5" s="22"/>
      <c r="R5" s="22"/>
      <c r="S5" s="22"/>
      <c r="T5" s="22"/>
    </row>
    <row r="6" spans="1:20" x14ac:dyDescent="0.3">
      <c r="F6" s="415" t="s">
        <v>63</v>
      </c>
      <c r="G6" s="415"/>
      <c r="H6" s="415"/>
      <c r="I6" s="415"/>
      <c r="J6" s="415"/>
      <c r="K6" s="415"/>
      <c r="S6" s="15"/>
    </row>
    <row r="7" spans="1:20" x14ac:dyDescent="0.3">
      <c r="D7" s="3"/>
      <c r="F7" s="415"/>
      <c r="G7" s="415"/>
      <c r="H7" s="415"/>
      <c r="I7" s="415"/>
      <c r="J7" s="415"/>
      <c r="K7" s="415"/>
      <c r="S7" s="15"/>
    </row>
    <row r="8" spans="1:20" x14ac:dyDescent="0.3">
      <c r="D8" s="3"/>
      <c r="F8" s="415"/>
      <c r="G8" s="415"/>
      <c r="H8" s="415"/>
      <c r="I8" s="415"/>
      <c r="J8" s="415"/>
      <c r="K8" s="415"/>
      <c r="S8" s="15"/>
    </row>
    <row r="9" spans="1:20" x14ac:dyDescent="0.3">
      <c r="D9" s="3"/>
      <c r="F9" s="415"/>
      <c r="G9" s="415"/>
      <c r="H9" s="415"/>
      <c r="I9" s="415"/>
      <c r="J9" s="415"/>
      <c r="K9" s="415"/>
      <c r="S9" s="15"/>
    </row>
    <row r="10" spans="1:20" x14ac:dyDescent="0.3">
      <c r="D10" s="3"/>
      <c r="S10" s="15"/>
    </row>
    <row r="11" spans="1:20" x14ac:dyDescent="0.3">
      <c r="B11" s="22" t="s">
        <v>64</v>
      </c>
      <c r="C11" s="22"/>
      <c r="D11" s="22"/>
      <c r="E11" s="22"/>
      <c r="F11" s="22"/>
      <c r="G11" s="22"/>
      <c r="H11" s="22"/>
      <c r="I11" s="22"/>
      <c r="J11" s="22"/>
      <c r="K11" s="22"/>
      <c r="L11" s="120"/>
      <c r="M11" s="22"/>
      <c r="N11" s="22"/>
      <c r="O11" s="22"/>
      <c r="P11" s="22"/>
      <c r="Q11" s="22"/>
      <c r="R11" s="22"/>
      <c r="S11" s="22"/>
      <c r="T11" s="22"/>
    </row>
    <row r="12" spans="1:20" x14ac:dyDescent="0.3">
      <c r="H12" s="3"/>
      <c r="I12" s="65"/>
      <c r="J12" s="3"/>
      <c r="K12" s="3"/>
      <c r="L12" s="3"/>
      <c r="M12" s="3"/>
      <c r="N12" s="3"/>
      <c r="O12" s="3"/>
      <c r="P12" s="3"/>
      <c r="Q12" s="3"/>
      <c r="R12" s="3"/>
    </row>
    <row r="13" spans="1:20" customFormat="1" outlineLevel="1" x14ac:dyDescent="0.3">
      <c r="A13" s="15"/>
      <c r="C13" s="15"/>
      <c r="D13" s="42" t="s">
        <v>175</v>
      </c>
      <c r="E13" s="49"/>
      <c r="F13" s="15"/>
      <c r="I13" s="60"/>
      <c r="J13" s="136" t="str">
        <f>Cockpit!$I$10</f>
        <v>2024-2025</v>
      </c>
      <c r="K13" s="42"/>
      <c r="L13" s="163"/>
      <c r="M13" s="42"/>
      <c r="N13" s="42"/>
      <c r="O13" s="42"/>
      <c r="P13" s="42"/>
      <c r="Q13" s="42"/>
    </row>
    <row r="14" spans="1:20" outlineLevel="1" x14ac:dyDescent="0.3">
      <c r="K14" s="67"/>
      <c r="L14" s="133"/>
      <c r="M14" s="67"/>
      <c r="N14" s="67"/>
      <c r="O14" s="67"/>
      <c r="P14" s="67"/>
      <c r="Q14" s="67"/>
    </row>
    <row r="15" spans="1:20" outlineLevel="1" x14ac:dyDescent="0.3">
      <c r="C15" s="134" t="s">
        <v>325</v>
      </c>
      <c r="D15" s="135"/>
      <c r="E15" s="31"/>
      <c r="F15" s="134"/>
      <c r="G15" s="134"/>
      <c r="H15" s="134"/>
      <c r="I15" s="126"/>
      <c r="J15" s="134"/>
      <c r="K15" s="134"/>
      <c r="T15" s="133"/>
    </row>
    <row r="16" spans="1:20" outlineLevel="1" x14ac:dyDescent="0.3">
      <c r="K16" s="67"/>
      <c r="T16" s="67"/>
    </row>
    <row r="17" spans="1:19" s="14" customFormat="1" outlineLevel="1" x14ac:dyDescent="0.3">
      <c r="A17" s="76"/>
      <c r="B17" s="15"/>
      <c r="C17" s="15"/>
      <c r="D17" s="48" t="s">
        <v>326</v>
      </c>
      <c r="J17" s="149" t="str">
        <f>'Wholesale Tariff Inputs'!D9</f>
        <v>No</v>
      </c>
      <c r="K17" s="3"/>
      <c r="L17" s="137"/>
    </row>
    <row r="18" spans="1:19" s="14" customFormat="1" outlineLevel="1" x14ac:dyDescent="0.3">
      <c r="A18" s="76"/>
      <c r="B18" s="15"/>
      <c r="C18" s="15"/>
      <c r="K18" s="3"/>
      <c r="L18" s="137"/>
    </row>
    <row r="19" spans="1:19" s="14" customFormat="1" outlineLevel="1" x14ac:dyDescent="0.3">
      <c r="A19" s="76"/>
      <c r="B19" s="15"/>
      <c r="C19" s="15"/>
      <c r="D19" s="3" t="s">
        <v>294</v>
      </c>
      <c r="E19" s="49"/>
      <c r="F19" s="3"/>
      <c r="G19" s="3"/>
      <c r="H19" s="3"/>
      <c r="I19" s="63"/>
      <c r="J19" s="3"/>
      <c r="K19" s="3"/>
      <c r="L19" s="137"/>
    </row>
    <row r="20" spans="1:19" s="14" customFormat="1" outlineLevel="1" x14ac:dyDescent="0.3">
      <c r="A20" s="76"/>
      <c r="B20" s="15"/>
      <c r="C20" s="15"/>
      <c r="D20" s="3"/>
      <c r="E20" s="49"/>
      <c r="F20" s="15" t="s">
        <v>295</v>
      </c>
      <c r="G20" s="15"/>
      <c r="H20" s="63" t="s">
        <v>327</v>
      </c>
      <c r="I20" s="63"/>
      <c r="J20" s="136">
        <f>Cockpit!I$27</f>
        <v>100</v>
      </c>
      <c r="K20" s="3"/>
      <c r="L20" s="137"/>
    </row>
    <row r="21" spans="1:19" s="14" customFormat="1" outlineLevel="1" x14ac:dyDescent="0.3">
      <c r="A21" s="76"/>
      <c r="B21" s="15"/>
      <c r="C21" s="15"/>
      <c r="D21" s="48"/>
      <c r="E21" s="33"/>
      <c r="F21" s="15" t="s">
        <v>297</v>
      </c>
      <c r="G21" s="15"/>
      <c r="H21" s="63" t="s">
        <v>327</v>
      </c>
      <c r="I21" s="62"/>
      <c r="J21" s="136">
        <f>Cockpit!I$28</f>
        <v>0</v>
      </c>
      <c r="K21" s="3"/>
      <c r="L21" s="137"/>
    </row>
    <row r="22" spans="1:19" s="14" customFormat="1" outlineLevel="1" x14ac:dyDescent="0.3">
      <c r="A22" s="76"/>
      <c r="B22" s="15"/>
      <c r="C22" s="15"/>
      <c r="D22" s="3"/>
      <c r="E22" s="33"/>
      <c r="F22" s="3"/>
      <c r="G22" s="3"/>
      <c r="H22" s="3"/>
      <c r="I22" s="63"/>
      <c r="J22" s="3"/>
      <c r="K22" s="3"/>
      <c r="L22" s="137"/>
    </row>
    <row r="23" spans="1:19" s="14" customFormat="1" outlineLevel="1" x14ac:dyDescent="0.3">
      <c r="A23" s="76"/>
      <c r="B23" s="15"/>
      <c r="C23" s="15"/>
      <c r="D23" s="3" t="s">
        <v>328</v>
      </c>
      <c r="E23" s="49"/>
      <c r="F23" s="3"/>
      <c r="G23" s="3"/>
      <c r="H23" s="3"/>
      <c r="I23" s="63"/>
      <c r="J23" s="3"/>
      <c r="K23" s="3"/>
      <c r="L23" s="137"/>
    </row>
    <row r="24" spans="1:19" s="14" customFormat="1" outlineLevel="1" x14ac:dyDescent="0.3">
      <c r="A24" s="76"/>
      <c r="B24" s="15"/>
      <c r="C24" s="15"/>
      <c r="D24" s="3"/>
      <c r="E24" s="33"/>
      <c r="F24" s="15" t="s">
        <v>84</v>
      </c>
      <c r="G24" s="15"/>
      <c r="H24" s="63" t="s">
        <v>85</v>
      </c>
      <c r="I24" s="63"/>
      <c r="J24" s="136">
        <f>Cockpit!I$32</f>
        <v>130</v>
      </c>
      <c r="K24" s="3"/>
      <c r="L24" s="137"/>
    </row>
    <row r="25" spans="1:19" s="14" customFormat="1" outlineLevel="1" x14ac:dyDescent="0.3">
      <c r="A25" s="76"/>
      <c r="B25" s="15"/>
      <c r="C25" s="15"/>
      <c r="D25" s="3"/>
      <c r="E25" s="49"/>
      <c r="F25" s="15" t="s">
        <v>87</v>
      </c>
      <c r="G25" s="15"/>
      <c r="H25" s="63" t="s">
        <v>85</v>
      </c>
      <c r="I25" s="63"/>
      <c r="J25" s="136">
        <f>Cockpit!I$33</f>
        <v>0</v>
      </c>
      <c r="K25" s="3"/>
      <c r="L25" s="137"/>
    </row>
    <row r="26" spans="1:19" s="14" customFormat="1" outlineLevel="1" x14ac:dyDescent="0.3">
      <c r="A26" s="76"/>
      <c r="B26" s="15"/>
      <c r="C26" s="15"/>
      <c r="D26" s="3"/>
      <c r="E26" s="49"/>
      <c r="K26" s="3"/>
      <c r="L26" s="137"/>
    </row>
    <row r="27" spans="1:19" outlineLevel="1" x14ac:dyDescent="0.3">
      <c r="A27" s="76"/>
      <c r="D27" s="3" t="s">
        <v>195</v>
      </c>
      <c r="F27" s="3"/>
      <c r="G27" s="3"/>
      <c r="H27" s="63" t="s">
        <v>171</v>
      </c>
      <c r="I27" s="63"/>
      <c r="J27" s="142">
        <f>Cockpit!$I$46</f>
        <v>0.95</v>
      </c>
      <c r="K27" s="67"/>
    </row>
    <row r="28" spans="1:19" outlineLevel="1" x14ac:dyDescent="0.3">
      <c r="A28" s="76"/>
      <c r="E28" s="143"/>
      <c r="F28" s="144"/>
      <c r="G28" s="144"/>
      <c r="H28" s="145"/>
      <c r="I28" s="146"/>
      <c r="J28" s="147"/>
      <c r="K28" s="148"/>
    </row>
    <row r="29" spans="1:19" s="14" customFormat="1" outlineLevel="1" x14ac:dyDescent="0.3">
      <c r="A29" s="15"/>
      <c r="B29" s="15"/>
      <c r="C29" s="134" t="s">
        <v>329</v>
      </c>
      <c r="D29" s="135"/>
      <c r="E29" s="31"/>
      <c r="F29" s="134"/>
      <c r="G29" s="134"/>
      <c r="H29" s="134"/>
      <c r="I29" s="126"/>
      <c r="J29" s="134"/>
      <c r="K29" s="134"/>
      <c r="L29" s="137"/>
    </row>
    <row r="30" spans="1:19" outlineLevel="1" x14ac:dyDescent="0.3">
      <c r="L30" s="3"/>
      <c r="M30" s="33"/>
      <c r="S30" s="15"/>
    </row>
    <row r="31" spans="1:19" outlineLevel="1" x14ac:dyDescent="0.3">
      <c r="C31" s="48" t="s">
        <v>330</v>
      </c>
      <c r="D31" s="33"/>
      <c r="E31" s="15"/>
      <c r="H31" s="62"/>
      <c r="I31" s="14"/>
      <c r="J31" s="14"/>
      <c r="L31" s="133"/>
      <c r="M31" s="67"/>
      <c r="N31" s="67"/>
      <c r="O31" s="67"/>
      <c r="P31" s="67"/>
      <c r="Q31" s="67"/>
    </row>
    <row r="32" spans="1:19" outlineLevel="1" x14ac:dyDescent="0.3">
      <c r="C32" s="3"/>
      <c r="D32" s="33" t="s">
        <v>167</v>
      </c>
      <c r="E32" s="3"/>
      <c r="F32" s="3"/>
      <c r="G32" s="3"/>
      <c r="H32" s="63"/>
      <c r="I32" s="15"/>
      <c r="J32" s="165" t="s">
        <v>228</v>
      </c>
      <c r="K32" s="165" t="s">
        <v>159</v>
      </c>
      <c r="L32" s="133"/>
      <c r="M32" s="67"/>
      <c r="N32" s="67"/>
      <c r="O32" s="67"/>
      <c r="P32" s="67"/>
      <c r="Q32" s="67"/>
    </row>
    <row r="33" spans="3:17" outlineLevel="1" x14ac:dyDescent="0.3">
      <c r="C33" s="3"/>
      <c r="D33" s="33"/>
      <c r="E33" s="15" t="s">
        <v>214</v>
      </c>
      <c r="G33" s="63" t="s">
        <v>169</v>
      </c>
      <c r="H33" s="63"/>
      <c r="I33" s="15"/>
      <c r="J33" s="294">
        <f>INDEX('Wholesale tariffs'!$M$32:$Y$32,MATCH($J$13,'Wholesale tariffs'!$M$5:$Y$5,0))</f>
        <v>12.79</v>
      </c>
      <c r="K33" s="294">
        <f>INDEX('Wholesale tariffs'!$M$60:$Y$60,MATCH($J$13,'Wholesale tariffs'!$M$5:$Y$5,0))</f>
        <v>12.79</v>
      </c>
      <c r="L33" s="133"/>
      <c r="M33" s="67"/>
      <c r="N33" s="67"/>
      <c r="O33" s="67"/>
      <c r="P33" s="67"/>
      <c r="Q33" s="67"/>
    </row>
    <row r="34" spans="3:17" outlineLevel="1" x14ac:dyDescent="0.3">
      <c r="C34" s="3"/>
      <c r="D34" s="33"/>
      <c r="E34" s="15" t="s">
        <v>168</v>
      </c>
      <c r="G34" s="63" t="s">
        <v>91</v>
      </c>
      <c r="H34" s="63"/>
      <c r="I34" s="15"/>
      <c r="J34" s="294">
        <f>INDEX('Wholesale tariffs'!$M$33:$Y$33,MATCH($J$13,'Wholesale tariffs'!$M$5:$Y$5,0))</f>
        <v>179.57</v>
      </c>
      <c r="K34" s="294">
        <f>INDEX('Wholesale tariffs'!$M$61:$Y$61,MATCH($J$13,'Wholesale tariffs'!$M$5:$Y$5,0))</f>
        <v>101.72</v>
      </c>
      <c r="L34" s="133"/>
      <c r="M34" s="67"/>
      <c r="N34" s="67"/>
      <c r="O34" s="67"/>
      <c r="P34" s="67"/>
      <c r="Q34" s="67"/>
    </row>
    <row r="35" spans="3:17" outlineLevel="1" x14ac:dyDescent="0.3">
      <c r="C35" s="3"/>
      <c r="D35" s="33" t="s">
        <v>172</v>
      </c>
      <c r="E35" s="3"/>
      <c r="F35" s="3"/>
      <c r="G35" s="63"/>
      <c r="H35" s="63"/>
      <c r="I35" s="15"/>
      <c r="J35" s="3"/>
      <c r="K35" s="3"/>
      <c r="L35" s="133"/>
      <c r="M35" s="67"/>
      <c r="N35" s="67"/>
      <c r="O35" s="67"/>
      <c r="P35" s="67"/>
      <c r="Q35" s="67"/>
    </row>
    <row r="36" spans="3:17" outlineLevel="1" x14ac:dyDescent="0.3">
      <c r="C36" s="3"/>
      <c r="D36" s="33"/>
      <c r="E36" s="15" t="s">
        <v>214</v>
      </c>
      <c r="G36" s="63" t="s">
        <v>169</v>
      </c>
      <c r="H36" s="63"/>
      <c r="I36" s="15"/>
      <c r="J36" s="294">
        <f>INDEX('Wholesale tariffs'!$M$36:$Y$36,MATCH($J$13,'Wholesale tariffs'!$M$5:$Y$5,0))</f>
        <v>0</v>
      </c>
      <c r="K36" s="294">
        <f>INDEX('Wholesale tariffs'!$M$64:$Y$64,MATCH($J$13,'Wholesale tariffs'!$M$5:$Y$5,0))</f>
        <v>0</v>
      </c>
      <c r="L36" s="133"/>
      <c r="M36" s="67"/>
      <c r="N36" s="67"/>
      <c r="O36" s="67"/>
      <c r="P36" s="67"/>
      <c r="Q36" s="67"/>
    </row>
    <row r="37" spans="3:17" outlineLevel="1" x14ac:dyDescent="0.3">
      <c r="C37" s="3"/>
      <c r="D37" s="33"/>
      <c r="E37" s="15" t="s">
        <v>168</v>
      </c>
      <c r="G37" s="63" t="s">
        <v>91</v>
      </c>
      <c r="H37" s="63"/>
      <c r="I37" s="15"/>
      <c r="J37" s="294">
        <f>INDEX('Wholesale tariffs'!$M$37:$Y$37,MATCH($J$13,'Wholesale tariffs'!$M$5:$Y$5,0))</f>
        <v>207.77</v>
      </c>
      <c r="K37" s="294">
        <f>INDEX('Wholesale tariffs'!$M$65:$Y$65,MATCH($J$13,'Wholesale tariffs'!$M$5:$Y$5,0))</f>
        <v>207.77</v>
      </c>
      <c r="L37" s="133"/>
      <c r="M37" s="67"/>
      <c r="N37" s="67"/>
      <c r="O37" s="67"/>
      <c r="P37" s="67"/>
      <c r="Q37" s="67"/>
    </row>
    <row r="38" spans="3:17" outlineLevel="1" x14ac:dyDescent="0.3">
      <c r="C38" s="3"/>
      <c r="D38" s="113"/>
      <c r="E38" s="112"/>
      <c r="F38" s="112"/>
      <c r="G38" s="138"/>
      <c r="H38" s="138"/>
      <c r="I38" s="15"/>
      <c r="J38" s="139"/>
      <c r="K38" s="139"/>
      <c r="L38" s="133"/>
      <c r="M38" s="67"/>
      <c r="N38" s="67"/>
      <c r="O38" s="67"/>
      <c r="P38" s="67"/>
      <c r="Q38" s="67"/>
    </row>
    <row r="39" spans="3:17" outlineLevel="1" x14ac:dyDescent="0.3">
      <c r="C39" s="48" t="s">
        <v>331</v>
      </c>
      <c r="D39" s="33"/>
      <c r="E39" s="15"/>
      <c r="G39" s="65"/>
      <c r="H39" s="62"/>
      <c r="I39" s="15"/>
      <c r="L39" s="133"/>
      <c r="M39" s="67"/>
      <c r="N39" s="67"/>
      <c r="O39" s="67"/>
      <c r="P39" s="67"/>
      <c r="Q39" s="67"/>
    </row>
    <row r="40" spans="3:17" outlineLevel="1" x14ac:dyDescent="0.3">
      <c r="C40" s="3"/>
      <c r="D40" s="33" t="s">
        <v>167</v>
      </c>
      <c r="E40" s="3"/>
      <c r="F40" s="3"/>
      <c r="G40" s="63"/>
      <c r="H40" s="63"/>
      <c r="I40" s="15"/>
      <c r="J40" s="3"/>
      <c r="K40" s="3"/>
      <c r="L40" s="133"/>
      <c r="M40" s="67"/>
      <c r="N40" s="67"/>
      <c r="O40" s="67"/>
      <c r="P40" s="67"/>
      <c r="Q40" s="67"/>
    </row>
    <row r="41" spans="3:17" outlineLevel="1" x14ac:dyDescent="0.3">
      <c r="C41" s="3"/>
      <c r="D41" s="33"/>
      <c r="E41" s="15" t="s">
        <v>332</v>
      </c>
      <c r="G41" s="63" t="s">
        <v>91</v>
      </c>
      <c r="H41" s="63"/>
      <c r="I41" s="15"/>
      <c r="J41" s="294">
        <f>INDEX('Wholesale tariffs'!$M$18:$Y$18,MATCH($J$13,'Wholesale tariffs'!$M$5:$Y$5,0))</f>
        <v>176.45</v>
      </c>
      <c r="K41" s="294">
        <f>INDEX('Wholesale tariffs'!$M$46:$Y$46,MATCH($J$13,'Wholesale tariffs'!$M$5:$Y$5,0))</f>
        <v>97.77</v>
      </c>
      <c r="L41" s="133"/>
      <c r="M41" s="67"/>
      <c r="N41" s="67"/>
      <c r="O41" s="67"/>
      <c r="P41" s="67"/>
      <c r="Q41" s="67"/>
    </row>
    <row r="42" spans="3:17" outlineLevel="1" x14ac:dyDescent="0.3">
      <c r="C42" s="3"/>
      <c r="D42" s="33"/>
      <c r="E42" s="15" t="s">
        <v>333</v>
      </c>
      <c r="G42" s="63" t="s">
        <v>91</v>
      </c>
      <c r="H42" s="63"/>
      <c r="I42" s="15"/>
      <c r="J42" s="294">
        <f>INDEX('Wholesale tariffs'!$M$19:$Y$19,MATCH($J$13,'Wholesale tariffs'!$M$5:$Y$5,0))</f>
        <v>112.68</v>
      </c>
      <c r="K42" s="294">
        <f>INDEX('Wholesale tariffs'!$M$47:$Y$47,MATCH($J$13,'Wholesale tariffs'!$M$5:$Y$5,0))</f>
        <v>85.89</v>
      </c>
      <c r="L42" s="133"/>
      <c r="M42" s="67"/>
      <c r="N42" s="67"/>
      <c r="O42" s="67"/>
      <c r="P42" s="67"/>
      <c r="Q42" s="67"/>
    </row>
    <row r="43" spans="3:17" outlineLevel="1" x14ac:dyDescent="0.3">
      <c r="C43" s="3"/>
      <c r="D43" s="33"/>
      <c r="E43" s="15" t="s">
        <v>334</v>
      </c>
      <c r="G43" s="63" t="s">
        <v>91</v>
      </c>
      <c r="H43" s="63"/>
      <c r="I43" s="15"/>
      <c r="J43" s="294">
        <f>INDEX('Wholesale tariffs'!$M$20:$Y$20,MATCH($J$13,'Wholesale tariffs'!$M$5:$Y$5,0))</f>
        <v>95.1</v>
      </c>
      <c r="K43" s="294">
        <f>INDEX('Wholesale tariffs'!$M$48:$Y$48,MATCH($J$13,'Wholesale tariffs'!$M$5:$Y$5,0))</f>
        <v>85.89</v>
      </c>
      <c r="L43" s="133"/>
      <c r="M43" s="67"/>
      <c r="N43" s="67"/>
      <c r="O43" s="67"/>
      <c r="P43" s="67"/>
      <c r="Q43" s="67"/>
    </row>
    <row r="44" spans="3:17" outlineLevel="1" x14ac:dyDescent="0.3">
      <c r="C44" s="3"/>
      <c r="D44" s="33" t="s">
        <v>172</v>
      </c>
      <c r="E44" s="3"/>
      <c r="F44" s="3"/>
      <c r="G44" s="63"/>
      <c r="H44" s="63"/>
      <c r="I44" s="15"/>
      <c r="J44" s="295"/>
      <c r="K44" s="295"/>
      <c r="L44" s="133"/>
      <c r="M44" s="67"/>
      <c r="N44" s="67"/>
      <c r="O44" s="67"/>
      <c r="P44" s="67"/>
      <c r="Q44" s="67"/>
    </row>
    <row r="45" spans="3:17" outlineLevel="1" x14ac:dyDescent="0.3">
      <c r="C45" s="3"/>
      <c r="D45" s="33"/>
      <c r="E45" s="15" t="s">
        <v>332</v>
      </c>
      <c r="G45" s="63" t="s">
        <v>91</v>
      </c>
      <c r="H45" s="63"/>
      <c r="I45" s="15"/>
      <c r="J45" s="294">
        <f>INDEX('Wholesale tariffs'!$M$25:$Y$25,MATCH($J$13,'Wholesale tariffs'!$M$5:$Y$5,0))</f>
        <v>199.38</v>
      </c>
      <c r="K45" s="294">
        <f>INDEX('Wholesale tariffs'!$M$53:$Y$53,MATCH($J$13,'Wholesale tariffs'!$M$5:$Y$5,0))</f>
        <v>199.38</v>
      </c>
      <c r="L45" s="133"/>
      <c r="M45" s="67"/>
      <c r="N45" s="67"/>
      <c r="O45" s="67"/>
      <c r="P45" s="67"/>
      <c r="Q45" s="67"/>
    </row>
    <row r="46" spans="3:17" outlineLevel="1" x14ac:dyDescent="0.3">
      <c r="C46" s="3"/>
      <c r="D46" s="33"/>
      <c r="E46" s="15" t="s">
        <v>333</v>
      </c>
      <c r="G46" s="63" t="s">
        <v>91</v>
      </c>
      <c r="H46" s="63"/>
      <c r="I46" s="15"/>
      <c r="J46" s="294">
        <f>INDEX('Wholesale tariffs'!$M$26:$Y$26,MATCH($J$13,'Wholesale tariffs'!$M$5:$Y$5,0))</f>
        <v>161.16</v>
      </c>
      <c r="K46" s="294">
        <f>INDEX('Wholesale tariffs'!$M$54:$Y$54,MATCH($J$13,'Wholesale tariffs'!$M$5:$Y$5,0))</f>
        <v>161.16</v>
      </c>
      <c r="L46" s="133"/>
      <c r="M46" s="67"/>
      <c r="N46" s="67"/>
      <c r="O46" s="67"/>
      <c r="P46" s="67"/>
      <c r="Q46" s="67"/>
    </row>
    <row r="47" spans="3:17" outlineLevel="1" x14ac:dyDescent="0.3">
      <c r="C47" s="3"/>
      <c r="D47" s="33"/>
      <c r="E47" s="15" t="s">
        <v>334</v>
      </c>
      <c r="G47" s="63" t="s">
        <v>91</v>
      </c>
      <c r="H47" s="63"/>
      <c r="I47" s="15"/>
      <c r="J47" s="294">
        <f>INDEX('Wholesale tariffs'!$M$27:$Y$27,MATCH($J$13,'Wholesale tariffs'!$M$5:$Y$5,0))</f>
        <v>147.1</v>
      </c>
      <c r="K47" s="294">
        <f>INDEX('Wholesale tariffs'!$M$55:$Y$55,MATCH($J$13,'Wholesale tariffs'!$M$5:$Y$5,0))</f>
        <v>147.1</v>
      </c>
      <c r="L47" s="133"/>
      <c r="M47" s="67"/>
      <c r="N47" s="67"/>
      <c r="O47" s="67"/>
      <c r="P47" s="67"/>
      <c r="Q47" s="67"/>
    </row>
    <row r="48" spans="3:17" outlineLevel="1" x14ac:dyDescent="0.3">
      <c r="D48" s="15"/>
      <c r="E48" s="15"/>
      <c r="I48" s="15"/>
      <c r="L48" s="133"/>
      <c r="M48" s="67"/>
      <c r="N48" s="67"/>
      <c r="O48" s="67"/>
      <c r="P48" s="67"/>
      <c r="Q48" s="67"/>
    </row>
    <row r="49" spans="1:28" outlineLevel="1" x14ac:dyDescent="0.3">
      <c r="D49" s="15"/>
      <c r="E49" s="15"/>
      <c r="I49" s="15"/>
      <c r="L49" s="133"/>
      <c r="M49" s="67"/>
      <c r="N49" s="67"/>
      <c r="O49" s="67"/>
      <c r="P49" s="67"/>
      <c r="Q49" s="67"/>
    </row>
    <row r="50" spans="1:28" customFormat="1" x14ac:dyDescent="0.3">
      <c r="A50" s="15"/>
      <c r="B50" s="22" t="s">
        <v>283</v>
      </c>
      <c r="C50" s="22"/>
      <c r="D50" s="22"/>
      <c r="E50" s="22"/>
      <c r="F50" s="22"/>
      <c r="G50" s="22"/>
      <c r="H50" s="22"/>
      <c r="I50" s="58"/>
      <c r="J50" s="22"/>
      <c r="K50" s="22"/>
      <c r="L50" s="120"/>
      <c r="M50" s="120"/>
      <c r="N50" s="120"/>
      <c r="O50" s="120"/>
      <c r="P50" s="120"/>
      <c r="Q50" s="120"/>
      <c r="R50" s="120"/>
      <c r="S50" s="120"/>
      <c r="T50" s="120"/>
    </row>
    <row r="51" spans="1:28" x14ac:dyDescent="0.3"/>
    <row r="52" spans="1:28" x14ac:dyDescent="0.3">
      <c r="C52" s="134" t="s">
        <v>335</v>
      </c>
      <c r="D52" s="135"/>
      <c r="E52" s="31"/>
      <c r="F52" s="134"/>
      <c r="G52" s="134"/>
      <c r="H52" s="134"/>
      <c r="I52" s="126"/>
      <c r="J52" s="134"/>
      <c r="K52" s="134"/>
      <c r="L52" s="140"/>
      <c r="M52" s="141"/>
      <c r="N52" s="117"/>
      <c r="O52" s="140"/>
      <c r="P52" s="140"/>
      <c r="Q52" s="140"/>
      <c r="R52" s="131"/>
      <c r="S52" s="140"/>
      <c r="T52" s="133"/>
    </row>
    <row r="53" spans="1:28" s="76" customFormat="1" x14ac:dyDescent="0.3">
      <c r="C53" s="140"/>
      <c r="D53" s="141"/>
      <c r="E53" s="117"/>
      <c r="F53" s="140"/>
      <c r="G53" s="140"/>
      <c r="H53" s="140"/>
      <c r="I53" s="131"/>
      <c r="J53" s="140"/>
      <c r="K53" s="133"/>
      <c r="L53" s="140"/>
      <c r="M53" s="141"/>
      <c r="N53" s="117"/>
      <c r="O53" s="140"/>
      <c r="P53" s="140"/>
      <c r="Q53" s="140"/>
      <c r="R53" s="131"/>
      <c r="S53" s="140"/>
      <c r="T53" s="133"/>
    </row>
    <row r="54" spans="1:28" x14ac:dyDescent="0.3">
      <c r="E54" s="33" t="s">
        <v>336</v>
      </c>
      <c r="G54" s="3"/>
      <c r="H54" s="65"/>
      <c r="I54" s="3"/>
      <c r="J54" s="3"/>
      <c r="K54" s="3"/>
      <c r="L54" s="3"/>
      <c r="M54" s="3"/>
      <c r="N54" s="3"/>
      <c r="O54" s="3"/>
      <c r="P54" s="3"/>
      <c r="S54" s="15"/>
      <c r="AB54"/>
    </row>
    <row r="55" spans="1:28" x14ac:dyDescent="0.3">
      <c r="F55" s="15" t="s">
        <v>295</v>
      </c>
      <c r="G55" s="3"/>
      <c r="H55" s="65" t="s">
        <v>85</v>
      </c>
      <c r="I55" s="15"/>
      <c r="J55" s="180">
        <f>J24*$J$27</f>
        <v>123.5</v>
      </c>
      <c r="K55" s="3"/>
      <c r="L55" s="3"/>
      <c r="M55" s="3"/>
      <c r="N55" s="3"/>
      <c r="O55" s="3"/>
      <c r="P55" s="3"/>
      <c r="S55" s="15"/>
      <c r="AB55"/>
    </row>
    <row r="56" spans="1:28" s="14" customFormat="1" x14ac:dyDescent="0.3">
      <c r="A56" s="15"/>
      <c r="D56" s="3"/>
      <c r="E56" s="49"/>
      <c r="F56" s="15" t="s">
        <v>297</v>
      </c>
      <c r="G56" s="3"/>
      <c r="H56" s="65" t="s">
        <v>85</v>
      </c>
      <c r="J56" s="180">
        <f>J25*$J$27</f>
        <v>0</v>
      </c>
      <c r="K56" s="3"/>
      <c r="L56" s="3"/>
      <c r="M56" s="3"/>
      <c r="N56" s="3"/>
      <c r="O56" s="3"/>
      <c r="P56" s="3"/>
      <c r="Q56" s="3"/>
      <c r="R56" s="3"/>
      <c r="S56" s="3"/>
      <c r="T56" s="3"/>
      <c r="U56" s="3"/>
      <c r="V56" s="3"/>
      <c r="W56" s="3"/>
      <c r="X56" s="3"/>
      <c r="Y56" s="3"/>
      <c r="Z56" s="3"/>
      <c r="AA56" s="3"/>
      <c r="AB56"/>
    </row>
    <row r="57" spans="1:28" x14ac:dyDescent="0.3">
      <c r="H57" s="65"/>
      <c r="I57" s="3"/>
      <c r="J57" s="32"/>
      <c r="M57" s="7"/>
      <c r="O57" s="3"/>
      <c r="P57" s="3"/>
      <c r="Q57" s="3"/>
      <c r="R57" s="3"/>
      <c r="S57" s="3"/>
      <c r="T57" s="3"/>
      <c r="U57" s="3"/>
      <c r="V57" s="3"/>
      <c r="W57" s="3"/>
      <c r="X57" s="3"/>
      <c r="Y57" s="3"/>
      <c r="Z57" s="3"/>
      <c r="AA57" s="3"/>
      <c r="AB57"/>
    </row>
    <row r="58" spans="1:28" s="14" customFormat="1" x14ac:dyDescent="0.3">
      <c r="A58" s="15"/>
      <c r="B58" s="15"/>
      <c r="C58" s="15"/>
      <c r="D58" s="3"/>
      <c r="E58" s="49" t="s">
        <v>335</v>
      </c>
      <c r="F58" s="3"/>
      <c r="G58" s="3"/>
      <c r="H58" s="3"/>
      <c r="I58" s="63"/>
      <c r="J58" s="166" t="s">
        <v>167</v>
      </c>
      <c r="K58" s="166" t="s">
        <v>172</v>
      </c>
      <c r="L58" s="3"/>
      <c r="M58" s="3"/>
      <c r="N58" s="3"/>
      <c r="O58" s="3"/>
      <c r="P58" s="3"/>
      <c r="Q58" s="3"/>
      <c r="R58" s="3"/>
      <c r="S58"/>
    </row>
    <row r="59" spans="1:28" x14ac:dyDescent="0.3">
      <c r="F59" s="15" t="s">
        <v>295</v>
      </c>
      <c r="H59" s="65" t="s">
        <v>309</v>
      </c>
      <c r="J59" s="159">
        <f>J20*J24</f>
        <v>13000</v>
      </c>
      <c r="K59" s="159">
        <f>J20*J55</f>
        <v>12350</v>
      </c>
    </row>
    <row r="60" spans="1:28" x14ac:dyDescent="0.3">
      <c r="F60" s="15" t="s">
        <v>337</v>
      </c>
      <c r="H60" s="65" t="s">
        <v>309</v>
      </c>
      <c r="J60" s="159">
        <f>J21*J25</f>
        <v>0</v>
      </c>
      <c r="K60" s="159">
        <f>J21*J56</f>
        <v>0</v>
      </c>
    </row>
    <row r="61" spans="1:28" x14ac:dyDescent="0.3">
      <c r="F61" s="157" t="s">
        <v>257</v>
      </c>
      <c r="G61" s="158"/>
      <c r="H61" s="158" t="s">
        <v>309</v>
      </c>
      <c r="I61" s="146"/>
      <c r="J61" s="164">
        <f>SUM(J59:J60)</f>
        <v>13000</v>
      </c>
      <c r="K61" s="159">
        <f>SUM(K59:K60)</f>
        <v>12350</v>
      </c>
    </row>
    <row r="62" spans="1:28" x14ac:dyDescent="0.3"/>
    <row r="63" spans="1:28" x14ac:dyDescent="0.3">
      <c r="C63" s="134" t="s">
        <v>338</v>
      </c>
      <c r="D63" s="135"/>
      <c r="E63" s="31"/>
      <c r="F63" s="134"/>
      <c r="G63" s="134"/>
      <c r="H63" s="134"/>
      <c r="I63" s="126"/>
      <c r="J63" s="134"/>
      <c r="K63" s="134"/>
    </row>
    <row r="64" spans="1:28" s="76" customFormat="1" x14ac:dyDescent="0.3">
      <c r="C64" s="140"/>
      <c r="D64" s="141"/>
      <c r="E64" s="117"/>
      <c r="F64" s="140"/>
      <c r="G64" s="140"/>
      <c r="H64" s="140"/>
      <c r="I64" s="131"/>
      <c r="J64" s="140"/>
      <c r="K64" s="140"/>
      <c r="S64" s="77"/>
    </row>
    <row r="65" spans="1:19" s="76" customFormat="1" x14ac:dyDescent="0.3">
      <c r="C65" s="140"/>
      <c r="D65" s="141"/>
      <c r="E65" s="153" t="s">
        <v>295</v>
      </c>
      <c r="F65" s="140"/>
      <c r="G65" s="140"/>
      <c r="H65" s="140"/>
      <c r="I65" s="131"/>
      <c r="J65" s="166" t="s">
        <v>167</v>
      </c>
      <c r="K65" s="166" t="s">
        <v>172</v>
      </c>
      <c r="S65" s="77"/>
    </row>
    <row r="66" spans="1:19" s="14" customFormat="1" x14ac:dyDescent="0.3">
      <c r="A66" s="15"/>
      <c r="B66" s="15"/>
      <c r="C66" s="15"/>
      <c r="D66" s="3"/>
      <c r="E66" s="33"/>
      <c r="F66" s="55" t="s">
        <v>168</v>
      </c>
      <c r="G66" s="151"/>
      <c r="H66" s="138" t="s">
        <v>339</v>
      </c>
      <c r="I66" s="152"/>
      <c r="J66" s="160">
        <f>IF($J$17="No",J34*J59/100,K34*J59/100)</f>
        <v>23344.1</v>
      </c>
      <c r="K66" s="160">
        <f>IF($J$17="No",J37*K59/100,K37*K59/100)</f>
        <v>25659.595000000001</v>
      </c>
      <c r="L66" s="3"/>
      <c r="M66" s="3"/>
      <c r="N66" s="3"/>
      <c r="O66" s="3"/>
      <c r="P66" s="3"/>
      <c r="Q66" s="3"/>
      <c r="R66" s="3"/>
      <c r="S66"/>
    </row>
    <row r="67" spans="1:19" s="14" customFormat="1" x14ac:dyDescent="0.3">
      <c r="A67" s="15"/>
      <c r="B67" s="15"/>
      <c r="C67" s="15"/>
      <c r="D67" s="3"/>
      <c r="E67" s="33"/>
      <c r="F67" s="156" t="s">
        <v>214</v>
      </c>
      <c r="G67" s="151"/>
      <c r="H67" s="138" t="s">
        <v>339</v>
      </c>
      <c r="I67" s="152"/>
      <c r="J67" s="160">
        <f>IF($J$17="No",J33*J20,K33*J20)</f>
        <v>1279</v>
      </c>
      <c r="K67" s="160">
        <f>IF($J$17="No",J36*J20,K36*J20)</f>
        <v>0</v>
      </c>
      <c r="L67" s="3"/>
      <c r="M67" s="3"/>
      <c r="N67" s="3"/>
      <c r="O67" s="3"/>
      <c r="P67" s="3"/>
      <c r="Q67" s="3"/>
      <c r="R67" s="3"/>
      <c r="S67"/>
    </row>
    <row r="68" spans="1:19" s="14" customFormat="1" x14ac:dyDescent="0.3">
      <c r="A68" s="15"/>
      <c r="B68" s="15"/>
      <c r="C68" s="15"/>
      <c r="D68" s="3"/>
      <c r="E68" s="33"/>
      <c r="F68" s="157" t="s">
        <v>257</v>
      </c>
      <c r="G68" s="145"/>
      <c r="H68" s="138" t="s">
        <v>339</v>
      </c>
      <c r="I68" s="145"/>
      <c r="J68" s="160">
        <f>SUM(J66:J67)</f>
        <v>24623.1</v>
      </c>
      <c r="K68" s="160">
        <f>SUM(K66:K67)</f>
        <v>25659.595000000001</v>
      </c>
      <c r="L68" s="3"/>
      <c r="M68" s="3"/>
      <c r="N68" s="3"/>
      <c r="O68" s="3"/>
      <c r="P68" s="3"/>
      <c r="Q68" s="3"/>
      <c r="R68" s="3"/>
      <c r="S68"/>
    </row>
    <row r="69" spans="1:19" s="14" customFormat="1" x14ac:dyDescent="0.3">
      <c r="A69" s="15"/>
      <c r="B69" s="15"/>
      <c r="C69" s="15"/>
      <c r="D69" s="3"/>
      <c r="E69" s="33"/>
      <c r="F69" s="3"/>
      <c r="G69" s="3"/>
      <c r="H69" s="3"/>
      <c r="I69" s="63"/>
      <c r="J69" s="160"/>
      <c r="K69" s="160"/>
      <c r="L69" s="3"/>
      <c r="M69" s="3"/>
      <c r="N69" s="3"/>
      <c r="O69" s="3"/>
      <c r="P69" s="3"/>
      <c r="Q69" s="3"/>
      <c r="R69" s="3"/>
      <c r="S69"/>
    </row>
    <row r="70" spans="1:19" s="14" customFormat="1" x14ac:dyDescent="0.3">
      <c r="A70" s="15"/>
      <c r="B70" s="15"/>
      <c r="C70" s="15"/>
      <c r="D70" s="3"/>
      <c r="E70" s="49" t="s">
        <v>297</v>
      </c>
      <c r="G70" s="72"/>
      <c r="H70" s="3"/>
      <c r="I70" s="63"/>
      <c r="J70" s="160"/>
      <c r="K70" s="160"/>
      <c r="L70" s="3"/>
      <c r="M70" s="3"/>
      <c r="N70" s="3"/>
      <c r="O70" s="3"/>
      <c r="P70" s="3"/>
      <c r="Q70" s="3"/>
      <c r="R70" s="3"/>
      <c r="S70"/>
    </row>
    <row r="71" spans="1:19" s="14" customFormat="1" x14ac:dyDescent="0.3">
      <c r="A71" s="15"/>
      <c r="B71" s="15"/>
      <c r="C71" s="15"/>
      <c r="D71" s="3"/>
      <c r="E71" s="33"/>
      <c r="F71" s="15" t="s">
        <v>340</v>
      </c>
      <c r="G71" s="15"/>
      <c r="H71" s="138" t="s">
        <v>339</v>
      </c>
      <c r="I71" s="63"/>
      <c r="J71" s="160">
        <f>IF($J$17="No",IF(J60&gt;50000,50000*J41,J60*J41)/100,IF(J60&gt;50000,50000*K41,J60*K41)/100)</f>
        <v>0</v>
      </c>
      <c r="K71" s="160">
        <f>IF($J$17="No",IF(K60&gt;50000,50000*J45,K60*J45)/100,IF(K60&gt;50000,50000*K45,K60*K45)/1000)</f>
        <v>0</v>
      </c>
      <c r="L71" s="3"/>
      <c r="M71" s="3"/>
      <c r="N71" s="3"/>
      <c r="O71" s="3"/>
      <c r="P71" s="3"/>
      <c r="Q71" s="3"/>
      <c r="R71" s="3"/>
      <c r="S71"/>
    </row>
    <row r="72" spans="1:19" s="14" customFormat="1" x14ac:dyDescent="0.3">
      <c r="A72" s="15"/>
      <c r="B72" s="15"/>
      <c r="C72" s="15"/>
      <c r="D72" s="3"/>
      <c r="E72" s="33"/>
      <c r="F72" s="15" t="s">
        <v>341</v>
      </c>
      <c r="G72" s="15"/>
      <c r="H72" s="138" t="s">
        <v>339</v>
      </c>
      <c r="I72" s="63"/>
      <c r="J72" s="160">
        <f>IF($J$17="No",IF(J60&gt;250000,200000*J42,IF(J60&gt;50000,(J60-50000)*J42))/100,IF(J60&gt;250000,200000*K42,IF(J60&gt;50000,(J60-50000)*K42))/100)</f>
        <v>0</v>
      </c>
      <c r="K72" s="160">
        <f>IF($J$17="No",IF(K60&gt;250000,200000*J46,IF(K60&gt;50000,(K60-50000)*J46))/100,IF(K60&gt;250000,200000*K46,IF(K60&gt;50000,(K60-50000)*K46))/100)</f>
        <v>0</v>
      </c>
      <c r="L72" s="3"/>
      <c r="M72" s="3"/>
      <c r="N72" s="3"/>
      <c r="O72" s="3"/>
      <c r="P72" s="3"/>
      <c r="Q72" s="3"/>
      <c r="R72" s="3"/>
      <c r="S72"/>
    </row>
    <row r="73" spans="1:19" s="14" customFormat="1" x14ac:dyDescent="0.3">
      <c r="A73" s="15"/>
      <c r="B73" s="15"/>
      <c r="C73" s="15"/>
      <c r="D73" s="3"/>
      <c r="E73" s="33"/>
      <c r="F73" s="15" t="s">
        <v>342</v>
      </c>
      <c r="G73" s="15"/>
      <c r="H73" s="138" t="s">
        <v>339</v>
      </c>
      <c r="I73" s="63"/>
      <c r="J73" s="160">
        <f>IF($J$17="No",IF(J60&gt;250000,(J60-250000)*J43,0)/100,IF(J60&gt;250000,(J60-250000)*K43,0)/100)</f>
        <v>0</v>
      </c>
      <c r="K73" s="160">
        <f>IF($J$17="No",IF(K60&gt;250000,(K60-250000)*J47,0)/100,IF(K60&gt;250000,(K60-250000)*K47,0)/100)</f>
        <v>0</v>
      </c>
      <c r="L73" s="3"/>
      <c r="M73" s="3"/>
      <c r="N73" s="3"/>
      <c r="O73" s="3"/>
      <c r="P73" s="3"/>
      <c r="Q73" s="3"/>
      <c r="R73" s="3"/>
      <c r="S73"/>
    </row>
    <row r="74" spans="1:19" s="14" customFormat="1" x14ac:dyDescent="0.3">
      <c r="A74" s="15"/>
      <c r="B74" s="15"/>
      <c r="C74" s="15"/>
      <c r="D74" s="3"/>
      <c r="E74" s="33"/>
      <c r="F74" s="157" t="s">
        <v>343</v>
      </c>
      <c r="G74" s="158"/>
      <c r="H74" s="138" t="s">
        <v>339</v>
      </c>
      <c r="I74" s="145"/>
      <c r="J74" s="160">
        <f>SUM(J71:J73)</f>
        <v>0</v>
      </c>
      <c r="K74" s="160">
        <f>SUM(K71:K73)</f>
        <v>0</v>
      </c>
      <c r="L74" s="3"/>
      <c r="M74" s="3"/>
      <c r="N74" s="3"/>
      <c r="O74" s="3"/>
      <c r="P74" s="3"/>
      <c r="Q74" s="3"/>
      <c r="R74" s="3"/>
      <c r="S74"/>
    </row>
    <row r="75" spans="1:19" x14ac:dyDescent="0.3">
      <c r="J75" s="161"/>
      <c r="K75" s="161"/>
    </row>
    <row r="76" spans="1:19" s="14" customFormat="1" x14ac:dyDescent="0.3">
      <c r="A76" s="15"/>
      <c r="B76" s="15"/>
      <c r="C76" s="15"/>
      <c r="D76" s="3"/>
      <c r="E76" s="33" t="s">
        <v>344</v>
      </c>
      <c r="F76" s="3"/>
      <c r="G76" s="3"/>
      <c r="H76" s="3"/>
      <c r="I76" s="63"/>
      <c r="J76" s="160"/>
      <c r="K76" s="160"/>
      <c r="L76" s="3"/>
      <c r="M76" s="3"/>
      <c r="N76" s="3"/>
      <c r="O76" s="3"/>
      <c r="P76" s="3"/>
      <c r="Q76" s="3"/>
      <c r="R76" s="3"/>
      <c r="S76"/>
    </row>
    <row r="77" spans="1:19" x14ac:dyDescent="0.3">
      <c r="F77" s="15" t="s">
        <v>252</v>
      </c>
      <c r="H77" s="155" t="s">
        <v>339</v>
      </c>
      <c r="J77" s="161">
        <f>J66+J74</f>
        <v>23344.1</v>
      </c>
      <c r="K77" s="161">
        <f>K66+K74</f>
        <v>25659.595000000001</v>
      </c>
    </row>
    <row r="78" spans="1:19" x14ac:dyDescent="0.3">
      <c r="F78" s="69" t="s">
        <v>214</v>
      </c>
      <c r="G78" s="69"/>
      <c r="H78" s="155" t="s">
        <v>339</v>
      </c>
      <c r="J78" s="161">
        <f>J67</f>
        <v>1279</v>
      </c>
      <c r="K78" s="161">
        <f>K67</f>
        <v>0</v>
      </c>
    </row>
    <row r="79" spans="1:19" x14ac:dyDescent="0.3">
      <c r="F79" s="69" t="s">
        <v>345</v>
      </c>
      <c r="G79" s="69"/>
      <c r="H79" s="155" t="s">
        <v>339</v>
      </c>
      <c r="J79" s="161">
        <f>J77+J78</f>
        <v>24623.1</v>
      </c>
      <c r="K79" s="161">
        <f>K77+K78</f>
        <v>25659.595000000001</v>
      </c>
    </row>
    <row r="80" spans="1:19" x14ac:dyDescent="0.3">
      <c r="F80" s="67" t="s">
        <v>346</v>
      </c>
      <c r="G80" s="67"/>
      <c r="H80" s="155" t="s">
        <v>91</v>
      </c>
      <c r="J80" s="162">
        <f>J77/J61*100</f>
        <v>179.57</v>
      </c>
      <c r="K80" s="162">
        <f>K77/K61*100</f>
        <v>207.77</v>
      </c>
    </row>
    <row r="81" spans="1:20" x14ac:dyDescent="0.3">
      <c r="F81" s="67" t="s">
        <v>347</v>
      </c>
      <c r="G81" s="67"/>
      <c r="H81" s="158" t="s">
        <v>169</v>
      </c>
      <c r="J81" s="162">
        <f>IF($J$17="No",$J$33,$K$33)</f>
        <v>12.79</v>
      </c>
      <c r="K81" s="162">
        <f>IF($J$17="No",$J$36,$K$36)</f>
        <v>0</v>
      </c>
    </row>
    <row r="82" spans="1:20" x14ac:dyDescent="0.3"/>
    <row r="83" spans="1:20" customFormat="1" x14ac:dyDescent="0.3">
      <c r="A83" s="22"/>
      <c r="B83" s="22" t="s">
        <v>68</v>
      </c>
      <c r="C83" s="22"/>
      <c r="D83" s="22"/>
      <c r="E83" s="22"/>
      <c r="F83" s="22"/>
      <c r="G83" s="22"/>
      <c r="H83" s="22"/>
      <c r="I83" s="58"/>
      <c r="J83" s="22"/>
      <c r="K83" s="22"/>
      <c r="L83" s="22"/>
      <c r="M83" s="120"/>
      <c r="N83" s="120"/>
      <c r="O83" s="120"/>
      <c r="P83" s="120"/>
      <c r="Q83" s="120"/>
      <c r="R83" s="120"/>
      <c r="S83" s="120"/>
      <c r="T83" s="120"/>
    </row>
  </sheetData>
  <sheetProtection algorithmName="SHA-512" hashValue="bbqTcBPUGs/7mhWGQXkZEhGyEjR+92pi/FP2zxW132S8AvRBJ7eRZdu9Ai8iQ3D7k4tp5Jqj+f/GWdy/SlorjQ==" saltValue="qeGoZMUzL2ps0HotfmQYAw==" spinCount="100000" sheet="1" objects="1" scenarios="1" selectLockedCells="1" selectUnlockedCells="1"/>
  <mergeCells count="1">
    <mergeCell ref="F6:K9"/>
  </mergeCells>
  <hyperlinks>
    <hyperlink ref="A3" location="Intro!A1" display="Return to Intro tab" xr:uid="{5DBBFB96-CB10-4304-B03B-E30BA0101509}"/>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A431-BA34-4326-A90A-A8C7B14315D1}">
  <sheetPr codeName="Sheet7">
    <tabColor theme="2"/>
  </sheetPr>
  <dimension ref="B2"/>
  <sheetViews>
    <sheetView workbookViewId="0">
      <selection activeCell="N25" sqref="N25"/>
    </sheetView>
  </sheetViews>
  <sheetFormatPr defaultColWidth="8" defaultRowHeight="13" x14ac:dyDescent="0.3"/>
  <cols>
    <col min="1" max="1" width="2.54296875" style="29" customWidth="1"/>
    <col min="2" max="16384" width="8" style="29"/>
  </cols>
  <sheetData>
    <row r="2" spans="2:2" ht="29" x14ac:dyDescent="0.3">
      <c r="B2" s="28" t="s">
        <v>348</v>
      </c>
    </row>
  </sheetData>
  <sheetProtection algorithmName="SHA-512" hashValue="WbZPlK6GkrKM6yF5c9VjiL3mjlv8BrhuNfY8RE5aB2hJCsDaUGhnah4oTZvO3D3BhFPuGCr8MiJFVmPDHziWnQ==" saltValue="KhavYwX8c/WH7M/+tWWGRQ==" spinCount="100000"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183FC-09BB-439B-8ABC-268482CB3084}">
  <sheetPr>
    <tabColor theme="2"/>
  </sheetPr>
  <dimension ref="A1:AB67"/>
  <sheetViews>
    <sheetView topLeftCell="A18" workbookViewId="0">
      <selection activeCell="K18" sqref="K18"/>
    </sheetView>
  </sheetViews>
  <sheetFormatPr defaultColWidth="0" defaultRowHeight="13" zeroHeight="1" outlineLevelCol="1" x14ac:dyDescent="0.3"/>
  <cols>
    <col min="1" max="2" width="2.453125" style="15" customWidth="1"/>
    <col min="3" max="3" width="2.453125" style="48" customWidth="1"/>
    <col min="4" max="4" width="2.453125" style="33" customWidth="1"/>
    <col min="5" max="5" width="38.453125" style="15" bestFit="1" customWidth="1"/>
    <col min="6" max="6" width="2.54296875" style="15" customWidth="1"/>
    <col min="7" max="7" width="10.54296875" style="62" customWidth="1"/>
    <col min="8" max="8" width="2.54296875" style="62" customWidth="1"/>
    <col min="9" max="9" width="14.453125" style="128" customWidth="1"/>
    <col min="10" max="11" width="2.453125" style="15" customWidth="1"/>
    <col min="12" max="12" width="2.453125" style="7" customWidth="1"/>
    <col min="13" max="20" width="11.453125" style="15" hidden="1" customWidth="1" outlineLevel="1"/>
    <col min="21" max="21" width="11.453125" style="15" customWidth="1" collapsed="1"/>
    <col min="22" max="22" width="12" style="15" customWidth="1"/>
    <col min="23" max="25" width="12.453125" style="15" customWidth="1"/>
    <col min="26" max="27" width="2.453125" style="15" customWidth="1"/>
    <col min="28" max="28" width="0" style="76" hidden="1" customWidth="1"/>
    <col min="29" max="16384" width="8.54296875" style="76" hidden="1"/>
  </cols>
  <sheetData>
    <row r="1" spans="1:27" s="118" customFormat="1" ht="17.5" x14ac:dyDescent="0.3">
      <c r="A1" s="18" t="str" cm="1">
        <f t="array" aca="1" ref="A1" ca="1">RIGHT(CELL("filename",A$2),LEN(CELL("filename",A$2))-FIND("]",CELL("filename",A$2)))</f>
        <v>Wholesale tariffs</v>
      </c>
      <c r="B1" s="18"/>
      <c r="C1" s="18"/>
      <c r="D1" s="18"/>
      <c r="E1" s="18"/>
      <c r="F1" s="18"/>
      <c r="G1" s="58"/>
      <c r="H1" s="58"/>
      <c r="I1" s="122"/>
      <c r="J1" s="18"/>
      <c r="K1" s="18"/>
      <c r="L1" s="18"/>
      <c r="M1" s="18"/>
      <c r="N1" s="18"/>
      <c r="O1" s="18"/>
      <c r="P1" s="18"/>
      <c r="Q1" s="18"/>
      <c r="R1" s="18"/>
      <c r="S1" s="18"/>
      <c r="T1" s="18"/>
      <c r="U1" s="18"/>
      <c r="V1" s="18"/>
      <c r="W1" s="20"/>
      <c r="X1" s="20"/>
      <c r="Y1" s="20"/>
      <c r="Z1" s="18"/>
      <c r="AA1" s="18"/>
    </row>
    <row r="2" spans="1:27" s="119" customFormat="1" x14ac:dyDescent="0.3">
      <c r="A2" s="21" t="str">
        <f>"["&amp;_xlfn.SINGLE(_ModelStatus)&amp;"] "&amp;_xlfn.SINGLE(_ModelName)&amp;" - "&amp;_xlfn.SINGLE(_OrganisationName)&amp;" - "&amp;_xlfn.SINGLE(_ModelVersion)&amp;" ("&amp;TEXT(_xlfn.SINGLE(_ModelDate),"dd/mm/yyyy")&amp;")"</f>
        <v>[Final] BSP model for NAVs - Yorkshire Water - Version Website (20/03/2024)</v>
      </c>
      <c r="B2" s="21"/>
      <c r="C2" s="21"/>
      <c r="D2" s="21"/>
      <c r="E2" s="21"/>
      <c r="F2" s="21"/>
      <c r="G2" s="59"/>
      <c r="H2" s="59"/>
      <c r="I2" s="123"/>
      <c r="J2" s="21"/>
      <c r="K2" s="21"/>
      <c r="L2" s="21"/>
      <c r="M2" s="21"/>
      <c r="N2" s="21"/>
      <c r="O2" s="21"/>
      <c r="P2" s="21"/>
      <c r="Q2" s="21"/>
      <c r="R2" s="21"/>
      <c r="S2" s="21"/>
      <c r="T2" s="21"/>
      <c r="U2" s="21"/>
      <c r="V2" s="21"/>
      <c r="W2" s="21"/>
      <c r="X2" s="21"/>
      <c r="Y2" s="21"/>
      <c r="Z2" s="21"/>
      <c r="AA2" s="21"/>
    </row>
    <row r="3" spans="1:27" s="77" customFormat="1" x14ac:dyDescent="0.3">
      <c r="A3" s="47" t="s">
        <v>160</v>
      </c>
      <c r="B3"/>
      <c r="C3" s="3"/>
      <c r="D3" s="49"/>
      <c r="E3"/>
      <c r="F3"/>
      <c r="G3" s="60"/>
      <c r="H3" s="60"/>
      <c r="I3" s="124"/>
      <c r="J3"/>
      <c r="K3"/>
      <c r="L3"/>
      <c r="M3"/>
      <c r="N3"/>
      <c r="O3"/>
      <c r="P3"/>
      <c r="Q3"/>
      <c r="R3"/>
      <c r="S3"/>
      <c r="T3"/>
      <c r="U3"/>
      <c r="V3"/>
      <c r="W3"/>
      <c r="X3"/>
      <c r="Y3"/>
      <c r="Z3"/>
      <c r="AA3"/>
    </row>
    <row r="4" spans="1:27" ht="13.5" customHeight="1" x14ac:dyDescent="0.3">
      <c r="D4" s="48"/>
      <c r="E4" s="48"/>
      <c r="F4" s="48"/>
      <c r="G4" s="61"/>
      <c r="H4" s="61"/>
      <c r="I4" s="125"/>
      <c r="J4" s="48"/>
      <c r="K4" s="48"/>
    </row>
    <row r="5" spans="1:27" s="77" customFormat="1" x14ac:dyDescent="0.3">
      <c r="A5"/>
      <c r="B5" s="30"/>
      <c r="C5" s="30"/>
      <c r="D5" s="30"/>
      <c r="E5" s="30" t="s">
        <v>256</v>
      </c>
      <c r="F5" s="30"/>
      <c r="G5" s="30" t="s">
        <v>312</v>
      </c>
      <c r="H5" s="30"/>
      <c r="I5" s="126"/>
      <c r="J5" s="30"/>
      <c r="K5" s="30"/>
      <c r="L5" s="30"/>
      <c r="M5" s="2" t="s">
        <v>313</v>
      </c>
      <c r="N5" s="2" t="s">
        <v>314</v>
      </c>
      <c r="O5" s="2" t="s">
        <v>315</v>
      </c>
      <c r="P5" s="2" t="s">
        <v>316</v>
      </c>
      <c r="Q5" s="2" t="s">
        <v>317</v>
      </c>
      <c r="R5" s="2" t="s">
        <v>318</v>
      </c>
      <c r="S5" s="2" t="s">
        <v>319</v>
      </c>
      <c r="T5" s="2" t="s">
        <v>320</v>
      </c>
      <c r="U5" s="2" t="s">
        <v>321</v>
      </c>
      <c r="V5" s="2" t="s">
        <v>176</v>
      </c>
      <c r="W5" s="2" t="s">
        <v>322</v>
      </c>
      <c r="X5" s="2" t="s">
        <v>323</v>
      </c>
      <c r="Y5" s="2" t="s">
        <v>324</v>
      </c>
      <c r="Z5" s="30"/>
      <c r="AA5" s="121"/>
    </row>
    <row r="6" spans="1:27" ht="13.4" customHeight="1" x14ac:dyDescent="0.3">
      <c r="E6"/>
      <c r="F6"/>
      <c r="G6" s="17"/>
      <c r="H6" s="17"/>
      <c r="I6" s="17"/>
      <c r="J6" s="13"/>
      <c r="K6" s="13"/>
      <c r="L6"/>
      <c r="M6"/>
      <c r="N6"/>
      <c r="O6"/>
      <c r="P6"/>
      <c r="Q6"/>
      <c r="R6"/>
      <c r="S6"/>
      <c r="T6"/>
      <c r="U6"/>
      <c r="V6"/>
      <c r="W6"/>
      <c r="X6"/>
      <c r="Y6"/>
      <c r="Z6"/>
      <c r="AA6"/>
    </row>
    <row r="7" spans="1:27" s="77" customFormat="1" x14ac:dyDescent="0.3">
      <c r="A7"/>
      <c r="B7" s="22" t="s">
        <v>43</v>
      </c>
      <c r="C7" s="22"/>
      <c r="D7" s="22"/>
      <c r="E7" s="22"/>
      <c r="F7" s="22"/>
      <c r="G7" s="58"/>
      <c r="H7" s="58"/>
      <c r="I7" s="127"/>
      <c r="J7" s="22"/>
      <c r="K7" s="22"/>
      <c r="L7" s="22"/>
      <c r="M7" s="22"/>
      <c r="N7" s="22"/>
      <c r="O7" s="22"/>
      <c r="P7" s="22"/>
      <c r="Q7" s="22"/>
      <c r="R7" s="22"/>
      <c r="S7" s="22"/>
      <c r="T7" s="22"/>
      <c r="U7" s="22"/>
      <c r="V7" s="22"/>
      <c r="W7" s="22"/>
      <c r="X7" s="22"/>
      <c r="Y7" s="22"/>
      <c r="Z7" s="22"/>
      <c r="AA7" s="120"/>
    </row>
    <row r="8" spans="1:27" x14ac:dyDescent="0.3">
      <c r="E8" s="12" t="s">
        <v>66</v>
      </c>
      <c r="F8" s="12"/>
      <c r="AA8" s="76"/>
    </row>
    <row r="9" spans="1:27" x14ac:dyDescent="0.3">
      <c r="C9" s="3"/>
      <c r="E9" s="65" t="s">
        <v>349</v>
      </c>
      <c r="AA9" s="76"/>
    </row>
    <row r="10" spans="1:27" x14ac:dyDescent="0.3">
      <c r="C10" s="3"/>
      <c r="E10" s="65"/>
      <c r="AA10" s="76"/>
    </row>
    <row r="11" spans="1:27" s="77" customFormat="1" x14ac:dyDescent="0.3">
      <c r="A11" s="15"/>
      <c r="B11" s="22" t="s">
        <v>350</v>
      </c>
      <c r="C11" s="22"/>
      <c r="D11" s="22"/>
      <c r="E11" s="22"/>
      <c r="F11" s="22"/>
      <c r="G11" s="58"/>
      <c r="H11" s="58"/>
      <c r="I11" s="127"/>
      <c r="J11" s="22"/>
      <c r="K11" s="22"/>
      <c r="L11" s="22"/>
      <c r="M11" s="22"/>
      <c r="N11" s="22"/>
      <c r="O11" s="22"/>
      <c r="P11" s="22"/>
      <c r="Q11" s="22"/>
      <c r="R11" s="22"/>
      <c r="S11" s="22"/>
      <c r="T11" s="22"/>
      <c r="U11" s="22"/>
      <c r="V11" s="22"/>
      <c r="W11" s="22"/>
      <c r="X11" s="22"/>
      <c r="Y11" s="22"/>
      <c r="Z11" s="22"/>
      <c r="AA11" s="120"/>
    </row>
    <row r="12" spans="1:27" x14ac:dyDescent="0.3">
      <c r="AA12" s="76"/>
    </row>
    <row r="13" spans="1:27" x14ac:dyDescent="0.3">
      <c r="C13" s="31" t="s">
        <v>351</v>
      </c>
      <c r="D13" s="31"/>
      <c r="E13" s="31"/>
      <c r="F13" s="31"/>
      <c r="G13" s="31"/>
      <c r="H13" s="31"/>
      <c r="I13" s="126"/>
      <c r="J13" s="31"/>
      <c r="K13" s="31"/>
      <c r="L13" s="31"/>
      <c r="M13" s="31"/>
      <c r="N13" s="31"/>
      <c r="O13" s="31"/>
      <c r="P13" s="31"/>
      <c r="Q13" s="31"/>
      <c r="R13" s="31"/>
      <c r="S13" s="31"/>
      <c r="T13" s="31"/>
      <c r="U13" s="31"/>
      <c r="V13" s="31"/>
      <c r="W13" s="31"/>
      <c r="X13" s="31"/>
      <c r="Y13" s="31"/>
      <c r="Z13" s="31"/>
      <c r="AA13" s="117"/>
    </row>
    <row r="14" spans="1:27" x14ac:dyDescent="0.3">
      <c r="C14" s="78"/>
      <c r="E14" s="33"/>
      <c r="F14" s="33"/>
      <c r="G14" s="64"/>
      <c r="H14" s="64"/>
      <c r="I14" s="129"/>
      <c r="J14" s="33"/>
      <c r="K14" s="33"/>
      <c r="L14" s="33"/>
      <c r="M14" s="33"/>
      <c r="N14" s="33"/>
      <c r="O14" s="33"/>
      <c r="P14" s="33"/>
      <c r="Q14" s="33"/>
      <c r="R14" s="33"/>
      <c r="S14" s="33"/>
      <c r="T14" s="33"/>
      <c r="U14" s="33"/>
      <c r="V14" s="33"/>
      <c r="W14" s="33"/>
      <c r="X14" s="33"/>
      <c r="Y14" s="33"/>
      <c r="Z14" s="33"/>
      <c r="AA14" s="78"/>
    </row>
    <row r="15" spans="1:27" x14ac:dyDescent="0.3">
      <c r="C15" s="33"/>
      <c r="D15" s="33" t="s">
        <v>167</v>
      </c>
      <c r="AA15" s="76"/>
    </row>
    <row r="16" spans="1:27" x14ac:dyDescent="0.3">
      <c r="C16" s="33"/>
      <c r="E16" t="s">
        <v>352</v>
      </c>
      <c r="F16"/>
      <c r="G16" s="65" t="s">
        <v>91</v>
      </c>
      <c r="H16" s="65"/>
      <c r="I16" s="124"/>
      <c r="M16" s="230"/>
      <c r="N16" s="230"/>
      <c r="O16" s="230"/>
      <c r="P16" s="230"/>
      <c r="Q16" s="230"/>
      <c r="R16" s="230"/>
      <c r="S16" s="230"/>
      <c r="T16" s="230"/>
      <c r="U16" s="230">
        <v>158.02000000000001</v>
      </c>
      <c r="V16" s="230">
        <v>176.45</v>
      </c>
      <c r="W16" s="230"/>
      <c r="X16" s="230"/>
      <c r="Y16" s="230"/>
      <c r="AA16" s="76"/>
    </row>
    <row r="17" spans="1:27" x14ac:dyDescent="0.3">
      <c r="C17" s="33"/>
      <c r="E17" t="s">
        <v>353</v>
      </c>
      <c r="F17"/>
      <c r="G17" s="65" t="s">
        <v>91</v>
      </c>
      <c r="H17" s="65"/>
      <c r="I17" s="124"/>
      <c r="M17" s="231"/>
      <c r="N17" s="231"/>
      <c r="O17" s="231"/>
      <c r="P17" s="231"/>
      <c r="Q17" s="231"/>
      <c r="R17" s="231"/>
      <c r="S17" s="231"/>
      <c r="T17" s="231"/>
      <c r="U17" s="231">
        <v>158.02000000000001</v>
      </c>
      <c r="V17" s="231">
        <v>176.45</v>
      </c>
      <c r="W17" s="231"/>
      <c r="X17" s="231"/>
      <c r="Y17" s="231"/>
      <c r="AA17" s="76"/>
    </row>
    <row r="18" spans="1:27" x14ac:dyDescent="0.3">
      <c r="C18" s="33"/>
      <c r="E18" t="s">
        <v>354</v>
      </c>
      <c r="F18"/>
      <c r="G18" s="65" t="s">
        <v>91</v>
      </c>
      <c r="H18" s="65"/>
      <c r="I18" s="124"/>
      <c r="M18" s="232"/>
      <c r="N18" s="232"/>
      <c r="O18" s="232"/>
      <c r="P18" s="232"/>
      <c r="Q18" s="232"/>
      <c r="R18" s="232"/>
      <c r="S18" s="232"/>
      <c r="T18" s="232"/>
      <c r="U18" s="232">
        <v>158.02000000000001</v>
      </c>
      <c r="V18" s="232">
        <v>176.45</v>
      </c>
      <c r="W18" s="232"/>
      <c r="X18" s="232"/>
      <c r="Y18" s="232"/>
      <c r="AA18" s="76"/>
    </row>
    <row r="19" spans="1:27" s="77" customFormat="1" x14ac:dyDescent="0.3">
      <c r="A19"/>
      <c r="B19"/>
      <c r="C19"/>
      <c r="D19" s="33"/>
      <c r="E19" t="s">
        <v>355</v>
      </c>
      <c r="F19"/>
      <c r="G19" s="65" t="s">
        <v>91</v>
      </c>
      <c r="H19" s="60"/>
      <c r="I19" s="124"/>
      <c r="J19"/>
      <c r="K19"/>
      <c r="L19"/>
      <c r="M19" s="232"/>
      <c r="N19" s="232"/>
      <c r="O19" s="232"/>
      <c r="P19" s="232"/>
      <c r="Q19" s="232"/>
      <c r="R19" s="232"/>
      <c r="S19" s="232"/>
      <c r="T19" s="232"/>
      <c r="U19" s="232">
        <v>100.91</v>
      </c>
      <c r="V19" s="232">
        <v>112.68</v>
      </c>
      <c r="W19" s="232"/>
      <c r="X19" s="232"/>
      <c r="Y19" s="232"/>
      <c r="Z19"/>
    </row>
    <row r="20" spans="1:27" s="77" customFormat="1" x14ac:dyDescent="0.3">
      <c r="A20" s="15"/>
      <c r="B20"/>
      <c r="C20" s="49"/>
      <c r="D20" s="33"/>
      <c r="E20" t="s">
        <v>356</v>
      </c>
      <c r="F20"/>
      <c r="G20" s="65" t="s">
        <v>91</v>
      </c>
      <c r="H20" s="60"/>
      <c r="I20" s="124"/>
      <c r="J20"/>
      <c r="K20"/>
      <c r="L20"/>
      <c r="M20" s="230"/>
      <c r="N20" s="230"/>
      <c r="O20" s="230"/>
      <c r="P20" s="230"/>
      <c r="Q20" s="230"/>
      <c r="R20" s="230"/>
      <c r="S20" s="230"/>
      <c r="T20" s="230"/>
      <c r="U20" s="230">
        <v>85.17</v>
      </c>
      <c r="V20" s="230">
        <v>95.1</v>
      </c>
      <c r="W20" s="230"/>
      <c r="X20" s="230"/>
      <c r="Y20" s="230"/>
      <c r="Z20"/>
    </row>
    <row r="21" spans="1:27" s="77" customFormat="1" x14ac:dyDescent="0.3">
      <c r="A21" s="15"/>
      <c r="B21"/>
      <c r="C21" s="49"/>
      <c r="D21" s="33"/>
      <c r="E21"/>
      <c r="F21"/>
      <c r="G21" s="60"/>
      <c r="H21" s="60"/>
      <c r="I21" s="124"/>
      <c r="J21"/>
      <c r="K21"/>
      <c r="L21"/>
      <c r="M21" s="233"/>
      <c r="N21" s="233"/>
      <c r="O21" s="233"/>
      <c r="P21" s="233"/>
      <c r="Q21" s="233"/>
      <c r="R21" s="233"/>
      <c r="S21" s="233"/>
      <c r="T21" s="233"/>
      <c r="U21" s="233"/>
      <c r="V21" s="275"/>
      <c r="W21" s="233"/>
      <c r="X21" s="233"/>
      <c r="Y21" s="233"/>
      <c r="Z21"/>
    </row>
    <row r="22" spans="1:27" x14ac:dyDescent="0.3">
      <c r="C22" s="33"/>
      <c r="D22" s="33" t="s">
        <v>172</v>
      </c>
      <c r="M22" s="233"/>
      <c r="N22" s="233"/>
      <c r="O22" s="233"/>
      <c r="P22" s="233"/>
      <c r="Q22" s="233"/>
      <c r="R22" s="233"/>
      <c r="S22" s="233"/>
      <c r="T22" s="233"/>
      <c r="U22" s="233"/>
      <c r="V22" s="275"/>
      <c r="W22" s="233"/>
      <c r="X22" s="233"/>
      <c r="Y22" s="233"/>
      <c r="AA22" s="76"/>
    </row>
    <row r="23" spans="1:27" x14ac:dyDescent="0.3">
      <c r="C23" s="33"/>
      <c r="E23" t="s">
        <v>352</v>
      </c>
      <c r="F23"/>
      <c r="G23" s="65" t="s">
        <v>91</v>
      </c>
      <c r="H23" s="65"/>
      <c r="I23" s="124"/>
      <c r="M23" s="230"/>
      <c r="N23" s="230"/>
      <c r="O23" s="230"/>
      <c r="P23" s="230"/>
      <c r="Q23" s="230"/>
      <c r="R23" s="230"/>
      <c r="S23" s="230"/>
      <c r="T23" s="230"/>
      <c r="U23" s="230">
        <v>188.76</v>
      </c>
      <c r="V23" s="230">
        <v>199.38</v>
      </c>
      <c r="W23" s="230"/>
      <c r="X23" s="230"/>
      <c r="Y23" s="230"/>
      <c r="AA23" s="76"/>
    </row>
    <row r="24" spans="1:27" x14ac:dyDescent="0.3">
      <c r="C24" s="33"/>
      <c r="E24" t="s">
        <v>353</v>
      </c>
      <c r="F24"/>
      <c r="G24" s="65" t="s">
        <v>91</v>
      </c>
      <c r="H24" s="65"/>
      <c r="I24" s="124"/>
      <c r="M24" s="231"/>
      <c r="N24" s="231"/>
      <c r="O24" s="231"/>
      <c r="P24" s="231"/>
      <c r="Q24" s="231"/>
      <c r="R24" s="231"/>
      <c r="S24" s="231"/>
      <c r="T24" s="231"/>
      <c r="U24" s="231">
        <v>188.76</v>
      </c>
      <c r="V24" s="231">
        <v>199.38</v>
      </c>
      <c r="W24" s="231"/>
      <c r="X24" s="231"/>
      <c r="Y24" s="231"/>
      <c r="AA24" s="76"/>
    </row>
    <row r="25" spans="1:27" x14ac:dyDescent="0.3">
      <c r="C25" s="33"/>
      <c r="E25" t="s">
        <v>354</v>
      </c>
      <c r="F25"/>
      <c r="G25" s="65" t="s">
        <v>91</v>
      </c>
      <c r="H25" s="65"/>
      <c r="I25" s="124"/>
      <c r="M25" s="232"/>
      <c r="N25" s="232"/>
      <c r="O25" s="232"/>
      <c r="P25" s="232"/>
      <c r="Q25" s="232"/>
      <c r="R25" s="232"/>
      <c r="S25" s="232"/>
      <c r="T25" s="232"/>
      <c r="U25" s="232">
        <v>188.76</v>
      </c>
      <c r="V25" s="232">
        <v>199.38</v>
      </c>
      <c r="W25" s="232"/>
      <c r="X25" s="232"/>
      <c r="Y25" s="232"/>
      <c r="AA25" s="76"/>
    </row>
    <row r="26" spans="1:27" s="77" customFormat="1" x14ac:dyDescent="0.3">
      <c r="A26"/>
      <c r="B26"/>
      <c r="C26"/>
      <c r="D26" s="33"/>
      <c r="E26" t="s">
        <v>355</v>
      </c>
      <c r="F26"/>
      <c r="G26" s="65" t="s">
        <v>91</v>
      </c>
      <c r="H26" s="60"/>
      <c r="I26" s="124"/>
      <c r="J26"/>
      <c r="K26"/>
      <c r="L26"/>
      <c r="M26" s="232"/>
      <c r="N26" s="232"/>
      <c r="O26" s="232"/>
      <c r="P26" s="232"/>
      <c r="Q26" s="232"/>
      <c r="R26" s="232"/>
      <c r="S26" s="232"/>
      <c r="T26" s="232"/>
      <c r="U26" s="232">
        <v>152.57</v>
      </c>
      <c r="V26" s="232">
        <v>161.16</v>
      </c>
      <c r="W26" s="232"/>
      <c r="X26" s="232"/>
      <c r="Y26" s="232"/>
      <c r="Z26"/>
    </row>
    <row r="27" spans="1:27" s="77" customFormat="1" x14ac:dyDescent="0.3">
      <c r="A27" s="15"/>
      <c r="B27"/>
      <c r="C27" s="49"/>
      <c r="D27" s="33"/>
      <c r="E27" t="s">
        <v>356</v>
      </c>
      <c r="F27"/>
      <c r="G27" s="65" t="s">
        <v>91</v>
      </c>
      <c r="H27" s="60"/>
      <c r="I27" s="124"/>
      <c r="J27"/>
      <c r="K27"/>
      <c r="L27"/>
      <c r="M27" s="230"/>
      <c r="N27" s="230"/>
      <c r="O27" s="230"/>
      <c r="P27" s="230"/>
      <c r="Q27" s="230"/>
      <c r="R27" s="230"/>
      <c r="S27" s="230"/>
      <c r="T27" s="230"/>
      <c r="U27" s="230">
        <v>139.26</v>
      </c>
      <c r="V27" s="230">
        <v>147.1</v>
      </c>
      <c r="W27" s="230"/>
      <c r="X27" s="230"/>
      <c r="Y27" s="230"/>
      <c r="Z27"/>
    </row>
    <row r="28" spans="1:27" s="77" customFormat="1" x14ac:dyDescent="0.3">
      <c r="A28" s="15"/>
      <c r="B28"/>
      <c r="C28" s="49"/>
      <c r="D28" s="33"/>
      <c r="E28"/>
      <c r="F28"/>
      <c r="G28" s="60"/>
      <c r="H28" s="60"/>
      <c r="I28" s="124"/>
      <c r="J28"/>
      <c r="K28"/>
      <c r="L28"/>
      <c r="M28" s="233"/>
      <c r="N28" s="233"/>
      <c r="O28" s="233"/>
      <c r="P28" s="233"/>
      <c r="Q28" s="233"/>
      <c r="R28" s="233"/>
      <c r="S28" s="233"/>
      <c r="T28" s="233"/>
      <c r="U28" s="233"/>
      <c r="V28" s="275"/>
      <c r="W28" s="233"/>
      <c r="X28" s="233"/>
      <c r="Y28" s="233"/>
      <c r="Z28"/>
    </row>
    <row r="29" spans="1:27" x14ac:dyDescent="0.3">
      <c r="C29" s="31" t="s">
        <v>330</v>
      </c>
      <c r="D29" s="31"/>
      <c r="E29" s="31"/>
      <c r="F29" s="31"/>
      <c r="G29" s="31"/>
      <c r="H29" s="31"/>
      <c r="I29" s="126"/>
      <c r="J29" s="31"/>
      <c r="K29" s="31"/>
      <c r="L29" s="31"/>
      <c r="M29" s="234"/>
      <c r="N29" s="234"/>
      <c r="O29" s="234"/>
      <c r="P29" s="234"/>
      <c r="Q29" s="234"/>
      <c r="R29" s="234"/>
      <c r="S29" s="234"/>
      <c r="T29" s="234"/>
      <c r="U29" s="234"/>
      <c r="V29" s="276"/>
      <c r="W29" s="234"/>
      <c r="X29" s="234"/>
      <c r="Y29" s="234"/>
      <c r="Z29" s="31"/>
      <c r="AA29" s="117"/>
    </row>
    <row r="30" spans="1:27" x14ac:dyDescent="0.3">
      <c r="C30" s="78"/>
      <c r="E30" s="33"/>
      <c r="F30" s="33"/>
      <c r="G30" s="64"/>
      <c r="H30" s="64"/>
      <c r="I30" s="129"/>
      <c r="J30" s="33"/>
      <c r="K30" s="33"/>
      <c r="L30" s="33"/>
      <c r="M30" s="235"/>
      <c r="N30" s="235"/>
      <c r="O30" s="235"/>
      <c r="P30" s="235"/>
      <c r="Q30" s="235"/>
      <c r="R30" s="235"/>
      <c r="S30" s="235"/>
      <c r="T30" s="235"/>
      <c r="U30" s="235"/>
      <c r="V30" s="277"/>
      <c r="W30" s="235"/>
      <c r="X30" s="235"/>
      <c r="Y30" s="235"/>
      <c r="Z30" s="33"/>
      <c r="AA30" s="78"/>
    </row>
    <row r="31" spans="1:27" x14ac:dyDescent="0.3">
      <c r="D31" s="33" t="s">
        <v>167</v>
      </c>
      <c r="M31" s="233"/>
      <c r="N31" s="233"/>
      <c r="O31" s="233"/>
      <c r="P31" s="233"/>
      <c r="Q31" s="233"/>
      <c r="R31" s="233"/>
      <c r="S31" s="233"/>
      <c r="T31" s="233"/>
      <c r="U31" s="233"/>
      <c r="V31" s="275"/>
      <c r="W31" s="233"/>
      <c r="X31" s="233"/>
      <c r="Y31" s="233"/>
      <c r="AA31" s="76"/>
    </row>
    <row r="32" spans="1:27" x14ac:dyDescent="0.3">
      <c r="E32" t="s">
        <v>357</v>
      </c>
      <c r="F32"/>
      <c r="G32" s="65" t="s">
        <v>169</v>
      </c>
      <c r="H32" s="65"/>
      <c r="I32" s="124"/>
      <c r="M32" s="231"/>
      <c r="N32" s="231"/>
      <c r="O32" s="231"/>
      <c r="P32" s="231"/>
      <c r="Q32" s="231"/>
      <c r="R32" s="231"/>
      <c r="S32" s="231"/>
      <c r="T32" s="231"/>
      <c r="U32" s="231">
        <v>11.45</v>
      </c>
      <c r="V32" s="231">
        <v>12.79</v>
      </c>
      <c r="W32" s="231"/>
      <c r="X32" s="231"/>
      <c r="Y32" s="231"/>
      <c r="AA32" s="76"/>
    </row>
    <row r="33" spans="1:27" x14ac:dyDescent="0.3">
      <c r="E33" t="s">
        <v>358</v>
      </c>
      <c r="F33"/>
      <c r="G33" s="65" t="s">
        <v>91</v>
      </c>
      <c r="H33" s="65"/>
      <c r="I33" s="124"/>
      <c r="M33" s="236"/>
      <c r="N33" s="236"/>
      <c r="O33" s="236"/>
      <c r="P33" s="236"/>
      <c r="Q33" s="236"/>
      <c r="R33" s="236"/>
      <c r="S33" s="236"/>
      <c r="T33" s="236"/>
      <c r="U33" s="236">
        <v>160.81</v>
      </c>
      <c r="V33" s="236">
        <v>179.57</v>
      </c>
      <c r="W33" s="236"/>
      <c r="X33" s="236"/>
      <c r="Y33" s="236"/>
      <c r="AA33" s="76"/>
    </row>
    <row r="34" spans="1:27" s="112" customFormat="1" x14ac:dyDescent="0.3">
      <c r="C34" s="48"/>
      <c r="D34" s="113"/>
      <c r="E34" s="114"/>
      <c r="F34" s="114"/>
      <c r="G34" s="115"/>
      <c r="H34" s="115"/>
      <c r="I34" s="130"/>
      <c r="L34" s="116"/>
      <c r="M34" s="237"/>
      <c r="N34" s="237"/>
      <c r="O34" s="237"/>
      <c r="P34" s="237"/>
      <c r="Q34" s="237"/>
      <c r="R34" s="237"/>
      <c r="S34" s="237"/>
      <c r="T34" s="237"/>
      <c r="U34" s="237"/>
      <c r="V34" s="278"/>
      <c r="W34" s="237"/>
      <c r="X34" s="237"/>
      <c r="Y34" s="237"/>
    </row>
    <row r="35" spans="1:27" x14ac:dyDescent="0.3">
      <c r="D35" s="33" t="s">
        <v>172</v>
      </c>
      <c r="M35" s="233"/>
      <c r="N35" s="233"/>
      <c r="O35" s="233"/>
      <c r="P35" s="233"/>
      <c r="Q35" s="233"/>
      <c r="R35" s="233"/>
      <c r="S35" s="233"/>
      <c r="T35" s="233"/>
      <c r="U35" s="233"/>
      <c r="V35" s="275"/>
      <c r="W35" s="233"/>
      <c r="X35" s="233"/>
      <c r="Y35" s="233"/>
      <c r="AA35" s="76"/>
    </row>
    <row r="36" spans="1:27" x14ac:dyDescent="0.3">
      <c r="E36" t="s">
        <v>357</v>
      </c>
      <c r="F36"/>
      <c r="G36" s="65" t="s">
        <v>169</v>
      </c>
      <c r="H36" s="65"/>
      <c r="I36" s="124"/>
      <c r="M36" s="231"/>
      <c r="N36" s="231"/>
      <c r="O36" s="231"/>
      <c r="P36" s="231"/>
      <c r="Q36" s="231"/>
      <c r="R36" s="231"/>
      <c r="S36" s="231"/>
      <c r="T36" s="231"/>
      <c r="U36" s="231">
        <v>0</v>
      </c>
      <c r="V36" s="231">
        <v>0</v>
      </c>
      <c r="W36" s="231"/>
      <c r="X36" s="231"/>
      <c r="Y36" s="231"/>
      <c r="AA36" s="76"/>
    </row>
    <row r="37" spans="1:27" x14ac:dyDescent="0.3">
      <c r="E37" t="s">
        <v>358</v>
      </c>
      <c r="F37"/>
      <c r="G37" s="65" t="s">
        <v>91</v>
      </c>
      <c r="H37" s="65"/>
      <c r="I37" s="124"/>
      <c r="M37" s="232"/>
      <c r="N37" s="232"/>
      <c r="O37" s="232"/>
      <c r="P37" s="232"/>
      <c r="Q37" s="232"/>
      <c r="R37" s="232"/>
      <c r="S37" s="232"/>
      <c r="T37" s="232"/>
      <c r="U37" s="232">
        <v>196.69</v>
      </c>
      <c r="V37" s="236">
        <v>207.77</v>
      </c>
      <c r="W37" s="232"/>
      <c r="X37" s="232"/>
      <c r="Y37" s="232"/>
      <c r="AA37" s="76"/>
    </row>
    <row r="38" spans="1:27" x14ac:dyDescent="0.3">
      <c r="M38" s="233"/>
      <c r="N38" s="233"/>
      <c r="O38" s="233"/>
      <c r="P38" s="233"/>
      <c r="Q38" s="233"/>
      <c r="R38" s="233"/>
      <c r="S38" s="233"/>
      <c r="T38" s="233"/>
      <c r="U38" s="233"/>
      <c r="V38" s="275"/>
      <c r="W38" s="233"/>
      <c r="X38" s="233"/>
      <c r="Y38" s="233"/>
      <c r="AA38" s="76"/>
    </row>
    <row r="39" spans="1:27" s="77" customFormat="1" x14ac:dyDescent="0.3">
      <c r="A39" s="15"/>
      <c r="B39" s="22" t="s">
        <v>359</v>
      </c>
      <c r="C39" s="22"/>
      <c r="D39" s="22"/>
      <c r="E39" s="22"/>
      <c r="F39" s="22"/>
      <c r="G39" s="58"/>
      <c r="H39" s="58"/>
      <c r="I39" s="127"/>
      <c r="J39" s="22"/>
      <c r="K39" s="22"/>
      <c r="L39" s="22"/>
      <c r="M39" s="238"/>
      <c r="N39" s="238"/>
      <c r="O39" s="238"/>
      <c r="P39" s="238"/>
      <c r="Q39" s="238"/>
      <c r="R39" s="238"/>
      <c r="S39" s="238"/>
      <c r="T39" s="238"/>
      <c r="U39" s="238"/>
      <c r="V39" s="279"/>
      <c r="W39" s="238"/>
      <c r="X39" s="238"/>
      <c r="Y39" s="238"/>
      <c r="Z39" s="22"/>
      <c r="AA39" s="120"/>
    </row>
    <row r="40" spans="1:27" x14ac:dyDescent="0.3">
      <c r="M40" s="233"/>
      <c r="N40" s="233"/>
      <c r="O40" s="233"/>
      <c r="P40" s="233"/>
      <c r="Q40" s="233"/>
      <c r="R40" s="233"/>
      <c r="S40" s="233"/>
      <c r="T40" s="233"/>
      <c r="U40" s="233"/>
      <c r="V40" s="275"/>
      <c r="W40" s="233"/>
      <c r="X40" s="233"/>
      <c r="Y40" s="233"/>
      <c r="AA40" s="76"/>
    </row>
    <row r="41" spans="1:27" x14ac:dyDescent="0.3">
      <c r="C41" s="31" t="s">
        <v>351</v>
      </c>
      <c r="D41" s="31"/>
      <c r="E41" s="31"/>
      <c r="F41" s="31"/>
      <c r="G41" s="31"/>
      <c r="H41" s="31"/>
      <c r="I41" s="126"/>
      <c r="J41" s="31"/>
      <c r="K41" s="31"/>
      <c r="L41" s="31"/>
      <c r="M41" s="234"/>
      <c r="N41" s="234"/>
      <c r="O41" s="234"/>
      <c r="P41" s="234"/>
      <c r="Q41" s="234"/>
      <c r="R41" s="234"/>
      <c r="S41" s="234"/>
      <c r="T41" s="234"/>
      <c r="U41" s="234"/>
      <c r="V41" s="276"/>
      <c r="W41" s="234"/>
      <c r="X41" s="234"/>
      <c r="Y41" s="234"/>
      <c r="Z41" s="31"/>
      <c r="AA41" s="117"/>
    </row>
    <row r="42" spans="1:27" x14ac:dyDescent="0.3">
      <c r="D42" s="78"/>
      <c r="E42" s="33"/>
      <c r="F42" s="33"/>
      <c r="G42" s="64"/>
      <c r="H42" s="64"/>
      <c r="I42" s="129"/>
      <c r="J42" s="33"/>
      <c r="K42" s="33"/>
      <c r="L42" s="33"/>
      <c r="M42" s="235"/>
      <c r="N42" s="235"/>
      <c r="O42" s="235"/>
      <c r="P42" s="235"/>
      <c r="Q42" s="235"/>
      <c r="R42" s="235"/>
      <c r="S42" s="235"/>
      <c r="T42" s="235"/>
      <c r="U42" s="235"/>
      <c r="V42" s="277"/>
      <c r="W42" s="235"/>
      <c r="X42" s="235"/>
      <c r="Y42" s="235"/>
      <c r="Z42" s="33"/>
      <c r="AA42" s="78"/>
    </row>
    <row r="43" spans="1:27" x14ac:dyDescent="0.3">
      <c r="D43" s="33" t="s">
        <v>167</v>
      </c>
      <c r="M43" s="233"/>
      <c r="N43" s="233"/>
      <c r="O43" s="233"/>
      <c r="P43" s="233"/>
      <c r="Q43" s="233"/>
      <c r="R43" s="233"/>
      <c r="S43" s="233"/>
      <c r="T43" s="233"/>
      <c r="U43" s="233"/>
      <c r="V43" s="275"/>
      <c r="W43" s="233"/>
      <c r="X43" s="233"/>
      <c r="Y43" s="233"/>
      <c r="AA43" s="76"/>
    </row>
    <row r="44" spans="1:27" x14ac:dyDescent="0.3">
      <c r="E44" t="s">
        <v>352</v>
      </c>
      <c r="F44"/>
      <c r="G44" s="65" t="s">
        <v>91</v>
      </c>
      <c r="H44" s="65"/>
      <c r="I44" s="124"/>
      <c r="M44" s="230"/>
      <c r="N44" s="230"/>
      <c r="O44" s="230"/>
      <c r="P44" s="230"/>
      <c r="Q44" s="230"/>
      <c r="R44" s="230"/>
      <c r="S44" s="230"/>
      <c r="T44" s="230"/>
      <c r="U44" s="230">
        <v>87.56</v>
      </c>
      <c r="V44" s="230">
        <v>97.77</v>
      </c>
      <c r="W44" s="230"/>
      <c r="X44" s="230"/>
      <c r="Y44" s="230"/>
      <c r="AA44" s="76"/>
    </row>
    <row r="45" spans="1:27" x14ac:dyDescent="0.3">
      <c r="E45" t="s">
        <v>353</v>
      </c>
      <c r="F45"/>
      <c r="G45" s="65" t="s">
        <v>91</v>
      </c>
      <c r="H45" s="65"/>
      <c r="I45" s="124"/>
      <c r="M45" s="231"/>
      <c r="N45" s="231"/>
      <c r="O45" s="231"/>
      <c r="P45" s="231"/>
      <c r="Q45" s="231"/>
      <c r="R45" s="231"/>
      <c r="S45" s="231"/>
      <c r="T45" s="231"/>
      <c r="U45" s="231">
        <v>87.56</v>
      </c>
      <c r="V45" s="231">
        <v>97.77</v>
      </c>
      <c r="W45" s="231"/>
      <c r="X45" s="231"/>
      <c r="Y45" s="231"/>
      <c r="AA45" s="76"/>
    </row>
    <row r="46" spans="1:27" x14ac:dyDescent="0.3">
      <c r="E46" t="s">
        <v>354</v>
      </c>
      <c r="F46"/>
      <c r="G46" s="65" t="s">
        <v>91</v>
      </c>
      <c r="H46" s="65"/>
      <c r="I46" s="124"/>
      <c r="M46" s="232"/>
      <c r="N46" s="232"/>
      <c r="O46" s="232"/>
      <c r="P46" s="232"/>
      <c r="Q46" s="232"/>
      <c r="R46" s="232"/>
      <c r="S46" s="232"/>
      <c r="T46" s="232"/>
      <c r="U46" s="232">
        <v>87.56</v>
      </c>
      <c r="V46" s="232">
        <v>97.77</v>
      </c>
      <c r="W46" s="232"/>
      <c r="X46" s="232"/>
      <c r="Y46" s="232"/>
      <c r="AA46" s="76"/>
    </row>
    <row r="47" spans="1:27" s="77" customFormat="1" x14ac:dyDescent="0.3">
      <c r="A47"/>
      <c r="B47"/>
      <c r="C47"/>
      <c r="D47"/>
      <c r="E47" t="s">
        <v>355</v>
      </c>
      <c r="F47"/>
      <c r="G47" s="65" t="s">
        <v>91</v>
      </c>
      <c r="H47" s="60"/>
      <c r="I47" s="124"/>
      <c r="J47"/>
      <c r="K47"/>
      <c r="L47"/>
      <c r="M47" s="232"/>
      <c r="N47" s="232"/>
      <c r="O47" s="232"/>
      <c r="P47" s="232"/>
      <c r="Q47" s="232"/>
      <c r="R47" s="232"/>
      <c r="S47" s="232"/>
      <c r="T47" s="232"/>
      <c r="U47" s="232">
        <v>76.92</v>
      </c>
      <c r="V47" s="232">
        <v>85.89</v>
      </c>
      <c r="W47" s="232"/>
      <c r="X47" s="232"/>
      <c r="Y47" s="232"/>
      <c r="Z47"/>
    </row>
    <row r="48" spans="1:27" s="77" customFormat="1" x14ac:dyDescent="0.3">
      <c r="A48" s="15"/>
      <c r="B48"/>
      <c r="C48" s="3"/>
      <c r="D48" s="49"/>
      <c r="E48" t="s">
        <v>356</v>
      </c>
      <c r="F48"/>
      <c r="G48" s="65" t="s">
        <v>91</v>
      </c>
      <c r="H48" s="60"/>
      <c r="I48" s="124"/>
      <c r="J48"/>
      <c r="K48"/>
      <c r="L48"/>
      <c r="M48" s="230"/>
      <c r="N48" s="230"/>
      <c r="O48" s="230"/>
      <c r="P48" s="230"/>
      <c r="Q48" s="230"/>
      <c r="R48" s="230"/>
      <c r="S48" s="230"/>
      <c r="T48" s="230"/>
      <c r="U48" s="230">
        <v>76.92</v>
      </c>
      <c r="V48" s="230">
        <v>85.89</v>
      </c>
      <c r="W48" s="230"/>
      <c r="X48" s="230"/>
      <c r="Y48" s="230"/>
      <c r="Z48"/>
    </row>
    <row r="49" spans="1:27" s="77" customFormat="1" x14ac:dyDescent="0.3">
      <c r="A49" s="15"/>
      <c r="B49"/>
      <c r="C49" s="3"/>
      <c r="D49" s="49"/>
      <c r="E49"/>
      <c r="F49"/>
      <c r="G49" s="60"/>
      <c r="H49" s="60"/>
      <c r="I49" s="124"/>
      <c r="J49"/>
      <c r="K49"/>
      <c r="L49"/>
      <c r="M49" s="233"/>
      <c r="N49" s="233"/>
      <c r="O49" s="233"/>
      <c r="P49" s="233"/>
      <c r="Q49" s="233"/>
      <c r="R49" s="233"/>
      <c r="S49" s="233"/>
      <c r="T49" s="233"/>
      <c r="U49" s="233"/>
      <c r="V49" s="233"/>
      <c r="W49" s="233"/>
      <c r="X49" s="233"/>
      <c r="Y49" s="233"/>
      <c r="Z49"/>
    </row>
    <row r="50" spans="1:27" x14ac:dyDescent="0.3">
      <c r="D50" s="33" t="s">
        <v>172</v>
      </c>
      <c r="M50" s="233"/>
      <c r="N50" s="233"/>
      <c r="O50" s="233"/>
      <c r="P50" s="233"/>
      <c r="Q50" s="233"/>
      <c r="R50" s="233"/>
      <c r="S50" s="233"/>
      <c r="T50" s="233"/>
      <c r="U50" s="233"/>
      <c r="V50" s="233"/>
      <c r="W50" s="233"/>
      <c r="X50" s="233"/>
      <c r="Y50" s="233"/>
      <c r="AA50" s="76"/>
    </row>
    <row r="51" spans="1:27" x14ac:dyDescent="0.3">
      <c r="E51" t="s">
        <v>352</v>
      </c>
      <c r="F51"/>
      <c r="G51" s="65" t="s">
        <v>91</v>
      </c>
      <c r="H51" s="65"/>
      <c r="I51" s="124"/>
      <c r="M51" s="230"/>
      <c r="N51" s="230"/>
      <c r="O51" s="230"/>
      <c r="P51" s="230"/>
      <c r="Q51" s="230"/>
      <c r="R51" s="230"/>
      <c r="S51" s="230"/>
      <c r="T51" s="230"/>
      <c r="U51" s="230">
        <v>188.76</v>
      </c>
      <c r="V51" s="230">
        <v>199.38</v>
      </c>
      <c r="W51" s="230"/>
      <c r="X51" s="230"/>
      <c r="Y51" s="230"/>
      <c r="AA51" s="76"/>
    </row>
    <row r="52" spans="1:27" x14ac:dyDescent="0.3">
      <c r="E52" t="s">
        <v>353</v>
      </c>
      <c r="F52"/>
      <c r="G52" s="65" t="s">
        <v>91</v>
      </c>
      <c r="H52" s="65"/>
      <c r="I52" s="124"/>
      <c r="M52" s="231"/>
      <c r="N52" s="231"/>
      <c r="O52" s="231"/>
      <c r="P52" s="231"/>
      <c r="Q52" s="231"/>
      <c r="R52" s="231"/>
      <c r="S52" s="231"/>
      <c r="T52" s="231"/>
      <c r="U52" s="231">
        <v>188.76</v>
      </c>
      <c r="V52" s="231">
        <v>199.38</v>
      </c>
      <c r="W52" s="231"/>
      <c r="X52" s="231"/>
      <c r="Y52" s="231"/>
      <c r="AA52" s="76"/>
    </row>
    <row r="53" spans="1:27" x14ac:dyDescent="0.3">
      <c r="E53" t="s">
        <v>354</v>
      </c>
      <c r="F53"/>
      <c r="G53" s="65" t="s">
        <v>91</v>
      </c>
      <c r="H53" s="65"/>
      <c r="I53" s="124"/>
      <c r="M53" s="232"/>
      <c r="N53" s="232"/>
      <c r="O53" s="232"/>
      <c r="P53" s="232"/>
      <c r="Q53" s="232"/>
      <c r="R53" s="232"/>
      <c r="S53" s="232"/>
      <c r="T53" s="232"/>
      <c r="U53" s="232">
        <v>188.76</v>
      </c>
      <c r="V53" s="232">
        <v>199.38</v>
      </c>
      <c r="W53" s="232"/>
      <c r="X53" s="232"/>
      <c r="Y53" s="232"/>
      <c r="AA53" s="76"/>
    </row>
    <row r="54" spans="1:27" s="77" customFormat="1" x14ac:dyDescent="0.3">
      <c r="A54"/>
      <c r="B54"/>
      <c r="C54"/>
      <c r="D54"/>
      <c r="E54" t="s">
        <v>355</v>
      </c>
      <c r="F54"/>
      <c r="G54" s="65" t="s">
        <v>91</v>
      </c>
      <c r="H54" s="60"/>
      <c r="I54" s="124"/>
      <c r="J54"/>
      <c r="K54"/>
      <c r="L54"/>
      <c r="M54" s="232"/>
      <c r="N54" s="232"/>
      <c r="O54" s="232"/>
      <c r="P54" s="232"/>
      <c r="Q54" s="232"/>
      <c r="R54" s="232"/>
      <c r="S54" s="232"/>
      <c r="T54" s="232"/>
      <c r="U54" s="232">
        <v>152.57</v>
      </c>
      <c r="V54" s="232">
        <v>161.16</v>
      </c>
      <c r="W54" s="232"/>
      <c r="X54" s="232"/>
      <c r="Y54" s="232"/>
      <c r="Z54"/>
    </row>
    <row r="55" spans="1:27" s="77" customFormat="1" x14ac:dyDescent="0.3">
      <c r="A55" s="15"/>
      <c r="B55"/>
      <c r="C55" s="3"/>
      <c r="D55" s="49"/>
      <c r="E55" t="s">
        <v>356</v>
      </c>
      <c r="F55"/>
      <c r="G55" s="65" t="s">
        <v>91</v>
      </c>
      <c r="H55" s="60"/>
      <c r="I55" s="124"/>
      <c r="J55"/>
      <c r="K55"/>
      <c r="L55"/>
      <c r="M55" s="230"/>
      <c r="N55" s="230"/>
      <c r="O55" s="230"/>
      <c r="P55" s="230"/>
      <c r="Q55" s="230"/>
      <c r="R55" s="230"/>
      <c r="S55" s="230"/>
      <c r="T55" s="230"/>
      <c r="U55" s="230">
        <v>139.26</v>
      </c>
      <c r="V55" s="230">
        <v>147.1</v>
      </c>
      <c r="W55" s="230"/>
      <c r="X55" s="230"/>
      <c r="Y55" s="230"/>
      <c r="Z55"/>
    </row>
    <row r="56" spans="1:27" s="77" customFormat="1" x14ac:dyDescent="0.3">
      <c r="A56" s="15"/>
      <c r="B56"/>
      <c r="C56" s="3"/>
      <c r="D56" s="49"/>
      <c r="E56"/>
      <c r="F56"/>
      <c r="G56" s="60"/>
      <c r="H56" s="60"/>
      <c r="I56" s="124"/>
      <c r="J56"/>
      <c r="K56"/>
      <c r="L56"/>
      <c r="M56" s="233"/>
      <c r="N56" s="233"/>
      <c r="O56" s="233"/>
      <c r="P56" s="233"/>
      <c r="Q56" s="233"/>
      <c r="R56" s="233"/>
      <c r="S56" s="233"/>
      <c r="T56" s="233"/>
      <c r="U56" s="233"/>
      <c r="V56" s="233"/>
      <c r="W56" s="233"/>
      <c r="X56" s="233"/>
      <c r="Y56" s="233"/>
      <c r="Z56"/>
    </row>
    <row r="57" spans="1:27" x14ac:dyDescent="0.3">
      <c r="C57" s="31" t="s">
        <v>330</v>
      </c>
      <c r="D57" s="31"/>
      <c r="E57" s="31"/>
      <c r="F57" s="31"/>
      <c r="G57" s="31"/>
      <c r="H57" s="31"/>
      <c r="I57" s="126"/>
      <c r="J57" s="31"/>
      <c r="K57" s="31"/>
      <c r="L57" s="31"/>
      <c r="M57" s="234"/>
      <c r="N57" s="234"/>
      <c r="O57" s="234"/>
      <c r="P57" s="234"/>
      <c r="Q57" s="234"/>
      <c r="R57" s="234"/>
      <c r="S57" s="234"/>
      <c r="T57" s="234"/>
      <c r="U57" s="234"/>
      <c r="V57" s="234"/>
      <c r="W57" s="234"/>
      <c r="X57" s="234"/>
      <c r="Y57" s="234"/>
      <c r="Z57" s="31"/>
      <c r="AA57" s="117"/>
    </row>
    <row r="58" spans="1:27" x14ac:dyDescent="0.3">
      <c r="A58" s="76"/>
      <c r="B58" s="76"/>
      <c r="C58" s="117"/>
      <c r="D58" s="117"/>
      <c r="E58" s="117"/>
      <c r="F58" s="117"/>
      <c r="G58" s="117"/>
      <c r="H58" s="117"/>
      <c r="I58" s="131"/>
      <c r="J58" s="117"/>
      <c r="K58" s="117"/>
      <c r="L58" s="117"/>
      <c r="M58" s="239"/>
      <c r="N58" s="239"/>
      <c r="O58" s="239"/>
      <c r="P58" s="239"/>
      <c r="Q58" s="239"/>
      <c r="R58" s="239"/>
      <c r="S58" s="239"/>
      <c r="T58" s="239"/>
      <c r="U58" s="239"/>
      <c r="V58" s="239"/>
      <c r="W58" s="239"/>
      <c r="X58" s="239"/>
      <c r="Y58" s="239"/>
      <c r="Z58" s="117"/>
      <c r="AA58" s="117"/>
    </row>
    <row r="59" spans="1:27" x14ac:dyDescent="0.3">
      <c r="D59" s="33" t="s">
        <v>167</v>
      </c>
      <c r="M59" s="233"/>
      <c r="N59" s="233"/>
      <c r="O59" s="233"/>
      <c r="P59" s="233"/>
      <c r="Q59" s="233"/>
      <c r="R59" s="233"/>
      <c r="S59" s="233"/>
      <c r="T59" s="233"/>
      <c r="U59" s="233"/>
      <c r="V59" s="233"/>
      <c r="W59" s="233"/>
      <c r="X59" s="233"/>
      <c r="Y59" s="233"/>
      <c r="AA59" s="76"/>
    </row>
    <row r="60" spans="1:27" x14ac:dyDescent="0.3">
      <c r="E60" t="s">
        <v>357</v>
      </c>
      <c r="F60"/>
      <c r="G60" s="65" t="s">
        <v>98</v>
      </c>
      <c r="H60" s="65"/>
      <c r="I60" s="124"/>
      <c r="M60" s="231"/>
      <c r="N60" s="231"/>
      <c r="O60" s="231"/>
      <c r="P60" s="231"/>
      <c r="Q60" s="231"/>
      <c r="R60" s="231"/>
      <c r="S60" s="231"/>
      <c r="T60" s="231"/>
      <c r="U60" s="231">
        <v>11.45</v>
      </c>
      <c r="V60" s="231">
        <v>12.79</v>
      </c>
      <c r="W60" s="231"/>
      <c r="X60" s="231"/>
      <c r="Y60" s="231"/>
      <c r="AA60" s="76"/>
    </row>
    <row r="61" spans="1:27" x14ac:dyDescent="0.3">
      <c r="E61" t="s">
        <v>358</v>
      </c>
      <c r="F61"/>
      <c r="G61" s="65" t="s">
        <v>91</v>
      </c>
      <c r="H61" s="65"/>
      <c r="I61" s="124"/>
      <c r="M61" s="232"/>
      <c r="N61" s="232"/>
      <c r="O61" s="232"/>
      <c r="P61" s="232"/>
      <c r="Q61" s="232"/>
      <c r="R61" s="232"/>
      <c r="S61" s="232"/>
      <c r="T61" s="232"/>
      <c r="U61" s="232">
        <v>91.09</v>
      </c>
      <c r="V61" s="232">
        <v>101.72</v>
      </c>
      <c r="W61" s="232"/>
      <c r="X61" s="232"/>
      <c r="Y61" s="232"/>
      <c r="AA61" s="76"/>
    </row>
    <row r="62" spans="1:27" x14ac:dyDescent="0.3">
      <c r="A62" s="23"/>
      <c r="B62" s="23"/>
      <c r="C62" s="23"/>
      <c r="D62" s="23"/>
      <c r="E62" s="23"/>
      <c r="F62" s="23"/>
      <c r="G62" s="66"/>
      <c r="H62" s="66"/>
      <c r="I62" s="132"/>
      <c r="J62" s="23"/>
      <c r="K62" s="23"/>
      <c r="L62" s="23"/>
      <c r="M62" s="23"/>
      <c r="N62" s="23"/>
      <c r="O62" s="23"/>
      <c r="P62" s="23"/>
      <c r="Q62" s="23"/>
      <c r="R62" s="23"/>
      <c r="S62" s="23"/>
      <c r="T62" s="23"/>
      <c r="U62" s="23"/>
      <c r="V62" s="23"/>
      <c r="W62" s="23"/>
      <c r="X62" s="23"/>
      <c r="Y62" s="23"/>
      <c r="Z62" s="23"/>
      <c r="AA62" s="23"/>
    </row>
    <row r="63" spans="1:27" x14ac:dyDescent="0.3">
      <c r="D63" s="33" t="s">
        <v>172</v>
      </c>
      <c r="M63" s="233"/>
      <c r="N63" s="233"/>
      <c r="O63" s="233"/>
      <c r="P63" s="233"/>
      <c r="Q63" s="233"/>
      <c r="R63" s="233"/>
      <c r="S63" s="233"/>
      <c r="T63" s="233"/>
      <c r="U63" s="233"/>
      <c r="V63" s="233"/>
      <c r="W63" s="233"/>
      <c r="X63" s="233"/>
      <c r="Y63" s="233"/>
      <c r="AA63" s="76"/>
    </row>
    <row r="64" spans="1:27" x14ac:dyDescent="0.3">
      <c r="E64" t="s">
        <v>357</v>
      </c>
      <c r="F64"/>
      <c r="G64" s="65" t="s">
        <v>98</v>
      </c>
      <c r="H64" s="65"/>
      <c r="I64" s="124"/>
      <c r="M64" s="231"/>
      <c r="N64" s="231"/>
      <c r="O64" s="231"/>
      <c r="P64" s="231"/>
      <c r="Q64" s="231"/>
      <c r="R64" s="231"/>
      <c r="S64" s="231"/>
      <c r="T64" s="231"/>
      <c r="U64" s="231">
        <v>0</v>
      </c>
      <c r="V64" s="231">
        <v>0</v>
      </c>
      <c r="W64" s="231"/>
      <c r="X64" s="231"/>
      <c r="Y64" s="231"/>
      <c r="AA64" s="76"/>
    </row>
    <row r="65" spans="1:27" x14ac:dyDescent="0.3">
      <c r="E65" t="s">
        <v>358</v>
      </c>
      <c r="F65"/>
      <c r="G65" s="65" t="s">
        <v>91</v>
      </c>
      <c r="H65" s="65"/>
      <c r="I65" s="124"/>
      <c r="M65" s="232"/>
      <c r="N65" s="232"/>
      <c r="O65" s="232"/>
      <c r="P65" s="232"/>
      <c r="Q65" s="232"/>
      <c r="R65" s="232"/>
      <c r="S65" s="232"/>
      <c r="T65" s="232"/>
      <c r="U65" s="232">
        <v>196.69</v>
      </c>
      <c r="V65" s="232">
        <v>207.77</v>
      </c>
      <c r="W65" s="232"/>
      <c r="X65" s="232"/>
      <c r="Y65" s="232"/>
    </row>
    <row r="66" spans="1:27" x14ac:dyDescent="0.3">
      <c r="A66" s="23"/>
      <c r="B66" s="23"/>
      <c r="C66" s="23"/>
      <c r="D66" s="23"/>
      <c r="E66" s="23"/>
      <c r="F66" s="23"/>
      <c r="G66" s="66"/>
      <c r="H66" s="66"/>
      <c r="I66" s="132"/>
      <c r="J66" s="23"/>
      <c r="K66" s="23"/>
      <c r="L66" s="23"/>
      <c r="M66" s="23"/>
      <c r="N66" s="23"/>
      <c r="O66" s="23"/>
      <c r="P66" s="23"/>
      <c r="Q66" s="23"/>
      <c r="R66" s="23"/>
      <c r="S66" s="23"/>
      <c r="T66" s="23"/>
      <c r="U66" s="23"/>
      <c r="V66" s="23"/>
      <c r="W66" s="23"/>
      <c r="X66" s="23"/>
      <c r="Y66" s="23"/>
      <c r="Z66" s="23"/>
      <c r="AA66" s="23"/>
    </row>
    <row r="67" spans="1:27" customFormat="1" x14ac:dyDescent="0.3">
      <c r="A67" s="22"/>
      <c r="B67" s="22" t="s">
        <v>68</v>
      </c>
      <c r="C67" s="22"/>
      <c r="D67" s="22"/>
      <c r="E67" s="22"/>
      <c r="F67" s="22"/>
      <c r="G67" s="22"/>
      <c r="H67" s="22"/>
      <c r="I67" s="58"/>
      <c r="J67" s="22"/>
      <c r="K67" s="22"/>
      <c r="L67" s="22"/>
      <c r="M67" s="22"/>
      <c r="N67" s="22"/>
      <c r="O67" s="22"/>
      <c r="P67" s="22"/>
      <c r="Q67" s="22"/>
      <c r="R67" s="22"/>
      <c r="S67" s="22"/>
      <c r="T67" s="22"/>
      <c r="U67" s="22"/>
      <c r="V67" s="22"/>
      <c r="W67" s="22"/>
      <c r="X67" s="22"/>
      <c r="Y67" s="22"/>
      <c r="Z67" s="22"/>
      <c r="AA67" s="22"/>
    </row>
  </sheetData>
  <sheetProtection algorithmName="SHA-512" hashValue="nOevJnNvo3fdPppuFlCL0vXwgUOGF9XCqbMexu5343u3gMixQlwVla/ojx46cxV9aqtYElKQn09fwRWzTopeMA==" saltValue="yCQsfrrfBZ5ni/0TJUroJg==" spinCount="100000" sheet="1" objects="1" scenarios="1" selectLockedCells="1" selectUnlockedCells="1"/>
  <hyperlinks>
    <hyperlink ref="A3" location="Intro!A1" display="Return to Intro tab" xr:uid="{D7F28D3F-27AD-4AD6-92C2-BCFA5D2DE8B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85600-8F77-4505-BAFD-880ABB321C58}">
  <sheetPr>
    <tabColor theme="0" tint="-0.14999847407452621"/>
  </sheetPr>
  <dimension ref="A1:Y97"/>
  <sheetViews>
    <sheetView showGridLines="0" topLeftCell="A9" zoomScale="70" zoomScaleNormal="70" workbookViewId="0">
      <selection activeCell="R55" sqref="R55"/>
    </sheetView>
  </sheetViews>
  <sheetFormatPr defaultColWidth="0" defaultRowHeight="13.4" customHeight="1" zeroHeight="1" x14ac:dyDescent="0.3"/>
  <cols>
    <col min="1" max="1" width="4.54296875" customWidth="1"/>
    <col min="2" max="3" width="16.453125" customWidth="1"/>
    <col min="4" max="4" width="15.453125" style="15" customWidth="1"/>
    <col min="5" max="10" width="16.453125" customWidth="1"/>
    <col min="11" max="11" width="44.54296875" customWidth="1"/>
    <col min="12" max="24" width="8.54296875" customWidth="1"/>
    <col min="25" max="16384" width="8.54296875" hidden="1"/>
  </cols>
  <sheetData>
    <row r="1" spans="1:25" s="20" customFormat="1" ht="17.5" x14ac:dyDescent="0.35">
      <c r="A1" s="18" t="str" cm="1">
        <f t="array" aca="1" ref="A1" ca="1">RIGHT(CELL("filename",A$2),LEN(CELL("filename",A$2))-FIND("]",CELL("filename",A$2)))</f>
        <v>Guidance</v>
      </c>
      <c r="B1" s="18"/>
      <c r="C1" s="18"/>
      <c r="D1" s="18"/>
      <c r="E1" s="18"/>
      <c r="F1" s="18"/>
      <c r="G1" s="18"/>
      <c r="H1" s="18"/>
      <c r="I1" s="18"/>
      <c r="J1" s="18"/>
      <c r="K1" s="19"/>
      <c r="L1" s="18"/>
      <c r="M1" s="18"/>
      <c r="N1" s="18"/>
      <c r="O1" s="18"/>
      <c r="P1" s="18"/>
      <c r="Q1" s="18"/>
      <c r="R1" s="18"/>
      <c r="S1" s="18"/>
      <c r="T1" s="18"/>
      <c r="U1" s="18"/>
      <c r="V1" s="18"/>
      <c r="W1" s="18"/>
      <c r="X1" s="18"/>
      <c r="Y1" s="18"/>
    </row>
    <row r="2" spans="1:25" s="21" customFormat="1" ht="13" x14ac:dyDescent="0.3">
      <c r="A2" s="21" t="str">
        <f>"["&amp;_xlfn.SINGLE(_ModelStatus)&amp;"] "&amp;_xlfn.SINGLE(_ModelName)&amp;" - "&amp;_xlfn.SINGLE(_OrganisationName)&amp;" - "&amp;_xlfn.SINGLE(_ModelVersion)&amp;" ("&amp;TEXT(_xlfn.SINGLE(_ModelDate),"dd/mm/yyyy")&amp;")"</f>
        <v>[Final] BSP model for NAVs - Yorkshire Water - Version Website (20/03/2024)</v>
      </c>
    </row>
    <row r="3" spans="1:25" s="15" customFormat="1" ht="13.5" customHeight="1" x14ac:dyDescent="0.3">
      <c r="H3" s="16"/>
      <c r="I3" s="16"/>
      <c r="K3"/>
      <c r="N3" s="7"/>
    </row>
    <row r="4" spans="1:25" ht="13" x14ac:dyDescent="0.3">
      <c r="D4"/>
      <c r="E4" s="15"/>
      <c r="G4" s="34"/>
      <c r="H4" s="34"/>
      <c r="J4" s="35"/>
    </row>
    <row r="5" spans="1:25" ht="13" x14ac:dyDescent="0.3">
      <c r="D5"/>
      <c r="E5" s="15"/>
      <c r="G5" s="34"/>
    </row>
    <row r="6" spans="1:25" ht="13" x14ac:dyDescent="0.3"/>
    <row r="7" spans="1:25" ht="13" x14ac:dyDescent="0.3"/>
    <row r="8" spans="1:25" ht="13" x14ac:dyDescent="0.3"/>
    <row r="9" spans="1:25" ht="13" x14ac:dyDescent="0.3"/>
    <row r="10" spans="1:25" ht="13" x14ac:dyDescent="0.3"/>
    <row r="11" spans="1:25" ht="13" x14ac:dyDescent="0.3"/>
    <row r="12" spans="1:25" ht="13" x14ac:dyDescent="0.3"/>
    <row r="13" spans="1:25" ht="13" x14ac:dyDescent="0.3"/>
    <row r="14" spans="1:25" ht="13" x14ac:dyDescent="0.3"/>
    <row r="15" spans="1:25" ht="13" x14ac:dyDescent="0.3"/>
    <row r="16" spans="1:25" ht="13" x14ac:dyDescent="0.3"/>
    <row r="17" ht="13" x14ac:dyDescent="0.3"/>
    <row r="18" ht="13" x14ac:dyDescent="0.3"/>
    <row r="19" ht="13" x14ac:dyDescent="0.3"/>
    <row r="20" ht="13" x14ac:dyDescent="0.3"/>
    <row r="21" ht="13" x14ac:dyDescent="0.3"/>
    <row r="22" ht="13" x14ac:dyDescent="0.3"/>
    <row r="23" ht="13" x14ac:dyDescent="0.3"/>
    <row r="24" ht="13" x14ac:dyDescent="0.3"/>
    <row r="25" ht="13" x14ac:dyDescent="0.3"/>
    <row r="26" ht="13" x14ac:dyDescent="0.3"/>
    <row r="27" ht="13" x14ac:dyDescent="0.3"/>
    <row r="28" ht="13" x14ac:dyDescent="0.3"/>
    <row r="29" ht="13" x14ac:dyDescent="0.3"/>
    <row r="30" ht="13" x14ac:dyDescent="0.3"/>
    <row r="31" ht="13" x14ac:dyDescent="0.3"/>
    <row r="32" ht="13" x14ac:dyDescent="0.3"/>
    <row r="33" spans="1:4" ht="13" x14ac:dyDescent="0.3"/>
    <row r="34" spans="1:4" ht="13" x14ac:dyDescent="0.3"/>
    <row r="35" spans="1:4" ht="13" x14ac:dyDescent="0.3"/>
    <row r="36" spans="1:4" ht="13" x14ac:dyDescent="0.3"/>
    <row r="37" spans="1:4" ht="13" x14ac:dyDescent="0.3"/>
    <row r="38" spans="1:4" ht="13" x14ac:dyDescent="0.3"/>
    <row r="39" spans="1:4" ht="13" x14ac:dyDescent="0.3">
      <c r="A39" s="24"/>
    </row>
    <row r="40" spans="1:4" ht="13" x14ac:dyDescent="0.3">
      <c r="A40" s="24"/>
    </row>
    <row r="41" spans="1:4" ht="13" x14ac:dyDescent="0.3">
      <c r="A41" s="24"/>
    </row>
    <row r="42" spans="1:4" ht="13" x14ac:dyDescent="0.3">
      <c r="A42" s="24"/>
    </row>
    <row r="43" spans="1:4" ht="13" x14ac:dyDescent="0.3">
      <c r="A43" s="24"/>
    </row>
    <row r="44" spans="1:4" ht="13" x14ac:dyDescent="0.3">
      <c r="A44" s="24"/>
    </row>
    <row r="45" spans="1:4" ht="13" x14ac:dyDescent="0.3">
      <c r="A45" s="7"/>
    </row>
    <row r="46" spans="1:4" ht="13" x14ac:dyDescent="0.3">
      <c r="A46" s="7"/>
      <c r="B46" s="7"/>
      <c r="C46" s="7"/>
      <c r="D46" s="7"/>
    </row>
    <row r="47" spans="1:4" ht="13" x14ac:dyDescent="0.3"/>
    <row r="48" spans="1:4" ht="13" x14ac:dyDescent="0.3"/>
    <row r="49" ht="13" x14ac:dyDescent="0.3"/>
    <row r="50" ht="13" x14ac:dyDescent="0.3"/>
    <row r="51" ht="13" x14ac:dyDescent="0.3"/>
    <row r="52" ht="13" x14ac:dyDescent="0.3"/>
    <row r="53" ht="13" x14ac:dyDescent="0.3"/>
    <row r="54" ht="13" x14ac:dyDescent="0.3"/>
    <row r="55" ht="13" x14ac:dyDescent="0.3"/>
    <row r="56" ht="13" x14ac:dyDescent="0.3"/>
    <row r="57" ht="13" x14ac:dyDescent="0.3"/>
    <row r="58" ht="13" x14ac:dyDescent="0.3"/>
    <row r="59" ht="13" x14ac:dyDescent="0.3"/>
    <row r="60" ht="13" x14ac:dyDescent="0.3"/>
    <row r="61" ht="13" x14ac:dyDescent="0.3"/>
    <row r="62" ht="13" x14ac:dyDescent="0.3"/>
    <row r="63" ht="13" x14ac:dyDescent="0.3"/>
    <row r="64" ht="13.4" customHeight="1" x14ac:dyDescent="0.3"/>
    <row r="65" ht="13" x14ac:dyDescent="0.3"/>
    <row r="66" ht="13" x14ac:dyDescent="0.3"/>
    <row r="67" ht="13" x14ac:dyDescent="0.3"/>
    <row r="68" ht="13" x14ac:dyDescent="0.3"/>
    <row r="69" ht="13" x14ac:dyDescent="0.3"/>
    <row r="70" ht="13" x14ac:dyDescent="0.3"/>
    <row r="71" ht="13" x14ac:dyDescent="0.3"/>
    <row r="72" ht="13" x14ac:dyDescent="0.3"/>
    <row r="73" ht="13" x14ac:dyDescent="0.3"/>
    <row r="74" ht="13" x14ac:dyDescent="0.3"/>
    <row r="75" ht="13" x14ac:dyDescent="0.3"/>
    <row r="76" ht="71" customHeight="1" x14ac:dyDescent="0.3"/>
    <row r="77" ht="13" x14ac:dyDescent="0.3"/>
    <row r="78" ht="13" x14ac:dyDescent="0.3"/>
    <row r="79" ht="13" x14ac:dyDescent="0.3"/>
    <row r="80" ht="13" x14ac:dyDescent="0.3"/>
    <row r="81" spans="1:25" ht="13" x14ac:dyDescent="0.3"/>
    <row r="82" spans="1:25" ht="13" x14ac:dyDescent="0.3"/>
    <row r="83" spans="1:25" ht="13" x14ac:dyDescent="0.3"/>
    <row r="84" spans="1:25" ht="13" x14ac:dyDescent="0.3"/>
    <row r="85" spans="1:25" ht="13" x14ac:dyDescent="0.3"/>
    <row r="86" spans="1:25" ht="13" x14ac:dyDescent="0.3"/>
    <row r="87" spans="1:25" ht="13" x14ac:dyDescent="0.3"/>
    <row r="88" spans="1:25" ht="13" x14ac:dyDescent="0.3"/>
    <row r="89" spans="1:25" ht="13" x14ac:dyDescent="0.3"/>
    <row r="90" spans="1:25" ht="13" x14ac:dyDescent="0.3"/>
    <row r="91" spans="1:25" ht="13" x14ac:dyDescent="0.3"/>
    <row r="92" spans="1:25" ht="13" x14ac:dyDescent="0.3"/>
    <row r="93" spans="1:25" ht="13" x14ac:dyDescent="0.3"/>
    <row r="94" spans="1:25" ht="13" x14ac:dyDescent="0.3"/>
    <row r="95" spans="1:25" ht="13" x14ac:dyDescent="0.3"/>
    <row r="96" spans="1:25" ht="13" x14ac:dyDescent="0.3">
      <c r="A96" s="22"/>
      <c r="B96" s="22" t="s">
        <v>68</v>
      </c>
      <c r="C96" s="22"/>
      <c r="D96" s="22"/>
      <c r="E96" s="22"/>
      <c r="F96" s="22"/>
      <c r="G96" s="22"/>
      <c r="H96" s="22"/>
      <c r="I96" s="58"/>
      <c r="J96" s="173"/>
      <c r="K96" s="173"/>
      <c r="L96" s="173"/>
      <c r="M96" s="173"/>
      <c r="N96" s="240"/>
      <c r="O96" s="240"/>
      <c r="P96" s="240"/>
      <c r="Q96" s="240"/>
      <c r="R96" s="240"/>
      <c r="S96" s="240"/>
      <c r="T96" s="240"/>
      <c r="U96" s="240"/>
      <c r="V96" s="240"/>
      <c r="W96" s="240"/>
      <c r="X96" s="240"/>
      <c r="Y96" s="240"/>
    </row>
    <row r="97" customFormat="1" ht="13" x14ac:dyDescent="0.3"/>
  </sheetData>
  <sheetProtection algorithmName="SHA-512" hashValue="40FOjL6+wllOqcI/acBwFe21WNpssDczncv0k7NYgGAu1RCxAnSQ2h1qjunV2iyQj0XMlMsTitiNxmpAaRGkAQ==" saltValue="6A5unaGX7NHfNj9X+B0ZWQ==" spinCount="100000" sheet="1" objects="1" scenarios="1" selectLockedCells="1" selectUnlockedCells="1"/>
  <conditionalFormatting sqref="A1:A3">
    <cfRule type="containsText" dxfId="5" priority="1" operator="containsText" text="FALSE">
      <formula>NOT(ISERROR(SEARCH("FALSE",A1)))</formula>
    </cfRule>
    <cfRule type="containsText" dxfId="4" priority="2" operator="containsText" text="TRUE">
      <formula>NOT(ISERROR(SEARCH("TRUE",A1)))</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DE76D-4FAF-4785-8193-21310DCE6F38}">
  <sheetPr>
    <tabColor rgb="FF92D050"/>
  </sheetPr>
  <dimension ref="A2:Y49"/>
  <sheetViews>
    <sheetView tabSelected="1" zoomScale="80" zoomScaleNormal="80" workbookViewId="0">
      <selection activeCell="D22" sqref="D22"/>
    </sheetView>
  </sheetViews>
  <sheetFormatPr defaultRowHeight="13" x14ac:dyDescent="0.3"/>
  <cols>
    <col min="1" max="1" width="12.54296875" style="340" customWidth="1"/>
    <col min="2" max="2" width="51.453125" style="340" bestFit="1" customWidth="1"/>
    <col min="3" max="3" width="14.54296875" style="340" customWidth="1"/>
    <col min="4" max="4" width="29.81640625" style="340" customWidth="1"/>
    <col min="5" max="5" width="9.453125" style="340" customWidth="1"/>
    <col min="6" max="12" width="8.7265625" style="340"/>
    <col min="13" max="13" width="1.90625" style="340" customWidth="1"/>
    <col min="14" max="16384" width="8.7265625" style="340"/>
  </cols>
  <sheetData>
    <row r="2" spans="1:25" s="341" customFormat="1" ht="15" x14ac:dyDescent="0.3">
      <c r="A2" s="365" t="s">
        <v>386</v>
      </c>
      <c r="B2" s="338"/>
      <c r="C2" s="338"/>
      <c r="D2" s="338"/>
      <c r="E2" s="339"/>
      <c r="F2" s="338"/>
      <c r="G2" s="338"/>
      <c r="H2" s="338"/>
      <c r="I2" s="338"/>
      <c r="J2" s="338"/>
      <c r="K2" s="338"/>
      <c r="L2" s="338"/>
      <c r="M2" s="338"/>
      <c r="N2" s="338"/>
      <c r="O2" s="338"/>
      <c r="P2" s="338"/>
      <c r="Q2" s="338"/>
      <c r="R2" s="338"/>
      <c r="S2" s="338"/>
      <c r="T2" s="338"/>
      <c r="U2" s="338"/>
      <c r="V2" s="340"/>
    </row>
    <row r="3" spans="1:25" s="341" customFormat="1" x14ac:dyDescent="0.3">
      <c r="B3" s="388" t="s">
        <v>385</v>
      </c>
      <c r="C3" s="75"/>
      <c r="D3" s="342"/>
      <c r="E3" s="392"/>
      <c r="F3" s="407"/>
      <c r="G3" s="407"/>
      <c r="H3" s="407"/>
      <c r="I3" s="407"/>
      <c r="J3" s="75"/>
      <c r="K3" s="75"/>
      <c r="L3" s="75"/>
      <c r="M3" s="75"/>
      <c r="N3" s="75"/>
      <c r="O3" s="75"/>
      <c r="Y3" s="340"/>
    </row>
    <row r="4" spans="1:25" s="341" customFormat="1" x14ac:dyDescent="0.3">
      <c r="B4" s="389" t="s">
        <v>384</v>
      </c>
      <c r="C4" s="75"/>
      <c r="D4" s="343"/>
      <c r="E4" s="392"/>
      <c r="F4" s="75"/>
      <c r="G4" s="75"/>
      <c r="H4" s="393"/>
      <c r="I4" s="75"/>
      <c r="J4" s="75"/>
      <c r="K4" s="75"/>
      <c r="L4" s="75"/>
      <c r="M4" s="75"/>
      <c r="N4" s="75"/>
      <c r="O4" s="75"/>
      <c r="Y4" s="340"/>
    </row>
    <row r="5" spans="1:25" ht="13.5" thickBot="1" x14ac:dyDescent="0.35">
      <c r="B5" s="346"/>
      <c r="C5" s="346"/>
      <c r="E5" s="346"/>
      <c r="F5" s="346"/>
      <c r="G5" s="346"/>
      <c r="H5" s="346"/>
      <c r="I5" s="346"/>
      <c r="J5" s="346"/>
      <c r="K5" s="346"/>
      <c r="L5" s="346"/>
      <c r="M5" s="346"/>
      <c r="N5" s="346"/>
      <c r="O5" s="346"/>
    </row>
    <row r="6" spans="1:25" x14ac:dyDescent="0.3">
      <c r="B6" s="366" t="s">
        <v>69</v>
      </c>
      <c r="C6" s="75"/>
      <c r="D6" s="371" t="s">
        <v>390</v>
      </c>
      <c r="E6" s="356" t="s">
        <v>70</v>
      </c>
      <c r="F6" s="346"/>
      <c r="G6" s="346"/>
      <c r="H6" s="346"/>
      <c r="I6" s="346"/>
      <c r="J6" s="346"/>
      <c r="K6" s="346"/>
      <c r="L6" s="346"/>
      <c r="M6" s="346"/>
      <c r="N6" s="346"/>
      <c r="O6" s="346"/>
    </row>
    <row r="7" spans="1:25" ht="13.5" thickBot="1" x14ac:dyDescent="0.35">
      <c r="B7" s="75" t="s">
        <v>71</v>
      </c>
      <c r="C7" s="346"/>
      <c r="D7" s="372" t="s">
        <v>390</v>
      </c>
      <c r="E7" s="356" t="s">
        <v>70</v>
      </c>
      <c r="F7" s="346"/>
      <c r="G7" s="346"/>
      <c r="H7" s="346"/>
      <c r="I7" s="346"/>
      <c r="J7" s="346"/>
      <c r="K7" s="346"/>
      <c r="L7" s="346"/>
      <c r="M7" s="346"/>
      <c r="N7" s="346"/>
      <c r="O7" s="346"/>
    </row>
    <row r="8" spans="1:25" ht="13.5" thickBot="1" x14ac:dyDescent="0.35">
      <c r="B8" s="75"/>
      <c r="C8" s="75"/>
      <c r="D8" s="367"/>
      <c r="E8" s="357"/>
      <c r="F8" s="346"/>
      <c r="G8" s="346"/>
      <c r="H8" s="346"/>
      <c r="I8" s="346"/>
      <c r="J8" s="346"/>
      <c r="K8" s="346"/>
      <c r="L8" s="346"/>
      <c r="M8" s="346"/>
      <c r="N8" s="346"/>
      <c r="O8" s="346"/>
    </row>
    <row r="9" spans="1:25" ht="13.5" thickBot="1" x14ac:dyDescent="0.35">
      <c r="B9" s="75" t="s">
        <v>72</v>
      </c>
      <c r="C9" s="360" t="s">
        <v>73</v>
      </c>
      <c r="D9" s="380" t="s">
        <v>48</v>
      </c>
      <c r="E9" s="358" t="s">
        <v>74</v>
      </c>
      <c r="F9" s="346"/>
      <c r="G9" s="346"/>
      <c r="H9" s="346"/>
      <c r="I9" s="346"/>
      <c r="J9" s="346"/>
      <c r="K9" s="346"/>
      <c r="L9" s="346"/>
      <c r="M9" s="346"/>
      <c r="N9" s="346"/>
      <c r="O9" s="346"/>
    </row>
    <row r="10" spans="1:25" ht="13.5" thickBot="1" x14ac:dyDescent="0.35">
      <c r="B10" s="346"/>
      <c r="C10" s="361"/>
      <c r="D10" s="368"/>
      <c r="E10" s="346"/>
      <c r="F10" s="346"/>
      <c r="G10" s="346"/>
      <c r="H10" s="346"/>
      <c r="I10" s="346"/>
      <c r="J10" s="346"/>
      <c r="K10" s="346"/>
      <c r="L10" s="346"/>
      <c r="M10" s="346"/>
      <c r="N10" s="346"/>
      <c r="O10" s="346"/>
    </row>
    <row r="11" spans="1:25" x14ac:dyDescent="0.3">
      <c r="B11" s="362" t="s">
        <v>75</v>
      </c>
      <c r="C11" s="363" t="s">
        <v>73</v>
      </c>
      <c r="D11" s="381" t="s">
        <v>46</v>
      </c>
      <c r="E11" s="346"/>
      <c r="F11" s="346"/>
      <c r="G11" s="346"/>
      <c r="H11" s="346"/>
      <c r="I11" s="346"/>
      <c r="J11" s="346"/>
      <c r="K11" s="346"/>
      <c r="L11" s="346"/>
      <c r="M11" s="346"/>
      <c r="N11" s="346"/>
      <c r="O11" s="346"/>
    </row>
    <row r="12" spans="1:25" x14ac:dyDescent="0.3">
      <c r="B12" s="362" t="s">
        <v>76</v>
      </c>
      <c r="C12" s="363" t="s">
        <v>73</v>
      </c>
      <c r="D12" s="382" t="s">
        <v>46</v>
      </c>
      <c r="E12" s="346"/>
      <c r="F12" s="346"/>
      <c r="G12" s="346"/>
      <c r="H12" s="346"/>
      <c r="I12" s="346"/>
      <c r="J12" s="346"/>
      <c r="K12" s="346"/>
      <c r="L12" s="346"/>
      <c r="M12" s="346"/>
      <c r="N12" s="346"/>
      <c r="O12" s="346"/>
    </row>
    <row r="13" spans="1:25" ht="13.5" thickBot="1" x14ac:dyDescent="0.35">
      <c r="B13" s="362" t="s">
        <v>77</v>
      </c>
      <c r="C13" s="363" t="s">
        <v>73</v>
      </c>
      <c r="D13" s="383" t="s">
        <v>48</v>
      </c>
      <c r="E13" s="346"/>
      <c r="F13" s="346"/>
      <c r="G13" s="346"/>
      <c r="H13" s="346"/>
      <c r="I13" s="346"/>
      <c r="J13" s="346"/>
      <c r="K13" s="346"/>
      <c r="L13" s="346"/>
      <c r="M13" s="346"/>
      <c r="N13" s="346"/>
      <c r="O13" s="346"/>
    </row>
    <row r="14" spans="1:25" ht="13.5" thickBot="1" x14ac:dyDescent="0.35">
      <c r="B14" s="362"/>
      <c r="C14" s="363"/>
      <c r="D14" s="343"/>
      <c r="E14" s="346"/>
      <c r="F14" s="346"/>
      <c r="G14" s="346"/>
      <c r="H14" s="346"/>
      <c r="I14" s="346"/>
      <c r="J14" s="346"/>
      <c r="K14" s="346"/>
      <c r="L14" s="346"/>
      <c r="M14" s="346"/>
      <c r="N14" s="346"/>
      <c r="O14" s="346"/>
    </row>
    <row r="15" spans="1:25" x14ac:dyDescent="0.3">
      <c r="B15" s="362" t="s">
        <v>78</v>
      </c>
      <c r="C15" s="363" t="s">
        <v>79</v>
      </c>
      <c r="D15" s="384">
        <v>1</v>
      </c>
      <c r="E15" s="359" t="str">
        <f>IF(D15=0,"",IF(D15*1000/($D$18+$D$19)&lt;3.95,"Short network - check correct",IF(D15*1000/($D$18+$D$19)&gt;20,"Very long network - check correct","")))</f>
        <v/>
      </c>
      <c r="F15" s="346"/>
      <c r="G15" s="346"/>
      <c r="H15" s="346"/>
      <c r="I15" s="346"/>
      <c r="J15" s="346"/>
      <c r="K15" s="346"/>
      <c r="L15" s="346"/>
      <c r="M15" s="346"/>
      <c r="N15" s="346"/>
      <c r="O15" s="346"/>
    </row>
    <row r="16" spans="1:25" ht="13.5" thickBot="1" x14ac:dyDescent="0.35">
      <c r="B16" s="362" t="s">
        <v>80</v>
      </c>
      <c r="C16" s="363" t="s">
        <v>79</v>
      </c>
      <c r="D16" s="385">
        <v>1</v>
      </c>
      <c r="E16" s="359" t="str">
        <f>IF(D16=0,"",IF(D16*1000/($D$18+$D$19)&lt;3.95,"Short network - check correct",IF(D16*1000/($D$18+$D$19)&gt;20,"Very long network - check correct","")))</f>
        <v/>
      </c>
      <c r="F16" s="346"/>
      <c r="G16" s="346"/>
      <c r="H16" s="346"/>
      <c r="I16" s="346"/>
      <c r="J16" s="346"/>
      <c r="K16" s="346"/>
      <c r="L16" s="346"/>
      <c r="M16" s="346"/>
      <c r="N16" s="346"/>
      <c r="O16" s="346"/>
    </row>
    <row r="17" spans="1:15" ht="13.5" thickBot="1" x14ac:dyDescent="0.35">
      <c r="B17" s="362"/>
      <c r="C17" s="363"/>
      <c r="D17" s="343"/>
      <c r="E17" s="346"/>
      <c r="F17" s="346"/>
      <c r="G17" s="346"/>
      <c r="H17" s="346"/>
      <c r="I17" s="346"/>
      <c r="J17" s="346"/>
      <c r="K17" s="346"/>
      <c r="L17" s="346"/>
      <c r="M17" s="346"/>
      <c r="N17" s="346"/>
      <c r="O17" s="346"/>
    </row>
    <row r="18" spans="1:15" x14ac:dyDescent="0.3">
      <c r="B18" s="362" t="s">
        <v>81</v>
      </c>
      <c r="C18" s="363" t="s">
        <v>82</v>
      </c>
      <c r="D18" s="386">
        <v>100</v>
      </c>
      <c r="E18" s="346"/>
      <c r="F18" s="346"/>
      <c r="G18" s="346"/>
      <c r="H18" s="346"/>
      <c r="I18" s="346"/>
      <c r="J18" s="346"/>
      <c r="K18" s="346"/>
      <c r="L18" s="346"/>
      <c r="M18" s="346"/>
      <c r="N18" s="346"/>
      <c r="O18" s="346"/>
    </row>
    <row r="19" spans="1:15" ht="13.5" thickBot="1" x14ac:dyDescent="0.35">
      <c r="B19" s="362" t="s">
        <v>83</v>
      </c>
      <c r="C19" s="363" t="s">
        <v>82</v>
      </c>
      <c r="D19" s="387">
        <v>0</v>
      </c>
      <c r="E19" s="346"/>
      <c r="F19" s="346"/>
      <c r="G19" s="346"/>
      <c r="H19" s="346"/>
      <c r="I19" s="346"/>
      <c r="J19" s="346"/>
      <c r="K19" s="346"/>
      <c r="L19" s="346"/>
      <c r="M19" s="346"/>
      <c r="N19" s="346"/>
      <c r="O19" s="346"/>
    </row>
    <row r="20" spans="1:15" ht="13.5" thickBot="1" x14ac:dyDescent="0.35">
      <c r="B20" s="362"/>
      <c r="C20" s="363"/>
      <c r="D20" s="343"/>
      <c r="E20" s="346"/>
      <c r="F20" s="346"/>
      <c r="G20" s="346"/>
      <c r="H20" s="346"/>
      <c r="I20" s="346"/>
      <c r="J20" s="346"/>
      <c r="K20" s="346"/>
      <c r="L20" s="346"/>
      <c r="M20" s="346"/>
      <c r="N20" s="346"/>
      <c r="O20" s="346"/>
    </row>
    <row r="21" spans="1:15" x14ac:dyDescent="0.3">
      <c r="B21" s="75" t="s">
        <v>84</v>
      </c>
      <c r="C21" s="363" t="s">
        <v>85</v>
      </c>
      <c r="D21" s="384">
        <v>130</v>
      </c>
      <c r="E21" s="356" t="s">
        <v>86</v>
      </c>
      <c r="F21" s="346"/>
      <c r="G21" s="346"/>
      <c r="H21" s="346"/>
      <c r="I21" s="346"/>
      <c r="J21" s="346"/>
      <c r="K21" s="346"/>
      <c r="L21" s="346"/>
      <c r="M21" s="346"/>
      <c r="N21" s="346"/>
      <c r="O21" s="346"/>
    </row>
    <row r="22" spans="1:15" ht="13.5" thickBot="1" x14ac:dyDescent="0.35">
      <c r="B22" s="75" t="s">
        <v>87</v>
      </c>
      <c r="C22" s="363" t="s">
        <v>85</v>
      </c>
      <c r="D22" s="385">
        <v>0</v>
      </c>
      <c r="E22" s="356" t="s">
        <v>88</v>
      </c>
      <c r="F22" s="346"/>
      <c r="G22" s="346"/>
      <c r="H22" s="346"/>
      <c r="I22" s="346"/>
      <c r="J22" s="346"/>
      <c r="K22" s="346"/>
      <c r="L22" s="346"/>
      <c r="M22" s="346"/>
      <c r="N22" s="346"/>
      <c r="O22" s="346"/>
    </row>
    <row r="23" spans="1:15" x14ac:dyDescent="0.3">
      <c r="B23" s="346"/>
      <c r="C23" s="346"/>
      <c r="D23" s="391"/>
      <c r="E23" s="346"/>
      <c r="F23" s="346"/>
      <c r="G23" s="346"/>
      <c r="H23" s="346"/>
      <c r="I23" s="346"/>
      <c r="J23" s="346"/>
      <c r="K23" s="346"/>
      <c r="L23" s="346"/>
      <c r="M23" s="346"/>
      <c r="N23" s="346"/>
      <c r="O23" s="346"/>
    </row>
    <row r="24" spans="1:15" s="344" customFormat="1" ht="15" x14ac:dyDescent="0.3">
      <c r="A24" s="364" t="s">
        <v>387</v>
      </c>
      <c r="B24" s="390"/>
      <c r="C24" s="390"/>
      <c r="D24" s="390"/>
      <c r="E24" s="390"/>
      <c r="F24" s="390"/>
      <c r="G24" s="390"/>
      <c r="H24" s="390"/>
      <c r="I24" s="390"/>
      <c r="J24" s="390"/>
      <c r="K24" s="390"/>
      <c r="L24" s="390"/>
      <c r="M24" s="390"/>
      <c r="N24" s="390"/>
      <c r="O24" s="390"/>
    </row>
    <row r="25" spans="1:15" x14ac:dyDescent="0.3">
      <c r="B25" s="346"/>
      <c r="C25" s="346"/>
      <c r="D25" s="346"/>
      <c r="E25" s="346"/>
      <c r="F25" s="346"/>
      <c r="G25" s="346"/>
      <c r="H25" s="346"/>
      <c r="I25" s="346"/>
      <c r="J25" s="346"/>
      <c r="K25" s="346"/>
      <c r="L25" s="346"/>
      <c r="M25" s="346"/>
      <c r="N25" s="346"/>
      <c r="O25" s="346"/>
    </row>
    <row r="26" spans="1:15" x14ac:dyDescent="0.3">
      <c r="B26" s="346"/>
      <c r="C26" s="346"/>
      <c r="D26" s="346"/>
      <c r="E26" s="346"/>
      <c r="F26" s="346"/>
      <c r="G26" s="346"/>
      <c r="H26" s="346"/>
      <c r="I26" s="346"/>
      <c r="J26" s="346"/>
      <c r="K26" s="346"/>
      <c r="L26" s="346"/>
      <c r="M26" s="346"/>
      <c r="N26" s="346"/>
      <c r="O26" s="346"/>
    </row>
    <row r="27" spans="1:15" ht="13.5" thickBot="1" x14ac:dyDescent="0.35">
      <c r="B27" s="345" t="s">
        <v>89</v>
      </c>
      <c r="C27" s="346"/>
      <c r="D27" s="346"/>
      <c r="E27" s="346"/>
      <c r="F27" s="346"/>
      <c r="G27" s="346"/>
      <c r="H27" s="346"/>
      <c r="I27" s="346"/>
      <c r="J27" s="346"/>
      <c r="K27" s="346"/>
      <c r="L27" s="346"/>
      <c r="M27" s="346"/>
      <c r="N27" s="346"/>
      <c r="O27" s="346"/>
    </row>
    <row r="28" spans="1:15" ht="13.5" thickBot="1" x14ac:dyDescent="0.35">
      <c r="B28" s="369" t="s">
        <v>90</v>
      </c>
      <c r="C28" s="347" t="s">
        <v>91</v>
      </c>
      <c r="D28" s="376">
        <f>IF($D$11="Yes",('Margin comparison'!I72),0)</f>
        <v>168.61623</v>
      </c>
      <c r="E28" s="348">
        <f>D28/D29-1</f>
        <v>-6.0999999999999943E-2</v>
      </c>
      <c r="F28" s="346" t="s">
        <v>389</v>
      </c>
      <c r="G28" s="346"/>
      <c r="H28" s="346"/>
      <c r="I28" s="346"/>
      <c r="J28" s="346"/>
      <c r="K28" s="346"/>
      <c r="L28" s="346"/>
      <c r="M28" s="346"/>
      <c r="N28" s="346"/>
      <c r="O28" s="346"/>
    </row>
    <row r="29" spans="1:15" ht="13.5" thickBot="1" x14ac:dyDescent="0.35">
      <c r="B29" s="346" t="s">
        <v>92</v>
      </c>
      <c r="C29" s="347" t="s">
        <v>91</v>
      </c>
      <c r="D29" s="373">
        <f>IF($D$11="Yes",('Margin comparison'!I73),0)</f>
        <v>179.57</v>
      </c>
      <c r="E29" s="348"/>
      <c r="F29" s="346"/>
      <c r="G29" s="346"/>
      <c r="H29" s="346"/>
      <c r="I29" s="346"/>
      <c r="J29" s="346"/>
      <c r="K29" s="346"/>
      <c r="L29" s="346"/>
      <c r="M29" s="346"/>
      <c r="N29" s="346"/>
      <c r="O29" s="346"/>
    </row>
    <row r="30" spans="1:15" x14ac:dyDescent="0.3">
      <c r="B30" s="349" t="s">
        <v>93</v>
      </c>
      <c r="C30" s="347" t="s">
        <v>94</v>
      </c>
      <c r="D30" s="377">
        <f>IF($D$11="Yes",('Margin comparison'!I74),0)</f>
        <v>12.79</v>
      </c>
      <c r="E30" s="348"/>
      <c r="F30" s="346"/>
      <c r="G30" s="346"/>
      <c r="H30" s="346"/>
      <c r="I30" s="346"/>
      <c r="J30" s="346"/>
      <c r="K30" s="346"/>
      <c r="L30" s="346"/>
      <c r="M30" s="346"/>
      <c r="N30" s="346"/>
      <c r="O30" s="346"/>
    </row>
    <row r="31" spans="1:15" x14ac:dyDescent="0.3">
      <c r="B31" s="349" t="s">
        <v>95</v>
      </c>
      <c r="C31" s="347" t="s">
        <v>94</v>
      </c>
      <c r="D31" s="378">
        <f>IF($D$11="Yes",('Margin comparison'!I75),0)</f>
        <v>-43.482204719649651</v>
      </c>
      <c r="E31" s="350" t="str">
        <f>IF(-D31='Charging arrangements table'!G46,"Menu A",(IF(-D31='Charging arrangements table'!H46,"Menu B",(IF(-D31='Charging arrangements table'!I46,"Menu C","Bespoke")))))</f>
        <v>Menu A</v>
      </c>
      <c r="F31" s="346"/>
      <c r="G31" s="346"/>
      <c r="H31" s="346"/>
      <c r="I31" s="346"/>
      <c r="J31" s="346"/>
      <c r="K31" s="346"/>
      <c r="L31" s="346"/>
      <c r="M31" s="346"/>
      <c r="N31" s="346"/>
      <c r="O31" s="346"/>
    </row>
    <row r="32" spans="1:15" ht="13.5" thickBot="1" x14ac:dyDescent="0.35">
      <c r="B32" s="370" t="s">
        <v>96</v>
      </c>
      <c r="C32" s="347"/>
      <c r="D32" s="379">
        <f>D30+D31</f>
        <v>-30.692204719649652</v>
      </c>
      <c r="E32" s="350"/>
      <c r="F32" s="346"/>
      <c r="G32" s="346"/>
      <c r="H32" s="346"/>
      <c r="I32" s="346"/>
      <c r="J32" s="346"/>
      <c r="K32" s="346"/>
      <c r="L32" s="346"/>
      <c r="M32" s="346"/>
      <c r="N32" s="346"/>
      <c r="O32" s="346"/>
    </row>
    <row r="33" spans="2:15" x14ac:dyDescent="0.3">
      <c r="B33" s="346" t="s">
        <v>97</v>
      </c>
      <c r="C33" s="347" t="s">
        <v>98</v>
      </c>
      <c r="D33" s="373">
        <f>IF($D$11="Yes",('Margin comparison'!I76),0)</f>
        <v>24623.1</v>
      </c>
      <c r="E33" s="348"/>
      <c r="F33" s="346"/>
      <c r="G33" s="346"/>
      <c r="H33" s="346"/>
      <c r="I33" s="346"/>
      <c r="J33" s="346"/>
      <c r="K33" s="346"/>
      <c r="L33" s="346"/>
      <c r="M33" s="346"/>
      <c r="N33" s="346"/>
      <c r="O33" s="346"/>
    </row>
    <row r="34" spans="2:15" x14ac:dyDescent="0.3">
      <c r="B34" s="346" t="s">
        <v>99</v>
      </c>
      <c r="C34" s="347" t="s">
        <v>98</v>
      </c>
      <c r="D34" s="373">
        <f>IF($D$11="Yes",('Margin comparison'!I77),0)</f>
        <v>4348.2204719649653</v>
      </c>
      <c r="E34" s="351"/>
      <c r="F34" s="346"/>
      <c r="G34" s="346"/>
      <c r="H34" s="346"/>
      <c r="I34" s="346"/>
      <c r="J34" s="346"/>
      <c r="K34" s="346"/>
      <c r="L34" s="346"/>
      <c r="M34" s="346"/>
      <c r="N34" s="346"/>
      <c r="O34" s="346"/>
    </row>
    <row r="35" spans="2:15" x14ac:dyDescent="0.3">
      <c r="B35" s="346" t="s">
        <v>100</v>
      </c>
      <c r="C35" s="347" t="s">
        <v>98</v>
      </c>
      <c r="D35" s="373">
        <f>IF($D$11="Yes",('Margin comparison'!I78),0)</f>
        <v>20274.879528035031</v>
      </c>
      <c r="E35" s="348"/>
      <c r="F35" s="346"/>
      <c r="G35" s="346"/>
      <c r="H35" s="346"/>
      <c r="I35" s="346"/>
      <c r="J35" s="346"/>
      <c r="K35" s="346"/>
      <c r="L35" s="346"/>
      <c r="M35" s="346"/>
      <c r="N35" s="346"/>
      <c r="O35" s="346"/>
    </row>
    <row r="36" spans="2:15" x14ac:dyDescent="0.3">
      <c r="B36" s="346" t="s">
        <v>101</v>
      </c>
      <c r="C36" s="347" t="s">
        <v>91</v>
      </c>
      <c r="D36" s="373">
        <f>IF($D$11="Yes",('Margin comparison'!I79),0)</f>
        <v>155.96061175411563</v>
      </c>
      <c r="E36" s="352">
        <f>'Margin comparison'!I81</f>
        <v>-0.17659110639866496</v>
      </c>
      <c r="F36" s="346" t="s">
        <v>102</v>
      </c>
      <c r="G36" s="346"/>
      <c r="H36" s="346"/>
      <c r="I36" s="346"/>
      <c r="J36" s="346"/>
      <c r="K36" s="346"/>
      <c r="L36" s="346"/>
      <c r="M36" s="346"/>
      <c r="N36" s="346"/>
      <c r="O36" s="346"/>
    </row>
    <row r="37" spans="2:15" x14ac:dyDescent="0.3">
      <c r="B37" s="346"/>
      <c r="C37" s="346"/>
      <c r="D37" s="374"/>
      <c r="E37" s="348"/>
      <c r="F37" s="346"/>
      <c r="G37" s="346"/>
      <c r="H37" s="346"/>
      <c r="I37" s="346"/>
      <c r="J37" s="346"/>
      <c r="K37" s="346"/>
      <c r="L37" s="346"/>
      <c r="M37" s="346"/>
      <c r="N37" s="346"/>
      <c r="O37" s="346"/>
    </row>
    <row r="38" spans="2:15" x14ac:dyDescent="0.3">
      <c r="B38" s="346"/>
      <c r="C38" s="346"/>
      <c r="D38" s="374"/>
      <c r="E38" s="348"/>
      <c r="F38" s="346"/>
      <c r="G38" s="346"/>
      <c r="H38" s="346"/>
      <c r="I38" s="346"/>
      <c r="J38" s="346"/>
      <c r="K38" s="346"/>
      <c r="L38" s="346"/>
      <c r="M38" s="346"/>
      <c r="N38" s="346"/>
      <c r="O38" s="346"/>
    </row>
    <row r="39" spans="2:15" ht="13.5" thickBot="1" x14ac:dyDescent="0.35">
      <c r="B39" s="345" t="s">
        <v>388</v>
      </c>
      <c r="C39" s="346"/>
      <c r="D39" s="374"/>
      <c r="E39" s="348"/>
      <c r="F39" s="346"/>
      <c r="G39" s="346"/>
      <c r="H39" s="346"/>
      <c r="I39" s="346"/>
      <c r="J39" s="346"/>
      <c r="K39" s="346"/>
      <c r="L39" s="346"/>
      <c r="M39" s="346"/>
      <c r="N39" s="346"/>
      <c r="O39" s="346"/>
    </row>
    <row r="40" spans="2:15" ht="13.5" thickBot="1" x14ac:dyDescent="0.35">
      <c r="B40" s="370" t="s">
        <v>103</v>
      </c>
      <c r="C40" s="347" t="s">
        <v>91</v>
      </c>
      <c r="D40" s="376">
        <f>IF($D$12="Yes",('Margin comparison'!I85),0)</f>
        <v>195.09603000000001</v>
      </c>
      <c r="E40" s="348">
        <f t="shared" ref="E40" si="0">D40/D41-1</f>
        <v>-6.0999999999999943E-2</v>
      </c>
      <c r="F40" s="346" t="s">
        <v>389</v>
      </c>
      <c r="G40" s="346"/>
      <c r="H40" s="346"/>
      <c r="I40" s="346"/>
      <c r="J40" s="346"/>
      <c r="K40" s="346"/>
      <c r="L40" s="346"/>
      <c r="M40" s="346"/>
      <c r="N40" s="353" t="s">
        <v>104</v>
      </c>
      <c r="O40" s="346"/>
    </row>
    <row r="41" spans="2:15" ht="13.5" thickBot="1" x14ac:dyDescent="0.35">
      <c r="B41" s="346" t="s">
        <v>105</v>
      </c>
      <c r="C41" s="347" t="s">
        <v>91</v>
      </c>
      <c r="D41" s="373">
        <f>IF($D$12="Yes",('Margin comparison'!I86),0)</f>
        <v>207.77</v>
      </c>
      <c r="E41" s="354"/>
      <c r="F41" s="346"/>
      <c r="G41" s="346"/>
      <c r="H41" s="346"/>
      <c r="I41" s="346"/>
      <c r="J41" s="346"/>
      <c r="K41" s="346"/>
      <c r="L41" s="346"/>
      <c r="M41" s="346"/>
      <c r="N41" s="346"/>
      <c r="O41" s="346"/>
    </row>
    <row r="42" spans="2:15" x14ac:dyDescent="0.3">
      <c r="B42" s="349" t="s">
        <v>106</v>
      </c>
      <c r="C42" s="347" t="s">
        <v>94</v>
      </c>
      <c r="D42" s="377">
        <f>IF($D$12="Yes",('Margin comparison'!I87),0)</f>
        <v>-21.781149232451561</v>
      </c>
      <c r="E42" s="350" t="str">
        <f>IF(-D42='Charging arrangements table'!O43,"Menu A",(IF(-D42='Charging arrangements table'!P43,"Menu B",(IF(-D42='Charging arrangements table'!Q43,"Menu C","Bespoke")))))</f>
        <v>Menu A</v>
      </c>
      <c r="F42" s="346"/>
      <c r="G42" s="346"/>
      <c r="H42" s="346"/>
      <c r="I42" s="346"/>
      <c r="J42" s="346"/>
      <c r="K42" s="346"/>
      <c r="L42" s="346"/>
      <c r="M42" s="346"/>
      <c r="N42" s="346"/>
      <c r="O42" s="346"/>
    </row>
    <row r="43" spans="2:15" ht="13.5" thickBot="1" x14ac:dyDescent="0.35">
      <c r="B43" s="370" t="s">
        <v>96</v>
      </c>
      <c r="C43" s="347"/>
      <c r="D43" s="379">
        <f>D42</f>
        <v>-21.781149232451561</v>
      </c>
      <c r="E43" s="350"/>
      <c r="F43" s="346"/>
      <c r="G43" s="346"/>
      <c r="H43" s="346"/>
      <c r="I43" s="346"/>
      <c r="J43" s="346"/>
      <c r="K43" s="346"/>
      <c r="L43" s="346"/>
      <c r="M43" s="346"/>
      <c r="N43" s="346"/>
      <c r="O43" s="346"/>
    </row>
    <row r="44" spans="2:15" x14ac:dyDescent="0.3">
      <c r="B44" s="346" t="s">
        <v>97</v>
      </c>
      <c r="C44" s="347" t="s">
        <v>98</v>
      </c>
      <c r="D44" s="373">
        <f>IF($D$12="Yes",('Margin comparison'!I88),0)</f>
        <v>25659.595000000001</v>
      </c>
      <c r="E44" s="355"/>
      <c r="F44" s="346"/>
      <c r="G44" s="346"/>
      <c r="H44" s="346"/>
      <c r="I44" s="346"/>
      <c r="J44" s="346"/>
      <c r="K44" s="346"/>
      <c r="L44" s="346"/>
      <c r="M44" s="346"/>
      <c r="N44" s="346"/>
      <c r="O44" s="346"/>
    </row>
    <row r="45" spans="2:15" x14ac:dyDescent="0.3">
      <c r="B45" s="346" t="s">
        <v>107</v>
      </c>
      <c r="C45" s="347" t="s">
        <v>98</v>
      </c>
      <c r="D45" s="373">
        <f>IF($D$12="Yes",('Margin comparison'!I89),0)</f>
        <v>2178.1149232451562</v>
      </c>
      <c r="E45" s="354"/>
      <c r="F45" s="346"/>
      <c r="G45" s="346"/>
      <c r="H45" s="346"/>
      <c r="I45" s="346"/>
      <c r="J45" s="346"/>
      <c r="K45" s="346"/>
      <c r="L45" s="346"/>
      <c r="M45" s="346"/>
      <c r="N45" s="346"/>
      <c r="O45" s="346"/>
    </row>
    <row r="46" spans="2:15" x14ac:dyDescent="0.3">
      <c r="B46" s="346" t="s">
        <v>108</v>
      </c>
      <c r="C46" s="347" t="s">
        <v>98</v>
      </c>
      <c r="D46" s="373">
        <f>IF($D$12="Yes",('Margin comparison'!I90),0)</f>
        <v>23481.480076754844</v>
      </c>
      <c r="E46" s="354"/>
      <c r="F46" s="346"/>
      <c r="G46" s="346"/>
      <c r="H46" s="346"/>
      <c r="I46" s="346"/>
      <c r="J46" s="346"/>
      <c r="K46" s="346"/>
      <c r="L46" s="346"/>
      <c r="M46" s="346"/>
      <c r="N46" s="346"/>
      <c r="O46" s="346"/>
    </row>
    <row r="47" spans="2:15" x14ac:dyDescent="0.3">
      <c r="B47" s="346" t="s">
        <v>109</v>
      </c>
      <c r="C47" s="347" t="s">
        <v>91</v>
      </c>
      <c r="D47" s="373">
        <f>IF($D$12="Yes",('Margin comparison'!I91),0)</f>
        <v>180.62676982119109</v>
      </c>
      <c r="E47" s="352">
        <f>'Margin comparison'!I93</f>
        <v>-8.4885007859444278E-2</v>
      </c>
      <c r="F47" s="346" t="s">
        <v>102</v>
      </c>
      <c r="G47" s="346"/>
      <c r="H47" s="346"/>
      <c r="I47" s="346"/>
      <c r="J47" s="346"/>
      <c r="K47" s="346"/>
      <c r="L47" s="346"/>
      <c r="M47" s="346"/>
      <c r="N47" s="346"/>
      <c r="O47" s="346"/>
    </row>
    <row r="48" spans="2:15" ht="13.5" thickBot="1" x14ac:dyDescent="0.35">
      <c r="B48" s="346"/>
      <c r="C48" s="346"/>
      <c r="D48" s="375"/>
      <c r="E48" s="346"/>
      <c r="F48" s="346"/>
      <c r="G48" s="346"/>
      <c r="H48" s="346"/>
      <c r="I48" s="346"/>
      <c r="J48" s="346"/>
      <c r="K48" s="346"/>
      <c r="L48" s="346"/>
      <c r="M48" s="346"/>
      <c r="N48" s="346"/>
      <c r="O48" s="346"/>
    </row>
    <row r="49" spans="2:15" ht="13.5" thickBot="1" x14ac:dyDescent="0.35">
      <c r="B49" s="369" t="s">
        <v>382</v>
      </c>
      <c r="C49" s="347" t="s">
        <v>94</v>
      </c>
      <c r="D49" s="376" t="str">
        <f>IF(D13="Yes",'Charging arrangements table'!H20,"n/a")</f>
        <v>n/a</v>
      </c>
      <c r="E49" s="346" t="s">
        <v>383</v>
      </c>
      <c r="F49" s="346"/>
      <c r="G49" s="346"/>
      <c r="H49" s="346"/>
      <c r="I49" s="346"/>
      <c r="J49" s="346"/>
      <c r="K49" s="346"/>
      <c r="L49" s="346"/>
      <c r="M49" s="346"/>
      <c r="N49" s="346"/>
      <c r="O49" s="346"/>
    </row>
  </sheetData>
  <sheetProtection algorithmName="SHA-512" hashValue="TMrujBUNWQi75fDQx7pjXGyGehecuWzeRf/XYTbwozvJ+zNF1DgbFqRRdp0ZC7LtIxNlEzskrK67FFD7QYLgHQ==" saltValue="MC1dC1EpVHlo7PQf/Ovbqg==" spinCount="100000" sheet="1" objects="1" scenarios="1" selectLockedCells="1"/>
  <mergeCells count="1">
    <mergeCell ref="F3:I3"/>
  </mergeCells>
  <dataValidations count="1">
    <dataValidation type="list" allowBlank="1" showInputMessage="1" showErrorMessage="1" sqref="D9 D11:D13" xr:uid="{16526840-13C9-4E69-B5FB-0ADC0E20B591}">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F47E1-E0EE-4FF8-8614-D18082F9F3D7}">
  <sheetPr>
    <tabColor theme="3" tint="0.39997558519241921"/>
  </sheetPr>
  <dimension ref="A1:V53"/>
  <sheetViews>
    <sheetView zoomScale="60" zoomScaleNormal="60" workbookViewId="0">
      <selection activeCell="V11" sqref="V11"/>
    </sheetView>
  </sheetViews>
  <sheetFormatPr defaultRowHeight="13" x14ac:dyDescent="0.3"/>
  <cols>
    <col min="22" max="22" width="84.54296875" customWidth="1"/>
  </cols>
  <sheetData>
    <row r="1" spans="1:22" ht="21.5" x14ac:dyDescent="0.9">
      <c r="A1" s="312"/>
      <c r="B1" s="312"/>
      <c r="C1" s="312"/>
      <c r="D1" s="312"/>
      <c r="E1" s="312"/>
      <c r="F1" s="312"/>
      <c r="G1" s="312"/>
      <c r="H1" s="312"/>
      <c r="I1" s="312"/>
      <c r="J1" s="312"/>
      <c r="K1" s="312"/>
      <c r="L1" s="312"/>
      <c r="M1" s="312"/>
      <c r="N1" s="312"/>
      <c r="O1" s="312"/>
      <c r="P1" s="312"/>
      <c r="Q1" s="312"/>
      <c r="R1" s="312"/>
      <c r="S1" s="312"/>
      <c r="T1" s="312"/>
      <c r="U1" s="312"/>
      <c r="V1" s="313" t="s">
        <v>110</v>
      </c>
    </row>
    <row r="2" spans="1:22" ht="34.4" customHeight="1" x14ac:dyDescent="0.35">
      <c r="B2" s="312"/>
      <c r="C2" s="312"/>
      <c r="D2" s="312"/>
      <c r="E2" s="312"/>
      <c r="F2" s="312"/>
      <c r="G2" s="312"/>
      <c r="H2" s="312"/>
      <c r="I2" s="312"/>
      <c r="J2" s="312"/>
      <c r="K2" s="312"/>
      <c r="L2" s="312"/>
      <c r="M2" s="312"/>
      <c r="N2" s="312"/>
      <c r="O2" s="312"/>
      <c r="P2" s="312"/>
      <c r="Q2" s="312"/>
      <c r="R2" s="312"/>
      <c r="S2" s="312"/>
      <c r="T2" s="312"/>
      <c r="U2" s="312"/>
      <c r="V2" s="314" t="s">
        <v>111</v>
      </c>
    </row>
    <row r="3" spans="1:22" ht="34.4" customHeight="1" x14ac:dyDescent="0.35">
      <c r="A3" s="312"/>
      <c r="B3" s="312"/>
      <c r="C3" s="312"/>
      <c r="D3" s="312"/>
      <c r="E3" s="312"/>
      <c r="F3" s="312"/>
      <c r="G3" s="312"/>
      <c r="H3" s="312"/>
      <c r="I3" s="312"/>
      <c r="J3" s="312"/>
      <c r="K3" s="312"/>
      <c r="L3" s="312"/>
      <c r="M3" s="312"/>
      <c r="N3" s="312"/>
      <c r="O3" s="312"/>
      <c r="P3" s="312"/>
      <c r="Q3" s="312"/>
      <c r="R3" s="312"/>
      <c r="S3" s="312"/>
      <c r="T3" s="312"/>
      <c r="U3" s="312"/>
      <c r="V3" s="314" t="s">
        <v>112</v>
      </c>
    </row>
    <row r="4" spans="1:22" ht="14.5" x14ac:dyDescent="0.35">
      <c r="A4" s="312"/>
      <c r="B4" s="312"/>
      <c r="C4" s="312"/>
      <c r="D4" s="312"/>
      <c r="E4" s="312"/>
      <c r="F4" s="312"/>
      <c r="G4" s="312"/>
      <c r="H4" s="312"/>
      <c r="I4" s="312"/>
      <c r="J4" s="312"/>
      <c r="K4" s="312"/>
      <c r="L4" s="312"/>
      <c r="M4" s="312"/>
      <c r="N4" s="312"/>
      <c r="O4" s="312"/>
      <c r="P4" s="312"/>
      <c r="Q4" s="312"/>
      <c r="R4" s="312"/>
      <c r="S4" s="312"/>
      <c r="T4" s="312"/>
      <c r="U4" s="312"/>
      <c r="V4" s="312"/>
    </row>
    <row r="5" spans="1:22" ht="14.5" x14ac:dyDescent="0.35">
      <c r="A5" s="312"/>
      <c r="B5" s="312"/>
      <c r="C5" s="312"/>
      <c r="D5" s="312"/>
      <c r="E5" s="312"/>
      <c r="F5" s="312"/>
      <c r="G5" s="312"/>
      <c r="H5" s="312"/>
      <c r="I5" s="312"/>
      <c r="J5" s="312"/>
      <c r="K5" s="312"/>
      <c r="L5" s="312"/>
      <c r="M5" s="312"/>
      <c r="N5" s="312"/>
      <c r="O5" s="312"/>
      <c r="P5" s="312"/>
      <c r="Q5" s="312"/>
      <c r="R5" s="312"/>
      <c r="S5" s="312"/>
      <c r="T5" s="312"/>
      <c r="U5" s="312"/>
      <c r="V5" s="315" t="s">
        <v>113</v>
      </c>
    </row>
    <row r="6" spans="1:22" ht="14.5" x14ac:dyDescent="0.35">
      <c r="A6" s="312"/>
      <c r="B6" s="312"/>
      <c r="C6" s="312"/>
      <c r="D6" s="312"/>
      <c r="E6" s="312"/>
      <c r="F6" s="312"/>
      <c r="G6" s="312"/>
      <c r="H6" s="312"/>
      <c r="I6" s="312"/>
      <c r="J6" s="312"/>
      <c r="K6" s="312"/>
      <c r="L6" s="312"/>
      <c r="M6" s="312"/>
      <c r="N6" s="312"/>
      <c r="O6" s="312"/>
      <c r="P6" s="312"/>
      <c r="Q6" s="312"/>
      <c r="R6" s="312"/>
      <c r="S6" s="312"/>
      <c r="T6" s="312"/>
      <c r="U6" s="312"/>
      <c r="V6" s="316" t="s">
        <v>114</v>
      </c>
    </row>
    <row r="7" spans="1:22" ht="14.5" x14ac:dyDescent="0.35">
      <c r="A7" s="312"/>
      <c r="B7" s="312"/>
      <c r="C7" s="312"/>
      <c r="D7" s="312"/>
      <c r="E7" s="312"/>
      <c r="F7" s="312"/>
      <c r="G7" s="312"/>
      <c r="H7" s="312"/>
      <c r="I7" s="312"/>
      <c r="J7" s="312"/>
      <c r="K7" s="312"/>
      <c r="L7" s="312"/>
      <c r="M7" s="312"/>
      <c r="N7" s="312"/>
      <c r="O7" s="312"/>
      <c r="P7" s="312"/>
      <c r="Q7" s="312"/>
      <c r="R7" s="312"/>
      <c r="S7" s="312"/>
      <c r="T7" s="312"/>
      <c r="U7" s="312"/>
      <c r="V7" s="316" t="s">
        <v>115</v>
      </c>
    </row>
    <row r="8" spans="1:22" ht="14.5" x14ac:dyDescent="0.35">
      <c r="A8" s="312"/>
      <c r="B8" s="312"/>
      <c r="C8" s="312"/>
      <c r="D8" s="312"/>
      <c r="E8" s="312"/>
      <c r="F8" s="312"/>
      <c r="G8" s="312"/>
      <c r="H8" s="312"/>
      <c r="I8" s="312"/>
      <c r="J8" s="312"/>
      <c r="K8" s="312"/>
      <c r="L8" s="312"/>
      <c r="M8" s="312"/>
      <c r="N8" s="312"/>
      <c r="O8" s="312"/>
      <c r="P8" s="312"/>
      <c r="Q8" s="312"/>
      <c r="R8" s="312"/>
      <c r="S8" s="312"/>
      <c r="T8" s="312"/>
      <c r="U8" s="312"/>
      <c r="V8" s="316" t="s">
        <v>116</v>
      </c>
    </row>
    <row r="9" spans="1:22" ht="14.5" x14ac:dyDescent="0.35">
      <c r="A9" s="312"/>
      <c r="B9" s="312"/>
      <c r="C9" s="312"/>
      <c r="D9" s="312"/>
      <c r="E9" s="312"/>
      <c r="F9" s="312"/>
      <c r="G9" s="312"/>
      <c r="H9" s="312"/>
      <c r="I9" s="312"/>
      <c r="J9" s="312"/>
      <c r="K9" s="312"/>
      <c r="L9" s="312"/>
      <c r="M9" s="312"/>
      <c r="N9" s="312"/>
      <c r="O9" s="312"/>
      <c r="P9" s="312"/>
      <c r="Q9" s="312"/>
      <c r="R9" s="312"/>
      <c r="S9" s="312"/>
      <c r="T9" s="312"/>
      <c r="U9" s="312"/>
      <c r="V9" s="316" t="s">
        <v>117</v>
      </c>
    </row>
    <row r="10" spans="1:22" ht="14.5" x14ac:dyDescent="0.35">
      <c r="A10" s="312"/>
      <c r="B10" s="312"/>
      <c r="C10" s="312"/>
      <c r="D10" s="312"/>
      <c r="E10" s="312"/>
      <c r="F10" s="312"/>
      <c r="G10" s="312"/>
      <c r="H10" s="312"/>
      <c r="I10" s="312"/>
      <c r="J10" s="312"/>
      <c r="K10" s="312"/>
      <c r="L10" s="312"/>
      <c r="M10" s="312"/>
      <c r="N10" s="312"/>
      <c r="O10" s="312"/>
      <c r="P10" s="312"/>
      <c r="Q10" s="312"/>
      <c r="R10" s="312"/>
      <c r="S10" s="312"/>
      <c r="T10" s="312"/>
      <c r="U10" s="312"/>
      <c r="V10" s="316" t="s">
        <v>118</v>
      </c>
    </row>
    <row r="11" spans="1:22" ht="14.5" x14ac:dyDescent="0.35">
      <c r="A11" s="312"/>
      <c r="B11" s="312"/>
      <c r="C11" s="312"/>
      <c r="D11" s="312"/>
      <c r="E11" s="312"/>
      <c r="F11" s="312"/>
      <c r="G11" s="312"/>
      <c r="H11" s="312"/>
      <c r="I11" s="312"/>
      <c r="J11" s="312"/>
      <c r="K11" s="312"/>
      <c r="L11" s="312"/>
      <c r="M11" s="312"/>
      <c r="N11" s="312"/>
      <c r="O11" s="312"/>
      <c r="P11" s="312"/>
      <c r="Q11" s="312"/>
      <c r="R11" s="312"/>
      <c r="S11" s="312"/>
      <c r="T11" s="312"/>
      <c r="U11" s="312"/>
      <c r="V11" s="316" t="s">
        <v>119</v>
      </c>
    </row>
    <row r="12" spans="1:22" ht="14.5" x14ac:dyDescent="0.35">
      <c r="A12" s="312"/>
      <c r="B12" s="312"/>
      <c r="C12" s="312"/>
      <c r="D12" s="312"/>
      <c r="E12" s="312"/>
      <c r="F12" s="312"/>
      <c r="G12" s="312"/>
      <c r="H12" s="312"/>
      <c r="I12" s="312"/>
      <c r="J12" s="312"/>
      <c r="K12" s="312"/>
      <c r="L12" s="312"/>
      <c r="M12" s="312"/>
      <c r="N12" s="312"/>
      <c r="O12" s="312"/>
      <c r="P12" s="312"/>
      <c r="Q12" s="312"/>
      <c r="R12" s="312"/>
      <c r="S12" s="312"/>
      <c r="T12" s="312"/>
      <c r="U12" s="312"/>
      <c r="V12" s="316" t="s">
        <v>120</v>
      </c>
    </row>
    <row r="13" spans="1:22" ht="14.5" x14ac:dyDescent="0.35">
      <c r="A13" s="312"/>
      <c r="B13" s="312"/>
      <c r="C13" s="312"/>
      <c r="D13" s="312"/>
      <c r="E13" s="312"/>
      <c r="F13" s="312"/>
      <c r="G13" s="312"/>
      <c r="H13" s="312"/>
      <c r="I13" s="312"/>
      <c r="J13" s="312"/>
      <c r="K13" s="312"/>
      <c r="L13" s="312"/>
      <c r="M13" s="312"/>
      <c r="N13" s="312"/>
      <c r="O13" s="312"/>
      <c r="P13" s="312"/>
      <c r="Q13" s="312"/>
      <c r="R13" s="312"/>
      <c r="S13" s="312"/>
      <c r="T13" s="312"/>
      <c r="U13" s="312"/>
      <c r="V13" s="316" t="s">
        <v>121</v>
      </c>
    </row>
    <row r="14" spans="1:22" ht="14.5" x14ac:dyDescent="0.35">
      <c r="A14" s="312"/>
      <c r="B14" s="312"/>
      <c r="C14" s="312"/>
      <c r="D14" s="312"/>
      <c r="E14" s="312"/>
      <c r="F14" s="312"/>
      <c r="G14" s="312"/>
      <c r="H14" s="312"/>
      <c r="I14" s="312"/>
      <c r="J14" s="312"/>
      <c r="K14" s="312"/>
      <c r="L14" s="312"/>
      <c r="M14" s="312"/>
      <c r="N14" s="312"/>
      <c r="O14" s="312"/>
      <c r="P14" s="312"/>
      <c r="Q14" s="312"/>
      <c r="R14" s="312"/>
      <c r="S14" s="312"/>
      <c r="T14" s="312"/>
      <c r="U14" s="312"/>
      <c r="V14" s="316" t="s">
        <v>122</v>
      </c>
    </row>
    <row r="15" spans="1:22" ht="14.5" x14ac:dyDescent="0.35">
      <c r="A15" s="312"/>
      <c r="B15" s="312"/>
      <c r="C15" s="312"/>
      <c r="D15" s="312"/>
      <c r="E15" s="312"/>
      <c r="F15" s="312"/>
      <c r="G15" s="312"/>
      <c r="H15" s="312"/>
      <c r="I15" s="312"/>
      <c r="J15" s="312"/>
      <c r="K15" s="312"/>
      <c r="L15" s="312"/>
      <c r="M15" s="312"/>
      <c r="N15" s="312"/>
      <c r="O15" s="312"/>
      <c r="P15" s="312"/>
      <c r="Q15" s="312"/>
      <c r="R15" s="312"/>
      <c r="S15" s="312"/>
      <c r="T15" s="312"/>
      <c r="U15" s="312"/>
      <c r="V15" s="316" t="s">
        <v>123</v>
      </c>
    </row>
    <row r="16" spans="1:22" ht="14.5" x14ac:dyDescent="0.35">
      <c r="A16" s="312"/>
      <c r="B16" s="312"/>
      <c r="C16" s="312"/>
      <c r="D16" s="312"/>
      <c r="E16" s="312"/>
      <c r="F16" s="312"/>
      <c r="G16" s="312"/>
      <c r="H16" s="312"/>
      <c r="I16" s="312"/>
      <c r="J16" s="312"/>
      <c r="K16" s="312"/>
      <c r="L16" s="312"/>
      <c r="M16" s="312"/>
      <c r="N16" s="312"/>
      <c r="O16" s="312"/>
      <c r="P16" s="312"/>
      <c r="Q16" s="312"/>
      <c r="R16" s="312"/>
      <c r="S16" s="312"/>
      <c r="T16" s="312"/>
      <c r="U16" s="312"/>
      <c r="V16" s="316" t="s">
        <v>124</v>
      </c>
    </row>
    <row r="17" spans="1:22" ht="14.5" x14ac:dyDescent="0.35">
      <c r="A17" s="312"/>
      <c r="B17" s="312"/>
      <c r="C17" s="312"/>
      <c r="D17" s="312"/>
      <c r="E17" s="312"/>
      <c r="F17" s="312"/>
      <c r="G17" s="312"/>
      <c r="H17" s="312"/>
      <c r="I17" s="312"/>
      <c r="J17" s="312"/>
      <c r="K17" s="312"/>
      <c r="L17" s="312"/>
      <c r="M17" s="312"/>
      <c r="N17" s="312"/>
      <c r="O17" s="312"/>
      <c r="P17" s="312"/>
      <c r="Q17" s="312"/>
      <c r="R17" s="312"/>
      <c r="S17" s="312"/>
      <c r="T17" s="312"/>
      <c r="U17" s="312"/>
      <c r="V17" s="316" t="s">
        <v>125</v>
      </c>
    </row>
    <row r="18" spans="1:22" ht="14.5" x14ac:dyDescent="0.35">
      <c r="A18" s="312"/>
      <c r="B18" s="312"/>
      <c r="C18" s="312"/>
      <c r="D18" s="312"/>
      <c r="E18" s="312"/>
      <c r="F18" s="312"/>
      <c r="G18" s="312"/>
      <c r="H18" s="312"/>
      <c r="I18" s="312"/>
      <c r="J18" s="312"/>
      <c r="K18" s="312"/>
      <c r="L18" s="312"/>
      <c r="M18" s="312"/>
      <c r="N18" s="312"/>
      <c r="O18" s="312"/>
      <c r="P18" s="312"/>
      <c r="Q18" s="312"/>
      <c r="R18" s="312"/>
      <c r="S18" s="312"/>
      <c r="T18" s="312"/>
      <c r="U18" s="312"/>
      <c r="V18" s="316" t="s">
        <v>126</v>
      </c>
    </row>
    <row r="19" spans="1:22" ht="14.5" x14ac:dyDescent="0.35">
      <c r="A19" s="312"/>
      <c r="B19" s="312"/>
      <c r="C19" s="312"/>
      <c r="D19" s="312"/>
      <c r="E19" s="312"/>
      <c r="F19" s="312"/>
      <c r="G19" s="312"/>
      <c r="H19" s="312"/>
      <c r="I19" s="312"/>
      <c r="J19" s="312"/>
      <c r="K19" s="312"/>
      <c r="L19" s="312"/>
      <c r="M19" s="312"/>
      <c r="N19" s="312"/>
      <c r="O19" s="312"/>
      <c r="P19" s="312"/>
      <c r="Q19" s="312"/>
      <c r="R19" s="312"/>
      <c r="S19" s="312"/>
      <c r="T19" s="312"/>
      <c r="U19" s="312"/>
      <c r="V19" s="316" t="s">
        <v>127</v>
      </c>
    </row>
    <row r="20" spans="1:22" ht="14.5" x14ac:dyDescent="0.35">
      <c r="A20" s="312"/>
      <c r="B20" s="312"/>
      <c r="C20" s="312"/>
      <c r="D20" s="312"/>
      <c r="E20" s="312"/>
      <c r="F20" s="312"/>
      <c r="G20" s="312"/>
      <c r="H20" s="312"/>
      <c r="I20" s="312"/>
      <c r="J20" s="312"/>
      <c r="K20" s="312"/>
      <c r="L20" s="312"/>
      <c r="M20" s="312"/>
      <c r="N20" s="312"/>
      <c r="O20" s="312"/>
      <c r="P20" s="312"/>
      <c r="Q20" s="312"/>
      <c r="R20" s="312"/>
      <c r="S20" s="312"/>
      <c r="T20" s="312"/>
      <c r="U20" s="312"/>
      <c r="V20" s="316" t="s">
        <v>128</v>
      </c>
    </row>
    <row r="21" spans="1:22" ht="14.5" x14ac:dyDescent="0.35">
      <c r="A21" s="312"/>
      <c r="B21" s="312"/>
      <c r="C21" s="312"/>
      <c r="D21" s="312"/>
      <c r="E21" s="312"/>
      <c r="F21" s="312"/>
      <c r="G21" s="312"/>
      <c r="H21" s="312"/>
      <c r="I21" s="312"/>
      <c r="J21" s="312"/>
      <c r="K21" s="312"/>
      <c r="L21" s="312"/>
      <c r="M21" s="312"/>
      <c r="N21" s="312"/>
      <c r="O21" s="312"/>
      <c r="P21" s="312"/>
      <c r="Q21" s="312"/>
      <c r="R21" s="312"/>
      <c r="S21" s="312"/>
      <c r="T21" s="312"/>
      <c r="U21" s="312"/>
      <c r="V21" s="316" t="s">
        <v>129</v>
      </c>
    </row>
    <row r="22" spans="1:22" ht="14.5" x14ac:dyDescent="0.35">
      <c r="A22" s="312"/>
      <c r="B22" s="312"/>
      <c r="C22" s="312"/>
      <c r="D22" s="312"/>
      <c r="E22" s="312"/>
      <c r="F22" s="312"/>
      <c r="G22" s="312"/>
      <c r="H22" s="312"/>
      <c r="I22" s="312"/>
      <c r="J22" s="312"/>
      <c r="K22" s="312"/>
      <c r="L22" s="312"/>
      <c r="M22" s="312"/>
      <c r="N22" s="312"/>
      <c r="O22" s="312"/>
      <c r="P22" s="312"/>
      <c r="Q22" s="312"/>
      <c r="R22" s="312"/>
      <c r="S22" s="312"/>
      <c r="T22" s="312"/>
      <c r="U22" s="312"/>
      <c r="V22" s="316" t="s">
        <v>130</v>
      </c>
    </row>
    <row r="23" spans="1:22" ht="14.5" x14ac:dyDescent="0.35">
      <c r="A23" s="312"/>
      <c r="B23" s="312"/>
      <c r="C23" s="312"/>
      <c r="D23" s="312"/>
      <c r="E23" s="312"/>
      <c r="F23" s="312"/>
      <c r="G23" s="312"/>
      <c r="H23" s="312"/>
      <c r="I23" s="312"/>
      <c r="J23" s="312"/>
      <c r="K23" s="312"/>
      <c r="L23" s="312"/>
      <c r="M23" s="312"/>
      <c r="N23" s="312"/>
      <c r="O23" s="312"/>
      <c r="P23" s="312"/>
      <c r="Q23" s="312"/>
      <c r="R23" s="312"/>
      <c r="S23" s="312"/>
      <c r="T23" s="312"/>
      <c r="U23" s="312"/>
      <c r="V23" s="316" t="s">
        <v>131</v>
      </c>
    </row>
    <row r="24" spans="1:22" ht="14.5" x14ac:dyDescent="0.35">
      <c r="A24" s="312"/>
      <c r="B24" s="312"/>
      <c r="C24" s="312"/>
      <c r="D24" s="312"/>
      <c r="E24" s="312"/>
      <c r="F24" s="312"/>
      <c r="G24" s="312"/>
      <c r="H24" s="312"/>
      <c r="I24" s="312"/>
      <c r="J24" s="312"/>
      <c r="K24" s="312"/>
      <c r="L24" s="312"/>
      <c r="M24" s="312"/>
      <c r="N24" s="312"/>
      <c r="O24" s="312"/>
      <c r="P24" s="312"/>
      <c r="Q24" s="312"/>
      <c r="R24" s="312"/>
      <c r="S24" s="312"/>
      <c r="T24" s="312"/>
      <c r="U24" s="312"/>
      <c r="V24" s="316" t="s">
        <v>132</v>
      </c>
    </row>
    <row r="25" spans="1:22" ht="14.5" x14ac:dyDescent="0.35">
      <c r="A25" s="312"/>
      <c r="B25" s="312"/>
      <c r="C25" s="312"/>
      <c r="D25" s="312"/>
      <c r="E25" s="312"/>
      <c r="F25" s="312"/>
      <c r="G25" s="312"/>
      <c r="H25" s="312"/>
      <c r="I25" s="312"/>
      <c r="J25" s="312"/>
      <c r="K25" s="312"/>
      <c r="L25" s="312"/>
      <c r="M25" s="312"/>
      <c r="N25" s="312"/>
      <c r="O25" s="312"/>
      <c r="P25" s="312"/>
      <c r="Q25" s="312"/>
      <c r="R25" s="312"/>
      <c r="S25" s="312"/>
      <c r="T25" s="312"/>
      <c r="U25" s="312"/>
      <c r="V25" s="316" t="s">
        <v>133</v>
      </c>
    </row>
    <row r="26" spans="1:22" ht="14.5" x14ac:dyDescent="0.35">
      <c r="A26" s="312"/>
      <c r="B26" s="312"/>
      <c r="C26" s="312"/>
      <c r="D26" s="312"/>
      <c r="E26" s="312"/>
      <c r="F26" s="312"/>
      <c r="G26" s="312"/>
      <c r="H26" s="312"/>
      <c r="I26" s="312"/>
      <c r="J26" s="312"/>
      <c r="K26" s="312"/>
      <c r="L26" s="312"/>
      <c r="M26" s="312"/>
      <c r="N26" s="312"/>
      <c r="O26" s="312"/>
      <c r="P26" s="312"/>
      <c r="Q26" s="312"/>
      <c r="R26" s="312"/>
      <c r="S26" s="312"/>
      <c r="T26" s="312"/>
      <c r="U26" s="312"/>
      <c r="V26" s="316" t="s">
        <v>134</v>
      </c>
    </row>
    <row r="27" spans="1:22" ht="14.5" x14ac:dyDescent="0.35">
      <c r="A27" s="312"/>
      <c r="B27" s="312"/>
      <c r="C27" s="312"/>
      <c r="D27" s="312"/>
      <c r="E27" s="312"/>
      <c r="F27" s="312"/>
      <c r="G27" s="312"/>
      <c r="H27" s="312"/>
      <c r="I27" s="312"/>
      <c r="J27" s="312"/>
      <c r="K27" s="312"/>
      <c r="L27" s="312"/>
      <c r="M27" s="312"/>
      <c r="N27" s="312"/>
      <c r="O27" s="312"/>
      <c r="P27" s="312"/>
      <c r="Q27" s="312"/>
      <c r="R27" s="312"/>
      <c r="S27" s="312"/>
      <c r="T27" s="312"/>
      <c r="U27" s="312"/>
      <c r="V27" s="316" t="s">
        <v>135</v>
      </c>
    </row>
    <row r="28" spans="1:22" ht="14.5" x14ac:dyDescent="0.35">
      <c r="A28" s="312"/>
      <c r="B28" s="312"/>
      <c r="C28" s="312"/>
      <c r="D28" s="312"/>
      <c r="E28" s="312"/>
      <c r="F28" s="312"/>
      <c r="G28" s="312"/>
      <c r="H28" s="312"/>
      <c r="I28" s="312"/>
      <c r="J28" s="312"/>
      <c r="K28" s="312"/>
      <c r="L28" s="312"/>
      <c r="M28" s="312"/>
      <c r="N28" s="312"/>
      <c r="O28" s="312"/>
      <c r="P28" s="312"/>
      <c r="Q28" s="312"/>
      <c r="R28" s="312"/>
      <c r="S28" s="312"/>
      <c r="T28" s="312"/>
      <c r="U28" s="312"/>
      <c r="V28" s="316" t="s">
        <v>136</v>
      </c>
    </row>
    <row r="29" spans="1:22" ht="14.5" x14ac:dyDescent="0.35">
      <c r="A29" s="312"/>
      <c r="B29" s="312"/>
      <c r="C29" s="312"/>
      <c r="D29" s="312"/>
      <c r="E29" s="312"/>
      <c r="F29" s="312"/>
      <c r="G29" s="312"/>
      <c r="H29" s="312"/>
      <c r="I29" s="312"/>
      <c r="J29" s="312"/>
      <c r="K29" s="312"/>
      <c r="L29" s="312"/>
      <c r="M29" s="312"/>
      <c r="N29" s="312"/>
      <c r="O29" s="312"/>
      <c r="P29" s="312"/>
      <c r="Q29" s="312"/>
      <c r="R29" s="312"/>
      <c r="S29" s="312"/>
      <c r="T29" s="312"/>
      <c r="U29" s="312"/>
      <c r="V29" s="316" t="s">
        <v>137</v>
      </c>
    </row>
    <row r="30" spans="1:22" ht="14.5" x14ac:dyDescent="0.35">
      <c r="A30" s="312"/>
      <c r="B30" s="312"/>
      <c r="C30" s="312"/>
      <c r="D30" s="312"/>
      <c r="E30" s="312"/>
      <c r="F30" s="312"/>
      <c r="G30" s="312"/>
      <c r="H30" s="312"/>
      <c r="I30" s="312"/>
      <c r="J30" s="312"/>
      <c r="K30" s="312"/>
      <c r="L30" s="312"/>
      <c r="M30" s="312"/>
      <c r="N30" s="312"/>
      <c r="O30" s="312"/>
      <c r="P30" s="312"/>
      <c r="Q30" s="312"/>
      <c r="R30" s="312"/>
      <c r="S30" s="312"/>
      <c r="T30" s="312"/>
      <c r="U30" s="312"/>
      <c r="V30" s="316" t="s">
        <v>138</v>
      </c>
    </row>
    <row r="31" spans="1:22" ht="14.5" x14ac:dyDescent="0.35">
      <c r="A31" s="312"/>
      <c r="B31" s="312"/>
      <c r="C31" s="312"/>
      <c r="D31" s="312"/>
      <c r="E31" s="312"/>
      <c r="F31" s="312"/>
      <c r="G31" s="312"/>
      <c r="H31" s="312"/>
      <c r="I31" s="312"/>
      <c r="J31" s="312"/>
      <c r="K31" s="312"/>
      <c r="L31" s="312"/>
      <c r="M31" s="312"/>
      <c r="N31" s="312"/>
      <c r="O31" s="312"/>
      <c r="P31" s="312"/>
      <c r="Q31" s="312"/>
      <c r="R31" s="312"/>
      <c r="S31" s="312"/>
      <c r="T31" s="312"/>
      <c r="U31" s="312"/>
      <c r="V31" s="316" t="s">
        <v>139</v>
      </c>
    </row>
    <row r="32" spans="1:22" ht="14.5" x14ac:dyDescent="0.35">
      <c r="A32" s="312"/>
      <c r="B32" s="312"/>
      <c r="C32" s="312"/>
      <c r="D32" s="312"/>
      <c r="E32" s="312"/>
      <c r="F32" s="312"/>
      <c r="G32" s="312"/>
      <c r="H32" s="312"/>
      <c r="I32" s="312"/>
      <c r="J32" s="312"/>
      <c r="K32" s="312"/>
      <c r="L32" s="312"/>
      <c r="M32" s="312"/>
      <c r="N32" s="312"/>
      <c r="O32" s="312"/>
      <c r="P32" s="312"/>
      <c r="Q32" s="312"/>
      <c r="R32" s="312"/>
      <c r="S32" s="312"/>
      <c r="T32" s="312"/>
      <c r="U32" s="312"/>
      <c r="V32" s="316" t="s">
        <v>140</v>
      </c>
    </row>
    <row r="33" spans="1:22" ht="14.5" x14ac:dyDescent="0.35">
      <c r="A33" s="312"/>
      <c r="B33" s="312"/>
      <c r="C33" s="312"/>
      <c r="D33" s="312"/>
      <c r="E33" s="312"/>
      <c r="F33" s="312"/>
      <c r="G33" s="312"/>
      <c r="H33" s="312"/>
      <c r="I33" s="312"/>
      <c r="J33" s="312"/>
      <c r="K33" s="312"/>
      <c r="L33" s="312"/>
      <c r="M33" s="312"/>
      <c r="N33" s="312"/>
      <c r="O33" s="312"/>
      <c r="P33" s="312"/>
      <c r="Q33" s="312"/>
      <c r="R33" s="312"/>
      <c r="S33" s="312"/>
      <c r="T33" s="312"/>
      <c r="U33" s="312"/>
      <c r="V33" s="316" t="s">
        <v>141</v>
      </c>
    </row>
    <row r="34" spans="1:22" ht="14.5" x14ac:dyDescent="0.35">
      <c r="A34" s="312"/>
      <c r="B34" s="312"/>
      <c r="C34" s="312"/>
      <c r="D34" s="312"/>
      <c r="E34" s="312"/>
      <c r="F34" s="312"/>
      <c r="G34" s="312"/>
      <c r="H34" s="312"/>
      <c r="I34" s="312"/>
      <c r="J34" s="312"/>
      <c r="K34" s="312"/>
      <c r="L34" s="312"/>
      <c r="M34" s="312"/>
      <c r="N34" s="312"/>
      <c r="O34" s="312"/>
      <c r="P34" s="312"/>
      <c r="Q34" s="312"/>
      <c r="R34" s="312"/>
      <c r="S34" s="312"/>
      <c r="T34" s="312"/>
      <c r="U34" s="312"/>
      <c r="V34" s="316" t="s">
        <v>142</v>
      </c>
    </row>
    <row r="35" spans="1:22" ht="14.5" x14ac:dyDescent="0.35">
      <c r="A35" s="312"/>
      <c r="B35" s="312"/>
      <c r="C35" s="312"/>
      <c r="D35" s="312"/>
      <c r="E35" s="312"/>
      <c r="F35" s="312"/>
      <c r="G35" s="312"/>
      <c r="H35" s="312"/>
      <c r="I35" s="312"/>
      <c r="J35" s="312"/>
      <c r="K35" s="312"/>
      <c r="L35" s="312"/>
      <c r="M35" s="312"/>
      <c r="N35" s="312"/>
      <c r="O35" s="312"/>
      <c r="P35" s="312"/>
      <c r="Q35" s="312"/>
      <c r="R35" s="312"/>
      <c r="S35" s="312"/>
      <c r="T35" s="312"/>
      <c r="U35" s="312"/>
      <c r="V35" s="316" t="s">
        <v>143</v>
      </c>
    </row>
    <row r="36" spans="1:22" ht="14.5" x14ac:dyDescent="0.35">
      <c r="A36" s="312"/>
      <c r="B36" s="312"/>
      <c r="C36" s="312"/>
      <c r="D36" s="312"/>
      <c r="E36" s="312"/>
      <c r="F36" s="312"/>
      <c r="G36" s="312"/>
      <c r="H36" s="312"/>
      <c r="I36" s="312"/>
      <c r="J36" s="312"/>
      <c r="K36" s="312"/>
      <c r="L36" s="312"/>
      <c r="M36" s="312"/>
      <c r="N36" s="312"/>
      <c r="O36" s="312"/>
      <c r="P36" s="312"/>
      <c r="Q36" s="312"/>
      <c r="R36" s="312"/>
      <c r="S36" s="312"/>
      <c r="T36" s="312"/>
      <c r="U36" s="312"/>
      <c r="V36" s="316" t="s">
        <v>144</v>
      </c>
    </row>
    <row r="37" spans="1:22" ht="14.5" x14ac:dyDescent="0.35">
      <c r="A37" s="312"/>
      <c r="B37" s="312"/>
      <c r="C37" s="312"/>
      <c r="D37" s="312"/>
      <c r="E37" s="312"/>
      <c r="F37" s="312"/>
      <c r="G37" s="312"/>
      <c r="H37" s="312"/>
      <c r="I37" s="312"/>
      <c r="J37" s="312"/>
      <c r="K37" s="312"/>
      <c r="L37" s="312"/>
      <c r="M37" s="312"/>
      <c r="N37" s="312"/>
      <c r="O37" s="312"/>
      <c r="P37" s="312"/>
      <c r="Q37" s="312"/>
      <c r="R37" s="312"/>
      <c r="S37" s="312"/>
      <c r="T37" s="312"/>
      <c r="U37" s="312"/>
      <c r="V37" s="316" t="s">
        <v>145</v>
      </c>
    </row>
    <row r="38" spans="1:22" ht="14.5" x14ac:dyDescent="0.35">
      <c r="A38" s="312"/>
      <c r="B38" s="312"/>
      <c r="C38" s="312"/>
      <c r="D38" s="312"/>
      <c r="E38" s="312"/>
      <c r="F38" s="312"/>
      <c r="G38" s="312"/>
      <c r="H38" s="312"/>
      <c r="I38" s="312"/>
      <c r="J38" s="312"/>
      <c r="K38" s="312"/>
      <c r="L38" s="312"/>
      <c r="M38" s="312"/>
      <c r="N38" s="312"/>
      <c r="O38" s="312"/>
      <c r="P38" s="312"/>
      <c r="Q38" s="312"/>
      <c r="R38" s="312"/>
      <c r="S38" s="312"/>
      <c r="T38" s="312"/>
      <c r="U38" s="312"/>
      <c r="V38" s="316" t="s">
        <v>146</v>
      </c>
    </row>
    <row r="39" spans="1:22" ht="14.5" x14ac:dyDescent="0.35">
      <c r="A39" s="312"/>
      <c r="B39" s="312"/>
      <c r="C39" s="312"/>
      <c r="D39" s="312"/>
      <c r="E39" s="312"/>
      <c r="F39" s="312"/>
      <c r="G39" s="312"/>
      <c r="H39" s="312"/>
      <c r="I39" s="312"/>
      <c r="J39" s="312"/>
      <c r="K39" s="312"/>
      <c r="L39" s="312"/>
      <c r="M39" s="312"/>
      <c r="N39" s="312"/>
      <c r="O39" s="312"/>
      <c r="P39" s="312"/>
      <c r="Q39" s="312"/>
      <c r="R39" s="312"/>
      <c r="S39" s="312"/>
      <c r="T39" s="312"/>
      <c r="U39" s="312"/>
      <c r="V39" s="316" t="s">
        <v>147</v>
      </c>
    </row>
    <row r="40" spans="1:22" ht="14.5" x14ac:dyDescent="0.35">
      <c r="A40" s="312"/>
      <c r="B40" s="312"/>
      <c r="C40" s="312"/>
      <c r="D40" s="312"/>
      <c r="E40" s="312"/>
      <c r="F40" s="312"/>
      <c r="G40" s="312"/>
      <c r="H40" s="312"/>
      <c r="I40" s="312"/>
      <c r="J40" s="312"/>
      <c r="K40" s="312"/>
      <c r="L40" s="312"/>
      <c r="M40" s="312"/>
      <c r="N40" s="312"/>
      <c r="O40" s="312"/>
      <c r="P40" s="312"/>
      <c r="Q40" s="312"/>
      <c r="R40" s="312"/>
      <c r="S40" s="312"/>
      <c r="T40" s="312"/>
      <c r="U40" s="312"/>
      <c r="V40" s="316" t="s">
        <v>148</v>
      </c>
    </row>
    <row r="41" spans="1:22" ht="14.5" x14ac:dyDescent="0.35">
      <c r="A41" s="312"/>
      <c r="B41" s="312"/>
      <c r="C41" s="312"/>
      <c r="D41" s="312"/>
      <c r="E41" s="312"/>
      <c r="F41" s="312"/>
      <c r="G41" s="312"/>
      <c r="H41" s="312"/>
      <c r="I41" s="312"/>
      <c r="J41" s="312"/>
      <c r="K41" s="312"/>
      <c r="L41" s="312"/>
      <c r="M41" s="312"/>
      <c r="N41" s="312"/>
      <c r="O41" s="312"/>
      <c r="P41" s="312"/>
      <c r="Q41" s="312"/>
      <c r="R41" s="312"/>
      <c r="S41" s="312"/>
      <c r="T41" s="312"/>
      <c r="U41" s="312"/>
      <c r="V41" s="316" t="s">
        <v>149</v>
      </c>
    </row>
    <row r="42" spans="1:22" ht="14.5" x14ac:dyDescent="0.35">
      <c r="A42" s="312"/>
      <c r="B42" s="312"/>
      <c r="C42" s="312"/>
      <c r="D42" s="312"/>
      <c r="E42" s="312"/>
      <c r="F42" s="312"/>
      <c r="G42" s="312"/>
      <c r="H42" s="312"/>
      <c r="I42" s="312"/>
      <c r="J42" s="312"/>
      <c r="K42" s="312"/>
      <c r="L42" s="312"/>
      <c r="M42" s="312"/>
      <c r="N42" s="312"/>
      <c r="O42" s="312"/>
      <c r="P42" s="312"/>
      <c r="Q42" s="312"/>
      <c r="R42" s="312"/>
      <c r="S42" s="312"/>
      <c r="T42" s="312"/>
      <c r="U42" s="312"/>
      <c r="V42" s="316" t="s">
        <v>150</v>
      </c>
    </row>
    <row r="43" spans="1:22" ht="14.5" x14ac:dyDescent="0.35">
      <c r="A43" s="312"/>
      <c r="B43" s="312"/>
      <c r="C43" s="312"/>
      <c r="D43" s="312"/>
      <c r="E43" s="312"/>
      <c r="F43" s="312"/>
      <c r="G43" s="312"/>
      <c r="H43" s="312"/>
      <c r="I43" s="312"/>
      <c r="J43" s="312"/>
      <c r="K43" s="312"/>
      <c r="L43" s="312"/>
      <c r="M43" s="312"/>
      <c r="N43" s="312"/>
      <c r="O43" s="312"/>
      <c r="P43" s="312"/>
      <c r="Q43" s="312"/>
      <c r="R43" s="312"/>
      <c r="S43" s="312"/>
      <c r="T43" s="312"/>
      <c r="U43" s="312"/>
      <c r="V43" s="316" t="s">
        <v>151</v>
      </c>
    </row>
    <row r="44" spans="1:22" ht="14.5" x14ac:dyDescent="0.35">
      <c r="A44" s="312"/>
      <c r="B44" s="312"/>
      <c r="C44" s="312"/>
      <c r="D44" s="312"/>
      <c r="E44" s="312"/>
      <c r="F44" s="312"/>
      <c r="G44" s="312"/>
      <c r="H44" s="312"/>
      <c r="I44" s="312"/>
      <c r="J44" s="312"/>
      <c r="K44" s="312"/>
      <c r="L44" s="312"/>
      <c r="M44" s="312"/>
      <c r="N44" s="312"/>
      <c r="O44" s="312"/>
      <c r="P44" s="312"/>
      <c r="Q44" s="312"/>
      <c r="R44" s="312"/>
      <c r="S44" s="312"/>
      <c r="T44" s="312"/>
      <c r="U44" s="312"/>
      <c r="V44" s="316" t="s">
        <v>152</v>
      </c>
    </row>
    <row r="45" spans="1:22" ht="14.5" x14ac:dyDescent="0.35">
      <c r="A45" s="312"/>
      <c r="B45" s="312"/>
      <c r="C45" s="312"/>
      <c r="D45" s="312"/>
      <c r="E45" s="312"/>
      <c r="F45" s="312"/>
      <c r="G45" s="312"/>
      <c r="H45" s="312"/>
      <c r="I45" s="312"/>
      <c r="J45" s="312"/>
      <c r="K45" s="312"/>
      <c r="L45" s="312"/>
      <c r="M45" s="312"/>
      <c r="N45" s="312"/>
      <c r="O45" s="312"/>
      <c r="P45" s="312"/>
      <c r="Q45" s="312"/>
      <c r="R45" s="312"/>
      <c r="S45" s="312"/>
      <c r="T45" s="312"/>
      <c r="U45" s="312"/>
      <c r="V45" s="316" t="s">
        <v>153</v>
      </c>
    </row>
    <row r="46" spans="1:22" ht="14.5" x14ac:dyDescent="0.35">
      <c r="A46" s="312"/>
      <c r="B46" s="312"/>
      <c r="C46" s="312"/>
      <c r="D46" s="312"/>
      <c r="E46" s="312"/>
      <c r="F46" s="312"/>
      <c r="G46" s="312"/>
      <c r="H46" s="312"/>
      <c r="I46" s="312"/>
      <c r="J46" s="312"/>
      <c r="K46" s="312"/>
      <c r="L46" s="312"/>
      <c r="M46" s="312"/>
      <c r="N46" s="312"/>
      <c r="O46" s="312"/>
      <c r="P46" s="312"/>
      <c r="Q46" s="312"/>
      <c r="R46" s="312"/>
      <c r="S46" s="312"/>
      <c r="T46" s="312"/>
      <c r="U46" s="312"/>
      <c r="V46" s="316" t="s">
        <v>154</v>
      </c>
    </row>
    <row r="47" spans="1:22" ht="14.5" x14ac:dyDescent="0.35">
      <c r="A47" s="312"/>
      <c r="B47" s="312"/>
      <c r="C47" s="312"/>
      <c r="D47" s="312"/>
      <c r="E47" s="312"/>
      <c r="F47" s="312"/>
      <c r="G47" s="312"/>
      <c r="H47" s="312"/>
      <c r="I47" s="312"/>
      <c r="J47" s="312"/>
      <c r="K47" s="312"/>
      <c r="L47" s="312"/>
      <c r="M47" s="312"/>
      <c r="N47" s="312"/>
      <c r="O47" s="312"/>
      <c r="P47" s="312"/>
      <c r="Q47" s="312"/>
      <c r="R47" s="312"/>
      <c r="S47" s="312"/>
      <c r="T47" s="312"/>
      <c r="U47" s="312"/>
      <c r="V47" s="316" t="s">
        <v>155</v>
      </c>
    </row>
    <row r="48" spans="1:22" ht="14.5" x14ac:dyDescent="0.35">
      <c r="A48" s="312"/>
      <c r="B48" s="312"/>
      <c r="C48" s="312"/>
      <c r="D48" s="312"/>
      <c r="E48" s="312"/>
      <c r="F48" s="312"/>
      <c r="G48" s="312"/>
      <c r="H48" s="312"/>
      <c r="I48" s="312"/>
      <c r="J48" s="312"/>
      <c r="K48" s="312"/>
      <c r="L48" s="312"/>
      <c r="M48" s="312"/>
      <c r="N48" s="312"/>
      <c r="O48" s="312"/>
      <c r="P48" s="312"/>
      <c r="Q48" s="312"/>
      <c r="R48" s="312"/>
      <c r="S48" s="312"/>
      <c r="T48" s="312"/>
      <c r="U48" s="312"/>
      <c r="V48" s="316" t="s">
        <v>156</v>
      </c>
    </row>
    <row r="49" spans="1:22" ht="14.5" x14ac:dyDescent="0.35">
      <c r="A49" s="312"/>
      <c r="B49" s="312"/>
      <c r="C49" s="312"/>
      <c r="D49" s="312"/>
      <c r="E49" s="312"/>
      <c r="F49" s="312"/>
      <c r="G49" s="312"/>
      <c r="H49" s="312"/>
      <c r="I49" s="312"/>
      <c r="J49" s="312"/>
      <c r="K49" s="312"/>
      <c r="L49" s="312"/>
      <c r="M49" s="312"/>
      <c r="N49" s="312"/>
      <c r="O49" s="312"/>
      <c r="P49" s="312"/>
      <c r="Q49" s="312"/>
      <c r="R49" s="312"/>
      <c r="S49" s="312"/>
      <c r="T49" s="312"/>
      <c r="U49" s="312"/>
      <c r="V49" s="316" t="s">
        <v>157</v>
      </c>
    </row>
    <row r="50" spans="1:22" ht="14.5" x14ac:dyDescent="0.35">
      <c r="A50" s="312"/>
      <c r="B50" s="312"/>
      <c r="C50" s="312"/>
      <c r="D50" s="312"/>
      <c r="E50" s="312"/>
      <c r="F50" s="312"/>
      <c r="G50" s="312"/>
      <c r="H50" s="312"/>
      <c r="I50" s="312"/>
      <c r="J50" s="312"/>
      <c r="K50" s="312"/>
      <c r="L50" s="312"/>
      <c r="M50" s="312"/>
      <c r="N50" s="312"/>
      <c r="O50" s="312"/>
      <c r="P50" s="312"/>
      <c r="Q50" s="312"/>
      <c r="R50" s="312"/>
      <c r="S50" s="312"/>
      <c r="T50" s="312"/>
      <c r="U50" s="312"/>
      <c r="V50" s="316" t="s">
        <v>158</v>
      </c>
    </row>
    <row r="51" spans="1:22" ht="14.5" x14ac:dyDescent="0.35">
      <c r="A51" s="312"/>
      <c r="B51" s="312"/>
      <c r="C51" s="312"/>
      <c r="D51" s="312"/>
      <c r="E51" s="312"/>
      <c r="F51" s="312"/>
      <c r="G51" s="312"/>
      <c r="H51" s="312"/>
      <c r="I51" s="312"/>
      <c r="J51" s="312"/>
      <c r="K51" s="312"/>
      <c r="L51" s="312"/>
      <c r="M51" s="312"/>
      <c r="N51" s="312"/>
      <c r="O51" s="312"/>
      <c r="P51" s="312"/>
      <c r="Q51" s="312"/>
      <c r="R51" s="312"/>
      <c r="S51" s="312"/>
      <c r="T51" s="312"/>
      <c r="U51" s="312"/>
      <c r="V51" s="316" t="s">
        <v>159</v>
      </c>
    </row>
    <row r="52" spans="1:22" ht="14.5" x14ac:dyDescent="0.35">
      <c r="A52" s="312"/>
      <c r="B52" s="312"/>
      <c r="C52" s="312"/>
      <c r="D52" s="312"/>
      <c r="E52" s="312"/>
      <c r="F52" s="312"/>
      <c r="G52" s="312"/>
      <c r="H52" s="312"/>
      <c r="I52" s="312"/>
      <c r="J52" s="312"/>
      <c r="K52" s="312"/>
      <c r="L52" s="312"/>
      <c r="M52" s="312"/>
      <c r="N52" s="312"/>
      <c r="O52" s="312"/>
      <c r="P52" s="312"/>
      <c r="Q52" s="312"/>
      <c r="R52" s="312"/>
      <c r="S52" s="312"/>
      <c r="T52" s="312"/>
      <c r="U52" s="312"/>
      <c r="V52" s="316"/>
    </row>
    <row r="53" spans="1:22" ht="14.5" x14ac:dyDescent="0.35">
      <c r="A53" s="312"/>
      <c r="B53" s="312"/>
      <c r="C53" s="312"/>
      <c r="D53" s="312"/>
      <c r="E53" s="312"/>
      <c r="F53" s="312"/>
      <c r="G53" s="312"/>
      <c r="H53" s="312"/>
      <c r="I53" s="312"/>
      <c r="J53" s="312"/>
      <c r="K53" s="312"/>
      <c r="L53" s="312"/>
      <c r="M53" s="312"/>
      <c r="N53" s="312"/>
      <c r="O53" s="312"/>
      <c r="P53" s="312"/>
      <c r="Q53" s="312"/>
      <c r="R53" s="312"/>
      <c r="S53" s="312"/>
      <c r="T53" s="312"/>
      <c r="U53" s="312"/>
      <c r="V53" s="316"/>
    </row>
  </sheetData>
  <sheetProtection algorithmName="SHA-512" hashValue="blLWmGaqOujhbd3WWQ9jdSXHZjRfYx6L1bka/oAbbGSSi3oKJ4UtOGSNykA+o8TrEm1M/RNLXnYKcGtPdA0/Kw==" saltValue="6VpPRHViigPu9NWuak4P6w=="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2D2F2-EE3D-47EA-B4D7-5A03A981EDAF}">
  <sheetPr>
    <tabColor theme="4" tint="-0.499984740745262"/>
  </sheetPr>
  <dimension ref="A1:AB65"/>
  <sheetViews>
    <sheetView showGridLines="0" topLeftCell="A12" zoomScale="80" zoomScaleNormal="80" workbookViewId="0">
      <selection activeCell="I37" sqref="I37"/>
    </sheetView>
  </sheetViews>
  <sheetFormatPr defaultColWidth="0" defaultRowHeight="13" zeroHeight="1" x14ac:dyDescent="0.3"/>
  <cols>
    <col min="1" max="2" width="2.453125" style="15" customWidth="1"/>
    <col min="3" max="3" width="4.1796875" style="48" customWidth="1"/>
    <col min="4" max="4" width="2.453125" style="33" customWidth="1"/>
    <col min="5" max="5" width="53.54296875" style="15" bestFit="1" customWidth="1"/>
    <col min="6" max="6" width="2.54296875" style="15" customWidth="1"/>
    <col min="7" max="7" width="11.54296875" style="62" bestFit="1" customWidth="1"/>
    <col min="8" max="8" width="2.54296875" style="62" customWidth="1"/>
    <col min="9" max="9" width="27.54296875" style="15" customWidth="1"/>
    <col min="10" max="10" width="2.54296875" style="15" customWidth="1"/>
    <col min="11" max="12" width="27.54296875" style="15" hidden="1" customWidth="1"/>
    <col min="13" max="13" width="2.453125" style="7" hidden="1" customWidth="1"/>
    <col min="14" max="14" width="2.453125" style="15" hidden="1" customWidth="1"/>
    <col min="15" max="23" width="11.453125" style="15" hidden="1" customWidth="1"/>
    <col min="24" max="24" width="12" style="15" hidden="1" customWidth="1"/>
    <col min="25" max="27" width="12.453125" style="15" hidden="1" customWidth="1"/>
    <col min="28" max="28" width="4.453125" hidden="1" customWidth="1"/>
    <col min="29" max="16384" width="8.54296875" style="15" hidden="1"/>
  </cols>
  <sheetData>
    <row r="1" spans="1:27" s="20" customFormat="1" ht="17.5" x14ac:dyDescent="0.35">
      <c r="A1" s="18" t="str" cm="1">
        <f t="array" aca="1" ref="A1" ca="1">RIGHT(CELL("filename",A$2),LEN(CELL("filename",A$2))-FIND("]",CELL("filename",A$2)))</f>
        <v>Cockpit</v>
      </c>
      <c r="B1" s="18"/>
      <c r="C1" s="18"/>
      <c r="D1" s="18"/>
      <c r="E1" s="18"/>
      <c r="F1" s="18"/>
      <c r="G1" s="58"/>
      <c r="H1" s="58"/>
      <c r="I1" s="18"/>
      <c r="J1" s="19"/>
      <c r="K1" s="18"/>
      <c r="L1" s="18"/>
      <c r="M1" s="18"/>
      <c r="N1" s="18"/>
      <c r="O1" s="18"/>
      <c r="P1" s="18"/>
      <c r="Q1" s="18"/>
      <c r="R1" s="18"/>
      <c r="S1" s="18"/>
      <c r="T1" s="18"/>
      <c r="U1" s="18"/>
      <c r="V1" s="18"/>
      <c r="W1" s="18"/>
      <c r="X1" s="18"/>
    </row>
    <row r="2" spans="1:27" s="1" customFormat="1" x14ac:dyDescent="0.3">
      <c r="A2" s="21" t="str">
        <f>"["&amp;_xlfn.SINGLE(_ModelStatus)&amp;"] "&amp;_xlfn.SINGLE(_ModelName)&amp;" - "&amp;_xlfn.SINGLE(_OrganisationName)&amp;" - "&amp;_xlfn.SINGLE(_ModelVersion)&amp;" ("&amp;TEXT(_xlfn.SINGLE(_ModelDate),"dd/mm/yyyy")&amp;")"</f>
        <v>[Final] BSP model for NAVs - Yorkshire Water - Version Website (20/03/2024)</v>
      </c>
      <c r="B2" s="21"/>
      <c r="C2" s="21"/>
      <c r="D2" s="21"/>
      <c r="E2" s="21"/>
      <c r="F2" s="21"/>
      <c r="G2" s="59"/>
      <c r="H2" s="59"/>
      <c r="I2" s="21"/>
      <c r="J2" s="21"/>
      <c r="K2" s="21"/>
      <c r="L2" s="21"/>
      <c r="M2" s="21"/>
      <c r="N2" s="21"/>
      <c r="O2" s="21"/>
      <c r="P2" s="21"/>
      <c r="Q2" s="21"/>
      <c r="R2" s="21"/>
      <c r="S2" s="21"/>
      <c r="T2" s="21"/>
      <c r="U2" s="21"/>
      <c r="V2" s="21"/>
      <c r="W2" s="21"/>
      <c r="X2" s="21"/>
      <c r="Y2" s="21"/>
      <c r="Z2" s="21"/>
      <c r="AA2" s="21"/>
    </row>
    <row r="3" spans="1:27" customFormat="1" x14ac:dyDescent="0.3">
      <c r="A3" s="47" t="s">
        <v>160</v>
      </c>
      <c r="C3" s="3"/>
      <c r="D3" s="49"/>
      <c r="G3" s="60"/>
      <c r="H3" s="60"/>
    </row>
    <row r="4" spans="1:27" ht="13.5" customHeight="1" x14ac:dyDescent="0.3">
      <c r="D4" s="48"/>
      <c r="E4" s="48"/>
      <c r="F4" s="48"/>
      <c r="G4" s="61"/>
      <c r="H4" s="61"/>
      <c r="I4" s="48"/>
      <c r="J4" s="48"/>
      <c r="K4" s="48"/>
      <c r="L4" s="48"/>
    </row>
    <row r="5" spans="1:27" customFormat="1" x14ac:dyDescent="0.3">
      <c r="B5" s="22" t="s">
        <v>43</v>
      </c>
      <c r="C5" s="22"/>
      <c r="D5" s="22"/>
      <c r="E5" s="22"/>
      <c r="F5" s="22"/>
      <c r="G5" s="58"/>
      <c r="H5" s="58"/>
      <c r="I5" s="22"/>
      <c r="J5" s="120"/>
      <c r="K5" s="22"/>
      <c r="L5" s="22"/>
      <c r="M5" s="22"/>
      <c r="N5" s="22"/>
      <c r="O5" s="22"/>
      <c r="P5" s="22"/>
      <c r="Q5" s="22"/>
      <c r="R5" s="22"/>
      <c r="S5" s="22"/>
      <c r="T5" s="22"/>
      <c r="U5" s="22"/>
      <c r="V5" s="22"/>
      <c r="W5" s="22"/>
      <c r="X5" s="22"/>
      <c r="Y5" s="22"/>
      <c r="Z5" s="22"/>
      <c r="AA5" s="22"/>
    </row>
    <row r="6" spans="1:27" ht="13.4" customHeight="1" x14ac:dyDescent="0.3">
      <c r="E6" s="408" t="s">
        <v>173</v>
      </c>
      <c r="F6" s="408"/>
      <c r="G6" s="408"/>
      <c r="H6" s="408"/>
      <c r="I6" s="408"/>
      <c r="J6" s="76"/>
    </row>
    <row r="7" spans="1:27" x14ac:dyDescent="0.3">
      <c r="C7" s="3"/>
      <c r="J7" s="76"/>
    </row>
    <row r="8" spans="1:27" customFormat="1" ht="12" customHeight="1" x14ac:dyDescent="0.3">
      <c r="A8" s="15"/>
      <c r="B8" s="22" t="s">
        <v>174</v>
      </c>
      <c r="C8" s="22"/>
      <c r="D8" s="22"/>
      <c r="E8" s="22"/>
      <c r="F8" s="22"/>
      <c r="G8" s="58"/>
      <c r="H8" s="58"/>
      <c r="I8" s="22"/>
      <c r="J8" s="120"/>
      <c r="K8" s="22"/>
      <c r="L8" s="22"/>
      <c r="M8" s="22"/>
      <c r="N8" s="22"/>
      <c r="O8" s="22"/>
      <c r="P8" s="22"/>
      <c r="Q8" s="22"/>
      <c r="R8" s="22"/>
      <c r="S8" s="22"/>
      <c r="T8" s="22"/>
      <c r="U8" s="22"/>
      <c r="V8" s="22"/>
      <c r="W8" s="22"/>
      <c r="X8" s="22"/>
      <c r="Y8" s="22"/>
      <c r="Z8" s="22"/>
      <c r="AA8" s="22"/>
    </row>
    <row r="9" spans="1:27" x14ac:dyDescent="0.3">
      <c r="J9" s="76"/>
    </row>
    <row r="10" spans="1:27" x14ac:dyDescent="0.3">
      <c r="E10" s="15" t="s">
        <v>175</v>
      </c>
      <c r="G10" s="62" t="s">
        <v>174</v>
      </c>
      <c r="I10" s="70" t="s">
        <v>176</v>
      </c>
      <c r="J10" s="76"/>
    </row>
    <row r="11" spans="1:27" x14ac:dyDescent="0.3">
      <c r="J11" s="76"/>
      <c r="O11" s="3"/>
      <c r="P11" s="3"/>
      <c r="Q11" s="3"/>
      <c r="R11" s="3"/>
      <c r="S11" s="3"/>
      <c r="T11" s="3"/>
      <c r="U11" s="3"/>
      <c r="V11" s="3"/>
      <c r="W11" s="3"/>
      <c r="X11" s="3"/>
      <c r="Y11" s="3"/>
      <c r="Z11" s="3"/>
      <c r="AA11" s="3"/>
    </row>
    <row r="12" spans="1:27" customFormat="1" x14ac:dyDescent="0.3">
      <c r="E12" s="246" t="s">
        <v>177</v>
      </c>
      <c r="G12" s="60" t="s">
        <v>178</v>
      </c>
      <c r="H12" s="60"/>
      <c r="I12" s="263">
        <v>3</v>
      </c>
      <c r="J12" s="77"/>
    </row>
    <row r="13" spans="1:27" customFormat="1" x14ac:dyDescent="0.3">
      <c r="G13" s="60"/>
      <c r="H13" s="60"/>
      <c r="J13" s="77"/>
    </row>
    <row r="14" spans="1:27" x14ac:dyDescent="0.3">
      <c r="B14" s="22" t="s">
        <v>179</v>
      </c>
      <c r="C14" s="22"/>
      <c r="D14" s="22"/>
      <c r="E14" s="22"/>
      <c r="F14" s="22"/>
      <c r="G14" s="58"/>
      <c r="H14" s="58"/>
      <c r="I14" s="22"/>
      <c r="J14" s="120"/>
      <c r="K14" s="22"/>
      <c r="L14" s="22"/>
      <c r="M14" s="22"/>
      <c r="N14" s="22"/>
      <c r="O14" s="22"/>
      <c r="P14" s="22"/>
      <c r="Q14" s="22"/>
      <c r="R14" s="22"/>
      <c r="S14" s="22"/>
      <c r="T14" s="22"/>
      <c r="U14" s="22"/>
      <c r="V14" s="22"/>
      <c r="W14" s="22"/>
      <c r="X14" s="22"/>
      <c r="Y14" s="22"/>
      <c r="Z14" s="22"/>
      <c r="AA14" s="22"/>
    </row>
    <row r="15" spans="1:27" x14ac:dyDescent="0.3">
      <c r="J15" s="76"/>
    </row>
    <row r="16" spans="1:27" x14ac:dyDescent="0.3">
      <c r="D16" s="33" t="s">
        <v>180</v>
      </c>
      <c r="J16" s="76"/>
    </row>
    <row r="17" spans="1:28" x14ac:dyDescent="0.3">
      <c r="E17" s="69" t="s">
        <v>75</v>
      </c>
      <c r="G17" s="65" t="s">
        <v>161</v>
      </c>
      <c r="H17" s="65"/>
      <c r="I17" s="192" t="str">
        <f>'Wholesale Tariff Inputs'!D11</f>
        <v>Yes</v>
      </c>
      <c r="J17" s="76"/>
    </row>
    <row r="18" spans="1:28" x14ac:dyDescent="0.3">
      <c r="E18" s="69" t="s">
        <v>76</v>
      </c>
      <c r="G18" s="65" t="s">
        <v>161</v>
      </c>
      <c r="H18" s="65"/>
      <c r="I18" s="192" t="str">
        <f>'Wholesale Tariff Inputs'!D12</f>
        <v>Yes</v>
      </c>
      <c r="J18" s="267"/>
      <c r="O18" s="3"/>
      <c r="P18" s="3"/>
      <c r="Q18" s="3"/>
      <c r="R18" s="3"/>
      <c r="S18" s="3"/>
      <c r="T18" s="3"/>
      <c r="U18" s="3"/>
      <c r="V18" s="3"/>
      <c r="W18" s="3"/>
      <c r="X18" s="3"/>
      <c r="Y18" s="3"/>
      <c r="Z18" s="3"/>
      <c r="AA18" s="3"/>
    </row>
    <row r="19" spans="1:28" x14ac:dyDescent="0.3">
      <c r="E19" s="69"/>
      <c r="J19" s="76"/>
    </row>
    <row r="20" spans="1:28" x14ac:dyDescent="0.3">
      <c r="D20" s="33" t="s">
        <v>181</v>
      </c>
      <c r="E20" s="69"/>
      <c r="J20" s="76"/>
    </row>
    <row r="21" spans="1:28" x14ac:dyDescent="0.3">
      <c r="E21" s="69" t="s">
        <v>162</v>
      </c>
      <c r="G21" s="65" t="s">
        <v>79</v>
      </c>
      <c r="H21" s="65"/>
      <c r="I21" s="192">
        <f>'Wholesale Tariff Inputs'!D15</f>
        <v>1</v>
      </c>
      <c r="J21" s="267"/>
      <c r="O21" s="3"/>
      <c r="P21" s="3"/>
      <c r="Q21" s="3"/>
      <c r="R21" s="3"/>
      <c r="S21" s="3"/>
      <c r="T21" s="3"/>
      <c r="U21" s="3"/>
      <c r="V21" s="3"/>
      <c r="W21" s="3"/>
      <c r="X21" s="3"/>
      <c r="Y21" s="3"/>
      <c r="Z21" s="3"/>
      <c r="AA21" s="3"/>
    </row>
    <row r="22" spans="1:28" x14ac:dyDescent="0.3">
      <c r="C22" s="320">
        <v>4</v>
      </c>
      <c r="E22" s="319" t="s">
        <v>182</v>
      </c>
      <c r="G22" s="65"/>
      <c r="H22" s="65"/>
      <c r="I22" s="192">
        <f>IF((I21*1000)/I29&gt;=C22,I21,I29*C22/1000)</f>
        <v>1</v>
      </c>
      <c r="J22" s="267"/>
      <c r="O22" s="3"/>
      <c r="P22" s="3"/>
      <c r="Q22" s="3"/>
      <c r="R22" s="3"/>
      <c r="S22" s="3"/>
      <c r="T22" s="3"/>
      <c r="U22" s="3"/>
      <c r="V22" s="3"/>
      <c r="W22" s="3"/>
      <c r="X22" s="3"/>
      <c r="Y22" s="3"/>
      <c r="Z22" s="3"/>
      <c r="AA22" s="3"/>
    </row>
    <row r="23" spans="1:28" x14ac:dyDescent="0.3">
      <c r="E23" s="69" t="s">
        <v>163</v>
      </c>
      <c r="G23" s="65" t="s">
        <v>79</v>
      </c>
      <c r="H23" s="65"/>
      <c r="I23" s="192">
        <f>'Wholesale Tariff Inputs'!D16</f>
        <v>1</v>
      </c>
      <c r="J23" s="267"/>
      <c r="O23" s="3"/>
      <c r="P23" s="3"/>
      <c r="Q23" s="3"/>
      <c r="R23" s="3"/>
      <c r="S23" s="3"/>
      <c r="T23" s="3"/>
      <c r="U23" s="3"/>
      <c r="V23" s="3"/>
      <c r="W23" s="3"/>
      <c r="X23" s="3"/>
      <c r="Y23" s="3"/>
      <c r="Z23" s="3"/>
      <c r="AA23" s="3"/>
    </row>
    <row r="24" spans="1:28" x14ac:dyDescent="0.3">
      <c r="C24" s="320">
        <v>4</v>
      </c>
      <c r="E24" s="319" t="s">
        <v>183</v>
      </c>
      <c r="G24" s="65"/>
      <c r="H24" s="65"/>
      <c r="I24" s="192">
        <f>IF((I23*1000)/I29&gt;=C24,I23,I29*C24/1000)</f>
        <v>1</v>
      </c>
      <c r="J24" s="267"/>
      <c r="O24" s="3"/>
      <c r="P24" s="3"/>
      <c r="Q24" s="3"/>
      <c r="R24" s="3"/>
      <c r="S24" s="3"/>
      <c r="T24" s="3"/>
      <c r="U24" s="3"/>
      <c r="V24" s="3"/>
      <c r="W24" s="3"/>
      <c r="X24" s="3"/>
      <c r="Y24" s="3"/>
      <c r="Z24" s="3"/>
      <c r="AA24" s="3"/>
    </row>
    <row r="25" spans="1:28" x14ac:dyDescent="0.3">
      <c r="E25" s="69"/>
      <c r="I25" s="75"/>
      <c r="J25" s="76"/>
    </row>
    <row r="26" spans="1:28" x14ac:dyDescent="0.3">
      <c r="D26" s="33" t="s">
        <v>184</v>
      </c>
      <c r="E26" s="69"/>
      <c r="I26" s="75"/>
      <c r="J26" s="76"/>
    </row>
    <row r="27" spans="1:28" x14ac:dyDescent="0.3">
      <c r="E27" s="69" t="s">
        <v>164</v>
      </c>
      <c r="G27" s="65" t="s">
        <v>165</v>
      </c>
      <c r="H27" s="65"/>
      <c r="I27" s="192">
        <f>'Wholesale Tariff Inputs'!D18</f>
        <v>100</v>
      </c>
      <c r="J27" s="267"/>
      <c r="O27" s="3"/>
      <c r="P27" s="3"/>
      <c r="Q27" s="3"/>
      <c r="R27" s="3"/>
      <c r="S27" s="3"/>
      <c r="T27" s="3"/>
      <c r="U27" s="3"/>
      <c r="V27" s="3"/>
      <c r="W27" s="3"/>
      <c r="X27" s="3"/>
      <c r="Y27" s="3"/>
      <c r="Z27" s="3"/>
      <c r="AA27" s="3"/>
    </row>
    <row r="28" spans="1:28" x14ac:dyDescent="0.3">
      <c r="E28" s="69" t="s">
        <v>166</v>
      </c>
      <c r="G28" s="65" t="s">
        <v>165</v>
      </c>
      <c r="H28" s="65"/>
      <c r="I28" s="192">
        <f>'Wholesale Tariff Inputs'!D19</f>
        <v>0</v>
      </c>
      <c r="J28" s="76"/>
      <c r="O28" s="3"/>
      <c r="P28" s="3"/>
      <c r="Q28" s="3"/>
      <c r="R28" s="3"/>
      <c r="S28" s="3"/>
      <c r="T28" s="3"/>
      <c r="U28" s="3"/>
      <c r="V28" s="3"/>
      <c r="W28" s="3"/>
      <c r="X28" s="3"/>
      <c r="Y28" s="3"/>
      <c r="Z28" s="3"/>
      <c r="AA28" s="3"/>
    </row>
    <row r="29" spans="1:28" s="14" customFormat="1" x14ac:dyDescent="0.3">
      <c r="A29" s="15"/>
      <c r="B29" s="15"/>
      <c r="C29" s="3"/>
      <c r="D29" s="49"/>
      <c r="E29" s="69" t="s">
        <v>185</v>
      </c>
      <c r="F29" s="3"/>
      <c r="G29" s="65" t="s">
        <v>165</v>
      </c>
      <c r="H29" s="65"/>
      <c r="I29" s="55">
        <f>IFERROR(SUM($I$27:$I$28),"ERROR")</f>
        <v>100</v>
      </c>
      <c r="J29" s="3"/>
      <c r="K29" s="3"/>
      <c r="L29" s="3"/>
      <c r="M29" s="3"/>
      <c r="N29" s="3"/>
      <c r="O29" s="3"/>
      <c r="P29" s="3"/>
      <c r="Q29" s="3"/>
      <c r="R29" s="3"/>
      <c r="S29" s="3"/>
      <c r="T29" s="3"/>
      <c r="U29" s="3"/>
      <c r="V29" s="3"/>
      <c r="W29" s="3"/>
      <c r="X29" s="3"/>
      <c r="Y29" s="3"/>
      <c r="Z29" s="3"/>
      <c r="AA29" s="3"/>
      <c r="AB29"/>
    </row>
    <row r="30" spans="1:28" x14ac:dyDescent="0.3">
      <c r="I30" s="75"/>
      <c r="J30" s="76"/>
    </row>
    <row r="31" spans="1:28" x14ac:dyDescent="0.3">
      <c r="D31" s="33" t="s">
        <v>75</v>
      </c>
      <c r="G31" s="65"/>
      <c r="H31" s="65"/>
      <c r="I31" s="75"/>
      <c r="J31" s="267"/>
      <c r="O31" s="3"/>
      <c r="P31" s="3"/>
      <c r="Q31" s="3"/>
      <c r="R31" s="3"/>
      <c r="S31" s="3"/>
      <c r="T31" s="3"/>
      <c r="U31" s="3"/>
      <c r="V31" s="3"/>
      <c r="W31" s="3"/>
      <c r="X31" s="3"/>
      <c r="Y31" s="3"/>
      <c r="Z31" s="3"/>
      <c r="AA31" s="3"/>
    </row>
    <row r="32" spans="1:28" x14ac:dyDescent="0.3">
      <c r="E32" s="15" t="s">
        <v>84</v>
      </c>
      <c r="G32" s="65" t="s">
        <v>85</v>
      </c>
      <c r="H32" s="65"/>
      <c r="I32" s="192">
        <f>'Wholesale Tariff Inputs'!D21</f>
        <v>130</v>
      </c>
      <c r="J32" s="267"/>
      <c r="O32" s="3"/>
      <c r="P32" s="3"/>
      <c r="Q32" s="3"/>
      <c r="R32" s="3"/>
      <c r="S32" s="3"/>
      <c r="T32" s="3"/>
      <c r="U32" s="3"/>
      <c r="V32" s="3"/>
      <c r="W32" s="3"/>
      <c r="X32" s="3"/>
      <c r="Y32" s="3"/>
      <c r="Z32" s="3"/>
      <c r="AA32" s="3"/>
    </row>
    <row r="33" spans="1:28" x14ac:dyDescent="0.3">
      <c r="E33" s="15" t="s">
        <v>87</v>
      </c>
      <c r="G33" s="65" t="s">
        <v>85</v>
      </c>
      <c r="H33" s="65"/>
      <c r="I33" s="192">
        <f>'Wholesale Tariff Inputs'!D22</f>
        <v>0</v>
      </c>
      <c r="J33" s="267"/>
      <c r="O33" s="3"/>
      <c r="P33" s="3"/>
      <c r="Q33" s="3"/>
      <c r="R33" s="3"/>
      <c r="S33" s="3"/>
      <c r="T33" s="3"/>
      <c r="U33" s="3"/>
      <c r="V33" s="3"/>
      <c r="W33" s="3"/>
      <c r="X33" s="3"/>
      <c r="Y33" s="3"/>
      <c r="Z33" s="3"/>
      <c r="AA33" s="3"/>
    </row>
    <row r="34" spans="1:28" s="14" customFormat="1" x14ac:dyDescent="0.3">
      <c r="A34" s="15"/>
      <c r="C34" s="48"/>
      <c r="D34" s="33"/>
      <c r="E34" s="15"/>
      <c r="G34" s="65"/>
      <c r="H34" s="65"/>
      <c r="I34" s="3"/>
      <c r="J34" s="137"/>
      <c r="AB34"/>
    </row>
    <row r="35" spans="1:28" x14ac:dyDescent="0.3">
      <c r="B35" s="22" t="s">
        <v>186</v>
      </c>
      <c r="C35" s="22"/>
      <c r="D35" s="22"/>
      <c r="E35" s="22"/>
      <c r="F35" s="22"/>
      <c r="G35" s="22"/>
      <c r="H35" s="22"/>
      <c r="I35" s="22"/>
      <c r="J35" s="120"/>
      <c r="K35" s="22"/>
      <c r="L35" s="22"/>
      <c r="M35" s="22"/>
      <c r="N35" s="22"/>
      <c r="O35" s="22"/>
      <c r="P35" s="22"/>
      <c r="Q35" s="22"/>
      <c r="R35" s="22"/>
      <c r="S35" s="22"/>
      <c r="T35" s="22"/>
      <c r="U35" s="22"/>
      <c r="V35" s="22"/>
      <c r="W35" s="22"/>
      <c r="X35" s="22"/>
      <c r="Y35" s="22"/>
      <c r="Z35" s="22"/>
      <c r="AA35" s="22"/>
    </row>
    <row r="36" spans="1:28" x14ac:dyDescent="0.3">
      <c r="F36" s="3"/>
      <c r="G36" s="65"/>
      <c r="H36" s="65"/>
      <c r="I36" s="3"/>
      <c r="J36" s="3"/>
      <c r="K36" s="3"/>
      <c r="L36" s="3"/>
      <c r="M36" s="3"/>
      <c r="N36" s="3"/>
      <c r="O36" s="3"/>
      <c r="P36" s="3"/>
      <c r="Q36" s="3"/>
      <c r="R36" s="3"/>
      <c r="S36" s="3"/>
      <c r="T36" s="3"/>
      <c r="U36" s="3"/>
      <c r="V36" s="3"/>
      <c r="W36" s="3"/>
      <c r="X36" s="3"/>
      <c r="Y36" s="3"/>
      <c r="Z36" s="3"/>
      <c r="AA36" s="3"/>
    </row>
    <row r="37" spans="1:28" x14ac:dyDescent="0.3">
      <c r="E37" s="69" t="s">
        <v>187</v>
      </c>
      <c r="G37" s="65" t="s">
        <v>171</v>
      </c>
      <c r="H37" s="65"/>
      <c r="I37" s="210">
        <v>4.1599999999999998E-2</v>
      </c>
      <c r="J37" s="76"/>
    </row>
    <row r="38" spans="1:28" x14ac:dyDescent="0.3">
      <c r="G38" s="65"/>
      <c r="H38" s="65"/>
      <c r="J38" s="76"/>
    </row>
    <row r="39" spans="1:28" x14ac:dyDescent="0.3">
      <c r="D39" s="33" t="s">
        <v>188</v>
      </c>
      <c r="G39" s="65"/>
      <c r="H39" s="65"/>
      <c r="J39" s="76"/>
    </row>
    <row r="40" spans="1:28" x14ac:dyDescent="0.3">
      <c r="E40" s="15" t="s">
        <v>189</v>
      </c>
      <c r="G40" s="65" t="s">
        <v>190</v>
      </c>
      <c r="H40" s="65"/>
      <c r="I40" s="206">
        <v>0</v>
      </c>
      <c r="J40" s="76"/>
    </row>
    <row r="41" spans="1:28" x14ac:dyDescent="0.3">
      <c r="E41" s="69" t="s">
        <v>191</v>
      </c>
      <c r="G41" s="65" t="s">
        <v>171</v>
      </c>
      <c r="H41" s="65"/>
      <c r="I41" s="211">
        <f>IF(I17="Yes",6.1%,0)</f>
        <v>6.0999999999999999E-2</v>
      </c>
      <c r="J41" s="76"/>
    </row>
    <row r="42" spans="1:28" x14ac:dyDescent="0.3">
      <c r="E42" s="69" t="s">
        <v>188</v>
      </c>
      <c r="G42" s="65" t="s">
        <v>171</v>
      </c>
      <c r="H42" s="65"/>
      <c r="I42" s="268">
        <f>IF(I40=1,0,I41)</f>
        <v>6.0999999999999999E-2</v>
      </c>
      <c r="J42" s="76"/>
    </row>
    <row r="43" spans="1:28" x14ac:dyDescent="0.3">
      <c r="E43" s="15" t="s">
        <v>192</v>
      </c>
      <c r="G43" s="65" t="s">
        <v>193</v>
      </c>
      <c r="H43" s="65"/>
      <c r="I43" s="56">
        <v>1</v>
      </c>
      <c r="J43" s="76"/>
    </row>
    <row r="44" spans="1:28" x14ac:dyDescent="0.3">
      <c r="E44" s="15" t="s">
        <v>194</v>
      </c>
      <c r="G44" s="65" t="s">
        <v>171</v>
      </c>
      <c r="H44" s="65"/>
      <c r="I44" s="211">
        <v>0.08</v>
      </c>
      <c r="J44" s="76"/>
    </row>
    <row r="45" spans="1:28" x14ac:dyDescent="0.3">
      <c r="G45" s="65"/>
      <c r="H45" s="65"/>
      <c r="J45" s="76"/>
    </row>
    <row r="46" spans="1:28" x14ac:dyDescent="0.3">
      <c r="E46" s="15" t="s">
        <v>195</v>
      </c>
      <c r="G46" s="65" t="s">
        <v>171</v>
      </c>
      <c r="H46" s="65"/>
      <c r="I46" s="211">
        <v>0.95</v>
      </c>
      <c r="J46" s="76"/>
    </row>
    <row r="47" spans="1:28" x14ac:dyDescent="0.3">
      <c r="G47" s="65"/>
      <c r="H47" s="65"/>
      <c r="J47" s="76"/>
    </row>
    <row r="48" spans="1:28" x14ac:dyDescent="0.3">
      <c r="E48" s="69" t="s">
        <v>196</v>
      </c>
      <c r="G48" s="65" t="s">
        <v>197</v>
      </c>
      <c r="H48" s="65"/>
      <c r="I48" s="199">
        <v>4</v>
      </c>
      <c r="J48" s="3"/>
      <c r="K48" s="3"/>
      <c r="O48" s="3"/>
      <c r="P48" s="3"/>
      <c r="Q48" s="3"/>
      <c r="R48" s="3"/>
      <c r="S48" s="3"/>
      <c r="T48" s="3"/>
      <c r="U48" s="3"/>
      <c r="V48" s="3"/>
      <c r="W48" s="3"/>
      <c r="X48" s="3"/>
      <c r="Y48" s="3"/>
      <c r="Z48" s="3"/>
      <c r="AA48" s="3"/>
    </row>
    <row r="49" spans="1:28" x14ac:dyDescent="0.3">
      <c r="E49" s="67"/>
      <c r="G49" s="65"/>
      <c r="H49" s="65"/>
      <c r="I49" s="3"/>
      <c r="J49" s="76"/>
      <c r="O49" s="3"/>
      <c r="P49" s="3"/>
      <c r="Q49" s="3"/>
      <c r="R49" s="3"/>
      <c r="S49" s="3"/>
      <c r="T49" s="3"/>
      <c r="U49" s="3"/>
      <c r="V49" s="3"/>
      <c r="W49" s="3"/>
      <c r="X49" s="3"/>
      <c r="Y49" s="3"/>
      <c r="Z49" s="3"/>
      <c r="AA49" s="3"/>
    </row>
    <row r="50" spans="1:28" x14ac:dyDescent="0.3">
      <c r="B50" s="22" t="s">
        <v>198</v>
      </c>
      <c r="C50" s="22"/>
      <c r="D50" s="22"/>
      <c r="E50" s="22"/>
      <c r="F50" s="22"/>
      <c r="G50" s="58"/>
      <c r="H50" s="58"/>
      <c r="I50" s="22"/>
      <c r="J50" s="120"/>
      <c r="K50" s="22"/>
      <c r="L50" s="22"/>
      <c r="M50" s="22"/>
      <c r="N50" s="22"/>
      <c r="O50" s="22"/>
      <c r="P50" s="22"/>
      <c r="Q50" s="22"/>
      <c r="R50" s="22"/>
      <c r="S50" s="22"/>
      <c r="T50" s="22"/>
      <c r="U50" s="22"/>
      <c r="V50" s="22"/>
      <c r="W50" s="22"/>
      <c r="X50" s="22"/>
      <c r="Y50" s="22"/>
      <c r="Z50" s="22"/>
      <c r="AA50" s="22"/>
    </row>
    <row r="51" spans="1:28" x14ac:dyDescent="0.3">
      <c r="G51" s="65"/>
      <c r="H51" s="65"/>
      <c r="J51" s="76"/>
    </row>
    <row r="52" spans="1:28" x14ac:dyDescent="0.3">
      <c r="D52" s="33" t="s">
        <v>199</v>
      </c>
      <c r="G52" s="65"/>
      <c r="H52" s="65"/>
      <c r="J52" s="76"/>
    </row>
    <row r="53" spans="1:28" x14ac:dyDescent="0.3">
      <c r="E53" s="15" t="s">
        <v>200</v>
      </c>
      <c r="G53" s="65" t="s">
        <v>201</v>
      </c>
      <c r="H53" s="65"/>
      <c r="I53" s="206">
        <v>0</v>
      </c>
      <c r="J53" s="76"/>
    </row>
    <row r="54" spans="1:28" s="14" customFormat="1" x14ac:dyDescent="0.3">
      <c r="A54" s="15"/>
      <c r="B54" s="15"/>
      <c r="C54" s="3"/>
      <c r="D54" s="49"/>
      <c r="E54" s="15" t="s">
        <v>202</v>
      </c>
      <c r="F54" s="3"/>
      <c r="G54" s="65" t="s">
        <v>201</v>
      </c>
      <c r="H54" s="63"/>
      <c r="I54" s="207">
        <v>0</v>
      </c>
      <c r="J54" s="3"/>
      <c r="K54" s="3"/>
      <c r="L54" s="3"/>
      <c r="M54" s="3"/>
      <c r="N54" s="3"/>
      <c r="O54" s="3"/>
      <c r="P54" s="3"/>
      <c r="Q54" s="3"/>
      <c r="R54" s="3"/>
      <c r="S54" s="3"/>
      <c r="T54" s="3"/>
      <c r="U54" s="3"/>
      <c r="V54" s="3"/>
      <c r="W54" s="3"/>
      <c r="X54" s="3"/>
      <c r="Y54" s="3"/>
      <c r="Z54" s="3"/>
      <c r="AA54" s="3"/>
      <c r="AB54"/>
    </row>
    <row r="55" spans="1:28" s="14" customFormat="1" x14ac:dyDescent="0.3">
      <c r="A55" s="15"/>
      <c r="B55" s="15"/>
      <c r="C55" s="3"/>
      <c r="D55" s="49"/>
      <c r="E55" s="15" t="s">
        <v>203</v>
      </c>
      <c r="F55" s="3"/>
      <c r="G55" s="65" t="s">
        <v>201</v>
      </c>
      <c r="H55" s="63"/>
      <c r="I55" s="208">
        <v>1</v>
      </c>
      <c r="J55" s="3"/>
      <c r="K55" s="3"/>
      <c r="L55" s="3"/>
      <c r="M55" s="3"/>
      <c r="N55" s="3"/>
      <c r="O55" s="3"/>
      <c r="P55" s="3"/>
      <c r="Q55" s="3"/>
      <c r="R55" s="3"/>
      <c r="S55" s="3"/>
      <c r="T55" s="3"/>
      <c r="U55" s="3"/>
      <c r="V55" s="3"/>
      <c r="W55" s="3"/>
      <c r="X55" s="3"/>
      <c r="Y55" s="3"/>
      <c r="Z55" s="3"/>
      <c r="AA55" s="3"/>
      <c r="AB55"/>
    </row>
    <row r="56" spans="1:28" s="14" customFormat="1" x14ac:dyDescent="0.3">
      <c r="A56" s="15"/>
      <c r="B56" s="15"/>
      <c r="C56" s="3"/>
      <c r="D56" s="49"/>
      <c r="E56" s="15"/>
      <c r="F56" s="3"/>
      <c r="G56" s="65"/>
      <c r="H56" s="63"/>
      <c r="I56" s="209"/>
      <c r="J56" s="3"/>
      <c r="K56" s="3"/>
      <c r="L56" s="3"/>
      <c r="M56" s="3"/>
      <c r="N56" s="3"/>
      <c r="O56" s="3"/>
      <c r="P56" s="3"/>
      <c r="Q56" s="3"/>
      <c r="R56" s="3"/>
      <c r="S56" s="3"/>
      <c r="T56" s="3"/>
      <c r="U56" s="3"/>
      <c r="V56" s="3"/>
      <c r="W56" s="3"/>
      <c r="X56" s="3"/>
      <c r="Y56" s="3"/>
      <c r="Z56" s="3"/>
      <c r="AA56" s="3"/>
      <c r="AB56"/>
    </row>
    <row r="57" spans="1:28" x14ac:dyDescent="0.3">
      <c r="D57" s="33" t="s">
        <v>204</v>
      </c>
      <c r="G57" s="65"/>
      <c r="H57" s="65"/>
      <c r="I57" s="3"/>
      <c r="J57" s="3"/>
      <c r="K57" s="3"/>
    </row>
    <row r="58" spans="1:28" x14ac:dyDescent="0.3">
      <c r="E58" s="15" t="s">
        <v>205</v>
      </c>
      <c r="G58" s="65" t="s">
        <v>206</v>
      </c>
      <c r="H58" s="65"/>
      <c r="I58" s="225">
        <v>100</v>
      </c>
      <c r="J58" s="3"/>
      <c r="K58" s="3"/>
      <c r="O58" s="3"/>
      <c r="P58" s="3"/>
      <c r="Q58" s="3"/>
      <c r="R58" s="3"/>
      <c r="S58" s="3"/>
      <c r="T58" s="3"/>
      <c r="U58" s="3"/>
      <c r="V58" s="3"/>
      <c r="W58" s="3"/>
      <c r="X58" s="3"/>
      <c r="Y58" s="3"/>
      <c r="Z58" s="3"/>
      <c r="AA58" s="3"/>
    </row>
    <row r="59" spans="1:28" x14ac:dyDescent="0.3">
      <c r="E59" s="69" t="s">
        <v>207</v>
      </c>
      <c r="G59" s="65" t="s">
        <v>206</v>
      </c>
      <c r="H59" s="65"/>
      <c r="I59" s="226">
        <v>200</v>
      </c>
      <c r="J59" s="3"/>
      <c r="K59" s="3"/>
      <c r="O59" s="3"/>
      <c r="P59" s="3"/>
      <c r="Q59" s="3"/>
      <c r="R59" s="3"/>
      <c r="S59" s="3"/>
      <c r="T59" s="3"/>
      <c r="U59" s="3"/>
      <c r="V59" s="3"/>
      <c r="W59" s="3"/>
      <c r="X59" s="3"/>
      <c r="Y59" s="3"/>
      <c r="Z59" s="3"/>
      <c r="AA59" s="3"/>
    </row>
    <row r="60" spans="1:28" x14ac:dyDescent="0.3">
      <c r="E60" s="69" t="s">
        <v>208</v>
      </c>
      <c r="G60" s="65" t="s">
        <v>206</v>
      </c>
      <c r="H60" s="65"/>
      <c r="I60" s="226">
        <v>350</v>
      </c>
      <c r="J60" s="3"/>
      <c r="K60" s="3"/>
      <c r="O60" s="3"/>
      <c r="P60" s="3"/>
      <c r="Q60" s="3"/>
      <c r="R60" s="3"/>
      <c r="S60" s="3"/>
      <c r="T60" s="3"/>
      <c r="U60" s="3"/>
      <c r="V60" s="3"/>
      <c r="W60" s="3"/>
      <c r="X60" s="3"/>
      <c r="Y60" s="3"/>
      <c r="Z60" s="3"/>
      <c r="AA60" s="3"/>
    </row>
    <row r="61" spans="1:28" s="112" customFormat="1" x14ac:dyDescent="0.3">
      <c r="C61" s="48"/>
      <c r="D61" s="113"/>
      <c r="E61" s="227"/>
      <c r="G61" s="115"/>
      <c r="H61" s="115"/>
      <c r="I61" s="228"/>
      <c r="J61" s="3"/>
      <c r="K61" s="3"/>
      <c r="M61" s="116"/>
      <c r="O61" s="3"/>
      <c r="P61" s="3"/>
      <c r="Q61" s="3"/>
      <c r="R61" s="3"/>
      <c r="S61" s="3"/>
      <c r="T61" s="3"/>
      <c r="U61" s="3"/>
      <c r="V61" s="3"/>
      <c r="W61" s="3"/>
      <c r="X61" s="3"/>
      <c r="Y61" s="3"/>
      <c r="Z61" s="3"/>
      <c r="AA61" s="3"/>
      <c r="AB61" s="114"/>
    </row>
    <row r="62" spans="1:28" customFormat="1" x14ac:dyDescent="0.3">
      <c r="A62" s="22"/>
      <c r="B62" s="22" t="s">
        <v>68</v>
      </c>
      <c r="C62" s="22"/>
      <c r="D62" s="22"/>
      <c r="E62" s="22"/>
      <c r="F62" s="22"/>
      <c r="G62" s="22"/>
      <c r="H62" s="22"/>
      <c r="I62" s="58"/>
      <c r="J62" s="173"/>
      <c r="K62" s="173"/>
      <c r="L62" s="173"/>
      <c r="M62" s="173"/>
      <c r="N62" s="240"/>
      <c r="O62" s="240"/>
      <c r="P62" s="240"/>
      <c r="Q62" s="240"/>
      <c r="R62" s="240"/>
      <c r="S62" s="240"/>
      <c r="T62" s="240"/>
      <c r="U62" s="240"/>
      <c r="V62" s="240"/>
      <c r="W62" s="240"/>
      <c r="X62" s="240"/>
      <c r="Y62" s="240"/>
    </row>
    <row r="63" spans="1:28" customFormat="1" hidden="1" x14ac:dyDescent="0.3"/>
    <row r="64" spans="1:28" hidden="1" x14ac:dyDescent="0.3">
      <c r="E64" s="15">
        <v>0</v>
      </c>
    </row>
    <row r="65" spans="5:5" hidden="1" x14ac:dyDescent="0.3">
      <c r="E65" s="15">
        <v>1</v>
      </c>
    </row>
  </sheetData>
  <sheetProtection algorithmName="SHA-512" hashValue="Ca284pE7n5PeFZt0Pdigixl7JPy+8eiHY7MhIsM7bjoGiS/2Y8plOH/77DbnJ6yCGL9MR3lpUa7Ubi6O9W0Eyg==" saltValue="UsesWkRLcrhoVp8h5rlSQw==" spinCount="100000" sheet="1" objects="1" scenarios="1" selectLockedCells="1" selectUnlockedCells="1"/>
  <mergeCells count="1">
    <mergeCell ref="E6:I6"/>
  </mergeCells>
  <conditionalFormatting sqref="A1:A3">
    <cfRule type="containsText" dxfId="3" priority="1" operator="containsText" text="FALSE">
      <formula>NOT(ISERROR(SEARCH("FALSE",A1)))</formula>
    </cfRule>
    <cfRule type="containsText" dxfId="2" priority="2" operator="containsText" text="TRUE">
      <formula>NOT(ISERROR(SEARCH("TRUE",A1)))</formula>
    </cfRule>
  </conditionalFormatting>
  <dataValidations count="1">
    <dataValidation type="list" allowBlank="1" showInputMessage="1" showErrorMessage="1" sqref="I53:I55 I40" xr:uid="{DE85B1B8-0D89-4DA3-9F4D-C1E2DF25129E}">
      <formula1>$E$64:$E$65</formula1>
    </dataValidation>
  </dataValidations>
  <hyperlinks>
    <hyperlink ref="A3" location="Intro!A1" display="Return to Intro tab" xr:uid="{60E71A7F-BCD1-473B-96E4-F7A43322CDED}"/>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D713-1DF5-4B3B-991A-0DBFFCECD31A}">
  <sheetPr codeName="Sheet20">
    <tabColor theme="6"/>
  </sheetPr>
  <dimension ref="B2"/>
  <sheetViews>
    <sheetView workbookViewId="0">
      <selection activeCell="I32" sqref="I32"/>
    </sheetView>
  </sheetViews>
  <sheetFormatPr defaultColWidth="8" defaultRowHeight="13" x14ac:dyDescent="0.3"/>
  <cols>
    <col min="1" max="1" width="2.54296875" style="26" customWidth="1"/>
    <col min="2" max="16384" width="8" style="26"/>
  </cols>
  <sheetData>
    <row r="2" spans="2:2" ht="29" x14ac:dyDescent="0.3">
      <c r="B2" s="25" t="s">
        <v>209</v>
      </c>
    </row>
  </sheetData>
  <sheetProtection algorithmName="SHA-512" hashValue="oa9HDjDgQ4QGZDONWmeawPzn2qA8R2nFrtNVRgMm/fCTJDGUXhVmQmhI67st++tgdd8MgiY/4qvpbGFvPLzS8A==" saltValue="brZKiSdE47G/JpPCr1zhyQ=="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D886-0786-41F0-95E3-2982A086FDDF}">
  <sheetPr>
    <tabColor rgb="FFF3CF45"/>
  </sheetPr>
  <dimension ref="A1:AK74"/>
  <sheetViews>
    <sheetView showGridLines="0" topLeftCell="A9" zoomScaleNormal="100" workbookViewId="0">
      <selection activeCell="I30" sqref="I30"/>
    </sheetView>
  </sheetViews>
  <sheetFormatPr defaultColWidth="0" defaultRowHeight="13" zeroHeight="1" x14ac:dyDescent="0.3"/>
  <cols>
    <col min="1" max="4" width="2.453125" style="15" customWidth="1"/>
    <col min="5" max="5" width="33.453125" style="15" customWidth="1"/>
    <col min="6" max="9" width="20.54296875" style="15" customWidth="1"/>
    <col min="10" max="10" width="2.453125" style="15" customWidth="1"/>
    <col min="11" max="11" width="2.453125" style="7" customWidth="1"/>
    <col min="12" max="12" width="2.453125" style="15" customWidth="1"/>
    <col min="13" max="13" width="22.453125" style="15" bestFit="1" customWidth="1"/>
    <col min="14" max="17" width="20.54296875" style="15" customWidth="1"/>
    <col min="18" max="21" width="11.453125" style="15" customWidth="1"/>
    <col min="22" max="22" width="12" style="15" customWidth="1"/>
    <col min="23" max="25" width="12.453125" style="15" customWidth="1"/>
    <col min="26" max="26" width="4.453125" customWidth="1"/>
    <col min="27" max="37" width="0" style="15" hidden="1" customWidth="1"/>
    <col min="38" max="16384" width="8.54296875" style="15" hidden="1"/>
  </cols>
  <sheetData>
    <row r="1" spans="1:37" s="20" customFormat="1" ht="17.5" x14ac:dyDescent="0.3">
      <c r="A1" s="18" t="str" cm="1">
        <f t="array" aca="1" ref="A1" ca="1">RIGHT(CELL("filename",A$2),LEN(CELL("filename",A$2))-FIND("]",CELL("filename",A$2)))</f>
        <v>Charging arrangements table</v>
      </c>
      <c r="B1" s="18"/>
      <c r="C1" s="18"/>
      <c r="D1" s="18"/>
      <c r="E1" s="18"/>
      <c r="F1" s="18"/>
      <c r="G1" s="58"/>
      <c r="H1" s="58"/>
      <c r="I1" s="18"/>
      <c r="J1" s="18"/>
      <c r="K1" s="18"/>
      <c r="L1" s="18"/>
      <c r="M1" s="18"/>
      <c r="N1" s="18"/>
      <c r="O1" s="18"/>
      <c r="P1" s="18"/>
      <c r="Q1" s="18"/>
      <c r="R1" s="18"/>
      <c r="S1" s="18"/>
      <c r="T1" s="18"/>
      <c r="U1" s="18"/>
      <c r="V1" s="18"/>
    </row>
    <row r="2" spans="1:37" s="1" customFormat="1" x14ac:dyDescent="0.3">
      <c r="A2" s="21" t="str">
        <f>"["&amp;_xlfn.SINGLE(_ModelStatus)&amp;"] "&amp;_xlfn.SINGLE(_ModelName)&amp;" - "&amp;_xlfn.SINGLE(_OrganisationName)&amp;" - "&amp;_xlfn.SINGLE(_ModelVersion)&amp;" ("&amp;TEXT(_xlfn.SINGLE(_ModelDate),"dd/mm/yyyy")&amp;")"</f>
        <v>[Final] BSP model for NAVs - Yorkshire Water - Version Website (20/03/2024)</v>
      </c>
      <c r="B2" s="21"/>
      <c r="C2" s="21"/>
      <c r="D2" s="21"/>
      <c r="E2" s="21"/>
      <c r="F2" s="21"/>
      <c r="G2" s="59"/>
      <c r="H2" s="59"/>
      <c r="I2" s="21"/>
      <c r="J2" s="21"/>
      <c r="K2" s="21"/>
      <c r="L2" s="21"/>
      <c r="M2" s="21"/>
      <c r="N2" s="21"/>
      <c r="O2" s="21"/>
      <c r="P2" s="21"/>
      <c r="Q2" s="21"/>
      <c r="R2" s="21"/>
      <c r="S2" s="21"/>
      <c r="T2" s="21"/>
      <c r="U2" s="21"/>
      <c r="V2" s="21"/>
      <c r="W2" s="21"/>
      <c r="X2" s="21"/>
      <c r="Y2" s="21"/>
    </row>
    <row r="3" spans="1:37" customFormat="1" x14ac:dyDescent="0.3">
      <c r="A3" s="47" t="s">
        <v>160</v>
      </c>
      <c r="C3" s="3"/>
      <c r="D3" s="49"/>
      <c r="G3" s="60"/>
      <c r="H3" s="60"/>
    </row>
    <row r="4" spans="1:37" ht="13.5" customHeight="1" x14ac:dyDescent="0.3">
      <c r="C4" s="48"/>
      <c r="D4" s="48"/>
      <c r="E4" s="48"/>
      <c r="F4" s="48"/>
      <c r="G4" s="61"/>
      <c r="H4" s="61"/>
      <c r="I4" s="48"/>
      <c r="J4" s="48"/>
    </row>
    <row r="5" spans="1:37" customFormat="1" x14ac:dyDescent="0.3">
      <c r="B5" s="22" t="s">
        <v>43</v>
      </c>
      <c r="C5" s="22"/>
      <c r="D5" s="22"/>
      <c r="E5" s="22"/>
      <c r="F5" s="22"/>
      <c r="G5" s="58"/>
      <c r="H5" s="58"/>
      <c r="I5" s="22"/>
      <c r="J5" s="22"/>
      <c r="K5" s="22"/>
      <c r="L5" s="22"/>
      <c r="M5" s="22"/>
      <c r="N5" s="22"/>
      <c r="O5" s="22"/>
      <c r="P5" s="22"/>
      <c r="Q5" s="22"/>
      <c r="R5" s="22"/>
      <c r="S5" s="22"/>
      <c r="T5" s="22"/>
      <c r="U5" s="22"/>
      <c r="V5" s="22"/>
      <c r="W5" s="22"/>
      <c r="X5" s="22"/>
      <c r="Y5" s="22"/>
    </row>
    <row r="6" spans="1:37" x14ac:dyDescent="0.3">
      <c r="C6" s="48"/>
      <c r="D6" s="33"/>
      <c r="E6" s="408" t="s">
        <v>53</v>
      </c>
      <c r="F6" s="408"/>
      <c r="G6" s="408"/>
      <c r="H6" s="62"/>
    </row>
    <row r="7" spans="1:37" x14ac:dyDescent="0.3">
      <c r="C7" s="3"/>
      <c r="D7" s="33"/>
      <c r="G7" s="62"/>
      <c r="H7" s="62"/>
    </row>
    <row r="8" spans="1:37" x14ac:dyDescent="0.3">
      <c r="B8" s="22" t="s">
        <v>64</v>
      </c>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row>
    <row r="9" spans="1:37" x14ac:dyDescent="0.3">
      <c r="C9" s="48"/>
      <c r="D9" s="33"/>
      <c r="F9" s="3"/>
      <c r="G9" s="65"/>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row>
    <row r="10" spans="1:37" customFormat="1" x14ac:dyDescent="0.3">
      <c r="A10" s="15"/>
      <c r="C10" s="3"/>
      <c r="D10" s="49"/>
      <c r="E10" t="s">
        <v>175</v>
      </c>
      <c r="G10" s="60"/>
      <c r="H10" s="79" t="str">
        <f>Cockpit!$I$10</f>
        <v>2024-2025</v>
      </c>
    </row>
    <row r="11" spans="1:37" x14ac:dyDescent="0.3">
      <c r="C11" s="48"/>
      <c r="D11" s="33"/>
      <c r="G11" s="62"/>
      <c r="K11" s="15"/>
      <c r="L11" s="7"/>
      <c r="Z11" s="15"/>
      <c r="AD11" s="7"/>
    </row>
    <row r="12" spans="1:37" customFormat="1" x14ac:dyDescent="0.3">
      <c r="A12" s="15"/>
      <c r="B12" s="22" t="s">
        <v>62</v>
      </c>
      <c r="C12" s="22"/>
      <c r="D12" s="22"/>
      <c r="E12" s="22"/>
      <c r="F12" s="22"/>
      <c r="G12" s="58"/>
      <c r="H12" s="58"/>
      <c r="I12" s="22"/>
      <c r="J12" s="22"/>
      <c r="K12" s="22"/>
      <c r="L12" s="22"/>
      <c r="M12" s="22"/>
      <c r="N12" s="22"/>
      <c r="O12" s="22"/>
      <c r="P12" s="22"/>
      <c r="Q12" s="22"/>
      <c r="R12" s="22"/>
      <c r="S12" s="22"/>
      <c r="T12" s="22"/>
      <c r="U12" s="22"/>
      <c r="V12" s="22"/>
      <c r="W12" s="22"/>
      <c r="X12" s="22"/>
      <c r="Y12" s="22"/>
    </row>
    <row r="13" spans="1:37" x14ac:dyDescent="0.3">
      <c r="C13" s="48"/>
      <c r="D13" s="33"/>
      <c r="G13" s="62"/>
      <c r="H13" s="62"/>
      <c r="K13" s="15"/>
    </row>
    <row r="14" spans="1:37" s="14" customFormat="1" ht="13.5" thickBot="1" x14ac:dyDescent="0.35">
      <c r="A14" s="33"/>
      <c r="B14" s="33"/>
      <c r="C14" s="33"/>
      <c r="D14" s="33"/>
      <c r="E14" s="33"/>
      <c r="F14" s="33"/>
      <c r="G14" s="33"/>
      <c r="H14" s="33"/>
      <c r="I14" s="33"/>
      <c r="J14" s="33"/>
      <c r="K14" s="33"/>
      <c r="L14" s="33"/>
      <c r="M14" s="33"/>
      <c r="N14" s="33"/>
      <c r="O14" s="33"/>
      <c r="P14" s="33"/>
      <c r="Q14" s="33"/>
      <c r="R14" s="33"/>
      <c r="S14" s="33"/>
      <c r="T14" s="33"/>
      <c r="U14" s="33"/>
      <c r="V14" s="33"/>
      <c r="W14" s="33"/>
      <c r="X14" s="33"/>
      <c r="Y14" s="15"/>
      <c r="Z14"/>
    </row>
    <row r="15" spans="1:37" ht="17.149999999999999" customHeight="1" thickBot="1" x14ac:dyDescent="0.35">
      <c r="A15" s="33"/>
      <c r="B15" s="33"/>
      <c r="C15" s="33"/>
      <c r="D15" s="33"/>
      <c r="E15" s="81" t="s">
        <v>210</v>
      </c>
      <c r="F15" s="82" t="s">
        <v>211</v>
      </c>
      <c r="G15" s="296" t="s">
        <v>167</v>
      </c>
      <c r="H15" s="301" t="s">
        <v>172</v>
      </c>
      <c r="I15" s="33"/>
      <c r="J15" s="33"/>
      <c r="K15" s="33"/>
      <c r="L15" s="33"/>
      <c r="M15" s="33"/>
      <c r="N15" s="33"/>
      <c r="O15" s="33"/>
      <c r="P15" s="33"/>
      <c r="Q15" s="33"/>
      <c r="R15" s="33"/>
      <c r="S15" s="33"/>
      <c r="T15" s="33"/>
      <c r="U15" s="33"/>
      <c r="V15" s="33"/>
      <c r="W15" s="33"/>
      <c r="X15" s="33"/>
    </row>
    <row r="16" spans="1:37" ht="23" thickBot="1" x14ac:dyDescent="0.35">
      <c r="A16" s="33"/>
      <c r="B16" s="33"/>
      <c r="C16" s="33"/>
      <c r="D16" s="33"/>
      <c r="E16" s="83" t="s">
        <v>212</v>
      </c>
      <c r="F16" s="84"/>
      <c r="G16" s="297"/>
      <c r="H16" s="302"/>
      <c r="I16" s="33"/>
      <c r="J16" s="33"/>
      <c r="K16" s="33"/>
      <c r="L16" s="33"/>
      <c r="M16" s="33"/>
      <c r="N16" s="33"/>
      <c r="O16" s="33"/>
      <c r="P16" s="33"/>
      <c r="Q16" s="33"/>
      <c r="R16" s="33"/>
      <c r="S16" s="33"/>
      <c r="T16" s="33"/>
      <c r="U16" s="33"/>
      <c r="V16" s="33"/>
      <c r="W16" s="33"/>
      <c r="X16" s="33"/>
    </row>
    <row r="17" spans="1:24" ht="23" thickBot="1" x14ac:dyDescent="0.35">
      <c r="A17" s="33"/>
      <c r="B17" s="33"/>
      <c r="C17" s="33"/>
      <c r="D17" s="33"/>
      <c r="E17" s="85" t="s">
        <v>213</v>
      </c>
      <c r="F17" s="86"/>
      <c r="G17" s="298"/>
      <c r="H17" s="303"/>
      <c r="I17" s="33"/>
      <c r="J17" s="33"/>
      <c r="K17" s="33"/>
      <c r="L17" s="33"/>
      <c r="M17" s="33"/>
      <c r="N17" s="33"/>
      <c r="O17" s="33"/>
      <c r="P17" s="33"/>
      <c r="Q17" s="33"/>
      <c r="R17" s="33"/>
      <c r="S17" s="33"/>
      <c r="T17" s="33"/>
      <c r="U17" s="33"/>
      <c r="V17" s="33"/>
      <c r="W17" s="33"/>
      <c r="X17" s="33"/>
    </row>
    <row r="18" spans="1:24" ht="13.5" thickBot="1" x14ac:dyDescent="0.35">
      <c r="A18" s="33"/>
      <c r="B18" s="33"/>
      <c r="C18" s="33"/>
      <c r="D18" s="33"/>
      <c r="E18" s="87" t="s">
        <v>168</v>
      </c>
      <c r="F18" s="88" t="s">
        <v>91</v>
      </c>
      <c r="G18" s="299">
        <v>179.57</v>
      </c>
      <c r="H18" s="304">
        <v>207.77</v>
      </c>
      <c r="I18" s="33"/>
      <c r="J18" s="33"/>
      <c r="K18" s="33"/>
      <c r="L18" s="33"/>
      <c r="M18" s="33"/>
      <c r="N18" s="33"/>
      <c r="O18" s="33"/>
      <c r="P18" s="33"/>
      <c r="Q18" s="33"/>
      <c r="R18" s="33"/>
      <c r="S18" s="33"/>
      <c r="T18" s="33"/>
      <c r="U18" s="33"/>
      <c r="V18" s="33"/>
      <c r="W18" s="33"/>
      <c r="X18" s="33"/>
    </row>
    <row r="19" spans="1:24" ht="13.5" thickBot="1" x14ac:dyDescent="0.35">
      <c r="A19" s="33"/>
      <c r="B19" s="33"/>
      <c r="C19" s="33"/>
      <c r="D19" s="33"/>
      <c r="E19" s="89" t="s">
        <v>214</v>
      </c>
      <c r="F19" s="90" t="s">
        <v>381</v>
      </c>
      <c r="G19" s="300">
        <v>12.79</v>
      </c>
      <c r="H19" s="305">
        <v>0</v>
      </c>
      <c r="I19" s="33"/>
      <c r="J19" s="33"/>
      <c r="K19" s="33"/>
      <c r="L19" s="33"/>
      <c r="M19" s="33"/>
      <c r="N19" s="33"/>
      <c r="O19" s="33"/>
      <c r="P19" s="33"/>
      <c r="Q19" s="33"/>
      <c r="R19" s="33"/>
      <c r="S19" s="33"/>
      <c r="T19" s="33"/>
      <c r="U19" s="33"/>
      <c r="V19" s="33"/>
      <c r="W19" s="33"/>
      <c r="X19" s="33"/>
    </row>
    <row r="20" spans="1:24" ht="13.5" thickBot="1" x14ac:dyDescent="0.35">
      <c r="A20" s="33"/>
      <c r="B20" s="33"/>
      <c r="C20" s="33"/>
      <c r="D20" s="33"/>
      <c r="E20" s="89" t="s">
        <v>380</v>
      </c>
      <c r="F20" s="90" t="s">
        <v>381</v>
      </c>
      <c r="G20" s="300" t="s">
        <v>360</v>
      </c>
      <c r="H20" s="305">
        <v>48.1</v>
      </c>
      <c r="I20" s="33"/>
      <c r="J20" s="33"/>
      <c r="K20" s="33"/>
      <c r="L20" s="33"/>
      <c r="M20" s="33"/>
      <c r="N20" s="33"/>
      <c r="O20" s="33"/>
      <c r="P20" s="33"/>
      <c r="Q20" s="33"/>
      <c r="R20" s="33"/>
      <c r="S20" s="33"/>
      <c r="T20" s="33"/>
      <c r="U20" s="33"/>
      <c r="V20" s="33"/>
      <c r="W20" s="33"/>
      <c r="X20" s="33"/>
    </row>
    <row r="21" spans="1:24" ht="23" thickBot="1" x14ac:dyDescent="0.35">
      <c r="A21" s="33"/>
      <c r="B21" s="33"/>
      <c r="C21" s="33"/>
      <c r="D21" s="33"/>
      <c r="E21" s="85" t="s">
        <v>215</v>
      </c>
      <c r="F21" s="86"/>
      <c r="G21" s="298"/>
      <c r="H21" s="303"/>
      <c r="I21" s="33"/>
      <c r="J21" s="33"/>
      <c r="K21" s="33"/>
      <c r="L21" s="33"/>
      <c r="M21" s="33"/>
      <c r="N21" s="33"/>
      <c r="O21" s="33"/>
      <c r="P21" s="33"/>
      <c r="Q21" s="33"/>
      <c r="R21" s="33"/>
      <c r="S21" s="33"/>
      <c r="T21" s="33"/>
      <c r="U21" s="33"/>
      <c r="V21" s="33"/>
      <c r="W21" s="33"/>
      <c r="X21" s="33"/>
    </row>
    <row r="22" spans="1:24" ht="13.5" thickBot="1" x14ac:dyDescent="0.35">
      <c r="A22" s="33"/>
      <c r="B22" s="33"/>
      <c r="C22" s="33"/>
      <c r="D22" s="33"/>
      <c r="E22" s="89" t="s">
        <v>216</v>
      </c>
      <c r="F22" s="90" t="s">
        <v>91</v>
      </c>
      <c r="G22" s="300">
        <v>176.45</v>
      </c>
      <c r="H22" s="305">
        <v>199.38</v>
      </c>
      <c r="I22" s="33"/>
      <c r="J22" s="33"/>
      <c r="K22" s="33"/>
      <c r="L22" s="33"/>
      <c r="M22" s="33"/>
      <c r="N22" s="33"/>
      <c r="O22" s="33"/>
      <c r="P22" s="33"/>
      <c r="Q22" s="33"/>
      <c r="R22" s="33"/>
      <c r="S22" s="33"/>
      <c r="T22" s="33"/>
      <c r="U22" s="33"/>
      <c r="V22" s="33"/>
      <c r="W22" s="33"/>
      <c r="X22" s="33"/>
    </row>
    <row r="23" spans="1:24" ht="13.5" thickBot="1" x14ac:dyDescent="0.35">
      <c r="A23" s="33"/>
      <c r="B23" s="33"/>
      <c r="C23" s="33"/>
      <c r="D23" s="33"/>
      <c r="E23" s="87" t="s">
        <v>217</v>
      </c>
      <c r="F23" s="88" t="s">
        <v>91</v>
      </c>
      <c r="G23" s="299">
        <v>112.68</v>
      </c>
      <c r="H23" s="304">
        <v>161.16</v>
      </c>
      <c r="I23" s="33"/>
      <c r="J23" s="33"/>
      <c r="K23" s="33"/>
      <c r="L23" s="33"/>
      <c r="M23" s="33"/>
      <c r="N23" s="33"/>
      <c r="O23" s="33"/>
      <c r="P23" s="33"/>
      <c r="Q23" s="33"/>
      <c r="R23" s="33"/>
      <c r="S23" s="33"/>
      <c r="T23" s="33"/>
      <c r="U23" s="33"/>
      <c r="V23" s="33"/>
      <c r="W23" s="33"/>
      <c r="X23" s="33"/>
    </row>
    <row r="24" spans="1:24" ht="13.5" thickBot="1" x14ac:dyDescent="0.35">
      <c r="A24" s="33"/>
      <c r="B24" s="33"/>
      <c r="C24" s="33"/>
      <c r="D24" s="33"/>
      <c r="E24" s="89" t="s">
        <v>218</v>
      </c>
      <c r="F24" s="90" t="s">
        <v>91</v>
      </c>
      <c r="G24" s="300">
        <v>95.1</v>
      </c>
      <c r="H24" s="305">
        <v>147.1</v>
      </c>
      <c r="I24" s="33"/>
      <c r="J24" s="33"/>
      <c r="K24" s="33"/>
      <c r="L24" s="33"/>
      <c r="M24" s="33"/>
      <c r="N24" s="33"/>
      <c r="O24" s="33"/>
      <c r="P24" s="33"/>
      <c r="Q24" s="33"/>
      <c r="R24" s="33"/>
      <c r="S24" s="33"/>
      <c r="T24" s="33"/>
      <c r="U24" s="33"/>
      <c r="V24" s="33"/>
      <c r="W24" s="33"/>
      <c r="X24" s="33"/>
    </row>
    <row r="25" spans="1:24" ht="23" thickBot="1" x14ac:dyDescent="0.35">
      <c r="A25" s="33"/>
      <c r="B25" s="33"/>
      <c r="C25" s="33"/>
      <c r="D25" s="33"/>
      <c r="E25" s="306" t="s">
        <v>219</v>
      </c>
      <c r="F25" s="307"/>
      <c r="G25" s="308"/>
      <c r="H25" s="309"/>
      <c r="I25" s="33"/>
      <c r="J25" s="33"/>
      <c r="K25" s="33"/>
      <c r="L25" s="33"/>
      <c r="M25" s="33"/>
      <c r="N25" s="33"/>
      <c r="O25" s="33"/>
      <c r="P25" s="33"/>
      <c r="Q25" s="33"/>
      <c r="R25" s="33"/>
      <c r="S25" s="33"/>
      <c r="T25" s="33"/>
      <c r="U25" s="33"/>
      <c r="V25" s="33"/>
      <c r="W25" s="33"/>
      <c r="X25" s="33"/>
    </row>
    <row r="26" spans="1:24" ht="23" thickBot="1" x14ac:dyDescent="0.35">
      <c r="A26" s="33"/>
      <c r="B26" s="33"/>
      <c r="C26" s="33"/>
      <c r="D26" s="33"/>
      <c r="E26" s="310" t="s">
        <v>213</v>
      </c>
      <c r="F26" s="321"/>
      <c r="G26" s="322"/>
      <c r="H26" s="323"/>
      <c r="I26" s="33"/>
      <c r="J26" s="33"/>
      <c r="K26" s="33"/>
      <c r="L26" s="33"/>
      <c r="M26" s="33"/>
      <c r="N26" s="33"/>
      <c r="O26" s="33"/>
      <c r="P26" s="33"/>
      <c r="Q26" s="33"/>
      <c r="R26" s="33"/>
      <c r="S26" s="33"/>
      <c r="T26" s="33"/>
      <c r="U26" s="33"/>
      <c r="V26" s="33"/>
      <c r="W26" s="33"/>
      <c r="X26" s="33"/>
    </row>
    <row r="27" spans="1:24" ht="13.5" thickBot="1" x14ac:dyDescent="0.35">
      <c r="A27" s="33"/>
      <c r="B27" s="33"/>
      <c r="C27" s="33"/>
      <c r="D27" s="33"/>
      <c r="E27" s="87" t="s">
        <v>168</v>
      </c>
      <c r="F27" s="88" t="s">
        <v>91</v>
      </c>
      <c r="G27" s="299">
        <v>101.72</v>
      </c>
      <c r="H27" s="304">
        <v>207.77</v>
      </c>
      <c r="I27" s="33"/>
      <c r="J27" s="33"/>
      <c r="K27" s="33"/>
      <c r="L27" s="33"/>
      <c r="M27" s="33"/>
      <c r="N27" s="33"/>
      <c r="O27" s="33"/>
      <c r="P27" s="33"/>
      <c r="Q27" s="33"/>
      <c r="R27" s="33"/>
      <c r="S27" s="33"/>
      <c r="T27" s="33"/>
      <c r="U27" s="33"/>
      <c r="V27" s="33"/>
      <c r="W27" s="33"/>
      <c r="X27" s="33"/>
    </row>
    <row r="28" spans="1:24" ht="13.5" thickBot="1" x14ac:dyDescent="0.35">
      <c r="A28" s="33"/>
      <c r="B28" s="33"/>
      <c r="C28" s="33"/>
      <c r="D28" s="33"/>
      <c r="E28" s="89" t="s">
        <v>214</v>
      </c>
      <c r="F28" s="90" t="s">
        <v>381</v>
      </c>
      <c r="G28" s="300">
        <v>12.79</v>
      </c>
      <c r="H28" s="305">
        <v>0</v>
      </c>
      <c r="I28" s="33"/>
      <c r="J28" s="33"/>
      <c r="K28" s="33"/>
      <c r="L28" s="33"/>
      <c r="M28" s="33"/>
      <c r="N28" s="33"/>
      <c r="O28" s="33"/>
      <c r="P28" s="33"/>
      <c r="Q28" s="33"/>
      <c r="R28" s="33"/>
      <c r="S28" s="33"/>
      <c r="T28" s="33"/>
      <c r="U28" s="33"/>
      <c r="V28" s="33"/>
      <c r="W28" s="33"/>
      <c r="X28" s="33"/>
    </row>
    <row r="29" spans="1:24" ht="13.5" thickBot="1" x14ac:dyDescent="0.35">
      <c r="A29" s="33"/>
      <c r="B29" s="33"/>
      <c r="C29" s="33"/>
      <c r="D29" s="33"/>
      <c r="E29" s="89" t="s">
        <v>380</v>
      </c>
      <c r="F29" s="90" t="s">
        <v>381</v>
      </c>
      <c r="G29" s="300" t="s">
        <v>360</v>
      </c>
      <c r="H29" s="305">
        <v>48.1</v>
      </c>
      <c r="I29" s="33"/>
      <c r="J29" s="33"/>
      <c r="K29" s="33"/>
      <c r="L29" s="33"/>
      <c r="M29" s="33"/>
      <c r="N29" s="33"/>
      <c r="O29" s="33"/>
      <c r="P29" s="33"/>
      <c r="Q29" s="33"/>
      <c r="R29" s="33"/>
      <c r="S29" s="33"/>
      <c r="T29" s="33"/>
      <c r="U29" s="33"/>
      <c r="V29" s="33"/>
      <c r="W29" s="33"/>
      <c r="X29" s="33"/>
    </row>
    <row r="30" spans="1:24" ht="23.9" customHeight="1" thickBot="1" x14ac:dyDescent="0.35">
      <c r="A30" s="33"/>
      <c r="B30" s="33"/>
      <c r="C30" s="33"/>
      <c r="D30" s="33"/>
      <c r="E30" s="310" t="s">
        <v>215</v>
      </c>
      <c r="F30" s="321"/>
      <c r="G30" s="322"/>
      <c r="H30" s="323"/>
      <c r="I30" s="33"/>
      <c r="J30" s="33"/>
      <c r="K30" s="33"/>
      <c r="L30" s="33"/>
      <c r="M30" s="33"/>
      <c r="N30" s="33"/>
      <c r="O30" s="33"/>
      <c r="P30" s="33"/>
      <c r="Q30" s="33"/>
      <c r="R30" s="33"/>
      <c r="S30" s="33"/>
      <c r="T30" s="33"/>
      <c r="U30" s="33"/>
      <c r="V30" s="33"/>
      <c r="W30" s="33"/>
      <c r="X30" s="33"/>
    </row>
    <row r="31" spans="1:24" ht="13.5" thickBot="1" x14ac:dyDescent="0.35">
      <c r="A31" s="33"/>
      <c r="B31" s="33"/>
      <c r="C31" s="33"/>
      <c r="D31" s="33"/>
      <c r="E31" s="89" t="s">
        <v>216</v>
      </c>
      <c r="F31" s="90" t="s">
        <v>91</v>
      </c>
      <c r="G31" s="300">
        <v>97.77</v>
      </c>
      <c r="H31" s="305">
        <v>199.38</v>
      </c>
      <c r="I31" s="33"/>
      <c r="J31" s="33"/>
      <c r="K31" s="33"/>
      <c r="L31" s="33"/>
      <c r="M31" s="33"/>
      <c r="N31" s="33"/>
      <c r="O31" s="33"/>
      <c r="P31" s="33"/>
      <c r="Q31" s="33"/>
      <c r="R31" s="33"/>
      <c r="S31" s="33"/>
      <c r="T31" s="33"/>
      <c r="U31" s="33"/>
      <c r="V31" s="33"/>
      <c r="W31" s="33"/>
      <c r="X31" s="33"/>
    </row>
    <row r="32" spans="1:24" ht="13.5" thickBot="1" x14ac:dyDescent="0.35">
      <c r="A32" s="33"/>
      <c r="B32" s="33"/>
      <c r="C32" s="33"/>
      <c r="D32" s="33"/>
      <c r="E32" s="87" t="s">
        <v>217</v>
      </c>
      <c r="F32" s="88" t="s">
        <v>91</v>
      </c>
      <c r="G32" s="299">
        <v>85.89</v>
      </c>
      <c r="H32" s="304">
        <v>161.16</v>
      </c>
      <c r="I32" s="33"/>
      <c r="J32" s="33"/>
      <c r="K32" s="33"/>
      <c r="L32" s="33"/>
      <c r="M32" s="33"/>
      <c r="N32" s="33"/>
      <c r="O32" s="33"/>
      <c r="P32" s="33"/>
      <c r="Q32" s="33"/>
      <c r="R32" s="33"/>
      <c r="S32" s="33"/>
      <c r="T32" s="33"/>
      <c r="U32" s="33"/>
      <c r="V32" s="33"/>
      <c r="W32" s="33"/>
      <c r="X32" s="33"/>
    </row>
    <row r="33" spans="1:30" ht="13.5" thickBot="1" x14ac:dyDescent="0.35">
      <c r="A33" s="33"/>
      <c r="B33" s="33"/>
      <c r="C33" s="33"/>
      <c r="D33" s="33"/>
      <c r="E33" s="89" t="s">
        <v>218</v>
      </c>
      <c r="F33" s="90" t="s">
        <v>91</v>
      </c>
      <c r="G33" s="300">
        <v>85.89</v>
      </c>
      <c r="H33" s="305">
        <v>147.1</v>
      </c>
      <c r="I33" s="33"/>
      <c r="J33" s="33"/>
      <c r="K33" s="33"/>
      <c r="L33" s="33"/>
      <c r="M33" s="33"/>
      <c r="N33" s="33"/>
      <c r="O33" s="33"/>
      <c r="P33" s="33"/>
      <c r="Q33" s="33"/>
      <c r="R33" s="33"/>
      <c r="S33" s="33"/>
      <c r="T33" s="33"/>
      <c r="U33" s="33"/>
      <c r="V33" s="33"/>
      <c r="W33" s="33"/>
      <c r="X33" s="33"/>
    </row>
    <row r="34" spans="1:30" x14ac:dyDescent="0.3">
      <c r="A34" s="33"/>
      <c r="B34" s="33"/>
      <c r="C34" s="33"/>
      <c r="D34" s="33"/>
      <c r="E34" s="33"/>
      <c r="F34" s="33"/>
      <c r="G34" s="33"/>
      <c r="H34" s="33"/>
      <c r="I34" s="33"/>
      <c r="J34" s="33"/>
      <c r="K34" s="33"/>
      <c r="L34" s="33"/>
      <c r="M34" s="33"/>
      <c r="N34" s="33"/>
      <c r="O34" s="33"/>
      <c r="P34" s="33"/>
      <c r="Q34" s="33"/>
      <c r="R34" s="33"/>
      <c r="S34" s="33"/>
      <c r="T34" s="33"/>
      <c r="U34" s="33"/>
      <c r="V34" s="33"/>
      <c r="W34" s="33"/>
      <c r="X34" s="33"/>
    </row>
    <row r="35" spans="1:30" customFormat="1" x14ac:dyDescent="0.3">
      <c r="A35" s="15"/>
      <c r="B35" s="22" t="s">
        <v>220</v>
      </c>
      <c r="C35" s="22"/>
      <c r="D35" s="22"/>
      <c r="E35" s="22"/>
      <c r="F35" s="22"/>
      <c r="G35" s="58"/>
      <c r="H35" s="58"/>
      <c r="I35" s="22"/>
      <c r="J35" s="22"/>
      <c r="K35" s="22"/>
      <c r="L35" s="22"/>
      <c r="M35" s="22"/>
      <c r="N35" s="22"/>
      <c r="O35" s="22"/>
      <c r="P35" s="22"/>
      <c r="Q35" s="22"/>
      <c r="R35" s="22"/>
      <c r="S35" s="22"/>
      <c r="T35" s="22"/>
      <c r="U35" s="22"/>
      <c r="V35" s="22"/>
      <c r="W35" s="22"/>
      <c r="X35" s="22"/>
      <c r="Y35" s="22"/>
    </row>
    <row r="36" spans="1:30" x14ac:dyDescent="0.3">
      <c r="A36" s="33"/>
      <c r="B36" s="33"/>
      <c r="C36" s="33"/>
      <c r="D36" s="33"/>
      <c r="E36" s="33"/>
      <c r="F36" s="33"/>
      <c r="G36" s="33"/>
      <c r="H36" s="33"/>
      <c r="I36" s="33"/>
      <c r="J36" s="33"/>
      <c r="K36" s="33"/>
      <c r="L36" s="33"/>
      <c r="M36" s="33"/>
      <c r="N36" s="33"/>
      <c r="O36" s="33"/>
      <c r="P36" s="33"/>
      <c r="Q36" s="33"/>
      <c r="R36" s="33"/>
      <c r="S36" s="33"/>
      <c r="T36" s="33"/>
      <c r="U36" s="33"/>
      <c r="V36" s="33"/>
      <c r="W36" s="33"/>
      <c r="X36" s="33"/>
    </row>
    <row r="37" spans="1:30" x14ac:dyDescent="0.3">
      <c r="D37" s="33"/>
      <c r="E37" s="48" t="s">
        <v>167</v>
      </c>
      <c r="G37" s="62"/>
      <c r="K37" s="15"/>
      <c r="L37" s="7"/>
      <c r="M37" s="48" t="s">
        <v>172</v>
      </c>
      <c r="N37" s="33"/>
      <c r="Q37" s="62"/>
      <c r="U37" s="48"/>
      <c r="Z37" s="15"/>
      <c r="AD37" s="7"/>
    </row>
    <row r="38" spans="1:30" ht="13.5" thickBot="1" x14ac:dyDescent="0.35">
      <c r="A38" s="33"/>
      <c r="B38" s="33"/>
      <c r="C38" s="33"/>
      <c r="D38" s="33"/>
      <c r="E38" s="33"/>
      <c r="F38" s="33"/>
      <c r="G38" s="33"/>
      <c r="H38" s="33"/>
      <c r="I38" s="33"/>
      <c r="J38" s="33"/>
      <c r="K38" s="33"/>
      <c r="L38" s="33"/>
      <c r="M38" s="33"/>
      <c r="N38" s="33"/>
      <c r="O38" s="33"/>
      <c r="P38" s="33"/>
      <c r="Q38" s="33"/>
      <c r="R38" s="33"/>
      <c r="S38" s="33"/>
      <c r="T38" s="33"/>
      <c r="U38" s="33"/>
      <c r="V38" s="33"/>
      <c r="W38" s="33"/>
      <c r="X38" s="33"/>
    </row>
    <row r="39" spans="1:30" customFormat="1" ht="39.65" customHeight="1" thickBot="1" x14ac:dyDescent="0.35">
      <c r="A39" s="33"/>
      <c r="B39" s="33"/>
      <c r="C39" s="33"/>
      <c r="D39" s="33"/>
      <c r="E39" s="91" t="s">
        <v>220</v>
      </c>
      <c r="F39" s="92" t="s">
        <v>211</v>
      </c>
      <c r="G39" s="92" t="str">
        <f>"Sites up to "&amp;ROUND(Cockpit!$I$58,0)&amp;" properties"</f>
        <v>Sites up to 100 properties</v>
      </c>
      <c r="H39" s="92" t="str">
        <f>"Sites between "&amp;ROUND(Cockpit!$I$58,0)+1&amp;" and "&amp;ROUND(Cockpit!$I$59,0)&amp;" properties"</f>
        <v>Sites between 101 and 200 properties</v>
      </c>
      <c r="I39" s="92" t="str">
        <f>"Sites between "&amp;ROUND(Cockpit!$I$59,0)+1&amp;" and "&amp;ROUND(Cockpit!$I$60,0)&amp;" properties"</f>
        <v>Sites between 201 and 350 properties</v>
      </c>
      <c r="J39" s="33"/>
      <c r="K39" s="33"/>
      <c r="L39" s="33"/>
      <c r="M39" s="91" t="s">
        <v>220</v>
      </c>
      <c r="N39" s="92" t="s">
        <v>211</v>
      </c>
      <c r="O39" s="92" t="str">
        <f>G39</f>
        <v>Sites up to 100 properties</v>
      </c>
      <c r="P39" s="92" t="str">
        <f>H39</f>
        <v>Sites between 101 and 200 properties</v>
      </c>
      <c r="Q39" s="92" t="str">
        <f>I39</f>
        <v>Sites between 201 and 350 properties</v>
      </c>
      <c r="R39" s="15"/>
      <c r="S39" s="15"/>
      <c r="T39" s="33"/>
      <c r="U39" s="33"/>
      <c r="V39" s="33"/>
      <c r="W39" s="33"/>
      <c r="X39" s="33"/>
      <c r="Y39" s="15"/>
    </row>
    <row r="40" spans="1:30" ht="13.4" customHeight="1" thickBot="1" x14ac:dyDescent="0.35">
      <c r="A40" s="33"/>
      <c r="B40" s="33"/>
      <c r="C40" s="33"/>
      <c r="D40" s="33"/>
      <c r="E40" s="87" t="str">
        <f>'Avoided Operating Costs'!G92</f>
        <v>Scientific services</v>
      </c>
      <c r="F40" s="88" t="s">
        <v>169</v>
      </c>
      <c r="G40" s="97">
        <v>1.2766277398751773</v>
      </c>
      <c r="H40" s="97">
        <v>1.2766277398751773</v>
      </c>
      <c r="I40" s="98">
        <v>1.2766277398751773</v>
      </c>
      <c r="J40" s="33"/>
      <c r="K40" s="33"/>
      <c r="L40" s="33"/>
      <c r="M40" s="87" t="s">
        <v>221</v>
      </c>
      <c r="N40" s="88" t="s">
        <v>169</v>
      </c>
      <c r="O40" s="97">
        <v>9.67395984765405</v>
      </c>
      <c r="P40" s="97">
        <v>8.6015610291805498</v>
      </c>
      <c r="Q40" s="98">
        <v>7.7345639020310228</v>
      </c>
      <c r="T40" s="33"/>
      <c r="U40" s="33"/>
      <c r="V40" s="33"/>
      <c r="W40" s="33"/>
      <c r="X40" s="33"/>
    </row>
    <row r="41" spans="1:30" ht="13.4" customHeight="1" thickBot="1" x14ac:dyDescent="0.35">
      <c r="A41" s="33"/>
      <c r="B41" s="33"/>
      <c r="C41" s="33"/>
      <c r="D41" s="33"/>
      <c r="E41" s="89" t="str">
        <f>'Avoided Operating Costs'!G93</f>
        <v>Emergency response</v>
      </c>
      <c r="F41" s="90" t="s">
        <v>169</v>
      </c>
      <c r="G41" s="99">
        <v>0.36260890123863254</v>
      </c>
      <c r="H41" s="99">
        <v>0.36260890123863254</v>
      </c>
      <c r="I41" s="100">
        <v>0.36260890123863254</v>
      </c>
      <c r="J41" s="33"/>
      <c r="K41" s="33"/>
      <c r="L41" s="33"/>
      <c r="M41" s="89" t="s">
        <v>222</v>
      </c>
      <c r="N41" s="90" t="s">
        <v>169</v>
      </c>
      <c r="O41" s="99">
        <v>1.9142768581202287</v>
      </c>
      <c r="P41" s="99">
        <v>1.7020712801347959</v>
      </c>
      <c r="Q41" s="100">
        <v>1.5305104547131838</v>
      </c>
      <c r="T41" s="33"/>
      <c r="U41" s="33"/>
      <c r="V41" s="33"/>
      <c r="W41" s="33"/>
      <c r="X41" s="33"/>
    </row>
    <row r="42" spans="1:30" s="14" customFormat="1" ht="13.4" customHeight="1" thickBot="1" x14ac:dyDescent="0.35">
      <c r="A42" s="33"/>
      <c r="B42" s="33"/>
      <c r="C42" s="33"/>
      <c r="D42" s="33"/>
      <c r="E42" s="87" t="str">
        <f>'Avoided Operating Costs'!G94</f>
        <v>Water Operational costs</v>
      </c>
      <c r="F42" s="88" t="s">
        <v>169</v>
      </c>
      <c r="G42" s="97">
        <v>0.63723839812466687</v>
      </c>
      <c r="H42" s="97">
        <v>0.6196324834506477</v>
      </c>
      <c r="I42" s="98">
        <v>0.55572225409911435</v>
      </c>
      <c r="J42" s="33"/>
      <c r="K42" s="33"/>
      <c r="L42" s="33"/>
      <c r="M42" s="87" t="s">
        <v>223</v>
      </c>
      <c r="N42" s="88" t="s">
        <v>169</v>
      </c>
      <c r="O42" s="97">
        <v>10.192912526677285</v>
      </c>
      <c r="P42" s="97">
        <v>9.0629856381484668</v>
      </c>
      <c r="Q42" s="98">
        <v>8.1494790682345268</v>
      </c>
      <c r="T42" s="33"/>
      <c r="U42" s="33"/>
      <c r="V42" s="33"/>
      <c r="W42" s="33"/>
      <c r="X42" s="33"/>
      <c r="Y42" s="15"/>
      <c r="Z42"/>
    </row>
    <row r="43" spans="1:30" ht="13.4" customHeight="1" thickBot="1" x14ac:dyDescent="0.35">
      <c r="A43" s="33"/>
      <c r="B43" s="33"/>
      <c r="C43" s="33"/>
      <c r="D43" s="33"/>
      <c r="E43" s="89" t="str">
        <f>'Avoided Operating Costs'!G95</f>
        <v>Leakage management</v>
      </c>
      <c r="F43" s="90" t="s">
        <v>169</v>
      </c>
      <c r="G43" s="99">
        <v>11.473513100548452</v>
      </c>
      <c r="H43" s="99">
        <v>11.156517619337698</v>
      </c>
      <c r="I43" s="100">
        <v>10.005810355177484</v>
      </c>
      <c r="J43" s="33"/>
      <c r="K43" s="33"/>
      <c r="L43" s="33"/>
      <c r="M43" s="85" t="s">
        <v>224</v>
      </c>
      <c r="N43" s="243" t="s">
        <v>169</v>
      </c>
      <c r="O43" s="101">
        <v>21.781149232451561</v>
      </c>
      <c r="P43" s="101">
        <v>19.366617947463812</v>
      </c>
      <c r="Q43" s="102">
        <v>17.414553424978735</v>
      </c>
      <c r="T43" s="33"/>
      <c r="U43" s="33"/>
      <c r="V43" s="33"/>
      <c r="W43" s="33"/>
      <c r="X43" s="33"/>
    </row>
    <row r="44" spans="1:30" ht="13.4" customHeight="1" thickBot="1" x14ac:dyDescent="0.35">
      <c r="A44" s="33"/>
      <c r="B44" s="33"/>
      <c r="C44" s="33"/>
      <c r="D44" s="33"/>
      <c r="E44" s="87" t="str">
        <f>'Avoided Operating Costs'!G96</f>
        <v>Business overheads</v>
      </c>
      <c r="F44" s="88" t="s">
        <v>169</v>
      </c>
      <c r="G44" s="97">
        <v>1.8636123212994304</v>
      </c>
      <c r="H44" s="97">
        <v>1.8182619342477864</v>
      </c>
      <c r="I44" s="98">
        <v>1.6536380739533585</v>
      </c>
      <c r="J44" s="33"/>
      <c r="K44" s="33"/>
      <c r="L44" s="33"/>
      <c r="M44" s="33"/>
      <c r="N44" s="33"/>
      <c r="O44" s="33"/>
      <c r="P44" s="33"/>
      <c r="Q44" s="33"/>
      <c r="T44" s="33"/>
      <c r="U44" s="33"/>
      <c r="V44" s="33"/>
      <c r="W44" s="33"/>
      <c r="X44" s="33"/>
    </row>
    <row r="45" spans="1:30" s="14" customFormat="1" ht="13.4" customHeight="1" thickBot="1" x14ac:dyDescent="0.35">
      <c r="A45" s="33"/>
      <c r="B45" s="33"/>
      <c r="C45" s="33"/>
      <c r="D45" s="33"/>
      <c r="E45" s="89" t="s">
        <v>223</v>
      </c>
      <c r="F45" s="90" t="s">
        <v>169</v>
      </c>
      <c r="G45" s="99">
        <v>27.868604258563295</v>
      </c>
      <c r="H45" s="99">
        <v>27.599957264440853</v>
      </c>
      <c r="I45" s="100">
        <v>26.624757092972242</v>
      </c>
      <c r="J45" s="33"/>
      <c r="K45" s="33"/>
      <c r="L45" s="33"/>
      <c r="M45" s="33"/>
      <c r="N45" s="33"/>
      <c r="O45" s="33"/>
      <c r="P45" s="33"/>
      <c r="Q45" s="33"/>
      <c r="T45" s="33"/>
      <c r="U45" s="33"/>
      <c r="V45" s="33"/>
      <c r="W45" s="33"/>
      <c r="X45" s="33"/>
      <c r="Y45" s="15"/>
      <c r="Z45"/>
    </row>
    <row r="46" spans="1:30" ht="13.5" thickBot="1" x14ac:dyDescent="0.35">
      <c r="A46" s="33"/>
      <c r="B46" s="33"/>
      <c r="C46" s="33"/>
      <c r="D46" s="33"/>
      <c r="E46" s="85" t="s">
        <v>224</v>
      </c>
      <c r="F46" s="243" t="s">
        <v>169</v>
      </c>
      <c r="G46" s="101">
        <v>43.482204719649658</v>
      </c>
      <c r="H46" s="101">
        <v>42.833605942590793</v>
      </c>
      <c r="I46" s="102">
        <v>40.479164417316007</v>
      </c>
      <c r="J46" s="33"/>
      <c r="K46" s="33"/>
      <c r="L46" s="33"/>
      <c r="M46" s="33"/>
      <c r="N46" s="33"/>
      <c r="O46" s="33"/>
      <c r="P46" s="33"/>
      <c r="Q46" s="33"/>
      <c r="T46" s="33"/>
      <c r="U46" s="33"/>
      <c r="V46" s="33"/>
      <c r="W46" s="33"/>
      <c r="X46" s="33"/>
    </row>
    <row r="47" spans="1:30"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row>
    <row r="48" spans="1:30" customFormat="1" x14ac:dyDescent="0.3">
      <c r="A48" s="15"/>
      <c r="B48" s="22" t="s">
        <v>225</v>
      </c>
      <c r="C48" s="22"/>
      <c r="D48" s="22"/>
      <c r="E48" s="22"/>
      <c r="F48" s="22"/>
      <c r="G48" s="58"/>
      <c r="H48" s="58"/>
      <c r="I48" s="22"/>
      <c r="J48" s="22"/>
      <c r="K48" s="22"/>
      <c r="L48" s="22"/>
      <c r="M48" s="22"/>
      <c r="N48" s="22"/>
      <c r="O48" s="22"/>
      <c r="P48" s="22"/>
      <c r="Q48" s="22"/>
      <c r="R48" s="22"/>
      <c r="S48" s="22"/>
      <c r="T48" s="22"/>
      <c r="U48" s="22"/>
      <c r="V48" s="22"/>
      <c r="W48" s="22"/>
      <c r="X48" s="22"/>
      <c r="Y48" s="22"/>
    </row>
    <row r="49" spans="1:30" x14ac:dyDescent="0.3">
      <c r="C49" s="48"/>
      <c r="D49" s="33"/>
      <c r="G49" s="62"/>
      <c r="H49" s="62"/>
    </row>
    <row r="50" spans="1:30" x14ac:dyDescent="0.3">
      <c r="D50" s="33"/>
      <c r="E50" s="48" t="s">
        <v>167</v>
      </c>
      <c r="G50" s="62"/>
      <c r="K50" s="15"/>
      <c r="L50" s="7"/>
      <c r="M50" s="48" t="s">
        <v>172</v>
      </c>
      <c r="N50" s="33"/>
      <c r="Q50" s="62"/>
      <c r="U50" s="48"/>
      <c r="Z50" s="15"/>
      <c r="AD50" s="7"/>
    </row>
    <row r="51" spans="1:30" customFormat="1" ht="13.5" thickBot="1" x14ac:dyDescent="0.35">
      <c r="A51" s="33"/>
      <c r="B51" s="33"/>
      <c r="C51" s="33"/>
      <c r="D51" s="33"/>
      <c r="E51" s="33"/>
      <c r="F51" s="33"/>
      <c r="G51" s="33"/>
      <c r="H51" s="33"/>
      <c r="I51" s="33"/>
      <c r="J51" s="33"/>
      <c r="K51" s="33"/>
      <c r="L51" s="33"/>
      <c r="M51" s="15"/>
      <c r="N51" s="15"/>
      <c r="O51" s="15"/>
      <c r="P51" s="15"/>
      <c r="Q51" s="15"/>
      <c r="R51" s="33"/>
      <c r="S51" s="33"/>
      <c r="T51" s="33"/>
      <c r="U51" s="33"/>
      <c r="V51" s="33"/>
      <c r="W51" s="33"/>
      <c r="X51" s="33"/>
      <c r="Y51" s="15"/>
    </row>
    <row r="52" spans="1:30" ht="21.5" thickBot="1" x14ac:dyDescent="0.35">
      <c r="A52" s="33"/>
      <c r="B52" s="33"/>
      <c r="C52" s="33"/>
      <c r="D52" s="33"/>
      <c r="E52" s="81" t="s">
        <v>210</v>
      </c>
      <c r="F52" s="82" t="s">
        <v>211</v>
      </c>
      <c r="G52" s="82" t="str">
        <f>G39</f>
        <v>Sites up to 100 properties</v>
      </c>
      <c r="H52" s="82" t="str">
        <f>H39</f>
        <v>Sites between 101 and 200 properties</v>
      </c>
      <c r="I52" s="82" t="str">
        <f>I39</f>
        <v>Sites between 201 and 350 properties</v>
      </c>
      <c r="J52" s="93"/>
      <c r="K52" s="93"/>
      <c r="L52" s="93"/>
      <c r="M52" s="81" t="s">
        <v>210</v>
      </c>
      <c r="N52" s="82" t="s">
        <v>211</v>
      </c>
      <c r="O52" s="82" t="str">
        <f>O39</f>
        <v>Sites up to 100 properties</v>
      </c>
      <c r="P52" s="82" t="str">
        <f>P39</f>
        <v>Sites between 101 and 200 properties</v>
      </c>
      <c r="Q52" s="82" t="str">
        <f>Q39</f>
        <v>Sites between 201 and 350 properties</v>
      </c>
      <c r="R52" s="33"/>
      <c r="S52" s="33"/>
      <c r="T52" s="33"/>
      <c r="U52" s="33"/>
      <c r="V52" s="33"/>
      <c r="W52" s="33"/>
      <c r="X52" s="33"/>
    </row>
    <row r="53" spans="1:30" ht="13.4" customHeight="1" thickBot="1" x14ac:dyDescent="0.35">
      <c r="C53" s="48"/>
      <c r="D53" s="33"/>
      <c r="E53" s="89" t="s">
        <v>226</v>
      </c>
      <c r="F53" s="90" t="s">
        <v>171</v>
      </c>
      <c r="G53" s="103">
        <f>'Avoided Operating Costs'!M104</f>
        <v>6.0999999999999999E-2</v>
      </c>
      <c r="H53" s="103">
        <f>'Avoided Operating Costs'!N104</f>
        <v>6.0999999999999999E-2</v>
      </c>
      <c r="I53" s="104">
        <f>'Avoided Operating Costs'!O104</f>
        <v>6.0999999999999999E-2</v>
      </c>
      <c r="J53" s="95"/>
      <c r="K53" s="95"/>
      <c r="L53" s="95"/>
      <c r="M53" s="89" t="s">
        <v>226</v>
      </c>
      <c r="N53" s="90" t="s">
        <v>171</v>
      </c>
      <c r="O53" s="103">
        <f>'Avoided Operating Costs'!M104</f>
        <v>6.0999999999999999E-2</v>
      </c>
      <c r="P53" s="103">
        <f>'Avoided Operating Costs'!N104</f>
        <v>6.0999999999999999E-2</v>
      </c>
      <c r="Q53" s="104">
        <f>'Avoided Operating Costs'!O104</f>
        <v>6.0999999999999999E-2</v>
      </c>
    </row>
    <row r="54" spans="1:30" ht="17.899999999999999" customHeight="1" thickBot="1" x14ac:dyDescent="0.35">
      <c r="A54" s="33"/>
      <c r="B54" s="33"/>
      <c r="C54" s="33"/>
      <c r="D54" s="33"/>
      <c r="E54" s="412" t="s">
        <v>227</v>
      </c>
      <c r="F54" s="413"/>
      <c r="G54" s="413"/>
      <c r="H54" s="413"/>
      <c r="I54" s="414"/>
      <c r="J54" s="33"/>
      <c r="K54" s="33"/>
      <c r="L54" s="33"/>
      <c r="M54" s="412" t="s">
        <v>227</v>
      </c>
      <c r="N54" s="413"/>
      <c r="O54" s="413"/>
      <c r="P54" s="413"/>
      <c r="Q54" s="414"/>
      <c r="R54" s="33"/>
      <c r="S54" s="33"/>
      <c r="T54" s="33"/>
      <c r="U54" s="33"/>
      <c r="V54" s="33"/>
      <c r="W54" s="33"/>
      <c r="X54" s="33"/>
    </row>
    <row r="55" spans="1:30" ht="13.5" thickBot="1" x14ac:dyDescent="0.35">
      <c r="C55" s="48"/>
      <c r="D55" s="33"/>
      <c r="E55" s="87" t="s">
        <v>228</v>
      </c>
      <c r="F55" s="88" t="s">
        <v>91</v>
      </c>
      <c r="G55" s="105">
        <f>$G$18*(1-G53)</f>
        <v>168.61623</v>
      </c>
      <c r="H55" s="105">
        <f>$G$18*(1-H53)</f>
        <v>168.61623</v>
      </c>
      <c r="I55" s="108">
        <f>$G$18*(1-I53)</f>
        <v>168.61623</v>
      </c>
      <c r="J55" s="95"/>
      <c r="K55" s="96"/>
      <c r="L55" s="95"/>
      <c r="M55" s="87" t="s">
        <v>228</v>
      </c>
      <c r="N55" s="88" t="s">
        <v>91</v>
      </c>
      <c r="O55" s="105">
        <f>$H$18*(1-O53)</f>
        <v>195.09603000000001</v>
      </c>
      <c r="P55" s="105">
        <f>$H$18*(1-P53)</f>
        <v>195.09603000000001</v>
      </c>
      <c r="Q55" s="108">
        <f>$H$18*(1-Q53)</f>
        <v>195.09603000000001</v>
      </c>
    </row>
    <row r="56" spans="1:30" ht="13.5" thickBot="1" x14ac:dyDescent="0.35">
      <c r="C56" s="48"/>
      <c r="D56" s="33"/>
      <c r="E56" s="89" t="s">
        <v>159</v>
      </c>
      <c r="F56" s="90" t="s">
        <v>91</v>
      </c>
      <c r="G56" s="109">
        <f>$G$27*(1-G53)</f>
        <v>95.515080000000012</v>
      </c>
      <c r="H56" s="109">
        <f>$G$27*(1-H53)</f>
        <v>95.515080000000012</v>
      </c>
      <c r="I56" s="110">
        <f>$G$27*(1-I53)</f>
        <v>95.515080000000012</v>
      </c>
      <c r="J56" s="95"/>
      <c r="K56" s="95"/>
      <c r="L56" s="95"/>
      <c r="M56" s="89" t="s">
        <v>159</v>
      </c>
      <c r="N56" s="90" t="s">
        <v>91</v>
      </c>
      <c r="O56" s="109">
        <f>$H$27*(1-O53)</f>
        <v>195.09603000000001</v>
      </c>
      <c r="P56" s="109">
        <f>$H$27*(1-P53)</f>
        <v>195.09603000000001</v>
      </c>
      <c r="Q56" s="110">
        <f>$H$27*(1-Q53)</f>
        <v>195.09603000000001</v>
      </c>
    </row>
    <row r="57" spans="1:30" ht="17.899999999999999" customHeight="1" thickBot="1" x14ac:dyDescent="0.35">
      <c r="A57" s="33"/>
      <c r="B57" s="33"/>
      <c r="C57" s="33"/>
      <c r="D57" s="33"/>
      <c r="E57" s="412" t="s">
        <v>229</v>
      </c>
      <c r="F57" s="413"/>
      <c r="G57" s="413"/>
      <c r="H57" s="413"/>
      <c r="I57" s="414"/>
      <c r="J57" s="33"/>
      <c r="K57" s="33"/>
      <c r="L57" s="33"/>
      <c r="M57" s="412" t="s">
        <v>229</v>
      </c>
      <c r="N57" s="413"/>
      <c r="O57" s="413"/>
      <c r="P57" s="413"/>
      <c r="Q57" s="414"/>
      <c r="R57" s="33"/>
      <c r="S57" s="33"/>
      <c r="T57" s="33"/>
      <c r="U57" s="33"/>
      <c r="V57" s="33"/>
      <c r="W57" s="33"/>
      <c r="X57" s="33"/>
    </row>
    <row r="58" spans="1:30" ht="13.5" thickBot="1" x14ac:dyDescent="0.35">
      <c r="A58" s="33"/>
      <c r="B58" s="33"/>
      <c r="C58" s="33"/>
      <c r="D58" s="33"/>
      <c r="E58" s="409" t="s">
        <v>228</v>
      </c>
      <c r="F58" s="410"/>
      <c r="G58" s="410"/>
      <c r="H58" s="410"/>
      <c r="I58" s="411"/>
      <c r="J58" s="33"/>
      <c r="K58" s="33"/>
      <c r="L58" s="33"/>
      <c r="M58" s="87" t="s">
        <v>216</v>
      </c>
      <c r="N58" s="88" t="s">
        <v>91</v>
      </c>
      <c r="O58" s="105">
        <f>$H22*(1-O$53)</f>
        <v>187.21782000000002</v>
      </c>
      <c r="P58" s="105">
        <f t="shared" ref="P58:Q58" si="0">$H22*(1-P$53)</f>
        <v>187.21782000000002</v>
      </c>
      <c r="Q58" s="108">
        <f t="shared" si="0"/>
        <v>187.21782000000002</v>
      </c>
      <c r="R58" s="33"/>
      <c r="S58" s="33"/>
      <c r="T58" s="33"/>
      <c r="U58" s="33"/>
      <c r="V58" s="33"/>
      <c r="W58" s="33"/>
      <c r="X58" s="33"/>
    </row>
    <row r="59" spans="1:30" ht="13.5" thickBot="1" x14ac:dyDescent="0.35">
      <c r="A59" s="33"/>
      <c r="B59" s="33"/>
      <c r="C59" s="33"/>
      <c r="D59" s="33"/>
      <c r="E59" s="87" t="s">
        <v>216</v>
      </c>
      <c r="F59" s="88" t="s">
        <v>91</v>
      </c>
      <c r="G59" s="105">
        <f t="shared" ref="G59:I61" si="1">$G22*(1-G$53)</f>
        <v>165.68655000000001</v>
      </c>
      <c r="H59" s="105">
        <f t="shared" si="1"/>
        <v>165.68655000000001</v>
      </c>
      <c r="I59" s="108">
        <f t="shared" si="1"/>
        <v>165.68655000000001</v>
      </c>
      <c r="J59" s="33"/>
      <c r="K59" s="33"/>
      <c r="L59" s="33"/>
      <c r="M59" s="89" t="s">
        <v>217</v>
      </c>
      <c r="N59" s="90" t="s">
        <v>91</v>
      </c>
      <c r="O59" s="109">
        <f t="shared" ref="O59:Q59" si="2">$H23*(1-O$53)</f>
        <v>151.32924</v>
      </c>
      <c r="P59" s="109">
        <f t="shared" si="2"/>
        <v>151.32924</v>
      </c>
      <c r="Q59" s="110">
        <f t="shared" si="2"/>
        <v>151.32924</v>
      </c>
      <c r="R59" s="33"/>
      <c r="S59" s="33"/>
      <c r="T59" s="33"/>
      <c r="U59" s="33"/>
      <c r="V59" s="33"/>
      <c r="W59" s="33"/>
      <c r="X59" s="33"/>
    </row>
    <row r="60" spans="1:30" ht="13.5" thickBot="1" x14ac:dyDescent="0.35">
      <c r="A60" s="33"/>
      <c r="B60" s="33"/>
      <c r="C60" s="33"/>
      <c r="D60" s="33"/>
      <c r="E60" s="89" t="s">
        <v>217</v>
      </c>
      <c r="F60" s="90" t="s">
        <v>91</v>
      </c>
      <c r="G60" s="109">
        <f t="shared" si="1"/>
        <v>105.80652000000001</v>
      </c>
      <c r="H60" s="109">
        <f t="shared" si="1"/>
        <v>105.80652000000001</v>
      </c>
      <c r="I60" s="110">
        <f t="shared" si="1"/>
        <v>105.80652000000001</v>
      </c>
      <c r="J60" s="33"/>
      <c r="K60" s="33"/>
      <c r="L60" s="33"/>
      <c r="M60" s="87" t="s">
        <v>218</v>
      </c>
      <c r="N60" s="88" t="s">
        <v>91</v>
      </c>
      <c r="O60" s="105">
        <f t="shared" ref="O60:Q60" si="3">$H24*(1-O$53)</f>
        <v>138.12690000000001</v>
      </c>
      <c r="P60" s="105">
        <f t="shared" si="3"/>
        <v>138.12690000000001</v>
      </c>
      <c r="Q60" s="108">
        <f t="shared" si="3"/>
        <v>138.12690000000001</v>
      </c>
      <c r="R60" s="33"/>
      <c r="S60" s="33"/>
      <c r="T60" s="33"/>
      <c r="U60" s="33"/>
      <c r="V60" s="33"/>
      <c r="W60" s="33"/>
      <c r="X60" s="33"/>
    </row>
    <row r="61" spans="1:30" ht="13.5" thickBot="1" x14ac:dyDescent="0.35">
      <c r="A61" s="33"/>
      <c r="B61" s="33"/>
      <c r="C61" s="33"/>
      <c r="D61" s="33"/>
      <c r="E61" s="87" t="s">
        <v>218</v>
      </c>
      <c r="F61" s="88" t="s">
        <v>91</v>
      </c>
      <c r="G61" s="105">
        <f t="shared" si="1"/>
        <v>89.298900000000003</v>
      </c>
      <c r="H61" s="105">
        <f t="shared" si="1"/>
        <v>89.298900000000003</v>
      </c>
      <c r="I61" s="108">
        <f t="shared" si="1"/>
        <v>89.298900000000003</v>
      </c>
      <c r="J61" s="33"/>
      <c r="K61" s="33"/>
      <c r="L61" s="33"/>
      <c r="M61" s="83" t="s">
        <v>214</v>
      </c>
      <c r="N61" s="291"/>
      <c r="O61" s="106"/>
      <c r="P61" s="106"/>
      <c r="Q61" s="107"/>
      <c r="R61" s="33"/>
      <c r="S61" s="33"/>
      <c r="T61" s="33"/>
      <c r="U61" s="33"/>
      <c r="V61" s="33"/>
      <c r="W61" s="33"/>
      <c r="X61" s="33"/>
    </row>
    <row r="62" spans="1:30" ht="13.5" thickBot="1" x14ac:dyDescent="0.35">
      <c r="C62" s="48"/>
      <c r="D62" s="33"/>
      <c r="E62" s="409" t="s">
        <v>159</v>
      </c>
      <c r="F62" s="410"/>
      <c r="G62" s="410"/>
      <c r="H62" s="410"/>
      <c r="I62" s="411"/>
      <c r="J62" s="95"/>
      <c r="K62" s="96"/>
      <c r="L62" s="95"/>
      <c r="M62" s="87" t="s">
        <v>230</v>
      </c>
      <c r="N62" s="88" t="s">
        <v>169</v>
      </c>
      <c r="O62" s="105">
        <f>$H$19</f>
        <v>0</v>
      </c>
      <c r="P62" s="105">
        <f>$H$19</f>
        <v>0</v>
      </c>
      <c r="Q62" s="108">
        <f>$H$19</f>
        <v>0</v>
      </c>
    </row>
    <row r="63" spans="1:30" ht="13.5" thickBot="1" x14ac:dyDescent="0.35">
      <c r="C63" s="48"/>
      <c r="D63" s="33"/>
      <c r="E63" s="87" t="s">
        <v>216</v>
      </c>
      <c r="F63" s="88" t="s">
        <v>91</v>
      </c>
      <c r="G63" s="105">
        <f t="shared" ref="G63:I65" si="4">$G31*(1-G$53)</f>
        <v>91.806030000000007</v>
      </c>
      <c r="H63" s="105">
        <f t="shared" si="4"/>
        <v>91.806030000000007</v>
      </c>
      <c r="I63" s="108">
        <f t="shared" si="4"/>
        <v>91.806030000000007</v>
      </c>
      <c r="J63" s="95"/>
      <c r="K63" s="96"/>
      <c r="L63" s="95"/>
      <c r="M63" s="89" t="s">
        <v>220</v>
      </c>
      <c r="N63" s="90" t="s">
        <v>169</v>
      </c>
      <c r="O63" s="109">
        <f>O43</f>
        <v>21.781149232451561</v>
      </c>
      <c r="P63" s="109">
        <f t="shared" ref="P63:Q63" si="5">P43</f>
        <v>19.366617947463812</v>
      </c>
      <c r="Q63" s="109">
        <f t="shared" si="5"/>
        <v>17.414553424978735</v>
      </c>
    </row>
    <row r="64" spans="1:30" ht="13.5" thickBot="1" x14ac:dyDescent="0.35">
      <c r="C64" s="48"/>
      <c r="D64" s="33"/>
      <c r="E64" s="89" t="s">
        <v>217</v>
      </c>
      <c r="F64" s="90" t="s">
        <v>91</v>
      </c>
      <c r="G64" s="109">
        <f t="shared" si="4"/>
        <v>80.650710000000004</v>
      </c>
      <c r="H64" s="109">
        <f t="shared" si="4"/>
        <v>80.650710000000004</v>
      </c>
      <c r="I64" s="110">
        <f t="shared" si="4"/>
        <v>80.650710000000004</v>
      </c>
      <c r="J64" s="95"/>
      <c r="K64" s="96"/>
      <c r="L64" s="95"/>
      <c r="M64" s="244" t="s">
        <v>361</v>
      </c>
      <c r="N64" s="245" t="s">
        <v>169</v>
      </c>
      <c r="O64" s="105">
        <f>O62-O63</f>
        <v>-21.781149232451561</v>
      </c>
      <c r="P64" s="105">
        <f>P62-P63</f>
        <v>-19.366617947463812</v>
      </c>
      <c r="Q64" s="108">
        <f>Q62-Q63</f>
        <v>-17.414553424978735</v>
      </c>
    </row>
    <row r="65" spans="1:27" ht="13.5" thickBot="1" x14ac:dyDescent="0.35">
      <c r="C65" s="48"/>
      <c r="D65" s="33"/>
      <c r="E65" s="87" t="s">
        <v>218</v>
      </c>
      <c r="F65" s="88" t="s">
        <v>91</v>
      </c>
      <c r="G65" s="105">
        <f t="shared" si="4"/>
        <v>80.650710000000004</v>
      </c>
      <c r="H65" s="105">
        <f t="shared" si="4"/>
        <v>80.650710000000004</v>
      </c>
      <c r="I65" s="108">
        <f t="shared" si="4"/>
        <v>80.650710000000004</v>
      </c>
      <c r="J65" s="95"/>
      <c r="K65" s="96"/>
      <c r="L65" s="95"/>
    </row>
    <row r="66" spans="1:27" ht="13.5" thickBot="1" x14ac:dyDescent="0.35">
      <c r="C66" s="48"/>
      <c r="D66" s="33"/>
      <c r="E66" s="83" t="s">
        <v>214</v>
      </c>
      <c r="F66" s="94"/>
      <c r="G66" s="106"/>
      <c r="H66" s="106"/>
      <c r="I66" s="107"/>
      <c r="K66" s="15"/>
    </row>
    <row r="67" spans="1:27" ht="13.5" thickBot="1" x14ac:dyDescent="0.35">
      <c r="C67" s="48"/>
      <c r="D67" s="33"/>
      <c r="E67" s="87" t="s">
        <v>230</v>
      </c>
      <c r="F67" s="88" t="s">
        <v>169</v>
      </c>
      <c r="G67" s="105">
        <f>$G$19</f>
        <v>12.79</v>
      </c>
      <c r="H67" s="105">
        <f>$G$19</f>
        <v>12.79</v>
      </c>
      <c r="I67" s="108">
        <f>$G$19</f>
        <v>12.79</v>
      </c>
      <c r="K67" s="15"/>
    </row>
    <row r="68" spans="1:27" ht="13.5" thickBot="1" x14ac:dyDescent="0.35">
      <c r="E68" s="89" t="s">
        <v>220</v>
      </c>
      <c r="F68" s="90" t="s">
        <v>169</v>
      </c>
      <c r="G68" s="109">
        <f>G46</f>
        <v>43.482204719649658</v>
      </c>
      <c r="H68" s="109">
        <f>H46</f>
        <v>42.833605942590793</v>
      </c>
      <c r="I68" s="110">
        <f>I46</f>
        <v>40.479164417316007</v>
      </c>
      <c r="K68" s="15"/>
      <c r="Z68" s="15"/>
    </row>
    <row r="69" spans="1:27" ht="13.5" thickBot="1" x14ac:dyDescent="0.35">
      <c r="E69" s="244" t="s">
        <v>361</v>
      </c>
      <c r="F69" s="245" t="s">
        <v>169</v>
      </c>
      <c r="G69" s="105">
        <f>G67-G68</f>
        <v>-30.692204719649659</v>
      </c>
      <c r="H69" s="105">
        <f>H67-H68</f>
        <v>-30.043605942590794</v>
      </c>
      <c r="I69" s="108">
        <f>I67-I68</f>
        <v>-27.689164417316007</v>
      </c>
      <c r="K69" s="15"/>
      <c r="Z69" s="15"/>
      <c r="AA69"/>
    </row>
    <row r="70" spans="1:27" x14ac:dyDescent="0.3">
      <c r="G70" s="62"/>
      <c r="H70" s="62"/>
    </row>
    <row r="71" spans="1:27" customFormat="1" x14ac:dyDescent="0.3">
      <c r="E71" s="15"/>
      <c r="F71" s="15"/>
      <c r="G71" s="15"/>
      <c r="H71" s="15"/>
      <c r="I71" s="15"/>
      <c r="M71" s="15"/>
      <c r="N71" s="15"/>
      <c r="O71" s="15"/>
      <c r="P71" s="15"/>
      <c r="Q71" s="15"/>
    </row>
    <row r="72" spans="1:27" x14ac:dyDescent="0.3">
      <c r="C72" s="48"/>
      <c r="D72" s="33"/>
    </row>
    <row r="73" spans="1:27" x14ac:dyDescent="0.3">
      <c r="C73" s="48"/>
      <c r="D73" s="33"/>
      <c r="G73" s="62"/>
      <c r="H73" s="62"/>
    </row>
    <row r="74" spans="1:27" customFormat="1" x14ac:dyDescent="0.3">
      <c r="A74" s="22"/>
      <c r="B74" s="22" t="s">
        <v>68</v>
      </c>
      <c r="C74" s="173"/>
      <c r="D74" s="173"/>
      <c r="E74" s="173"/>
      <c r="F74" s="173"/>
      <c r="G74" s="173"/>
      <c r="H74" s="173"/>
      <c r="I74" s="173"/>
      <c r="J74" s="173"/>
      <c r="K74" s="173"/>
      <c r="L74" s="173"/>
      <c r="M74" s="173"/>
      <c r="N74" s="240"/>
      <c r="O74" s="240"/>
      <c r="P74" s="240"/>
      <c r="Q74" s="240"/>
      <c r="R74" s="240"/>
      <c r="S74" s="240"/>
      <c r="T74" s="240"/>
      <c r="U74" s="240"/>
      <c r="V74" s="240"/>
      <c r="W74" s="240"/>
      <c r="X74" s="240"/>
      <c r="Y74" s="240"/>
    </row>
  </sheetData>
  <sheetProtection algorithmName="SHA-512" hashValue="9lPCKlEFIlpoTk62MJ8XA+X1lIoj55nYgfh+yFtElBcdfBH5offBOVSvnA7ZEOpNiLUKxMTR3WmZEyJf3Y/lwg==" saltValue="CVCHGpGUcQ34gAj11N0J1Q==" spinCount="100000" sheet="1" objects="1" scenarios="1" selectLockedCells="1" selectUnlockedCells="1"/>
  <mergeCells count="7">
    <mergeCell ref="E62:I62"/>
    <mergeCell ref="E58:I58"/>
    <mergeCell ref="E6:G6"/>
    <mergeCell ref="E54:I54"/>
    <mergeCell ref="M54:Q54"/>
    <mergeCell ref="E57:I57"/>
    <mergeCell ref="M57:Q57"/>
  </mergeCells>
  <hyperlinks>
    <hyperlink ref="A3" location="Intro!A1" display="Return to Intro tab" xr:uid="{02B82BFC-BC61-48BB-AC5D-F2B443CEB457}"/>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DD25-3463-4FC8-A149-439D0FD4D5B6}">
  <sheetPr>
    <tabColor rgb="FFF3CF45"/>
  </sheetPr>
  <dimension ref="A1:AA96"/>
  <sheetViews>
    <sheetView showGridLines="0" topLeftCell="A52" zoomScaleNormal="100" workbookViewId="0">
      <selection activeCell="J93" sqref="J93"/>
    </sheetView>
  </sheetViews>
  <sheetFormatPr defaultColWidth="0" defaultRowHeight="13" zeroHeight="1" outlineLevelRow="1" x14ac:dyDescent="0.3"/>
  <cols>
    <col min="1" max="2" width="2.453125" style="15" customWidth="1"/>
    <col min="3" max="3" width="2.453125" style="48" customWidth="1"/>
    <col min="4" max="4" width="2.453125" style="15" customWidth="1"/>
    <col min="5" max="5" width="51.453125" style="15" bestFit="1" customWidth="1"/>
    <col min="6" max="6" width="12.54296875" style="62" bestFit="1" customWidth="1"/>
    <col min="7" max="7" width="7.81640625" style="15" bestFit="1" customWidth="1"/>
    <col min="8" max="8" width="5" style="15" customWidth="1"/>
    <col min="9" max="9" width="29.54296875" style="15" customWidth="1"/>
    <col min="10" max="10" width="30.453125" style="15" customWidth="1"/>
    <col min="11" max="11" width="29.54296875" style="7" customWidth="1"/>
    <col min="12" max="12" width="29.54296875" style="15" customWidth="1"/>
    <col min="13" max="13" width="3.453125" style="15" customWidth="1"/>
    <col min="14" max="14" width="17.453125" style="15" hidden="1" customWidth="1"/>
    <col min="15" max="15" width="10.54296875" style="62" hidden="1" customWidth="1"/>
    <col min="16" max="16" width="22.54296875" style="15" hidden="1" customWidth="1"/>
    <col min="17" max="17" width="14.453125" style="15" hidden="1" customWidth="1"/>
    <col min="18" max="19" width="2.453125" style="15" hidden="1" customWidth="1"/>
    <col min="20" max="20" width="2.453125" style="7" hidden="1" customWidth="1"/>
    <col min="21" max="21" width="2.453125" style="15" hidden="1" customWidth="1"/>
    <col min="22" max="22" width="11.453125" style="15" hidden="1" customWidth="1"/>
    <col min="23" max="23" width="17.453125" style="15" hidden="1" customWidth="1"/>
    <col min="24" max="24" width="10.54296875" style="62" hidden="1" customWidth="1"/>
    <col min="25" max="25" width="22.54296875" style="15" hidden="1" customWidth="1"/>
    <col min="26" max="26" width="4.453125" hidden="1" customWidth="1"/>
    <col min="27" max="27" width="4.453125" style="15" hidden="1" customWidth="1"/>
    <col min="28" max="16384" width="8.54296875" style="15" hidden="1"/>
  </cols>
  <sheetData>
    <row r="1" spans="1:26" s="20" customFormat="1" ht="17.5" x14ac:dyDescent="0.35">
      <c r="A1" s="18" t="str" cm="1">
        <f t="array" aca="1" ref="A1" ca="1">RIGHT(CELL("filename",A$2),LEN(CELL("filename",A$2))-FIND("]",CELL("filename",A$2)))</f>
        <v>Margin comparison</v>
      </c>
      <c r="B1" s="18"/>
      <c r="C1" s="18"/>
      <c r="D1" s="18"/>
      <c r="E1" s="18"/>
      <c r="F1" s="58"/>
      <c r="G1" s="18"/>
      <c r="H1" s="19"/>
      <c r="I1" s="18"/>
      <c r="J1" s="18"/>
      <c r="K1" s="18"/>
      <c r="L1" s="18"/>
      <c r="M1" s="18"/>
      <c r="N1" s="18"/>
      <c r="O1" s="58"/>
      <c r="P1" s="18"/>
      <c r="Q1" s="19"/>
      <c r="R1" s="18"/>
      <c r="S1" s="18"/>
      <c r="T1" s="18"/>
      <c r="U1" s="18"/>
      <c r="V1" s="18"/>
      <c r="W1" s="18"/>
      <c r="X1" s="58"/>
      <c r="Y1" s="18"/>
    </row>
    <row r="2" spans="1:26" s="1" customFormat="1" x14ac:dyDescent="0.3">
      <c r="A2" s="21" t="s">
        <v>231</v>
      </c>
      <c r="B2" s="21"/>
      <c r="C2" s="21"/>
      <c r="D2" s="21"/>
      <c r="E2" s="21"/>
      <c r="F2" s="59"/>
      <c r="G2" s="21"/>
      <c r="H2" s="21"/>
      <c r="I2" s="21"/>
      <c r="J2" s="21"/>
      <c r="K2" s="21"/>
      <c r="L2" s="21"/>
      <c r="M2" s="21"/>
      <c r="N2" s="21"/>
      <c r="O2" s="59"/>
      <c r="P2" s="21"/>
      <c r="Q2" s="21"/>
      <c r="R2" s="21"/>
      <c r="S2" s="21"/>
      <c r="T2" s="21"/>
      <c r="U2" s="21"/>
      <c r="V2" s="21"/>
      <c r="W2" s="21"/>
      <c r="X2" s="59"/>
      <c r="Y2" s="21"/>
    </row>
    <row r="3" spans="1:26" customFormat="1" x14ac:dyDescent="0.3">
      <c r="A3" s="47"/>
      <c r="C3" s="3"/>
      <c r="F3" s="60"/>
      <c r="O3" s="60"/>
      <c r="X3" s="60"/>
    </row>
    <row r="4" spans="1:26" ht="13.5" customHeight="1" x14ac:dyDescent="0.3">
      <c r="D4" s="48"/>
      <c r="E4" s="48"/>
      <c r="F4" s="61"/>
      <c r="G4" s="48"/>
      <c r="H4" s="48"/>
      <c r="I4" s="48"/>
      <c r="J4" s="48"/>
      <c r="N4" s="48"/>
      <c r="O4" s="61"/>
      <c r="P4" s="48"/>
      <c r="Q4" s="48"/>
      <c r="R4" s="48"/>
      <c r="S4" s="48"/>
      <c r="W4" s="48"/>
      <c r="X4" s="61"/>
      <c r="Y4" s="48"/>
    </row>
    <row r="5" spans="1:26" customFormat="1" x14ac:dyDescent="0.3">
      <c r="B5" s="22" t="s">
        <v>43</v>
      </c>
      <c r="C5" s="22"/>
      <c r="D5" s="22"/>
      <c r="E5" s="22"/>
      <c r="F5" s="58"/>
      <c r="G5" s="22"/>
      <c r="H5" s="22"/>
      <c r="I5" s="22"/>
      <c r="J5" s="22"/>
      <c r="K5" s="22"/>
      <c r="L5" s="22"/>
      <c r="M5" s="22"/>
      <c r="N5" s="22"/>
      <c r="O5" s="58"/>
      <c r="P5" s="22"/>
      <c r="Q5" s="22"/>
      <c r="R5" s="22"/>
      <c r="S5" s="22"/>
      <c r="T5" s="22"/>
      <c r="U5" s="22"/>
      <c r="V5" s="22"/>
      <c r="W5" s="22"/>
      <c r="X5" s="58"/>
      <c r="Y5" s="22"/>
    </row>
    <row r="6" spans="1:26" x14ac:dyDescent="0.3">
      <c r="D6" s="12" t="s">
        <v>55</v>
      </c>
    </row>
    <row r="7" spans="1:26" x14ac:dyDescent="0.3">
      <c r="C7" s="3"/>
    </row>
    <row r="8" spans="1:26" hidden="1" x14ac:dyDescent="0.3">
      <c r="B8" s="22" t="s">
        <v>64</v>
      </c>
      <c r="C8" s="22"/>
      <c r="D8" s="22"/>
      <c r="E8" s="22"/>
      <c r="F8" s="22"/>
      <c r="G8" s="22"/>
      <c r="H8" s="22"/>
      <c r="I8" s="173"/>
      <c r="J8" s="173"/>
      <c r="K8" s="173"/>
      <c r="L8" s="173"/>
      <c r="M8" s="120"/>
      <c r="O8" s="15"/>
      <c r="T8" s="15"/>
      <c r="X8" s="15"/>
      <c r="Z8" s="15"/>
    </row>
    <row r="10" spans="1:26" hidden="1" outlineLevel="1" x14ac:dyDescent="0.3">
      <c r="C10" s="48" t="s">
        <v>232</v>
      </c>
    </row>
    <row r="11" spans="1:26" hidden="1" outlineLevel="1" x14ac:dyDescent="0.3">
      <c r="D11" s="69" t="s">
        <v>233</v>
      </c>
      <c r="F11" s="65" t="s">
        <v>161</v>
      </c>
      <c r="G11" s="261" t="str">
        <f>Cockpit!I17</f>
        <v>Yes</v>
      </c>
      <c r="O11" s="65"/>
      <c r="P11" s="3"/>
      <c r="Q11" s="3"/>
      <c r="R11" s="3"/>
      <c r="S11" s="3"/>
      <c r="T11" s="3"/>
      <c r="U11" s="3"/>
      <c r="V11" s="3"/>
      <c r="W11" s="3"/>
      <c r="X11" s="3"/>
      <c r="Y11" s="3"/>
    </row>
    <row r="12" spans="1:26" hidden="1" outlineLevel="1" x14ac:dyDescent="0.3">
      <c r="D12" s="69" t="s">
        <v>234</v>
      </c>
      <c r="F12" s="65" t="s">
        <v>161</v>
      </c>
      <c r="G12" s="261" t="str">
        <f>Cockpit!I18</f>
        <v>Yes</v>
      </c>
      <c r="H12" s="54"/>
      <c r="M12" s="3"/>
      <c r="O12" s="65"/>
      <c r="P12" s="3"/>
      <c r="Q12" s="3"/>
      <c r="R12" s="3"/>
      <c r="S12" s="3"/>
      <c r="T12" s="3"/>
      <c r="U12" s="3"/>
      <c r="V12" s="3"/>
      <c r="W12" s="3"/>
      <c r="X12" s="3"/>
      <c r="Y12" s="3"/>
    </row>
    <row r="13" spans="1:26" hidden="1" outlineLevel="1" x14ac:dyDescent="0.3">
      <c r="D13" s="69"/>
      <c r="F13" s="65"/>
      <c r="G13" s="111"/>
      <c r="H13" s="54"/>
      <c r="M13" s="3"/>
      <c r="O13" s="65"/>
      <c r="P13" s="3"/>
      <c r="Q13" s="3"/>
      <c r="R13" s="3"/>
      <c r="S13" s="3"/>
      <c r="T13" s="3"/>
      <c r="U13" s="3"/>
      <c r="V13" s="3"/>
      <c r="W13" s="3"/>
      <c r="X13" s="3"/>
      <c r="Y13" s="3"/>
    </row>
    <row r="14" spans="1:26" hidden="1" outlineLevel="1" x14ac:dyDescent="0.3">
      <c r="D14" s="69" t="s">
        <v>235</v>
      </c>
      <c r="F14" s="65" t="s">
        <v>79</v>
      </c>
      <c r="G14" s="261">
        <f>Cockpit!I22</f>
        <v>1</v>
      </c>
      <c r="H14" s="54"/>
      <c r="M14" s="3"/>
      <c r="O14" s="65"/>
      <c r="P14" s="3"/>
      <c r="Q14" s="3"/>
      <c r="R14" s="3"/>
      <c r="S14" s="3"/>
      <c r="T14" s="3"/>
      <c r="U14" s="3"/>
      <c r="V14" s="3"/>
      <c r="W14" s="3"/>
      <c r="X14" s="3"/>
      <c r="Y14" s="3"/>
    </row>
    <row r="15" spans="1:26" hidden="1" outlineLevel="1" x14ac:dyDescent="0.3">
      <c r="D15" s="69" t="s">
        <v>236</v>
      </c>
      <c r="F15" s="65" t="s">
        <v>79</v>
      </c>
      <c r="G15" s="261">
        <f>Cockpit!I24</f>
        <v>1</v>
      </c>
      <c r="H15" s="54"/>
      <c r="M15" s="3"/>
      <c r="O15" s="65"/>
      <c r="P15" s="3"/>
      <c r="Q15" s="3"/>
      <c r="R15" s="3"/>
      <c r="S15" s="3"/>
      <c r="T15" s="3"/>
      <c r="U15" s="3"/>
      <c r="V15" s="3"/>
      <c r="W15" s="3"/>
      <c r="X15" s="3"/>
      <c r="Y15" s="3"/>
    </row>
    <row r="16" spans="1:26" hidden="1" outlineLevel="1" x14ac:dyDescent="0.3">
      <c r="D16" s="69"/>
      <c r="F16" s="65"/>
      <c r="G16" s="264"/>
      <c r="H16" s="54"/>
      <c r="M16" s="3"/>
      <c r="O16" s="65"/>
      <c r="P16" s="3"/>
      <c r="Q16" s="3"/>
      <c r="R16" s="3"/>
      <c r="S16" s="3"/>
      <c r="T16" s="3"/>
      <c r="U16" s="3"/>
      <c r="V16" s="3"/>
      <c r="W16" s="3"/>
      <c r="X16" s="3"/>
      <c r="Y16" s="3"/>
    </row>
    <row r="17" spans="1:26" hidden="1" outlineLevel="1" x14ac:dyDescent="0.3">
      <c r="D17" s="69" t="s">
        <v>164</v>
      </c>
      <c r="F17" s="65" t="s">
        <v>165</v>
      </c>
      <c r="G17" s="261">
        <f>Cockpit!I27</f>
        <v>100</v>
      </c>
      <c r="H17" s="54"/>
      <c r="M17" s="3"/>
      <c r="O17" s="65"/>
      <c r="P17" s="3"/>
      <c r="Q17" s="3"/>
      <c r="R17" s="3"/>
      <c r="S17" s="3"/>
      <c r="T17" s="3"/>
      <c r="U17" s="3"/>
      <c r="V17" s="3"/>
      <c r="W17" s="3"/>
      <c r="X17" s="3"/>
      <c r="Y17" s="3"/>
    </row>
    <row r="18" spans="1:26" hidden="1" outlineLevel="1" x14ac:dyDescent="0.3">
      <c r="D18" s="69" t="s">
        <v>166</v>
      </c>
      <c r="F18" s="65" t="s">
        <v>165</v>
      </c>
      <c r="G18" s="261">
        <f>Cockpit!I28</f>
        <v>0</v>
      </c>
      <c r="M18" s="3"/>
      <c r="O18" s="65"/>
      <c r="P18" s="3"/>
      <c r="Q18" s="3"/>
      <c r="R18" s="3"/>
      <c r="S18" s="3"/>
      <c r="T18" s="3"/>
      <c r="U18" s="3"/>
      <c r="V18" s="3"/>
      <c r="W18" s="3"/>
      <c r="X18" s="3"/>
      <c r="Y18" s="3"/>
    </row>
    <row r="19" spans="1:26" s="14" customFormat="1" hidden="1" outlineLevel="1" x14ac:dyDescent="0.3">
      <c r="A19" s="15"/>
      <c r="B19" s="15"/>
      <c r="C19" s="3"/>
      <c r="D19" s="69" t="s">
        <v>185</v>
      </c>
      <c r="E19" s="3"/>
      <c r="F19" s="65" t="s">
        <v>165</v>
      </c>
      <c r="G19" s="261">
        <f>Cockpit!I29</f>
        <v>100</v>
      </c>
      <c r="H19" s="3"/>
      <c r="I19" s="3"/>
      <c r="J19" s="3"/>
      <c r="K19" s="3"/>
      <c r="L19" s="3"/>
      <c r="M19" s="3"/>
      <c r="N19" s="3"/>
      <c r="O19" s="65"/>
      <c r="P19" s="3"/>
      <c r="Q19" s="3"/>
      <c r="R19" s="3"/>
      <c r="S19" s="3"/>
      <c r="T19" s="3"/>
      <c r="U19" s="3"/>
      <c r="V19" s="3"/>
      <c r="W19" s="3"/>
      <c r="X19" s="3"/>
      <c r="Y19" s="3"/>
      <c r="Z19"/>
    </row>
    <row r="20" spans="1:26" hidden="1" outlineLevel="1" x14ac:dyDescent="0.3">
      <c r="D20" s="15" t="s">
        <v>188</v>
      </c>
      <c r="F20" s="65" t="s">
        <v>171</v>
      </c>
      <c r="G20" s="290">
        <f>Cockpit!I41</f>
        <v>6.0999999999999999E-2</v>
      </c>
      <c r="M20" s="3"/>
      <c r="O20" s="65"/>
      <c r="P20" s="3"/>
      <c r="Q20" s="3"/>
      <c r="R20" s="3"/>
      <c r="S20" s="3"/>
      <c r="T20" s="3"/>
      <c r="U20" s="3"/>
      <c r="V20" s="3"/>
      <c r="W20" s="3"/>
      <c r="X20" s="3"/>
      <c r="Y20" s="3"/>
    </row>
    <row r="21" spans="1:26" hidden="1" outlineLevel="1" x14ac:dyDescent="0.3">
      <c r="F21" s="65"/>
      <c r="G21" s="265"/>
      <c r="H21" s="54"/>
      <c r="M21" s="3"/>
      <c r="O21" s="65"/>
      <c r="P21" s="3"/>
      <c r="Q21" s="3"/>
      <c r="R21" s="3"/>
      <c r="S21" s="3"/>
      <c r="T21" s="3"/>
      <c r="U21" s="3"/>
      <c r="V21" s="3"/>
      <c r="W21" s="3"/>
      <c r="X21" s="3"/>
      <c r="Y21" s="3"/>
    </row>
    <row r="22" spans="1:26" hidden="1" outlineLevel="1" x14ac:dyDescent="0.3">
      <c r="D22" s="15" t="s">
        <v>84</v>
      </c>
      <c r="F22" s="65" t="s">
        <v>85</v>
      </c>
      <c r="G22" s="261">
        <f>Cockpit!I32</f>
        <v>130</v>
      </c>
      <c r="H22" s="54"/>
      <c r="M22" s="3"/>
      <c r="O22" s="65"/>
      <c r="P22" s="3"/>
      <c r="Q22" s="3"/>
      <c r="R22" s="3"/>
      <c r="S22" s="3"/>
      <c r="T22" s="3"/>
      <c r="U22" s="3"/>
      <c r="V22" s="3"/>
      <c r="W22" s="3"/>
      <c r="X22" s="3"/>
      <c r="Y22" s="3"/>
    </row>
    <row r="23" spans="1:26" hidden="1" outlineLevel="1" x14ac:dyDescent="0.3">
      <c r="D23" s="15" t="s">
        <v>87</v>
      </c>
      <c r="F23" s="65" t="s">
        <v>85</v>
      </c>
      <c r="G23" s="288">
        <f>Cockpit!I33</f>
        <v>0</v>
      </c>
      <c r="H23" s="54"/>
      <c r="M23" s="3"/>
      <c r="O23" s="65"/>
      <c r="P23" s="3"/>
      <c r="Q23" s="3"/>
      <c r="R23" s="3"/>
      <c r="S23" s="3"/>
      <c r="T23" s="3"/>
      <c r="U23" s="3"/>
      <c r="V23" s="3"/>
      <c r="W23" s="3"/>
      <c r="X23" s="3"/>
      <c r="Y23" s="3"/>
    </row>
    <row r="24" spans="1:26" hidden="1" outlineLevel="1" x14ac:dyDescent="0.3">
      <c r="F24" s="65"/>
      <c r="G24" s="287"/>
      <c r="H24" s="54"/>
      <c r="M24" s="3"/>
      <c r="O24" s="65"/>
      <c r="P24" s="3"/>
      <c r="Q24" s="3"/>
      <c r="R24" s="3"/>
      <c r="S24" s="3"/>
      <c r="T24" s="3"/>
      <c r="U24" s="3"/>
      <c r="V24" s="3"/>
      <c r="W24" s="3"/>
      <c r="X24" s="3"/>
      <c r="Y24" s="3"/>
    </row>
    <row r="25" spans="1:26" hidden="1" outlineLevel="1" x14ac:dyDescent="0.3">
      <c r="D25" s="15" t="s">
        <v>237</v>
      </c>
      <c r="F25" s="65" t="s">
        <v>85</v>
      </c>
      <c r="G25" s="289">
        <f>G22/(1-$G$20)</f>
        <v>138.4451544195953</v>
      </c>
      <c r="H25" s="54"/>
      <c r="M25" s="3"/>
      <c r="O25" s="65"/>
      <c r="P25" s="3"/>
      <c r="Q25" s="3"/>
      <c r="R25" s="3"/>
      <c r="S25" s="3"/>
      <c r="T25" s="3"/>
      <c r="U25" s="3"/>
      <c r="V25" s="3"/>
      <c r="W25" s="3"/>
      <c r="X25" s="3"/>
      <c r="Y25" s="3"/>
    </row>
    <row r="26" spans="1:26" hidden="1" outlineLevel="1" x14ac:dyDescent="0.3">
      <c r="D26" s="15" t="s">
        <v>238</v>
      </c>
      <c r="F26" s="65" t="s">
        <v>85</v>
      </c>
      <c r="G26" s="289">
        <f>G23/(1-$G$20)</f>
        <v>0</v>
      </c>
      <c r="H26" s="54"/>
      <c r="M26" s="3"/>
      <c r="O26" s="65"/>
      <c r="P26" s="3"/>
      <c r="Q26" s="3"/>
      <c r="R26" s="3"/>
      <c r="S26" s="3"/>
      <c r="T26" s="3"/>
      <c r="U26" s="3"/>
      <c r="V26" s="3"/>
      <c r="W26" s="3"/>
      <c r="X26" s="3"/>
      <c r="Y26" s="3"/>
    </row>
    <row r="27" spans="1:26" hidden="1" outlineLevel="1" x14ac:dyDescent="0.3">
      <c r="F27" s="65"/>
      <c r="G27" s="265"/>
      <c r="H27" s="54"/>
      <c r="M27" s="3"/>
      <c r="O27" s="65"/>
      <c r="P27" s="3"/>
      <c r="Q27" s="3"/>
      <c r="R27" s="3"/>
      <c r="S27" s="3"/>
      <c r="T27" s="3"/>
      <c r="U27" s="3"/>
      <c r="V27" s="3"/>
      <c r="W27" s="3"/>
      <c r="X27" s="3"/>
      <c r="Y27" s="3"/>
    </row>
    <row r="28" spans="1:26" hidden="1" outlineLevel="1" x14ac:dyDescent="0.3">
      <c r="D28" s="15" t="s">
        <v>239</v>
      </c>
      <c r="F28" s="65" t="s">
        <v>85</v>
      </c>
      <c r="G28" s="261">
        <f>'Relevant starting point'!J55</f>
        <v>123.5</v>
      </c>
      <c r="H28" s="54"/>
      <c r="M28" s="3"/>
      <c r="O28" s="65"/>
      <c r="P28" s="3"/>
      <c r="Q28" s="3"/>
      <c r="R28" s="3"/>
      <c r="S28" s="3"/>
      <c r="T28" s="3"/>
      <c r="U28" s="3"/>
      <c r="V28" s="3"/>
      <c r="W28" s="3"/>
      <c r="X28" s="3"/>
      <c r="Y28" s="3"/>
    </row>
    <row r="29" spans="1:26" hidden="1" outlineLevel="1" x14ac:dyDescent="0.3">
      <c r="D29" s="15" t="s">
        <v>240</v>
      </c>
      <c r="F29" s="65" t="s">
        <v>85</v>
      </c>
      <c r="G29" s="288">
        <f>'Relevant starting point'!J56</f>
        <v>0</v>
      </c>
      <c r="H29" s="54"/>
      <c r="M29" s="3"/>
      <c r="O29" s="65"/>
      <c r="P29" s="3"/>
      <c r="Q29" s="3"/>
      <c r="R29" s="3"/>
      <c r="S29" s="3"/>
      <c r="T29" s="3"/>
      <c r="U29" s="3"/>
      <c r="V29" s="3"/>
      <c r="W29" s="3"/>
      <c r="X29" s="3"/>
      <c r="Y29" s="3"/>
    </row>
    <row r="30" spans="1:26" s="144" customFormat="1" hidden="1" outlineLevel="1" x14ac:dyDescent="0.3">
      <c r="C30" s="48"/>
      <c r="F30" s="158"/>
      <c r="G30" s="287"/>
      <c r="H30" s="286"/>
      <c r="K30" s="262"/>
      <c r="M30" s="3"/>
      <c r="O30" s="158"/>
      <c r="P30" s="3"/>
      <c r="Q30" s="3"/>
      <c r="R30" s="3"/>
      <c r="S30" s="3"/>
      <c r="T30" s="3"/>
      <c r="U30" s="3"/>
      <c r="V30" s="3"/>
      <c r="W30" s="3"/>
      <c r="X30" s="3"/>
      <c r="Y30" s="3"/>
      <c r="Z30" s="184"/>
    </row>
    <row r="31" spans="1:26" hidden="1" outlineLevel="1" x14ac:dyDescent="0.3">
      <c r="D31" s="15" t="s">
        <v>239</v>
      </c>
      <c r="F31" s="65" t="s">
        <v>85</v>
      </c>
      <c r="G31" s="285">
        <f>G28/(1-$G$20)</f>
        <v>131.52289669861554</v>
      </c>
      <c r="H31" s="54"/>
      <c r="M31" s="3"/>
      <c r="O31" s="65"/>
      <c r="P31" s="3"/>
      <c r="Q31" s="3"/>
      <c r="R31" s="3"/>
      <c r="S31" s="3"/>
      <c r="T31" s="3"/>
      <c r="U31" s="3"/>
      <c r="V31" s="3"/>
      <c r="W31" s="3"/>
      <c r="X31" s="3"/>
      <c r="Y31" s="3"/>
    </row>
    <row r="32" spans="1:26" hidden="1" outlineLevel="1" x14ac:dyDescent="0.3">
      <c r="D32" s="15" t="s">
        <v>240</v>
      </c>
      <c r="F32" s="65" t="s">
        <v>85</v>
      </c>
      <c r="G32" s="285">
        <f>G29/(1-$G$20)</f>
        <v>0</v>
      </c>
      <c r="H32" s="54"/>
      <c r="M32" s="3"/>
      <c r="O32" s="65"/>
      <c r="P32" s="3"/>
      <c r="Q32" s="3"/>
      <c r="R32" s="3"/>
      <c r="S32" s="3"/>
      <c r="T32" s="3"/>
      <c r="U32" s="3"/>
      <c r="V32" s="3"/>
      <c r="W32" s="3"/>
      <c r="X32" s="3"/>
      <c r="Y32" s="3"/>
    </row>
    <row r="33" spans="1:26" hidden="1" outlineLevel="1" x14ac:dyDescent="0.3">
      <c r="D33" s="67"/>
      <c r="F33" s="65"/>
      <c r="G33" s="111"/>
      <c r="H33" s="54"/>
      <c r="M33" s="3"/>
      <c r="O33" s="65"/>
      <c r="P33" s="3"/>
      <c r="Q33" s="3"/>
      <c r="R33" s="3"/>
      <c r="S33" s="3"/>
      <c r="T33" s="3"/>
      <c r="U33" s="3"/>
      <c r="V33" s="3"/>
      <c r="W33" s="3"/>
      <c r="X33" s="3"/>
      <c r="Y33" s="3"/>
    </row>
    <row r="34" spans="1:26" customFormat="1" hidden="1" outlineLevel="1" x14ac:dyDescent="0.3">
      <c r="C34" s="48" t="s">
        <v>241</v>
      </c>
      <c r="F34" s="60"/>
      <c r="O34" s="60"/>
      <c r="X34" s="60"/>
    </row>
    <row r="35" spans="1:26" customFormat="1" hidden="1" outlineLevel="1" x14ac:dyDescent="0.3">
      <c r="E35" t="str">
        <f>Cockpit!E58</f>
        <v>Typical Site 1</v>
      </c>
      <c r="F35" s="60" t="s">
        <v>242</v>
      </c>
      <c r="G35" s="229">
        <f>Cockpit!I58</f>
        <v>100</v>
      </c>
      <c r="O35" s="60"/>
      <c r="X35" s="60"/>
    </row>
    <row r="36" spans="1:26" customFormat="1" hidden="1" outlineLevel="1" x14ac:dyDescent="0.3">
      <c r="E36" t="str">
        <f>Cockpit!E59</f>
        <v>Typical Site 2</v>
      </c>
      <c r="F36" s="60" t="s">
        <v>242</v>
      </c>
      <c r="G36" s="229">
        <f>Cockpit!I59</f>
        <v>200</v>
      </c>
      <c r="O36" s="60"/>
      <c r="X36" s="60"/>
    </row>
    <row r="37" spans="1:26" customFormat="1" hidden="1" outlineLevel="1" x14ac:dyDescent="0.3">
      <c r="E37" t="str">
        <f>Cockpit!E60</f>
        <v>Typical Site 3</v>
      </c>
      <c r="F37" s="60" t="s">
        <v>242</v>
      </c>
      <c r="G37" s="229">
        <f>Cockpit!I60</f>
        <v>350</v>
      </c>
      <c r="O37" s="60"/>
      <c r="X37" s="60"/>
    </row>
    <row r="38" spans="1:26" customFormat="1" hidden="1" outlineLevel="1" x14ac:dyDescent="0.3">
      <c r="F38" s="60"/>
      <c r="O38" s="60"/>
      <c r="X38" s="60"/>
    </row>
    <row r="39" spans="1:26" collapsed="1" x14ac:dyDescent="0.3">
      <c r="B39" s="22" t="s">
        <v>243</v>
      </c>
      <c r="C39" s="22"/>
      <c r="D39" s="22"/>
      <c r="E39" s="22"/>
      <c r="F39" s="58"/>
      <c r="G39" s="22"/>
      <c r="H39" s="22"/>
      <c r="I39" s="22"/>
      <c r="J39" s="22"/>
      <c r="K39" s="22"/>
      <c r="L39" s="22"/>
      <c r="M39" s="22"/>
      <c r="N39" s="22"/>
      <c r="O39" s="58"/>
      <c r="P39" s="22"/>
      <c r="Q39" s="22"/>
      <c r="R39" s="22"/>
      <c r="S39" s="22"/>
      <c r="T39" s="22"/>
      <c r="U39" s="22"/>
      <c r="V39" s="22"/>
      <c r="W39" s="22"/>
      <c r="X39" s="58"/>
      <c r="Y39" s="22"/>
    </row>
    <row r="40" spans="1:26" x14ac:dyDescent="0.3">
      <c r="I40" s="324" t="s">
        <v>367</v>
      </c>
      <c r="J40" s="324" t="s">
        <v>362</v>
      </c>
      <c r="K40" s="325" t="s">
        <v>363</v>
      </c>
      <c r="L40" s="324" t="s">
        <v>364</v>
      </c>
    </row>
    <row r="41" spans="1:26" x14ac:dyDescent="0.3">
      <c r="C41" s="15"/>
      <c r="D41" s="33"/>
      <c r="F41" s="15"/>
      <c r="H41" s="62"/>
      <c r="I41" s="190" t="s">
        <v>244</v>
      </c>
      <c r="J41" s="191" t="s">
        <v>205</v>
      </c>
      <c r="K41" s="191" t="s">
        <v>207</v>
      </c>
      <c r="L41" s="191" t="s">
        <v>208</v>
      </c>
      <c r="O41" s="15"/>
      <c r="T41" s="15"/>
      <c r="X41" s="15"/>
      <c r="Z41" s="15"/>
    </row>
    <row r="42" spans="1:26" x14ac:dyDescent="0.3">
      <c r="C42" s="135" t="s">
        <v>245</v>
      </c>
      <c r="D42" s="135"/>
      <c r="E42" s="135"/>
      <c r="F42" s="135"/>
      <c r="G42" s="135"/>
      <c r="H42" s="135"/>
      <c r="I42" s="135"/>
      <c r="J42" s="188"/>
      <c r="K42" s="188"/>
      <c r="L42" s="188"/>
      <c r="M42" s="76"/>
      <c r="O42" s="15"/>
      <c r="T42" s="15"/>
      <c r="X42" s="15"/>
      <c r="Z42" s="15"/>
    </row>
    <row r="43" spans="1:26" s="14" customFormat="1" x14ac:dyDescent="0.3">
      <c r="A43" s="76"/>
      <c r="B43" s="15"/>
      <c r="C43" s="15"/>
      <c r="D43" s="49"/>
      <c r="E43" s="3"/>
      <c r="F43" s="3"/>
      <c r="G43" s="3"/>
      <c r="H43" s="63"/>
      <c r="I43" s="174"/>
      <c r="J43" s="174"/>
      <c r="K43" s="175"/>
      <c r="L43" s="175"/>
      <c r="M43" s="137"/>
    </row>
    <row r="44" spans="1:26" s="14" customFormat="1" x14ac:dyDescent="0.3">
      <c r="A44" s="76"/>
      <c r="B44" s="15"/>
      <c r="C44" s="15"/>
      <c r="D44" s="33"/>
      <c r="E44" t="s">
        <v>90</v>
      </c>
      <c r="F44" s="15"/>
      <c r="G44" s="63" t="s">
        <v>91</v>
      </c>
      <c r="H44" s="63"/>
      <c r="I44" s="197">
        <f>IF($G$11="Yes",'Bulk Supply Tariffs'!J44,0)</f>
        <v>168.61623</v>
      </c>
      <c r="J44" s="197">
        <f>IF($G$11="Yes",'Bulk Supply Tariffs'!K44,0)</f>
        <v>168.61623</v>
      </c>
      <c r="K44" s="197">
        <f>IF($G$11="Yes",'Bulk Supply Tariffs'!L44,0)</f>
        <v>168.61623</v>
      </c>
      <c r="L44" s="197">
        <f>IF($G$11="Yes",'Bulk Supply Tariffs'!M44,0)</f>
        <v>168.61623</v>
      </c>
      <c r="M44" s="137"/>
    </row>
    <row r="45" spans="1:26" s="14" customFormat="1" x14ac:dyDescent="0.3">
      <c r="A45" s="76"/>
      <c r="B45" s="15"/>
      <c r="C45" s="15"/>
      <c r="D45" s="33"/>
      <c r="E45" t="s">
        <v>246</v>
      </c>
      <c r="F45" s="15"/>
      <c r="G45" s="63" t="s">
        <v>91</v>
      </c>
      <c r="H45" s="63"/>
      <c r="I45" s="197">
        <f>'Bulk Supply Tariffs'!J21</f>
        <v>179.57</v>
      </c>
      <c r="J45" s="197">
        <f>'Bulk Supply Tariffs'!K21</f>
        <v>179.57</v>
      </c>
      <c r="K45" s="197">
        <f>'Bulk Supply Tariffs'!L21</f>
        <v>179.57</v>
      </c>
      <c r="L45" s="197">
        <f>'Bulk Supply Tariffs'!M21</f>
        <v>179.57</v>
      </c>
      <c r="M45" s="137"/>
    </row>
    <row r="46" spans="1:26" s="14" customFormat="1" x14ac:dyDescent="0.3">
      <c r="A46" s="76"/>
      <c r="B46" s="15"/>
      <c r="C46" s="15"/>
      <c r="D46" s="33"/>
      <c r="E46" t="s">
        <v>93</v>
      </c>
      <c r="F46" s="15"/>
      <c r="G46" s="63" t="s">
        <v>169</v>
      </c>
      <c r="H46" s="63"/>
      <c r="I46" s="197">
        <f>IF($G$11="Yes",'Relevant starting point'!$J$33,0)</f>
        <v>12.79</v>
      </c>
      <c r="J46" s="197">
        <f>IF($G$11="Yes",'Relevant starting point'!$J$33,0)</f>
        <v>12.79</v>
      </c>
      <c r="K46" s="197">
        <f>IF($G$11="Yes",'Relevant starting point'!$J$33,0)</f>
        <v>12.79</v>
      </c>
      <c r="L46" s="197">
        <f>IF($G$11="Yes",'Relevant starting point'!$J$33,0)</f>
        <v>12.79</v>
      </c>
      <c r="M46" s="137"/>
    </row>
    <row r="47" spans="1:26" x14ac:dyDescent="0.3">
      <c r="C47" s="15"/>
      <c r="D47" s="33"/>
      <c r="E47" t="s">
        <v>247</v>
      </c>
      <c r="F47" s="15"/>
      <c r="G47" s="63" t="s">
        <v>169</v>
      </c>
      <c r="H47" s="62"/>
      <c r="I47" s="197">
        <f>'Bulk Supply Tariffs'!J45-I46</f>
        <v>-44.274989946712267</v>
      </c>
      <c r="J47" s="197">
        <f>'Bulk Supply Tariffs'!K45-J46</f>
        <v>-43.482204719649651</v>
      </c>
      <c r="K47" s="197">
        <f>'Bulk Supply Tariffs'!L45-K46</f>
        <v>-42.833605942590793</v>
      </c>
      <c r="L47" s="197">
        <f>'Bulk Supply Tariffs'!M45-L46</f>
        <v>-40.479164417316007</v>
      </c>
      <c r="M47" s="76"/>
      <c r="O47" s="15"/>
      <c r="T47" s="15"/>
      <c r="X47" s="15"/>
      <c r="Z47" s="15"/>
    </row>
    <row r="48" spans="1:26" x14ac:dyDescent="0.3">
      <c r="A48" s="76"/>
      <c r="C48" s="15"/>
      <c r="D48" s="33"/>
      <c r="E48" s="246" t="s">
        <v>248</v>
      </c>
      <c r="F48" s="284"/>
      <c r="G48" s="63" t="s">
        <v>98</v>
      </c>
      <c r="H48" s="283"/>
      <c r="I48" s="281">
        <f>((($G$17*$G$22+$G$18*$G$23)*$I45)/100)+$I46*$G$17</f>
        <v>24623.1</v>
      </c>
      <c r="J48" s="281">
        <f>((($G$17*$G$22+$G$18*$G$23)*$J45)/100)+$J46*$G$17</f>
        <v>24623.1</v>
      </c>
      <c r="K48" s="281">
        <f>((($G$17*$G$22+$G$18*$G$23)*$K45)/100)+$K46*$G$17</f>
        <v>24623.1</v>
      </c>
      <c r="L48" s="281">
        <f>((($G$17*$G$22+$G$18*$G$23)*$L45)/100)+$L46*$G$17</f>
        <v>24623.1</v>
      </c>
      <c r="M48" s="76"/>
      <c r="O48" s="15"/>
      <c r="T48" s="15"/>
      <c r="X48" s="15"/>
      <c r="Z48" s="15"/>
    </row>
    <row r="49" spans="1:26" s="14" customFormat="1" x14ac:dyDescent="0.3">
      <c r="A49" s="76"/>
      <c r="B49" s="15"/>
      <c r="C49" s="15"/>
      <c r="D49" s="49"/>
      <c r="E49" t="s">
        <v>99</v>
      </c>
      <c r="F49" s="15"/>
      <c r="G49" s="63" t="s">
        <v>98</v>
      </c>
      <c r="H49" s="63"/>
      <c r="I49" s="150">
        <f>IFERROR(-I47*($G$17+$G$18),0)</f>
        <v>4427.4989946712267</v>
      </c>
      <c r="J49" s="150">
        <f t="shared" ref="J49:L49" si="0">IFERROR(-J47*($G$17+$G$18),0)</f>
        <v>4348.2204719649653</v>
      </c>
      <c r="K49" s="150">
        <f t="shared" si="0"/>
        <v>4283.3605942590793</v>
      </c>
      <c r="L49" s="150">
        <f t="shared" si="0"/>
        <v>4047.9164417316006</v>
      </c>
      <c r="M49" s="137"/>
    </row>
    <row r="50" spans="1:26" s="14" customFormat="1" x14ac:dyDescent="0.3">
      <c r="A50" s="76"/>
      <c r="B50" s="15"/>
      <c r="C50" s="15"/>
      <c r="D50" s="33"/>
      <c r="E50" s="246" t="s">
        <v>249</v>
      </c>
      <c r="F50" s="69"/>
      <c r="G50" s="63" t="s">
        <v>98</v>
      </c>
      <c r="H50" s="282"/>
      <c r="I50" s="281">
        <f>((($G$17*$G$25+$G$18*$G$26)*I44)/100)+(I47*($G$17+$G$18)+(I46*$G$17))</f>
        <v>20195.601005328768</v>
      </c>
      <c r="J50" s="281">
        <f t="shared" ref="J50:L50" si="1">((($G$17*$G$25+$G$18*$G$26)*J44)/100)+(J47*($G$17+$G$18)+(J46*$G$17))</f>
        <v>20274.879528035031</v>
      </c>
      <c r="K50" s="281">
        <f t="shared" si="1"/>
        <v>20339.739405740915</v>
      </c>
      <c r="L50" s="281">
        <f t="shared" si="1"/>
        <v>20575.183558268393</v>
      </c>
      <c r="M50" s="137"/>
    </row>
    <row r="51" spans="1:26" s="14" customFormat="1" x14ac:dyDescent="0.3">
      <c r="A51" s="76"/>
      <c r="B51" s="15"/>
      <c r="C51" s="15"/>
      <c r="D51" s="33"/>
      <c r="E51" t="s">
        <v>101</v>
      </c>
      <c r="F51" s="15"/>
      <c r="G51" s="63" t="s">
        <v>169</v>
      </c>
      <c r="H51" s="62"/>
      <c r="I51" s="150">
        <f>IFERROR(I50/($G$17*$G$22+$G$18*$G$23)*100,0)</f>
        <v>155.35077696406745</v>
      </c>
      <c r="J51" s="150">
        <f>IFERROR(J50/($G$17*$G$22+$G$18*$G$23)*100,0)</f>
        <v>155.96061175411563</v>
      </c>
      <c r="K51" s="150">
        <f>IFERROR(K50/($G$17*$G$22+$G$18*$G$23)*100,0)</f>
        <v>156.45953389031473</v>
      </c>
      <c r="L51" s="150">
        <f>IFERROR(L50/($G$17*$G$22+$G$18*$G$23)*100,0)</f>
        <v>158.27064275591073</v>
      </c>
      <c r="M51" s="137"/>
    </row>
    <row r="52" spans="1:26" s="14" customFormat="1" x14ac:dyDescent="0.3">
      <c r="A52" s="76"/>
      <c r="B52" s="15"/>
      <c r="C52" s="15"/>
      <c r="D52" s="33"/>
      <c r="E52" s="3"/>
      <c r="F52" s="3"/>
      <c r="G52" s="3"/>
      <c r="H52" s="63"/>
      <c r="I52" s="174"/>
      <c r="J52" s="174"/>
      <c r="K52" s="175"/>
      <c r="L52" s="175"/>
      <c r="M52" s="137"/>
    </row>
    <row r="53" spans="1:26" s="14" customFormat="1" x14ac:dyDescent="0.3">
      <c r="A53" s="76"/>
      <c r="B53" s="15"/>
      <c r="C53" s="15"/>
      <c r="D53" s="33"/>
      <c r="E53" s="42" t="s">
        <v>170</v>
      </c>
      <c r="F53" s="15"/>
      <c r="G53" s="63" t="s">
        <v>171</v>
      </c>
      <c r="H53" s="62"/>
      <c r="I53" s="317">
        <f>IFERROR((I50-I48)/I48,0)</f>
        <v>-0.17981078721490107</v>
      </c>
      <c r="J53" s="317">
        <f>IFERROR((J50-J48)/J48,0)</f>
        <v>-0.17659110639866496</v>
      </c>
      <c r="K53" s="317">
        <f>IFERROR((K50-K48)/K48,0)</f>
        <v>-0.17395699949474616</v>
      </c>
      <c r="L53" s="317">
        <f>IFERROR((L50-L48)/L48,0)</f>
        <v>-0.16439507786312879</v>
      </c>
      <c r="M53" s="137"/>
    </row>
    <row r="54" spans="1:26" s="14" customFormat="1" x14ac:dyDescent="0.3">
      <c r="A54" s="76"/>
      <c r="B54" s="15"/>
      <c r="C54" s="15"/>
      <c r="D54" s="33"/>
      <c r="E54" s="3"/>
      <c r="F54" s="3"/>
      <c r="G54" s="3"/>
      <c r="H54" s="63"/>
      <c r="I54" s="174"/>
      <c r="J54" s="174"/>
      <c r="K54" s="175"/>
      <c r="L54" s="175"/>
      <c r="M54" s="137"/>
    </row>
    <row r="55" spans="1:26" x14ac:dyDescent="0.3">
      <c r="C55" s="135" t="s">
        <v>250</v>
      </c>
      <c r="D55" s="135"/>
      <c r="E55" s="135"/>
      <c r="F55" s="135"/>
      <c r="G55" s="135"/>
      <c r="H55" s="135"/>
      <c r="I55" s="188"/>
      <c r="J55" s="188"/>
      <c r="K55" s="188"/>
      <c r="L55" s="188"/>
      <c r="M55" s="76"/>
      <c r="O55" s="15"/>
      <c r="T55" s="15"/>
      <c r="X55" s="15"/>
      <c r="Z55" s="15"/>
    </row>
    <row r="56" spans="1:26" s="14" customFormat="1" x14ac:dyDescent="0.3">
      <c r="A56" s="76"/>
      <c r="B56" s="15"/>
      <c r="C56" s="15"/>
      <c r="D56" s="49"/>
      <c r="E56" s="3"/>
      <c r="F56" s="3"/>
      <c r="G56" s="3"/>
      <c r="H56" s="63"/>
      <c r="I56" s="174"/>
      <c r="J56" s="174"/>
      <c r="K56" s="175"/>
      <c r="L56" s="175"/>
      <c r="M56" s="137"/>
    </row>
    <row r="57" spans="1:26" s="14" customFormat="1" x14ac:dyDescent="0.3">
      <c r="A57" s="76"/>
      <c r="B57" s="15"/>
      <c r="C57" s="15"/>
      <c r="D57" s="33"/>
      <c r="E57" t="s">
        <v>251</v>
      </c>
      <c r="F57" s="15"/>
      <c r="G57" s="63" t="s">
        <v>91</v>
      </c>
      <c r="H57" s="63"/>
      <c r="I57" s="197">
        <f>IF($G$12="Yes",'Bulk Supply Tariffs'!J48,0)</f>
        <v>195.09603000000001</v>
      </c>
      <c r="J57" s="197">
        <f>IF($G$12="Yes",'Bulk Supply Tariffs'!K48,0)</f>
        <v>195.09603000000001</v>
      </c>
      <c r="K57" s="197">
        <f>IF($G$12="Yes",'Bulk Supply Tariffs'!L48,0)</f>
        <v>195.09603000000001</v>
      </c>
      <c r="L57" s="197">
        <f>IF($G$12="Yes",'Bulk Supply Tariffs'!M48,0)</f>
        <v>195.09603000000001</v>
      </c>
      <c r="M57" s="137"/>
    </row>
    <row r="58" spans="1:26" s="14" customFormat="1" x14ac:dyDescent="0.3">
      <c r="A58" s="76"/>
      <c r="B58" s="15"/>
      <c r="C58" s="15"/>
      <c r="D58" s="33"/>
      <c r="E58" t="s">
        <v>252</v>
      </c>
      <c r="F58" s="15"/>
      <c r="G58" s="63" t="s">
        <v>91</v>
      </c>
      <c r="H58" s="63"/>
      <c r="I58" s="197">
        <f>IF($G$12="Yes",'Bulk Supply Tariffs'!J33,0)</f>
        <v>207.77</v>
      </c>
      <c r="J58" s="197">
        <f>IF($G$12="Yes",'Bulk Supply Tariffs'!K33,0)</f>
        <v>207.77</v>
      </c>
      <c r="K58" s="197">
        <f>IF($G$12="Yes",'Bulk Supply Tariffs'!L33,0)</f>
        <v>207.77</v>
      </c>
      <c r="L58" s="197">
        <f>IF($G$12="Yes",'Bulk Supply Tariffs'!M33,0)</f>
        <v>207.77</v>
      </c>
      <c r="M58" s="137"/>
    </row>
    <row r="59" spans="1:26" s="14" customFormat="1" x14ac:dyDescent="0.3">
      <c r="A59" s="76"/>
      <c r="B59" s="15"/>
      <c r="C59" s="15"/>
      <c r="D59" s="33"/>
      <c r="E59" t="s">
        <v>106</v>
      </c>
      <c r="F59" s="15"/>
      <c r="G59" s="63" t="s">
        <v>169</v>
      </c>
      <c r="H59" s="63"/>
      <c r="I59" s="197">
        <f>IFERROR(-IF($G$12="Yes",'Avoided Operating Costs'!L$102+'Avoided Capital Maintenance'!J$73,0),0)</f>
        <v>-21.142080807014789</v>
      </c>
      <c r="J59" s="197">
        <f>IFERROR(-IF($G$12="Yes",'Avoided Operating Costs'!M$102+'Avoided Capital Maintenance'!K$73,0),0)</f>
        <v>-21.781149232451561</v>
      </c>
      <c r="K59" s="197">
        <f>IFERROR(-IF($G$12="Yes",'Avoided Operating Costs'!N$102+'Avoided Capital Maintenance'!L$73,0),0)</f>
        <v>-19.366617947463812</v>
      </c>
      <c r="L59" s="197">
        <f>IFERROR(-IF($G$12="Yes",'Avoided Operating Costs'!O$102+'Avoided Capital Maintenance'!M$73,0),0)</f>
        <v>-17.414553424978735</v>
      </c>
      <c r="M59" s="137"/>
    </row>
    <row r="60" spans="1:26" x14ac:dyDescent="0.3">
      <c r="C60" s="15"/>
      <c r="D60" s="33"/>
      <c r="E60" t="s">
        <v>248</v>
      </c>
      <c r="F60" s="15"/>
      <c r="G60" s="63" t="s">
        <v>98</v>
      </c>
      <c r="H60" s="62"/>
      <c r="I60" s="150">
        <f>((($G$17*$G$28+$G$18*$G$29)*I$58)/100)</f>
        <v>25659.595000000001</v>
      </c>
      <c r="J60" s="150">
        <f>((($G$17*$G$28+$G$18*$G$29)*J$58)/100)</f>
        <v>25659.595000000001</v>
      </c>
      <c r="K60" s="150">
        <f>((($G$17*$G$28+$G$18*$G$29)*K$58)/100)</f>
        <v>25659.595000000001</v>
      </c>
      <c r="L60" s="150">
        <f>((($G$17*$G$28+$G$18*$G$29)*L$58)/100)</f>
        <v>25659.595000000001</v>
      </c>
      <c r="M60" s="76"/>
      <c r="O60" s="15"/>
      <c r="T60" s="15"/>
      <c r="X60" s="15"/>
      <c r="Z60" s="15"/>
    </row>
    <row r="61" spans="1:26" x14ac:dyDescent="0.3">
      <c r="A61" s="76"/>
      <c r="C61" s="15"/>
      <c r="D61" s="33"/>
      <c r="E61" t="s">
        <v>107</v>
      </c>
      <c r="F61" s="3"/>
      <c r="G61" s="63" t="s">
        <v>98</v>
      </c>
      <c r="H61" s="63"/>
      <c r="I61" s="150">
        <f>IFERROR(-I59*($G$17+$G$18),"")</f>
        <v>2114.208080701479</v>
      </c>
      <c r="J61" s="150">
        <f>IFERROR(-J59*($G$17+$G$18),"")</f>
        <v>2178.1149232451562</v>
      </c>
      <c r="K61" s="150">
        <f>IFERROR(-K59*($G$17+$G$18),"")</f>
        <v>1936.6617947463812</v>
      </c>
      <c r="L61" s="150">
        <f>IFERROR(-L59*($G$17+$G$18),"")</f>
        <v>1741.4553424978735</v>
      </c>
      <c r="M61" s="76"/>
      <c r="O61" s="15"/>
      <c r="T61" s="15"/>
      <c r="X61" s="15"/>
      <c r="Z61" s="15"/>
    </row>
    <row r="62" spans="1:26" s="14" customFormat="1" x14ac:dyDescent="0.3">
      <c r="A62" s="76"/>
      <c r="B62" s="15"/>
      <c r="C62" s="15"/>
      <c r="D62" s="49"/>
      <c r="E62" t="s">
        <v>249</v>
      </c>
      <c r="F62" s="15"/>
      <c r="G62" s="63" t="s">
        <v>169</v>
      </c>
      <c r="H62" s="63"/>
      <c r="I62" s="150">
        <f>((($G$17*$G$31+$G$18*$G$32)*I57)/100)+I59*$G$17</f>
        <v>23545.386919298522</v>
      </c>
      <c r="J62" s="150">
        <f>((($G$17*$G$31+$G$18*$G$32)*J57)/100)+J59*$G$17</f>
        <v>23481.480076754844</v>
      </c>
      <c r="K62" s="150">
        <f>((($G$17*$G$31+$G$18*$G$32)*K57)/100)+K59*$G$17</f>
        <v>23722.933205253619</v>
      </c>
      <c r="L62" s="150">
        <f>((($G$17*$G$31+$G$18*$G$32)*L57)/100)+L59*$G$17</f>
        <v>23918.139657502128</v>
      </c>
      <c r="M62" s="137"/>
    </row>
    <row r="63" spans="1:26" s="14" customFormat="1" x14ac:dyDescent="0.3">
      <c r="A63" s="76"/>
      <c r="B63" s="15"/>
      <c r="C63" s="15"/>
      <c r="D63" s="33"/>
      <c r="E63" t="s">
        <v>109</v>
      </c>
      <c r="F63" s="15"/>
      <c r="G63" s="63" t="s">
        <v>169</v>
      </c>
      <c r="H63" s="62"/>
      <c r="I63" s="150">
        <f>IFERROR(I62/($G$17*$G$22+$G$18*$G$23)*100,"")</f>
        <v>181.11836091768095</v>
      </c>
      <c r="J63" s="150">
        <f>IFERROR(J62/($G$17*$G$22+$G$18*$G$23)*100,"")</f>
        <v>180.62676982119109</v>
      </c>
      <c r="K63" s="150">
        <f>IFERROR(K62/($G$17*$G$22+$G$18*$G$23)*100,"")</f>
        <v>182.484101578874</v>
      </c>
      <c r="L63" s="150">
        <f>IFERROR(L62/($G$17*$G$22+$G$18*$G$23)*100,"")</f>
        <v>183.9856896730933</v>
      </c>
      <c r="M63" s="137"/>
    </row>
    <row r="64" spans="1:26" s="14" customFormat="1" x14ac:dyDescent="0.3">
      <c r="A64" s="76"/>
      <c r="B64" s="15"/>
      <c r="C64" s="15"/>
      <c r="D64" s="33"/>
      <c r="E64" s="3"/>
      <c r="F64" s="3"/>
      <c r="G64" s="3"/>
      <c r="H64" s="63"/>
      <c r="I64" s="174"/>
      <c r="J64" s="174"/>
      <c r="K64" s="175"/>
      <c r="L64" s="175"/>
      <c r="M64" s="137"/>
    </row>
    <row r="65" spans="1:26" s="14" customFormat="1" x14ac:dyDescent="0.3">
      <c r="A65" s="76"/>
      <c r="B65" s="15"/>
      <c r="C65" s="15"/>
      <c r="D65" s="33"/>
      <c r="E65" s="42" t="s">
        <v>170</v>
      </c>
      <c r="F65" s="15"/>
      <c r="G65" s="63" t="s">
        <v>171</v>
      </c>
      <c r="H65" s="62"/>
      <c r="I65" s="317">
        <f>IFERROR((I62-I60)/I60,0)</f>
        <v>-8.2394444678549256E-2</v>
      </c>
      <c r="J65" s="317">
        <f>IFERROR((J62-J60)/J60,0)</f>
        <v>-8.4885007859444278E-2</v>
      </c>
      <c r="K65" s="317">
        <f>IFERROR((K62-K60)/K60,0)</f>
        <v>-7.547515051373109E-2</v>
      </c>
      <c r="L65" s="317">
        <f>IFERROR((L62-L60)/L60,0)</f>
        <v>-6.7867608296150933E-2</v>
      </c>
      <c r="M65" s="137"/>
    </row>
    <row r="66" spans="1:26" s="14" customFormat="1" x14ac:dyDescent="0.3">
      <c r="A66" s="76"/>
      <c r="B66" s="15"/>
      <c r="C66" s="15"/>
      <c r="D66" s="33"/>
      <c r="E66" s="3"/>
      <c r="F66" s="3"/>
      <c r="G66" s="3"/>
      <c r="H66" s="63"/>
      <c r="I66" s="174"/>
      <c r="J66" s="174"/>
      <c r="K66" s="175"/>
      <c r="L66" s="175"/>
      <c r="M66" s="137"/>
    </row>
    <row r="67" spans="1:26" x14ac:dyDescent="0.3">
      <c r="B67" s="22" t="s">
        <v>253</v>
      </c>
      <c r="C67" s="22"/>
      <c r="D67" s="22"/>
      <c r="E67" s="22"/>
      <c r="F67" s="58"/>
      <c r="G67" s="22"/>
      <c r="H67" s="22"/>
      <c r="I67" s="22"/>
      <c r="J67" s="22"/>
      <c r="K67" s="22"/>
      <c r="L67" s="22"/>
      <c r="M67" s="22"/>
      <c r="N67" s="22"/>
      <c r="O67" s="58"/>
      <c r="P67" s="22"/>
      <c r="Q67" s="22"/>
      <c r="R67" s="22"/>
      <c r="S67" s="22"/>
      <c r="T67" s="22"/>
      <c r="U67" s="22"/>
      <c r="V67" s="22"/>
      <c r="W67" s="22"/>
      <c r="X67" s="58"/>
      <c r="Y67" s="22"/>
    </row>
    <row r="68" spans="1:26" s="14" customFormat="1" x14ac:dyDescent="0.3">
      <c r="A68" s="15"/>
      <c r="B68" s="15"/>
      <c r="C68" s="3"/>
      <c r="D68" s="3"/>
      <c r="E68" s="3"/>
      <c r="F68" s="63"/>
      <c r="G68" s="3"/>
      <c r="H68" s="3"/>
      <c r="I68" s="3"/>
      <c r="J68" s="3"/>
      <c r="K68" s="3"/>
      <c r="L68" s="49"/>
      <c r="M68" s="3"/>
      <c r="N68" s="3"/>
      <c r="O68" s="63"/>
      <c r="P68" s="3"/>
      <c r="Q68" s="3"/>
      <c r="R68" s="3"/>
      <c r="S68" s="3"/>
      <c r="T68" s="3"/>
      <c r="U68" s="49"/>
      <c r="V68" s="3"/>
      <c r="W68" s="3"/>
      <c r="X68" s="63"/>
      <c r="Y68" s="3"/>
      <c r="Z68"/>
    </row>
    <row r="69" spans="1:26" x14ac:dyDescent="0.3">
      <c r="C69" s="15"/>
      <c r="D69" s="33"/>
      <c r="F69" s="15"/>
      <c r="H69" s="62"/>
      <c r="I69" s="191" t="s">
        <v>254</v>
      </c>
      <c r="J69" s="191" t="s">
        <v>255</v>
      </c>
      <c r="K69" s="191" t="s">
        <v>254</v>
      </c>
      <c r="O69" s="15"/>
      <c r="T69" s="15"/>
      <c r="X69" s="15"/>
      <c r="Z69" s="15"/>
    </row>
    <row r="70" spans="1:26" x14ac:dyDescent="0.3">
      <c r="C70" s="135" t="s">
        <v>245</v>
      </c>
      <c r="D70" s="135"/>
      <c r="E70" s="135"/>
      <c r="F70" s="135"/>
      <c r="G70" s="135"/>
      <c r="H70" s="135"/>
      <c r="I70" s="188"/>
      <c r="J70" s="188"/>
      <c r="K70" s="188"/>
      <c r="M70" s="76"/>
      <c r="O70" s="15"/>
      <c r="T70" s="15"/>
      <c r="X70" s="15"/>
      <c r="Z70" s="15"/>
    </row>
    <row r="71" spans="1:26" s="14" customFormat="1" x14ac:dyDescent="0.3">
      <c r="A71" s="76"/>
      <c r="B71" s="15"/>
      <c r="C71" s="15"/>
      <c r="D71" s="49"/>
      <c r="E71" s="3"/>
      <c r="F71" s="3"/>
      <c r="G71" s="3"/>
      <c r="H71" s="63"/>
      <c r="I71" s="174"/>
      <c r="J71" s="175"/>
      <c r="K71" s="174"/>
      <c r="M71" s="137"/>
    </row>
    <row r="72" spans="1:26" s="14" customFormat="1" x14ac:dyDescent="0.3">
      <c r="A72" s="76"/>
      <c r="B72" s="15"/>
      <c r="C72" s="15"/>
      <c r="D72" s="33"/>
      <c r="E72" t="s">
        <v>90</v>
      </c>
      <c r="F72" s="15"/>
      <c r="G72" s="63" t="s">
        <v>91</v>
      </c>
      <c r="H72" s="63"/>
      <c r="I72" s="197">
        <f t="shared" ref="I72:I79" si="2">IF($G$19&lt;=$G$35,J44,IF($G$19&lt;=$G$36,K44,IF($G$19&lt;=$G$37,L44,I44)))</f>
        <v>168.61623</v>
      </c>
      <c r="J72" s="214">
        <f t="shared" ref="J72:J79" si="3">IFERROR(I72/I44-1,"-")</f>
        <v>0</v>
      </c>
      <c r="K72" s="197"/>
      <c r="M72" s="137"/>
    </row>
    <row r="73" spans="1:26" s="14" customFormat="1" x14ac:dyDescent="0.3">
      <c r="A73" s="76"/>
      <c r="B73" s="15"/>
      <c r="C73" s="15"/>
      <c r="D73" s="33"/>
      <c r="E73" t="s">
        <v>246</v>
      </c>
      <c r="F73" s="15"/>
      <c r="G73" s="63" t="s">
        <v>91</v>
      </c>
      <c r="H73" s="63"/>
      <c r="I73" s="197">
        <f t="shared" si="2"/>
        <v>179.57</v>
      </c>
      <c r="J73" s="214">
        <f t="shared" si="3"/>
        <v>0</v>
      </c>
      <c r="K73" s="197"/>
      <c r="M73" s="137"/>
    </row>
    <row r="74" spans="1:26" s="14" customFormat="1" x14ac:dyDescent="0.3">
      <c r="A74" s="76"/>
      <c r="B74" s="15"/>
      <c r="C74" s="15"/>
      <c r="D74" s="33"/>
      <c r="E74" t="s">
        <v>93</v>
      </c>
      <c r="F74" s="15"/>
      <c r="G74" s="63" t="s">
        <v>169</v>
      </c>
      <c r="H74" s="63"/>
      <c r="I74" s="197">
        <f t="shared" si="2"/>
        <v>12.79</v>
      </c>
      <c r="J74" s="214">
        <f t="shared" si="3"/>
        <v>0</v>
      </c>
      <c r="K74" s="197"/>
      <c r="M74" s="137"/>
    </row>
    <row r="75" spans="1:26" x14ac:dyDescent="0.3">
      <c r="C75" s="15"/>
      <c r="D75" s="33"/>
      <c r="E75" t="s">
        <v>247</v>
      </c>
      <c r="F75" s="15"/>
      <c r="G75" s="63" t="s">
        <v>169</v>
      </c>
      <c r="H75" s="62"/>
      <c r="I75" s="197">
        <f t="shared" si="2"/>
        <v>-43.482204719649651</v>
      </c>
      <c r="J75" s="214">
        <f t="shared" si="3"/>
        <v>-1.7905938048021763E-2</v>
      </c>
      <c r="K75" s="197"/>
      <c r="M75" s="76"/>
      <c r="O75" s="15"/>
      <c r="T75" s="15"/>
      <c r="X75" s="15"/>
      <c r="Z75" s="15"/>
    </row>
    <row r="76" spans="1:26" x14ac:dyDescent="0.3">
      <c r="A76" s="76"/>
      <c r="C76" s="15"/>
      <c r="D76" s="33"/>
      <c r="E76" t="s">
        <v>248</v>
      </c>
      <c r="F76" s="3"/>
      <c r="G76" s="63" t="s">
        <v>98</v>
      </c>
      <c r="H76" s="63"/>
      <c r="I76" s="150">
        <f t="shared" si="2"/>
        <v>24623.1</v>
      </c>
      <c r="J76" s="214">
        <f t="shared" si="3"/>
        <v>0</v>
      </c>
      <c r="K76" s="150"/>
      <c r="M76" s="76"/>
      <c r="O76" s="15"/>
      <c r="T76" s="15"/>
      <c r="X76" s="15"/>
      <c r="Z76" s="15"/>
    </row>
    <row r="77" spans="1:26" s="14" customFormat="1" x14ac:dyDescent="0.3">
      <c r="A77" s="76"/>
      <c r="B77" s="15"/>
      <c r="C77" s="15"/>
      <c r="D77" s="49"/>
      <c r="E77" t="s">
        <v>99</v>
      </c>
      <c r="F77" s="15"/>
      <c r="G77" s="63" t="s">
        <v>98</v>
      </c>
      <c r="H77" s="63"/>
      <c r="I77" s="150">
        <f t="shared" si="2"/>
        <v>4348.2204719649653</v>
      </c>
      <c r="J77" s="214">
        <f t="shared" si="3"/>
        <v>-1.7905938048021652E-2</v>
      </c>
      <c r="K77" s="150"/>
      <c r="M77" s="137"/>
    </row>
    <row r="78" spans="1:26" s="14" customFormat="1" x14ac:dyDescent="0.3">
      <c r="A78" s="76"/>
      <c r="B78" s="15"/>
      <c r="C78" s="15"/>
      <c r="D78" s="33"/>
      <c r="E78" t="s">
        <v>249</v>
      </c>
      <c r="F78" s="15"/>
      <c r="G78" s="63" t="s">
        <v>98</v>
      </c>
      <c r="H78" s="62"/>
      <c r="I78" s="150">
        <f t="shared" si="2"/>
        <v>20274.879528035031</v>
      </c>
      <c r="J78" s="214">
        <f t="shared" si="3"/>
        <v>3.9255342133837079E-3</v>
      </c>
      <c r="K78" s="150"/>
      <c r="M78" s="137"/>
    </row>
    <row r="79" spans="1:26" s="14" customFormat="1" x14ac:dyDescent="0.3">
      <c r="A79" s="76"/>
      <c r="B79" s="15"/>
      <c r="C79" s="15"/>
      <c r="D79" s="33"/>
      <c r="E79" t="s">
        <v>101</v>
      </c>
      <c r="F79" s="15"/>
      <c r="G79" s="63" t="s">
        <v>169</v>
      </c>
      <c r="H79" s="62"/>
      <c r="I79" s="150">
        <f t="shared" si="2"/>
        <v>155.96061175411563</v>
      </c>
      <c r="J79" s="214">
        <f t="shared" si="3"/>
        <v>3.9255342133837079E-3</v>
      </c>
      <c r="K79" s="150"/>
      <c r="M79" s="137"/>
    </row>
    <row r="80" spans="1:26" s="14" customFormat="1" x14ac:dyDescent="0.3">
      <c r="A80" s="76"/>
      <c r="B80" s="15"/>
      <c r="C80" s="15"/>
      <c r="D80" s="33"/>
      <c r="E80" s="3"/>
      <c r="F80" s="3"/>
      <c r="G80" s="3"/>
      <c r="H80" s="63"/>
      <c r="I80" s="174"/>
      <c r="J80" s="175"/>
      <c r="K80" s="174"/>
      <c r="M80" s="137"/>
    </row>
    <row r="81" spans="1:26" s="14" customFormat="1" x14ac:dyDescent="0.3">
      <c r="A81" s="76"/>
      <c r="B81" s="15"/>
      <c r="C81" s="15"/>
      <c r="D81" s="33"/>
      <c r="E81" s="42" t="s">
        <v>170</v>
      </c>
      <c r="F81" s="15"/>
      <c r="G81" s="63" t="s">
        <v>171</v>
      </c>
      <c r="H81" s="62"/>
      <c r="I81" s="318">
        <f>IFERROR((I78-I76)/I76,0)</f>
        <v>-0.17659110639866496</v>
      </c>
      <c r="J81" s="214">
        <f>IFERROR(I81/I53-1,"-")</f>
        <v>-1.7905938048022096E-2</v>
      </c>
      <c r="K81" s="280"/>
      <c r="M81" s="137"/>
    </row>
    <row r="82" spans="1:26" s="14" customFormat="1" x14ac:dyDescent="0.3">
      <c r="A82" s="76"/>
      <c r="B82" s="15"/>
      <c r="C82" s="15"/>
      <c r="D82" s="33"/>
      <c r="E82" s="3"/>
      <c r="F82" s="3"/>
      <c r="G82" s="3"/>
      <c r="H82" s="63"/>
      <c r="I82" s="174"/>
      <c r="J82" s="175"/>
      <c r="K82" s="174"/>
      <c r="M82" s="137"/>
    </row>
    <row r="83" spans="1:26" x14ac:dyDescent="0.3">
      <c r="C83" s="135" t="s">
        <v>250</v>
      </c>
      <c r="D83" s="135"/>
      <c r="E83" s="135"/>
      <c r="F83" s="135"/>
      <c r="G83" s="135"/>
      <c r="H83" s="135"/>
      <c r="I83" s="188"/>
      <c r="J83" s="188"/>
      <c r="K83" s="188"/>
      <c r="M83" s="76"/>
      <c r="O83" s="15"/>
      <c r="T83" s="15"/>
      <c r="X83" s="15"/>
      <c r="Z83" s="15"/>
    </row>
    <row r="84" spans="1:26" s="14" customFormat="1" x14ac:dyDescent="0.3">
      <c r="A84" s="76"/>
      <c r="B84" s="15"/>
      <c r="C84" s="15"/>
      <c r="D84" s="49"/>
      <c r="E84" s="3"/>
      <c r="F84" s="3"/>
      <c r="G84" s="3"/>
      <c r="H84" s="63"/>
      <c r="I84" s="174"/>
      <c r="J84" s="175"/>
      <c r="K84" s="174"/>
      <c r="M84" s="137"/>
    </row>
    <row r="85" spans="1:26" s="14" customFormat="1" x14ac:dyDescent="0.3">
      <c r="A85" s="76"/>
      <c r="B85" s="15"/>
      <c r="C85" s="15"/>
      <c r="D85" s="33"/>
      <c r="E85" t="s">
        <v>251</v>
      </c>
      <c r="F85" s="15"/>
      <c r="G85" s="63" t="s">
        <v>91</v>
      </c>
      <c r="H85" s="63"/>
      <c r="I85" s="197">
        <f t="shared" ref="I85:I91" si="4">IF($G$19&lt;=$G$35,J57,IF($G$19&lt;=$G$36,K57,IF($G$19&lt;=$G$37,L57,I57)))</f>
        <v>195.09603000000001</v>
      </c>
      <c r="J85" s="266">
        <f>IFERROR(I85/I57-1,"-")</f>
        <v>0</v>
      </c>
      <c r="K85" s="197"/>
      <c r="M85" s="137"/>
    </row>
    <row r="86" spans="1:26" s="14" customFormat="1" x14ac:dyDescent="0.3">
      <c r="A86" s="76"/>
      <c r="B86" s="15"/>
      <c r="C86" s="15"/>
      <c r="D86" s="33"/>
      <c r="E86" t="s">
        <v>252</v>
      </c>
      <c r="F86" s="15"/>
      <c r="G86" s="63" t="s">
        <v>91</v>
      </c>
      <c r="H86" s="63"/>
      <c r="I86" s="197">
        <f t="shared" si="4"/>
        <v>207.77</v>
      </c>
      <c r="J86" s="266">
        <f t="shared" ref="J86:J91" si="5">IFERROR(I86/I58-1,"-")</f>
        <v>0</v>
      </c>
      <c r="K86" s="197"/>
      <c r="M86" s="137"/>
    </row>
    <row r="87" spans="1:26" s="14" customFormat="1" x14ac:dyDescent="0.3">
      <c r="A87" s="76"/>
      <c r="B87" s="15"/>
      <c r="C87" s="15"/>
      <c r="D87" s="33"/>
      <c r="E87" t="s">
        <v>106</v>
      </c>
      <c r="F87" s="15"/>
      <c r="G87" s="63" t="s">
        <v>169</v>
      </c>
      <c r="H87" s="63"/>
      <c r="I87" s="197">
        <f t="shared" si="4"/>
        <v>-21.781149232451561</v>
      </c>
      <c r="J87" s="266">
        <f t="shared" si="5"/>
        <v>3.0227319215653248E-2</v>
      </c>
      <c r="K87" s="197"/>
      <c r="M87" s="137"/>
    </row>
    <row r="88" spans="1:26" x14ac:dyDescent="0.3">
      <c r="C88" s="15"/>
      <c r="D88" s="33"/>
      <c r="E88" t="s">
        <v>248</v>
      </c>
      <c r="F88" s="15"/>
      <c r="G88" s="63" t="s">
        <v>98</v>
      </c>
      <c r="H88" s="62"/>
      <c r="I88" s="150">
        <f t="shared" si="4"/>
        <v>25659.595000000001</v>
      </c>
      <c r="J88" s="266">
        <f>IFERROR(I88/I60-1,"-")</f>
        <v>0</v>
      </c>
      <c r="K88" s="150"/>
      <c r="M88" s="76"/>
      <c r="O88" s="15"/>
      <c r="T88" s="15"/>
      <c r="X88" s="15"/>
      <c r="Z88" s="15"/>
    </row>
    <row r="89" spans="1:26" x14ac:dyDescent="0.3">
      <c r="A89" s="76"/>
      <c r="C89" s="15"/>
      <c r="D89" s="33"/>
      <c r="E89" t="s">
        <v>107</v>
      </c>
      <c r="F89" s="3"/>
      <c r="G89" s="63" t="s">
        <v>98</v>
      </c>
      <c r="H89" s="63"/>
      <c r="I89" s="150">
        <f t="shared" si="4"/>
        <v>2178.1149232451562</v>
      </c>
      <c r="J89" s="266">
        <f>IFERROR(I89/I61-1,"-")</f>
        <v>3.0227319215653248E-2</v>
      </c>
      <c r="K89" s="150"/>
      <c r="M89" s="76"/>
      <c r="O89" s="15"/>
      <c r="T89" s="15"/>
      <c r="X89" s="15"/>
      <c r="Z89" s="15"/>
    </row>
    <row r="90" spans="1:26" s="14" customFormat="1" x14ac:dyDescent="0.3">
      <c r="A90" s="76"/>
      <c r="B90" s="15"/>
      <c r="C90" s="15"/>
      <c r="D90" s="49"/>
      <c r="E90" t="s">
        <v>249</v>
      </c>
      <c r="F90" s="15"/>
      <c r="G90" s="63" t="s">
        <v>169</v>
      </c>
      <c r="H90" s="63"/>
      <c r="I90" s="150">
        <f t="shared" si="4"/>
        <v>23481.480076754844</v>
      </c>
      <c r="J90" s="266">
        <f t="shared" si="5"/>
        <v>-2.7141980194557158E-3</v>
      </c>
      <c r="K90" s="150"/>
      <c r="M90" s="137"/>
    </row>
    <row r="91" spans="1:26" s="14" customFormat="1" x14ac:dyDescent="0.3">
      <c r="A91" s="76"/>
      <c r="B91" s="15"/>
      <c r="C91" s="15"/>
      <c r="D91" s="33"/>
      <c r="E91" t="s">
        <v>109</v>
      </c>
      <c r="F91" s="15"/>
      <c r="G91" s="63" t="s">
        <v>169</v>
      </c>
      <c r="H91" s="62"/>
      <c r="I91" s="150">
        <f t="shared" si="4"/>
        <v>180.62676982119109</v>
      </c>
      <c r="J91" s="266">
        <f t="shared" si="5"/>
        <v>-2.7141980194558268E-3</v>
      </c>
      <c r="K91" s="150"/>
      <c r="M91" s="137"/>
    </row>
    <row r="92" spans="1:26" s="14" customFormat="1" x14ac:dyDescent="0.3">
      <c r="A92" s="76"/>
      <c r="B92" s="15"/>
      <c r="C92" s="15"/>
      <c r="D92" s="33"/>
      <c r="E92" s="3"/>
      <c r="F92" s="3"/>
      <c r="G92" s="3"/>
      <c r="H92" s="63"/>
      <c r="I92" s="174"/>
      <c r="J92" s="175"/>
      <c r="K92" s="174"/>
      <c r="M92" s="137"/>
    </row>
    <row r="93" spans="1:26" s="14" customFormat="1" x14ac:dyDescent="0.3">
      <c r="A93" s="76"/>
      <c r="B93" s="15"/>
      <c r="C93" s="15"/>
      <c r="D93" s="33"/>
      <c r="E93" s="42" t="s">
        <v>170</v>
      </c>
      <c r="F93" s="15"/>
      <c r="G93" s="63" t="s">
        <v>171</v>
      </c>
      <c r="H93" s="62"/>
      <c r="I93" s="318">
        <f>IFERROR((I90-I88)/I88,0)</f>
        <v>-8.4885007859444278E-2</v>
      </c>
      <c r="J93" s="266">
        <f>IFERROR(I93/I65-1,"-")</f>
        <v>3.0227319215653692E-2</v>
      </c>
      <c r="K93" s="280"/>
      <c r="M93" s="137"/>
    </row>
    <row r="94" spans="1:26" s="14" customFormat="1" x14ac:dyDescent="0.3">
      <c r="A94" s="76"/>
      <c r="B94" s="15"/>
      <c r="C94" s="15"/>
      <c r="D94" s="33"/>
      <c r="E94" s="3"/>
      <c r="F94" s="3"/>
      <c r="G94" s="3"/>
      <c r="H94" s="63"/>
      <c r="I94" s="174"/>
      <c r="J94" s="174"/>
      <c r="K94" s="175"/>
      <c r="L94" s="175"/>
      <c r="M94" s="137"/>
    </row>
    <row r="95" spans="1:26" customFormat="1" x14ac:dyDescent="0.3">
      <c r="A95" s="22"/>
      <c r="B95" s="22" t="s">
        <v>68</v>
      </c>
      <c r="C95" s="22"/>
      <c r="D95" s="22"/>
      <c r="E95" s="22"/>
      <c r="F95" s="22"/>
      <c r="G95" s="22"/>
      <c r="H95" s="58"/>
      <c r="I95" s="173"/>
      <c r="J95" s="173"/>
      <c r="K95" s="173"/>
      <c r="L95" s="173"/>
      <c r="M95" s="240"/>
      <c r="N95" s="240"/>
      <c r="O95" s="240"/>
      <c r="P95" s="240"/>
      <c r="Q95" s="240"/>
      <c r="R95" s="240"/>
      <c r="S95" s="240"/>
      <c r="T95" s="240"/>
      <c r="U95" s="240"/>
      <c r="V95" s="240"/>
      <c r="W95" s="240"/>
      <c r="X95" s="240"/>
    </row>
    <row r="96" spans="1:26" customFormat="1" hidden="1" x14ac:dyDescent="0.3"/>
  </sheetData>
  <sheetProtection algorithmName="SHA-512" hashValue="1EGvV/76Y8X93Wuk1jzGrK8BUfW8AOfi3u3wZSeVULU4eEwUq5tuIiWVz2uVepWL4ZIEVePQO9EanaXv35hh1w==" saltValue="M7yb0R2qkvCmJGMLcc3mmg==" spinCount="100000" sheet="1" objects="1" scenarios="1" selectLockedCells="1" selectUnlockedCells="1"/>
  <conditionalFormatting sqref="A1:A3">
    <cfRule type="containsText" dxfId="1" priority="1" operator="containsText" text="FALSE">
      <formula>NOT(ISERROR(SEARCH("FALSE",A1)))</formula>
    </cfRule>
    <cfRule type="containsText" dxfId="0" priority="2" operator="containsText" text="TRUE">
      <formula>NOT(ISERROR(SEARCH("TRUE",A1)))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7F6ED-87C2-4CFA-B7FD-53EF1CC78D5E}">
  <sheetPr codeName="Sheet16">
    <tabColor theme="8"/>
  </sheetPr>
  <dimension ref="B2"/>
  <sheetViews>
    <sheetView workbookViewId="0">
      <selection activeCell="J13" sqref="J13"/>
    </sheetView>
  </sheetViews>
  <sheetFormatPr defaultColWidth="8" defaultRowHeight="29" x14ac:dyDescent="0.3"/>
  <cols>
    <col min="1" max="1" width="2.54296875" style="27" customWidth="1"/>
    <col min="2" max="16384" width="8" style="27"/>
  </cols>
  <sheetData>
    <row r="2" spans="2:2" x14ac:dyDescent="0.3">
      <c r="B2" s="27" t="s">
        <v>259</v>
      </c>
    </row>
  </sheetData>
  <sheetProtection algorithmName="SHA-512" hashValue="UutivTGw3P6FSrSWQKfTOxkUInYr9kJVwt6bW3P72zrKW4V9HX9wjoGitBeSjaT74qRkp15HCuxnJ0rbadntDg==" saltValue="BxeQ++t9icuuiqeA2vy1JA==" spinCount="100000" sheet="1" objects="1" scenarios="1" selectLockedCells="1" selectUn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BC5CBBDE8A484280E805CD3D0AEB76" ma:contentTypeVersion="8" ma:contentTypeDescription="Create a new document." ma:contentTypeScope="" ma:versionID="5df994af981d196300d2fa2e7f527cbb">
  <xsd:schema xmlns:xsd="http://www.w3.org/2001/XMLSchema" xmlns:xs="http://www.w3.org/2001/XMLSchema" xmlns:p="http://schemas.microsoft.com/office/2006/metadata/properties" xmlns:ns2="c87c8ed4-0b1a-4991-8f50-e53c2742629d" xmlns:ns3="53d807e7-6d2b-45bc-b5b2-bae74e50c891" targetNamespace="http://schemas.microsoft.com/office/2006/metadata/properties" ma:root="true" ma:fieldsID="84e41d368d9f5ecaaf6e80921dc18b34" ns2:_="" ns3:_="">
    <xsd:import namespace="c87c8ed4-0b1a-4991-8f50-e53c2742629d"/>
    <xsd:import namespace="53d807e7-6d2b-45bc-b5b2-bae74e50c8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7c8ed4-0b1a-4991-8f50-e53c274262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d807e7-6d2b-45bc-b5b2-bae74e50c8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3d807e7-6d2b-45bc-b5b2-bae74e50c891">
      <UserInfo>
        <DisplayName>Alexander Hargreaves</DisplayName>
        <AccountId>34</AccountId>
        <AccountType/>
      </UserInfo>
    </SharedWithUsers>
  </documentManagement>
</p:properties>
</file>

<file path=customXml/itemProps1.xml><?xml version="1.0" encoding="utf-8"?>
<ds:datastoreItem xmlns:ds="http://schemas.openxmlformats.org/officeDocument/2006/customXml" ds:itemID="{BC30EE5F-22DC-4813-B372-5F7FF4ED13D8}">
  <ds:schemaRefs>
    <ds:schemaRef ds:uri="http://schemas.microsoft.com/sharepoint/v3/contenttype/forms"/>
  </ds:schemaRefs>
</ds:datastoreItem>
</file>

<file path=customXml/itemProps2.xml><?xml version="1.0" encoding="utf-8"?>
<ds:datastoreItem xmlns:ds="http://schemas.openxmlformats.org/officeDocument/2006/customXml" ds:itemID="{CF181D5C-2826-4416-9C34-09E8B2651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7c8ed4-0b1a-4991-8f50-e53c2742629d"/>
    <ds:schemaRef ds:uri="53d807e7-6d2b-45bc-b5b2-bae74e50c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EA1C87-3A8E-42FD-95B9-030B8D67EF0B}">
  <ds:schemaRefs>
    <ds:schemaRef ds:uri="http://schemas.microsoft.com/office/2006/metadata/properties"/>
    <ds:schemaRef ds:uri="http://schemas.microsoft.com/office/infopath/2007/PartnerControls"/>
    <ds:schemaRef ds:uri="53d807e7-6d2b-45bc-b5b2-bae74e50c89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Intro</vt:lpstr>
      <vt:lpstr>Guidance</vt:lpstr>
      <vt:lpstr>Wholesale Tariff Inputs</vt:lpstr>
      <vt:lpstr>York Areas</vt:lpstr>
      <vt:lpstr>Cockpit</vt:lpstr>
      <vt:lpstr>O&gt;</vt:lpstr>
      <vt:lpstr>Charging arrangements table</vt:lpstr>
      <vt:lpstr>Margin comparison</vt:lpstr>
      <vt:lpstr>C&gt;</vt:lpstr>
      <vt:lpstr>Bulk Supply Tariffs</vt:lpstr>
      <vt:lpstr>Avoided Capital Maintenance</vt:lpstr>
      <vt:lpstr>Avoided Operating Costs</vt:lpstr>
      <vt:lpstr>Relevant starting point</vt:lpstr>
      <vt:lpstr>I &gt;</vt:lpstr>
      <vt:lpstr>Wholesale tariffs</vt:lpstr>
      <vt:lpstr>_ModelDate</vt:lpstr>
      <vt:lpstr>_ModelName</vt:lpstr>
      <vt:lpstr>_ModelStatus</vt:lpstr>
      <vt:lpstr>_ModelVersion</vt:lpstr>
      <vt:lpstr>_OrganisationName</vt:lpstr>
      <vt:lpstr>Cockpit!Million</vt:lpstr>
      <vt:lpstr>Guidance!Million</vt:lpstr>
      <vt:lpstr>Guidance!Thousand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Woolnough</dc:creator>
  <cp:keywords/>
  <dc:description/>
  <cp:lastModifiedBy>Colin Fraser</cp:lastModifiedBy>
  <cp:revision/>
  <dcterms:created xsi:type="dcterms:W3CDTF">2019-08-13T06:43:34Z</dcterms:created>
  <dcterms:modified xsi:type="dcterms:W3CDTF">2024-03-26T17:06:24Z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da7fe984-74c4-41ca-a3a0-07b0cd9b0000</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0x010100C7BC5CBBDE8A484280E805CD3D0AEB76</vt:lpwstr>
  </property>
  <property fmtid="{D5CDD505-2E9C-101B-9397-08002B2CF9AE}" pid="6" name="Comparison_Temp4RowInsertions">
    <vt:lpwstr/>
  </property>
  <property fmtid="{D5CDD505-2E9C-101B-9397-08002B2CF9AE}" pid="7" name="Comparison_Temp4ColumnInsertions">
    <vt:lpwstr/>
  </property>
  <property fmtid="{D5CDD505-2E9C-101B-9397-08002B2CF9AE}" pid="8" name="Comparison_Temp4CellChanges1_1">
    <vt:lpwstr>CgAAAB+LCAAAAAAABAAzNzcxNjI2qnE0BAD0Bb+rCgAAAA==</vt:lpwstr>
  </property>
  <property fmtid="{D5CDD505-2E9C-101B-9397-08002B2CF9AE}" pid="9" name="Comparison_Thoughts_todo13RowInsertions">
    <vt:lpwstr/>
  </property>
  <property fmtid="{D5CDD505-2E9C-101B-9397-08002B2CF9AE}" pid="10" name="Comparison_Thoughts_todo13ColumnInsertions">
    <vt:lpwstr/>
  </property>
  <property fmtid="{D5CDD505-2E9C-101B-9397-08002B2CF9AE}" pid="11" name="Comparison_Intro5RowInsertions">
    <vt:lpwstr/>
  </property>
  <property fmtid="{D5CDD505-2E9C-101B-9397-08002B2CF9AE}" pid="12" name="Comparison_Intro5ColumnInsertions">
    <vt:lpwstr/>
  </property>
  <property fmtid="{D5CDD505-2E9C-101B-9397-08002B2CF9AE}" pid="13" name="Comparison_Lists5RowInsertions">
    <vt:lpwstr/>
  </property>
  <property fmtid="{D5CDD505-2E9C-101B-9397-08002B2CF9AE}" pid="14" name="Comparison_Lists5ColumnInsertions">
    <vt:lpwstr/>
  </property>
  <property fmtid="{D5CDD505-2E9C-101B-9397-08002B2CF9AE}" pid="15" name="Comparison_Constants9RowInsertions">
    <vt:lpwstr/>
  </property>
  <property fmtid="{D5CDD505-2E9C-101B-9397-08002B2CF9AE}" pid="16" name="Comparison_Constants9ColumnInsertions">
    <vt:lpwstr/>
  </property>
  <property fmtid="{D5CDD505-2E9C-101B-9397-08002B2CF9AE}" pid="17" name="Comparison_Constants9CellChanges1_1">
    <vt:lpwstr>CgAAAB+LCAAAAAAABAAzNzcxNjI2qnE0BAD0Bb+rCgAAAA==</vt:lpwstr>
  </property>
  <property fmtid="{D5CDD505-2E9C-101B-9397-08002B2CF9AE}" pid="18" name="Comparison_Settings8RowInsertions">
    <vt:lpwstr>176,177,178,179,180,181,182,183,184,185,186,187,188</vt:lpwstr>
  </property>
  <property fmtid="{D5CDD505-2E9C-101B-9397-08002B2CF9AE}" pid="19" name="Comparison_Settings8ColumnInsertions">
    <vt:lpwstr/>
  </property>
  <property fmtid="{D5CDD505-2E9C-101B-9397-08002B2CF9AE}" pid="20" name="Comparison_Settings8CellChanges1_1">
    <vt:lpwstr>bQUAAB+LCAAAAAAABAAtlEty3TgMRTekKgskAZKeObZeqSuTLOgtvs9RMiD+vIAAUHOO3np7f8VHjGijz/X+rnnctY//an/+hn9H7OOCfL6U7r9qU216HzIajtE+ouacLfJ9cfvF7T/wr18I1zw/X/M8bs4f5K9fCK8ZGAJDaAiiGlGAca7H0XQ0hK7QsQ4iBhGD6x254xw6NSSOxJAakugiojAWso7SUUROHBPD1KCwFBYeKp/7eC0KXtS4Ah7</vt:lpwstr>
  </property>
  <property fmtid="{D5CDD505-2E9C-101B-9397-08002B2CF9AE}" pid="21" name="Comparison_Settings8CellChanges1_2">
    <vt:lpwstr>H9yNT3mrELGKIXRSwOpzcK5ETTspFhkWGNeHruDa2jW1PZGybHJsccZ6SkDRJlwxJSkoiBvHriV8Sm3+qxgketWzNEY4oHNZSWs7pdE6nkt6mtzUl07Wu2o8fHXe0lJS2YchQnariNfG6eP1k5L1xrXsNCYeV99QrSrf8Xkp+Q586ppJQfemw5u6n9C3UAGUIP069rho3fmJYxvDG0JZ6044lzYeomjytOZ/gJ0QpG5WmtaSlpaVBrkhryQfPPp</vt:lpwstr>
  </property>
  <property fmtid="{D5CDD505-2E9C-101B-9397-08002B2CF9AE}" pid="22" name="Comparison_Settings8CellChanges1_3">
    <vt:lpwstr>Z5y1mUbSrhyzaVbSoTlTnKHOV8SrxK6ks7VH6gL0eUWwmbn1p+ZZWS3SibOL3rqkp+sPFu2qix+/tmnW/W8Wa7brbt9+JRjTP26vt9se/X8wYmnBSsKue4WFUOPOCMmIsc/As/GVlTDpwes6YceMGZNWvKgbumrhOYW0z48qmzbRLXyj1iy65/W+bcm918dobhS1T9ekYuUXq8S/VZIfG6eClKisIoJUpDyV1I8Z5hMR2JNq+VFZR3GZFESYASo</vt:lpwstr>
  </property>
  <property fmtid="{D5CDD505-2E9C-101B-9397-08002B2CF9AE}" pid="23" name="Comparison_Settings8CellChanges1_4">
    <vt:lpwstr>AQoAUqAegBKyTLm+KjMzg8q/DWE/wYJqhO08xJUh+cQJKju6XRfpstqk8OOhq8egsOmho8foiqo/wCI6vwfMyUlA20FAAA=</vt:lpwstr>
  </property>
  <property fmtid="{D5CDD505-2E9C-101B-9397-08002B2CF9AE}" pid="24" name="Comparison_I &gt;3RowInsertions">
    <vt:lpwstr/>
  </property>
  <property fmtid="{D5CDD505-2E9C-101B-9397-08002B2CF9AE}" pid="25" name="Comparison_I &gt;3ColumnInsertions">
    <vt:lpwstr/>
  </property>
  <property fmtid="{D5CDD505-2E9C-101B-9397-08002B2CF9AE}" pid="26" name="Comparison_Historic8RowInsertions">
    <vt:lpwstr/>
  </property>
  <property fmtid="{D5CDD505-2E9C-101B-9397-08002B2CF9AE}" pid="27" name="Comparison_Historic8ColumnInsertions">
    <vt:lpwstr/>
  </property>
  <property fmtid="{D5CDD505-2E9C-101B-9397-08002B2CF9AE}" pid="28" name="Comparison_Historic8CellChanges1_1">
    <vt:lpwstr>CgAAAB+LCAAAAAAABAAzNzcxNjI2qnE0BAD0Bb+rCgAAAA==</vt:lpwstr>
  </property>
  <property fmtid="{D5CDD505-2E9C-101B-9397-08002B2CF9AE}" pid="29" name="Comparison_PriceEffects12RowInsertions">
    <vt:lpwstr/>
  </property>
  <property fmtid="{D5CDD505-2E9C-101B-9397-08002B2CF9AE}" pid="30" name="Comparison_PriceEffects12ColumnInsertions">
    <vt:lpwstr/>
  </property>
  <property fmtid="{D5CDD505-2E9C-101B-9397-08002B2CF9AE}" pid="31" name="Comparison_PriceEffects12CellChanges1_1">
    <vt:lpwstr>CgAAAB+LCAAAAAAABAAzNzcxNjI2qnE0BAD0Bb+rCgAAAA==</vt:lpwstr>
  </property>
  <property fmtid="{D5CDD505-2E9C-101B-9397-08002B2CF9AE}" pid="32" name="Comparison_Efficiencies12RowInsertions">
    <vt:lpwstr/>
  </property>
  <property fmtid="{D5CDD505-2E9C-101B-9397-08002B2CF9AE}" pid="33" name="Comparison_Efficiencies12ColumnInsertions">
    <vt:lpwstr/>
  </property>
  <property fmtid="{D5CDD505-2E9C-101B-9397-08002B2CF9AE}" pid="34" name="Comparison_Efficiencies12CellChanges1_1">
    <vt:lpwstr>CgAAAB+LCAAAAAAABAAzNzcxNjI2qnE0BAD0Bb+rCgAAAA==</vt:lpwstr>
  </property>
  <property fmtid="{D5CDD505-2E9C-101B-9397-08002B2CF9AE}" pid="35" name="Comparison_Drivers7RowInsertions">
    <vt:lpwstr/>
  </property>
  <property fmtid="{D5CDD505-2E9C-101B-9397-08002B2CF9AE}" pid="36" name="Comparison_Drivers7ColumnInsertions">
    <vt:lpwstr/>
  </property>
  <property fmtid="{D5CDD505-2E9C-101B-9397-08002B2CF9AE}" pid="37" name="Comparison_Drivers7CellChanges1_1">
    <vt:lpwstr>1AYAAB+LCAAAAAAABAAllEtuHEEMQy/UQFok+zc7x0gQwAFSm9xmDh89ZeEyx0RRrCdjriuW9f6o7fvRP7X3ob1eHP3xqG91XtelOt5furbful5/+veX7tZ367v10/pp/Wxf3rff3l9/+veXq3W1rtZqrdZq7dZu7dZpndZpfbQ+Wh+tz9Zn63P7qf3YfnH87eP18R3Zf7xeHDgXzjXOhXPj3Dg3zj3OjfPgPDgPzjPO007tL452+vjLx3Za9h8</vt:lpwstr>
  </property>
  <property fmtid="{D5CDD505-2E9C-101B-9397-08002B2CF9AE}" pid="38" name="Comparison_Drivers7CellChanges1_2">
    <vt:lpwstr>Lp3AKp8YpHOEIRzgaRzjGMY5xPI5xghOc4GSc4Bw4vLR4ac1Li5fWiXPinDjnOIApGBQMCgY1DAoGBYOCQcGghkHBoGBQMCgY1DAoGAgGgoFgoGEgGAgGgoFgoGEgGAgGgoFgoGEgGAgGgoFgoGEgGIjWorVorWktWovWorVorWktWovWorVorWktWpvWprVp7WltWpvWprVp7WltWpvWprVp7WltWpvWprVp7WltWpvNmc2ZzXk2ZzZnNmc2Zz</vt:lpwstr>
  </property>
  <property fmtid="{D5CDD505-2E9C-101B-9397-08002B2CF9AE}" pid="39" name="Comparison_Drivers7CellChanges1_3">
    <vt:lpwstr>bn2ZzZnNmc2ZzZnGdz8y8dWofWoWqoGqqGfqFf6BdKhVKhVGgSmoQmYXwYH8aHmWFmmJkZBOwAOxAOhAPhgDVgDVjzfKvj6X+E/Xyv/yu5tvV/A3eLAf5sa/g23jU4m+Yaeg1vDaxmtYZNo1mDokmseXk/fIXr/eQVrvdjV7jez1zhej9whev9tBWu96NWuB6uU6wfskKxfsIKxfoFSxMNzqUJB+XSxINxaQaAcGlGgG9phoBuacaAbWkGgWxpR</vt:lpwstr>
  </property>
  <property fmtid="{D5CDD505-2E9C-101B-9397-08002B2CF9AE}" pid="40" name="Comparison_Drivers7CellChanges1_4">
    <vt:lpwstr>oFraYYNquz13H7eH3xZcmw/+AriQN2oG/Wgnlb9lcKBKhQ3+iuDA2WUUUEFdaAO1Ik6UcwoZhQzihnFjGKGmCFmiBlihpghZogZYoZIESkiRaSIFJFiUkyKSTEpJsWkmBSTYpqapqapaWqamqYhJaSElJASUkJKSAkpISWkhJSQElIyKTQNTUPT0DQ0nSVUR1z3+1O7t0/p6MP3P+r9TJ3UBgAA</vt:lpwstr>
  </property>
  <property fmtid="{D5CDD505-2E9C-101B-9397-08002B2CF9AE}" pid="41" name="Comparison_Elasticities12RowInsertions">
    <vt:lpwstr/>
  </property>
  <property fmtid="{D5CDD505-2E9C-101B-9397-08002B2CF9AE}" pid="42" name="Comparison_Elasticities12ColumnInsertions">
    <vt:lpwstr/>
  </property>
  <property fmtid="{D5CDD505-2E9C-101B-9397-08002B2CF9AE}" pid="43" name="Comparison_Elasticities12CellChanges1_1">
    <vt:lpwstr>xw0AAB+LCAAAAAAABAAll0Fy3DoMBS+kqpgiQUneJanvzSBF8D4+/O8eL6D3ptolDp8BxLmu0c9+fv9ux595H39a43G2+9MHH+f9q83rus4W36/z/KSOfyh1LJQ6Nkodr3PCJ3zCJ3zCJ3zCJ/yCX/ALfsEv+AW/4Bf8ht/wG37Db/gNv+E3/IE/8Af+wB/4A3/gz/HqH5/U8Q+ljoVSx0YpeIM3eIM3eIM3eIM3OPfr3A+l4NwP3SgF7/AO7/A</vt:lpwstr>
  </property>
  <property fmtid="{D5CDD505-2E9C-101B-9397-08002B2CF9AE}" pid="44" name="Comparison_Elasticities12CellChanges1_2">
    <vt:lpwstr>O7/AO7/AOH/ABH/ABH/ABH/ABD3jAAx7wgAc84AEnv05+KAUnP3SjFJz8OvmhFJz80I1ScPLr5IdScPJDN0rBya+TH0rByQ/dKHW8BvkN8kOpY6HUsVEKTn6D/FAKTn7oRik4+Q3yQyk4+aEbpeDkN8gPpeDkh26UgpPfID+UgpMfulEKzv0G90MpOPdDN0rBud/gfigF537oRqnjFdwvuB9KHQuljo1ScO4X3A+l4NwP3SgF537B/VAKzv3QjV</vt:lpwstr>
  </property>
  <property fmtid="{D5CDD505-2E9C-101B-9397-08002B2CF9AE}" pid="45" name="Comparison_Elasticities12CellChanges1_3">
    <vt:lpwstr>Jw7hfcD6Xg3A/dKAXnfsH9UArO/dCNUnD6I+gPlILTH+hGKTj9EfQHSsHpD3SjFJz+CPoDpeD0B7pRCk5+QX4oBSc/dKMUnPyC/FAKTn7oRqnjNclvkh9KHQuljo1ScPKb5IdScPJDN0rByW+SH0rByQ/dKAUnv0l+KAUnP3SjFJz8JvmhFJz80I1ScPKb5IdScPJDN0rByW+SH0rByQ/dKHV8nSwyH2waXJ4/O+78LB1gSt1juDzfGw5XOsAld</vt:lpwstr>
  </property>
  <property fmtid="{D5CDD505-2E9C-101B-9397-08002B2CF9AE}" pid="46" name="Comparison_Elasticities12CellChanges1_4">
    <vt:lpwstr>Yvh8nzvN1zpALfUHYbL873dcKUDPNJH+kjdbbjSfZ2sLx9QXOqWrnSAJm3SJm3SJm1Sb+Tu0qVu6UoH6NIu7dIu7dIuHdIhHdIhHdIhDWlIQxrSkIbUrNxZutQtXekAZuXG0qVu6UoHMCv3lS51S1c6gFm5rXSpW7rSfZ3DrNxVutQtXekAZuWm0qVu6UoHMCv3lC51S1c6gFm5pXSpW7rSAczKHaVL3dKVDuCN3FC61C1d6QDeyP2kS93Sle7r</vt:lpwstr>
  </property>
  <property fmtid="{D5CDD505-2E9C-101B-9397-08002B2CF9AE}" pid="47" name="Comparison_Elasticities12CellChanges1_5">
    <vt:lpwstr>DG/kdtKlbulKB/BG7iZd6paudABv5GbSpW7pSgfwRu4lXeqWrnQAb+RW0qVu6UoH8LfvTtKlbulKB/C370bSpW7pSgfwt+8+0qVu6UoHMCu3kS51S1c6gFm5i3SpW7rSfZ3TrNxEutQtXekAZuUe0qVu6UoHMKv5/ivGrNxPutIBzModpEvd0pUOYFZuIF3qlq50ALNy/+hSt3SlA5jVNKtpVvP9d5NZzfmrxXO252N+588+OupnGx353kCTz++</vt:lpwstr>
  </property>
  <property fmtid="{D5CDD505-2E9C-101B-9397-08002B2CF9AE}" pid="48" name="Comparison_Elasticities12CellChanges1_6">
    <vt:lpwstr>f5LNJXnw2x4vPZnfz2eRuPpvWw2ezeo50k7A+yj2CpruDhVFuDjTdFqyIcleg6X5gKZTbAU03Amug3AdougMY/HIDoOnUM+rlzKPpnDPc5ZSj6WQzzuVco+ksM8DlJKPp9DKy5eyi6bwypOW0oumEMpblfKLpTDKI5USi6RQyeuUMouncMWzl1KHppDFe5Zyh6WwxUOVkoek0MULlLKHp/DA05fSg6cQwJuW8oOmMMBjlhKDpVDAK5Uyg6RzQ/O</vt:lpwstr>
  </property>
  <property fmtid="{D5CDD505-2E9C-101B-9397-08002B2CF9AE}" pid="49" name="Comparison_Elasticities12CellChanges1_7">
    <vt:lpwstr>UUoGnn0+5l36Npr9PgZaejaXfT0mVvo2k/08RlN6NpB9O2Zf+iac/SqGXHommX0pplj6JpX9KMZVeiaSfSfmUfomnv0Xpl59l446M9d3++f/t/AR/Hf/5L6EM3dVN36S7drXv/3KN7cHSXD13TNZ1v6b6FXvKhG7qhC13oPKN7RveM7hndM7pndM/onjE8Y3jG8IzhGcMzhmcMzxieMTxjeMbwLcO3DN8yfEv4lvAt4VvCt4RvCd8SviV8S/iW8</vt:lpwstr>
  </property>
  <property fmtid="{D5CDD505-2E9C-101B-9397-08002B2CF9AE}" pid="50" name="Comparison_Elasticities12CellChanges1_8">
    <vt:lpwstr>C3hNw2/afhNw28aftPwm4ZnhGeEZ4RnTM+YnjE9Y3rG9IzpGdMzpmdMz5ieMT1jesb0jPcvpnGd6/7+e54fB4/BY8z/AUU2nVbHDQAA</vt:lpwstr>
  </property>
  <property fmtid="{D5CDD505-2E9C-101B-9397-08002B2CF9AE}" pid="51" name="Comparison_Overlays8RowInsertions">
    <vt:lpwstr/>
  </property>
  <property fmtid="{D5CDD505-2E9C-101B-9397-08002B2CF9AE}" pid="52" name="Comparison_Overlays8ColumnInsertions">
    <vt:lpwstr/>
  </property>
  <property fmtid="{D5CDD505-2E9C-101B-9397-08002B2CF9AE}" pid="53" name="Comparison_Overlays8CellChanges1_1">
    <vt:lpwstr>CgAAAB+LCAAAAAAABAAzNzcxNjI2qnE0BAD0Bb+rCgAAAA==</vt:lpwstr>
  </property>
  <property fmtid="{D5CDD505-2E9C-101B-9397-08002B2CF9AE}" pid="54" name="Comparison_C&gt;2RowInsertions">
    <vt:lpwstr/>
  </property>
  <property fmtid="{D5CDD505-2E9C-101B-9397-08002B2CF9AE}" pid="55" name="Comparison_C&gt;2ColumnInsertions">
    <vt:lpwstr/>
  </property>
  <property fmtid="{D5CDD505-2E9C-101B-9397-08002B2CF9AE}" pid="56" name="Comparison_RevsForecast(Nom)17RowInsertions">
    <vt:lpwstr/>
  </property>
  <property fmtid="{D5CDD505-2E9C-101B-9397-08002B2CF9AE}" pid="57" name="Comparison_RevsForecast(Nom)17ColumnInsertions">
    <vt:lpwstr/>
  </property>
  <property fmtid="{D5CDD505-2E9C-101B-9397-08002B2CF9AE}" pid="58" name="Comparison_RevsForecast(Nom)17CellChanges1_1">
    <vt:lpwstr>CgAAAB+LCAAAAAAABAAzNzcxNjI2qnE0BAD0Bb+rCgAAAA==</vt:lpwstr>
  </property>
  <property fmtid="{D5CDD505-2E9C-101B-9397-08002B2CF9AE}" pid="59" name="Comparison_OpexForecast(Nom)17RowInsertions">
    <vt:lpwstr/>
  </property>
  <property fmtid="{D5CDD505-2E9C-101B-9397-08002B2CF9AE}" pid="60" name="Comparison_OpexForecast(Nom)17ColumnInsertions">
    <vt:lpwstr/>
  </property>
  <property fmtid="{D5CDD505-2E9C-101B-9397-08002B2CF9AE}" pid="61" name="Comparison_OpexForecast(Nom)17CellChanges1_1">
    <vt:lpwstr>CgAAAB+LCAAAAAAABAAzNzcxNjI2qnE0BAD0Bb+rCgAAAA==</vt:lpwstr>
  </property>
  <property fmtid="{D5CDD505-2E9C-101B-9397-08002B2CF9AE}" pid="62" name="Comparison_Forecast(Real)14RowInsertions">
    <vt:lpwstr/>
  </property>
  <property fmtid="{D5CDD505-2E9C-101B-9397-08002B2CF9AE}" pid="63" name="Comparison_Forecast(Real)14ColumnInsertions">
    <vt:lpwstr/>
  </property>
  <property fmtid="{D5CDD505-2E9C-101B-9397-08002B2CF9AE}" pid="64" name="Comparison_Forecast(Real)14CellChanges1_1">
    <vt:lpwstr>CgAAAB+LCAAAAAAABAAzNzcxNjI2qnE0BAD0Bb+rCgAAAA==</vt:lpwstr>
  </property>
  <property fmtid="{D5CDD505-2E9C-101B-9397-08002B2CF9AE}" pid="65" name="Comparison_O&gt;2RowInsertions">
    <vt:lpwstr/>
  </property>
  <property fmtid="{D5CDD505-2E9C-101B-9397-08002B2CF9AE}" pid="66" name="Comparison_O&gt;2ColumnInsertions">
    <vt:lpwstr/>
  </property>
  <property fmtid="{D5CDD505-2E9C-101B-9397-08002B2CF9AE}" pid="67" name="MSIP_Label_3196a3aa-34a9-4b82-9eed-745e5fc3f53e_Enabled">
    <vt:lpwstr>true</vt:lpwstr>
  </property>
  <property fmtid="{D5CDD505-2E9C-101B-9397-08002B2CF9AE}" pid="68" name="MSIP_Label_3196a3aa-34a9-4b82-9eed-745e5fc3f53e_SetDate">
    <vt:lpwstr>2021-08-03T11:26:00Z</vt:lpwstr>
  </property>
  <property fmtid="{D5CDD505-2E9C-101B-9397-08002B2CF9AE}" pid="69" name="MSIP_Label_3196a3aa-34a9-4b82-9eed-745e5fc3f53e_Method">
    <vt:lpwstr>Standard</vt:lpwstr>
  </property>
  <property fmtid="{D5CDD505-2E9C-101B-9397-08002B2CF9AE}" pid="70" name="MSIP_Label_3196a3aa-34a9-4b82-9eed-745e5fc3f53e_Name">
    <vt:lpwstr>3196a3aa-34a9-4b82-9eed-745e5fc3f53e</vt:lpwstr>
  </property>
  <property fmtid="{D5CDD505-2E9C-101B-9397-08002B2CF9AE}" pid="71" name="MSIP_Label_3196a3aa-34a9-4b82-9eed-745e5fc3f53e_SiteId">
    <vt:lpwstr>c4edd5ba-10c3-4fe3-946a-7c9c446ab8c8</vt:lpwstr>
  </property>
  <property fmtid="{D5CDD505-2E9C-101B-9397-08002B2CF9AE}" pid="72" name="MSIP_Label_3196a3aa-34a9-4b82-9eed-745e5fc3f53e_ActionId">
    <vt:lpwstr>a9812351-cb77-44e8-8b4b-39943decae95</vt:lpwstr>
  </property>
  <property fmtid="{D5CDD505-2E9C-101B-9397-08002B2CF9AE}" pid="73" name="MSIP_Label_3196a3aa-34a9-4b82-9eed-745e5fc3f53e_ContentBits">
    <vt:lpwstr>0</vt:lpwstr>
  </property>
  <property fmtid="{D5CDD505-2E9C-101B-9397-08002B2CF9AE}" pid="74" name="MSIP_Label_d04dfc70-0289-4bbf-a1df-2e48919102f8_Enabled">
    <vt:lpwstr>true</vt:lpwstr>
  </property>
  <property fmtid="{D5CDD505-2E9C-101B-9397-08002B2CF9AE}" pid="75" name="MSIP_Label_d04dfc70-0289-4bbf-a1df-2e48919102f8_SetDate">
    <vt:lpwstr>2024-01-03T11:38:21Z</vt:lpwstr>
  </property>
  <property fmtid="{D5CDD505-2E9C-101B-9397-08002B2CF9AE}" pid="76" name="MSIP_Label_d04dfc70-0289-4bbf-a1df-2e48919102f8_Method">
    <vt:lpwstr>Standard</vt:lpwstr>
  </property>
  <property fmtid="{D5CDD505-2E9C-101B-9397-08002B2CF9AE}" pid="77" name="MSIP_Label_d04dfc70-0289-4bbf-a1df-2e48919102f8_Name">
    <vt:lpwstr>Private2</vt:lpwstr>
  </property>
  <property fmtid="{D5CDD505-2E9C-101B-9397-08002B2CF9AE}" pid="78" name="MSIP_Label_d04dfc70-0289-4bbf-a1df-2e48919102f8_SiteId">
    <vt:lpwstr>92ebd22d-0a9c-4516-a68f-ba966853a8f3</vt:lpwstr>
  </property>
  <property fmtid="{D5CDD505-2E9C-101B-9397-08002B2CF9AE}" pid="79" name="MSIP_Label_d04dfc70-0289-4bbf-a1df-2e48919102f8_ActionId">
    <vt:lpwstr>92dd4735-e417-49c7-a156-c192ed4a2155</vt:lpwstr>
  </property>
  <property fmtid="{D5CDD505-2E9C-101B-9397-08002B2CF9AE}" pid="80" name="MSIP_Label_d04dfc70-0289-4bbf-a1df-2e48919102f8_ContentBits">
    <vt:lpwstr>0</vt:lpwstr>
  </property>
</Properties>
</file>