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updateLinks="always"/>
  <xr:revisionPtr revIDLastSave="3" documentId="11_ECA577E02BBB6C3B2F97C4D131E0B5CE6D0D1BFE" xr6:coauthVersionLast="47" xr6:coauthVersionMax="47" xr10:uidLastSave="{4FDEADDD-8AEE-4239-9884-F4895D45300E}"/>
  <bookViews>
    <workbookView xWindow="-120" yWindow="-120" windowWidth="29040" windowHeight="15720" tabRatio="710" firstSheet="12" activeTab="35" xr2:uid="{00000000-000D-0000-FFFF-FFFF00000000}"/>
  </bookViews>
  <sheets>
    <sheet name="Change log" sheetId="43" r:id="rId1"/>
    <sheet name="Introduction" sheetId="1" r:id="rId2"/>
    <sheet name="Validation" sheetId="2" r:id="rId3"/>
    <sheet name="Section 1 -&gt;" sheetId="3" r:id="rId4"/>
    <sheet name="1A" sheetId="4" r:id="rId5"/>
    <sheet name="1B" sheetId="5" r:id="rId6"/>
    <sheet name="1C" sheetId="6" r:id="rId7"/>
    <sheet name="1D" sheetId="7" r:id="rId8"/>
    <sheet name="1E" sheetId="8" r:id="rId9"/>
    <sheet name="Section 2 -&gt;" sheetId="9" r:id="rId10"/>
    <sheet name="CLEAR_SHEET" sheetId="10" state="hidden" r:id="rId11"/>
    <sheet name="2A" sheetId="11" r:id="rId12"/>
    <sheet name="2B" sheetId="12" r:id="rId13"/>
    <sheet name="2C" sheetId="13" r:id="rId14"/>
    <sheet name="2D" sheetId="14" r:id="rId15"/>
    <sheet name="2E" sheetId="15" r:id="rId16"/>
    <sheet name="2F" sheetId="16" r:id="rId17"/>
    <sheet name="2G" sheetId="17" r:id="rId18"/>
    <sheet name="2H" sheetId="18" r:id="rId19"/>
    <sheet name="2I" sheetId="19" r:id="rId20"/>
    <sheet name="Section 3 -&gt;" sheetId="20" r:id="rId21"/>
    <sheet name="3A" sheetId="21" r:id="rId22"/>
    <sheet name="3B" sheetId="22" r:id="rId23"/>
    <sheet name="3C" sheetId="23" r:id="rId24"/>
    <sheet name="3D" sheetId="24" r:id="rId25"/>
    <sheet name="Section 4 -&gt;" sheetId="25" r:id="rId26"/>
    <sheet name="4A" sheetId="26" r:id="rId27"/>
    <sheet name="4B" sheetId="27" r:id="rId28"/>
    <sheet name="4C" sheetId="28" r:id="rId29"/>
    <sheet name="Sheet1" sheetId="44" r:id="rId30"/>
    <sheet name="4D" sheetId="29" r:id="rId31"/>
    <sheet name="4E" sheetId="30" r:id="rId32"/>
    <sheet name="4F" sheetId="31" r:id="rId33"/>
    <sheet name="4G" sheetId="32" r:id="rId34"/>
    <sheet name="4H" sheetId="33" r:id="rId35"/>
    <sheet name="4I" sheetId="34" r:id="rId36"/>
    <sheet name="Lists" sheetId="35" state="hidden" r:id="rId37"/>
    <sheet name="PC LIST" sheetId="36" state="hidden" r:id="rId38"/>
    <sheet name="PC list edited" sheetId="37" state="hidden" r:id="rId39"/>
    <sheet name="SUB LIST" sheetId="38" state="hidden" r:id="rId40"/>
    <sheet name="SUB list edited" sheetId="39" state="hidden" r:id="rId41"/>
    <sheet name="Water" sheetId="40" state="hidden" r:id="rId42"/>
    <sheet name="Sewerage" sheetId="41" state="hidden" r:id="rId43"/>
  </sheets>
  <externalReferences>
    <externalReference r:id="rId44"/>
    <externalReference r:id="rId45"/>
    <externalReference r:id="rId46"/>
    <externalReference r:id="rId47"/>
    <externalReference r:id="rId48"/>
    <externalReference r:id="rId49"/>
    <externalReference r:id="rId50"/>
    <externalReference r:id="rId51"/>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257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37" hidden="1">'PC LIST'!$Q$1:$Q$529</definedName>
    <definedName name="_xlnm._FilterDatabase" localSheetId="38" hidden="1">'PC list edited'!$A$1:$B$529</definedName>
    <definedName name="_xlnm._FilterDatabase" localSheetId="42" hidden="1">Sewerage!$A$1:$G$30</definedName>
    <definedName name="_xlnm._FilterDatabase" localSheetId="39" hidden="1">'SUB LIST'!$A$2:$AT$207</definedName>
    <definedName name="_xlnm._FilterDatabase" localSheetId="41" hidden="1">Water!$A$1:$R$25</definedName>
    <definedName name="_Order1" hidden="1">255</definedName>
    <definedName name="_Order2" hidden="1">255</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4">'1A'!$A$1:$AC$52</definedName>
    <definedName name="_xlnm.Print_Area" localSheetId="5">'1B'!$A$1:$X$31</definedName>
    <definedName name="_xlnm.Print_Area" localSheetId="6">'1C'!$A$1:$T$94</definedName>
    <definedName name="_xlnm.Print_Area" localSheetId="7">'1D'!$A$1:$T$78</definedName>
    <definedName name="_xlnm.Print_Area" localSheetId="8">'1E'!$A$1:$V$49</definedName>
    <definedName name="_xlnm.Print_Area" localSheetId="11">'2A'!$A$1:$AE$41</definedName>
    <definedName name="_xlnm.Print_Area" localSheetId="12">'2B'!$A$1:$W$68</definedName>
    <definedName name="_xlnm.Print_Area" localSheetId="13">'2C'!$A$1:$R$45</definedName>
    <definedName name="_xlnm.Print_Area" localSheetId="14">'2D'!$A$1:$O$56</definedName>
    <definedName name="_xlnm.Print_Area" localSheetId="15">'2E'!$A$1:$T$66</definedName>
    <definedName name="_xlnm.Print_Area" localSheetId="16">'2F'!$A$1:$W$34</definedName>
    <definedName name="_xlnm.Print_Area" localSheetId="17">'2G'!$A$1:$V$53</definedName>
    <definedName name="_xlnm.Print_Area" localSheetId="18">'2H'!$A$1:$U$53</definedName>
    <definedName name="_xlnm.Print_Area" localSheetId="19">'2I'!$A$1:$K$84</definedName>
    <definedName name="_xlnm.Print_Area" localSheetId="21">'3A'!$A$1:$S$85</definedName>
    <definedName name="_xlnm.Print_Area" localSheetId="22">'3B'!$A$1:$M$59</definedName>
    <definedName name="_xlnm.Print_Area" localSheetId="23">'3C'!$A$1:$L$50</definedName>
    <definedName name="_xlnm.Print_Area" localSheetId="24">'3D'!$A$1:$I$39</definedName>
    <definedName name="_xlnm.Print_Area" localSheetId="26">'4A'!$A$1:$L$38</definedName>
    <definedName name="_xlnm.Print_Area" localSheetId="27">'4B'!$A$1:$AC$46</definedName>
    <definedName name="_xlnm.Print_Area" localSheetId="28">'4C'!$A$1:$V$27</definedName>
    <definedName name="_xlnm.Print_Area" localSheetId="30">'4D'!$A$1:$AH$82</definedName>
    <definedName name="_xlnm.Print_Area" localSheetId="31">'4E'!$A$1:$Y$83</definedName>
    <definedName name="_xlnm.Print_Area" localSheetId="32">'4F'!$A$1:$AA$58</definedName>
    <definedName name="_xlnm.Print_Area" localSheetId="33">'4G'!$A$1:$S$44</definedName>
    <definedName name="_xlnm.Print_Area" localSheetId="34">'4H'!$A$1:$J$83</definedName>
    <definedName name="_xlnm.Print_Area" localSheetId="35">'4I'!$A$1:$AJ$86</definedName>
    <definedName name="_xlnm.Print_Area" localSheetId="0">'Change log'!$A$1:$C$26</definedName>
    <definedName name="_xlnm.Print_Area" localSheetId="1">Introduction!$A$1:$C$36</definedName>
    <definedName name="_xlnm.Print_Area" localSheetId="2">Validation!$A$1:$E$41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wpapers." hidden="1">{"bal",#N/A,FALSE,"working papers";"income",#N/A,FALSE,"working papers"}</definedName>
    <definedName name="Z_0D666283_CADB_464A_974F_FFED8E45FEBD_.wvu.Cols" localSheetId="14" hidden="1">'2D'!$Z:$XFD</definedName>
    <definedName name="Z_0D666283_CADB_464A_974F_FFED8E45FEBD_.wvu.Cols" localSheetId="26" hidden="1">'4A'!$P:$XFD</definedName>
    <definedName name="Z_0D666283_CADB_464A_974F_FFED8E45FEBD_.wvu.Cols" localSheetId="3" hidden="1">'Section 1 -&gt;'!$1:$1048576</definedName>
    <definedName name="Z_0D666283_CADB_464A_974F_FFED8E45FEBD_.wvu.Cols" localSheetId="9" hidden="1">'Section 2 -&gt;'!$1:$1048576</definedName>
    <definedName name="Z_0D666283_CADB_464A_974F_FFED8E45FEBD_.wvu.Cols" localSheetId="20" hidden="1">'Section 3 -&gt;'!$1:$1048576</definedName>
    <definedName name="Z_0D666283_CADB_464A_974F_FFED8E45FEBD_.wvu.Cols" localSheetId="25" hidden="1">'Section 4 -&gt;'!$1:$1048576</definedName>
    <definedName name="Z_0D666283_CADB_464A_974F_FFED8E45FEBD_.wvu.FilterData" localSheetId="38" hidden="1">'PC list edited'!$A$1:$B$529</definedName>
    <definedName name="Z_0D666283_CADB_464A_974F_FFED8E45FEBD_.wvu.FilterData" localSheetId="42" hidden="1">Sewerage!$A$1:$G$30</definedName>
    <definedName name="Z_0D666283_CADB_464A_974F_FFED8E45FEBD_.wvu.FilterData" localSheetId="41" hidden="1">Water!$A$1:$R$25</definedName>
    <definedName name="Z_0D666283_CADB_464A_974F_FFED8E45FEBD_.wvu.Rows" localSheetId="11" hidden="1">'2A'!$99:$1048576,'2A'!$60:$98</definedName>
    <definedName name="Z_0D666283_CADB_464A_974F_FFED8E45FEBD_.wvu.Rows" localSheetId="14" hidden="1">'2D'!$75:$1048576,'2D'!$54:$69</definedName>
    <definedName name="Z_0D666283_CADB_464A_974F_FFED8E45FEBD_.wvu.Rows" localSheetId="26" hidden="1">'4A'!$58:$1048576</definedName>
    <definedName name="Z_0D666283_CADB_464A_974F_FFED8E45FEBD_.wvu.Rows" localSheetId="3" hidden="1">'Section 1 -&gt;'!$36:$1048576,'Section 1 -&gt;'!$1:$35</definedName>
    <definedName name="Z_0D666283_CADB_464A_974F_FFED8E45FEBD_.wvu.Rows" localSheetId="9" hidden="1">'Section 2 -&gt;'!$36:$1048576,'Section 2 -&gt;'!$1:$35</definedName>
    <definedName name="Z_0D666283_CADB_464A_974F_FFED8E45FEBD_.wvu.Rows" localSheetId="20" hidden="1">'Section 3 -&gt;'!$36:$1048576,'Section 3 -&gt;'!$1:$35</definedName>
    <definedName name="Z_0D666283_CADB_464A_974F_FFED8E45FEBD_.wvu.Rows" localSheetId="25" hidden="1">'Section 4 -&gt;'!$36:$1048576,'Section 4 -&gt;'!$1:$35</definedName>
    <definedName name="Z_3BF63FB9_9E69_4F23_B37F_22932F355A10_.wvu.Cols" localSheetId="14" hidden="1">'2D'!$Z:$XFD</definedName>
    <definedName name="Z_3BF63FB9_9E69_4F23_B37F_22932F355A10_.wvu.Cols" localSheetId="26" hidden="1">'4A'!$P:$XFD</definedName>
    <definedName name="Z_3BF63FB9_9E69_4F23_B37F_22932F355A10_.wvu.Cols" localSheetId="3" hidden="1">'Section 1 -&gt;'!$1:$1048576</definedName>
    <definedName name="Z_3BF63FB9_9E69_4F23_B37F_22932F355A10_.wvu.Cols" localSheetId="9" hidden="1">'Section 2 -&gt;'!$1:$1048576</definedName>
    <definedName name="Z_3BF63FB9_9E69_4F23_B37F_22932F355A10_.wvu.Cols" localSheetId="20" hidden="1">'Section 3 -&gt;'!$1:$1048576</definedName>
    <definedName name="Z_3BF63FB9_9E69_4F23_B37F_22932F355A10_.wvu.Cols" localSheetId="25" hidden="1">'Section 4 -&gt;'!$1:$1048576</definedName>
    <definedName name="Z_3BF63FB9_9E69_4F23_B37F_22932F355A10_.wvu.FilterData" localSheetId="38" hidden="1">'PC list edited'!$A$1:$B$529</definedName>
    <definedName name="Z_3BF63FB9_9E69_4F23_B37F_22932F355A10_.wvu.FilterData" localSheetId="42" hidden="1">Sewerage!$A$1:$G$30</definedName>
    <definedName name="Z_3BF63FB9_9E69_4F23_B37F_22932F355A10_.wvu.FilterData" localSheetId="41" hidden="1">Water!$A$1:$R$25</definedName>
    <definedName name="Z_3BF63FB9_9E69_4F23_B37F_22932F355A10_.wvu.Rows" localSheetId="11" hidden="1">'2A'!$99:$1048576,'2A'!$60:$98</definedName>
    <definedName name="Z_3BF63FB9_9E69_4F23_B37F_22932F355A10_.wvu.Rows" localSheetId="14" hidden="1">'2D'!$75:$1048576,'2D'!$54:$69</definedName>
    <definedName name="Z_3BF63FB9_9E69_4F23_B37F_22932F355A10_.wvu.Rows" localSheetId="26" hidden="1">'4A'!$58:$1048576</definedName>
    <definedName name="Z_3BF63FB9_9E69_4F23_B37F_22932F355A10_.wvu.Rows" localSheetId="3" hidden="1">'Section 1 -&gt;'!$36:$1048576,'Section 1 -&gt;'!$1:$35</definedName>
    <definedName name="Z_3BF63FB9_9E69_4F23_B37F_22932F355A10_.wvu.Rows" localSheetId="9" hidden="1">'Section 2 -&gt;'!$36:$1048576,'Section 2 -&gt;'!$1:$35</definedName>
    <definedName name="Z_3BF63FB9_9E69_4F23_B37F_22932F355A10_.wvu.Rows" localSheetId="20" hidden="1">'Section 3 -&gt;'!$36:$1048576,'Section 3 -&gt;'!$1:$35</definedName>
    <definedName name="Z_3BF63FB9_9E69_4F23_B37F_22932F355A10_.wvu.Rows" localSheetId="25" hidden="1">'Section 4 -&gt;'!$36:$1048576,'Section 4 -&gt;'!$1:$35</definedName>
    <definedName name="Z_7149880A_A947_4311_B9E6_FD7CA321309D_.wvu.Cols" localSheetId="0" hidden="1">'Change log'!$E:$XFD</definedName>
    <definedName name="Z_7149880A_A947_4311_B9E6_FD7CA321309D_.wvu.Rows" localSheetId="0" hidden="1">'Change log'!$36:$1048576,'Change log'!$21:$35</definedName>
    <definedName name="Z_A683DE68_74F1_44FC_875D_47ACE58076E1_.wvu.Cols" localSheetId="14" hidden="1">'2D'!$Z:$XFD</definedName>
    <definedName name="Z_A683DE68_74F1_44FC_875D_47ACE58076E1_.wvu.Cols" localSheetId="26" hidden="1">'4A'!$P:$XFD</definedName>
    <definedName name="Z_A683DE68_74F1_44FC_875D_47ACE58076E1_.wvu.Cols" localSheetId="3" hidden="1">'Section 1 -&gt;'!$1:$1048576</definedName>
    <definedName name="Z_A683DE68_74F1_44FC_875D_47ACE58076E1_.wvu.Cols" localSheetId="9" hidden="1">'Section 2 -&gt;'!$1:$1048576</definedName>
    <definedName name="Z_A683DE68_74F1_44FC_875D_47ACE58076E1_.wvu.Cols" localSheetId="20" hidden="1">'Section 3 -&gt;'!$1:$1048576</definedName>
    <definedName name="Z_A683DE68_74F1_44FC_875D_47ACE58076E1_.wvu.Cols" localSheetId="25" hidden="1">'Section 4 -&gt;'!$1:$1048576</definedName>
    <definedName name="Z_A683DE68_74F1_44FC_875D_47ACE58076E1_.wvu.FilterData" localSheetId="38" hidden="1">'PC list edited'!$A$1:$B$529</definedName>
    <definedName name="Z_A683DE68_74F1_44FC_875D_47ACE58076E1_.wvu.FilterData" localSheetId="42" hidden="1">Sewerage!$A$1:$G$30</definedName>
    <definedName name="Z_A683DE68_74F1_44FC_875D_47ACE58076E1_.wvu.FilterData" localSheetId="41" hidden="1">Water!$A$1:$R$25</definedName>
    <definedName name="Z_A683DE68_74F1_44FC_875D_47ACE58076E1_.wvu.Rows" localSheetId="11" hidden="1">'2A'!$99:$1048576,'2A'!$60:$98</definedName>
    <definedName name="Z_A683DE68_74F1_44FC_875D_47ACE58076E1_.wvu.Rows" localSheetId="14" hidden="1">'2D'!$75:$1048576,'2D'!$54:$69</definedName>
    <definedName name="Z_A683DE68_74F1_44FC_875D_47ACE58076E1_.wvu.Rows" localSheetId="26" hidden="1">'4A'!$58:$1048576</definedName>
    <definedName name="Z_A683DE68_74F1_44FC_875D_47ACE58076E1_.wvu.Rows" localSheetId="3" hidden="1">'Section 1 -&gt;'!$36:$1048576,'Section 1 -&gt;'!$1:$35</definedName>
    <definedName name="Z_A683DE68_74F1_44FC_875D_47ACE58076E1_.wvu.Rows" localSheetId="9" hidden="1">'Section 2 -&gt;'!$36:$1048576,'Section 2 -&gt;'!$1:$35</definedName>
    <definedName name="Z_A683DE68_74F1_44FC_875D_47ACE58076E1_.wvu.Rows" localSheetId="20" hidden="1">'Section 3 -&gt;'!$36:$1048576,'Section 3 -&gt;'!$1:$35</definedName>
    <definedName name="Z_A683DE68_74F1_44FC_875D_47ACE58076E1_.wvu.Rows" localSheetId="25" hidden="1">'Section 4 -&gt;'!$36:$1048576,'Section 4 -&gt;'!$1:$35</definedName>
    <definedName name="Z_AD407241_085D_475C_AEE4_A4E03E7CC7A4_.wvu.Cols" localSheetId="0" hidden="1">'Change log'!$E:$XFD</definedName>
    <definedName name="Z_AD407241_085D_475C_AEE4_A4E03E7CC7A4_.wvu.Rows" localSheetId="0" hidden="1">'Change log'!$36:$1048576,'Change log'!$21:$35</definedName>
    <definedName name="Z_B6110306_7EDB_4112_9F29_7D9801D46B38_.wvu.Cols" localSheetId="14" hidden="1">'2D'!$Z:$XFD</definedName>
    <definedName name="Z_B6110306_7EDB_4112_9F29_7D9801D46B38_.wvu.Cols" localSheetId="26" hidden="1">'4A'!$P:$XFD</definedName>
    <definedName name="Z_B6110306_7EDB_4112_9F29_7D9801D46B38_.wvu.Cols" localSheetId="3" hidden="1">'Section 1 -&gt;'!$1:$1048576</definedName>
    <definedName name="Z_B6110306_7EDB_4112_9F29_7D9801D46B38_.wvu.Cols" localSheetId="9" hidden="1">'Section 2 -&gt;'!$1:$1048576</definedName>
    <definedName name="Z_B6110306_7EDB_4112_9F29_7D9801D46B38_.wvu.Cols" localSheetId="20" hidden="1">'Section 3 -&gt;'!$1:$1048576</definedName>
    <definedName name="Z_B6110306_7EDB_4112_9F29_7D9801D46B38_.wvu.Cols" localSheetId="25" hidden="1">'Section 4 -&gt;'!$1:$1048576</definedName>
    <definedName name="Z_B6110306_7EDB_4112_9F29_7D9801D46B38_.wvu.FilterData" localSheetId="38" hidden="1">'PC list edited'!$A$1:$B$529</definedName>
    <definedName name="Z_B6110306_7EDB_4112_9F29_7D9801D46B38_.wvu.FilterData" localSheetId="42" hidden="1">Sewerage!$A$1:$G$30</definedName>
    <definedName name="Z_B6110306_7EDB_4112_9F29_7D9801D46B38_.wvu.FilterData" localSheetId="41" hidden="1">Water!$A$1:$R$25</definedName>
    <definedName name="Z_B6110306_7EDB_4112_9F29_7D9801D46B38_.wvu.Rows" localSheetId="11" hidden="1">'2A'!$99:$1048576,'2A'!$60:$98</definedName>
    <definedName name="Z_B6110306_7EDB_4112_9F29_7D9801D46B38_.wvu.Rows" localSheetId="14" hidden="1">'2D'!$75:$1048576,'2D'!$54:$69</definedName>
    <definedName name="Z_B6110306_7EDB_4112_9F29_7D9801D46B38_.wvu.Rows" localSheetId="26" hidden="1">'4A'!$58:$1048576</definedName>
    <definedName name="Z_B6110306_7EDB_4112_9F29_7D9801D46B38_.wvu.Rows" localSheetId="3" hidden="1">'Section 1 -&gt;'!$2:$1048576,'Section 1 -&gt;'!$1:$1</definedName>
    <definedName name="Z_B6110306_7EDB_4112_9F29_7D9801D46B38_.wvu.Rows" localSheetId="9" hidden="1">'Section 2 -&gt;'!$2:$1048576,'Section 2 -&gt;'!$1:$1</definedName>
    <definedName name="Z_B6110306_7EDB_4112_9F29_7D9801D46B38_.wvu.Rows" localSheetId="20" hidden="1">'Section 3 -&gt;'!$2:$1048576,'Section 3 -&gt;'!$1:$1</definedName>
    <definedName name="Z_B6110306_7EDB_4112_9F29_7D9801D46B38_.wvu.Rows" localSheetId="25" hidden="1">'Section 4 -&gt;'!$2:$1048576,'Section 4 -&gt;'!$1:$1</definedName>
    <definedName name="Z_C2AA8589_53C1_4273_B7EE_5FA5323CA1F5_.wvu.FilterData" localSheetId="38" hidden="1">'PC list edited'!$A$1:$B$529</definedName>
    <definedName name="Z_C2AA8589_53C1_4273_B7EE_5FA5323CA1F5_.wvu.FilterData" localSheetId="42" hidden="1">Sewerage!$A$1:$G$30</definedName>
    <definedName name="Z_C2AA8589_53C1_4273_B7EE_5FA5323CA1F5_.wvu.FilterData" localSheetId="41" hidden="1">Water!$A$1:$R$25</definedName>
    <definedName name="Z_C652482F_DA5C_42AD_B6EE_268877F72B6E_.wvu.Cols" localSheetId="14" hidden="1">'2D'!$Z:$XFD</definedName>
    <definedName name="Z_C652482F_DA5C_42AD_B6EE_268877F72B6E_.wvu.Cols" localSheetId="26" hidden="1">'4A'!$P:$XFD</definedName>
    <definedName name="Z_C652482F_DA5C_42AD_B6EE_268877F72B6E_.wvu.Cols" localSheetId="3" hidden="1">'Section 1 -&gt;'!$1:$1048576</definedName>
    <definedName name="Z_C652482F_DA5C_42AD_B6EE_268877F72B6E_.wvu.Cols" localSheetId="9" hidden="1">'Section 2 -&gt;'!$1:$1048576</definedName>
    <definedName name="Z_C652482F_DA5C_42AD_B6EE_268877F72B6E_.wvu.Cols" localSheetId="20" hidden="1">'Section 3 -&gt;'!$1:$1048576</definedName>
    <definedName name="Z_C652482F_DA5C_42AD_B6EE_268877F72B6E_.wvu.Cols" localSheetId="25" hidden="1">'Section 4 -&gt;'!$1:$1048576</definedName>
    <definedName name="Z_C652482F_DA5C_42AD_B6EE_268877F72B6E_.wvu.FilterData" localSheetId="38" hidden="1">'PC list edited'!$A$1:$B$529</definedName>
    <definedName name="Z_C652482F_DA5C_42AD_B6EE_268877F72B6E_.wvu.FilterData" localSheetId="42" hidden="1">Sewerage!$A$1:$G$30</definedName>
    <definedName name="Z_C652482F_DA5C_42AD_B6EE_268877F72B6E_.wvu.FilterData" localSheetId="41" hidden="1">Water!$A$1:$R$25</definedName>
    <definedName name="Z_C652482F_DA5C_42AD_B6EE_268877F72B6E_.wvu.Rows" localSheetId="11" hidden="1">'2A'!$99:$1048576,'2A'!$60:$98</definedName>
    <definedName name="Z_C652482F_DA5C_42AD_B6EE_268877F72B6E_.wvu.Rows" localSheetId="14" hidden="1">'2D'!$75:$1048576,'2D'!$54:$69</definedName>
    <definedName name="Z_C652482F_DA5C_42AD_B6EE_268877F72B6E_.wvu.Rows" localSheetId="26" hidden="1">'4A'!$58:$1048576</definedName>
    <definedName name="Z_C652482F_DA5C_42AD_B6EE_268877F72B6E_.wvu.Rows" localSheetId="3" hidden="1">'Section 1 -&gt;'!$36:$1048576,'Section 1 -&gt;'!$1:$35</definedName>
    <definedName name="Z_C652482F_DA5C_42AD_B6EE_268877F72B6E_.wvu.Rows" localSheetId="9" hidden="1">'Section 2 -&gt;'!$36:$1048576,'Section 2 -&gt;'!$1:$35</definedName>
    <definedName name="Z_C652482F_DA5C_42AD_B6EE_268877F72B6E_.wvu.Rows" localSheetId="20" hidden="1">'Section 3 -&gt;'!$36:$1048576,'Section 3 -&gt;'!$1:$35</definedName>
    <definedName name="Z_C652482F_DA5C_42AD_B6EE_268877F72B6E_.wvu.Rows" localSheetId="25" hidden="1">'Section 4 -&gt;'!$36:$1048576,'Section 4 -&gt;'!$1:$35</definedName>
    <definedName name="Z_FCCFC11C_78D7_49AB_93F6_D160FB23647D_.wvu.FilterData" localSheetId="38" hidden="1">'PC list edited'!$A$1:$B$529</definedName>
    <definedName name="Z_FCCFC11C_78D7_49AB_93F6_D160FB23647D_.wvu.FilterData" localSheetId="42" hidden="1">Sewerage!$A$1:$G$30</definedName>
    <definedName name="Z_FCCFC11C_78D7_49AB_93F6_D160FB23647D_.wvu.FilterData" localSheetId="41" hidden="1">Water!$A$1:$R$25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7" l="1"/>
  <c r="H12" i="27"/>
  <c r="G11" i="27"/>
  <c r="I11" i="27"/>
  <c r="F11" i="27"/>
  <c r="H11" i="27"/>
  <c r="G10" i="27"/>
  <c r="I10" i="27"/>
  <c r="F10" i="27"/>
  <c r="H10" i="27"/>
  <c r="G9" i="12"/>
  <c r="H8" i="12"/>
  <c r="I30" i="12"/>
  <c r="H30" i="12"/>
  <c r="I29" i="12"/>
  <c r="H29" i="12"/>
  <c r="I25" i="12"/>
  <c r="H25" i="12"/>
  <c r="I23" i="12"/>
  <c r="H23" i="12"/>
  <c r="I21" i="12"/>
  <c r="H21" i="12"/>
  <c r="I20" i="12"/>
  <c r="H20" i="12"/>
  <c r="I19" i="12"/>
  <c r="H19" i="12"/>
  <c r="I18" i="12"/>
  <c r="H18" i="12"/>
  <c r="I14" i="12"/>
  <c r="H14" i="12"/>
  <c r="H7" i="12"/>
  <c r="I7" i="12"/>
  <c r="I8" i="12"/>
  <c r="H9" i="12"/>
  <c r="I9" i="12"/>
  <c r="H10" i="12"/>
  <c r="I10" i="12"/>
  <c r="H11" i="12"/>
  <c r="I11" i="12"/>
  <c r="I6" i="12"/>
  <c r="H6" i="12"/>
  <c r="G3" i="2"/>
  <c r="G30" i="12"/>
  <c r="F30" i="12"/>
  <c r="J30" i="12"/>
  <c r="G29" i="12"/>
  <c r="F29" i="12"/>
  <c r="G25" i="12"/>
  <c r="F25" i="12"/>
  <c r="G23" i="12"/>
  <c r="F23" i="12"/>
  <c r="J23" i="12"/>
  <c r="G21" i="12"/>
  <c r="F21" i="12"/>
  <c r="G20" i="12"/>
  <c r="F20" i="12"/>
  <c r="G19" i="12"/>
  <c r="F19" i="12"/>
  <c r="G18" i="12"/>
  <c r="F18" i="12"/>
  <c r="G14" i="12"/>
  <c r="G6" i="12"/>
  <c r="F14" i="12"/>
  <c r="J14" i="12"/>
  <c r="F7" i="12"/>
  <c r="G7" i="12"/>
  <c r="F8" i="12"/>
  <c r="G8" i="12"/>
  <c r="F9" i="12"/>
  <c r="J9" i="12"/>
  <c r="F10" i="12"/>
  <c r="G10" i="12"/>
  <c r="F11" i="12"/>
  <c r="G11" i="12"/>
  <c r="F6" i="12"/>
  <c r="J25" i="12"/>
  <c r="J29" i="12"/>
  <c r="J19" i="12"/>
  <c r="J21" i="12"/>
  <c r="J18" i="12"/>
  <c r="J20" i="12"/>
  <c r="J6" i="12"/>
  <c r="J7" i="12"/>
  <c r="J8" i="12"/>
  <c r="J11" i="12"/>
  <c r="J10" i="12"/>
  <c r="G9" i="11"/>
  <c r="F9" i="11"/>
  <c r="L9" i="11"/>
  <c r="K9" i="11"/>
  <c r="I9" i="11"/>
  <c r="H9" i="11"/>
  <c r="J9" i="11"/>
  <c r="O11" i="24"/>
  <c r="H11" i="24"/>
  <c r="L11" i="24"/>
  <c r="I11" i="24"/>
  <c r="K11" i="14"/>
  <c r="J11" i="14"/>
  <c r="I11" i="14"/>
  <c r="H11" i="14"/>
  <c r="G11" i="14"/>
  <c r="F11" i="14"/>
  <c r="DD4" i="39"/>
  <c r="DD5" i="39"/>
  <c r="DD6" i="39"/>
  <c r="DD7" i="39"/>
  <c r="DD8" i="39"/>
  <c r="DD9" i="39"/>
  <c r="DD10" i="39"/>
  <c r="DD11" i="39"/>
  <c r="DD12" i="39"/>
  <c r="DD13" i="39"/>
  <c r="DD14" i="39"/>
  <c r="DD15" i="39"/>
  <c r="DD16" i="39"/>
  <c r="DD17" i="39"/>
  <c r="DD18" i="39"/>
  <c r="DD19" i="39"/>
  <c r="DD20" i="39"/>
  <c r="DD21" i="39"/>
  <c r="DD22" i="39"/>
  <c r="DD23" i="39"/>
  <c r="DD24" i="39"/>
  <c r="DD25" i="39"/>
  <c r="DD26" i="39"/>
  <c r="DD3" i="39"/>
  <c r="DD2" i="39"/>
  <c r="CX2" i="39"/>
  <c r="CR2" i="39"/>
  <c r="CR4" i="39"/>
  <c r="CR5" i="39"/>
  <c r="CR6" i="39"/>
  <c r="CR7" i="39"/>
  <c r="CR8" i="39"/>
  <c r="CR9" i="39"/>
  <c r="CR10" i="39"/>
  <c r="CR11" i="39"/>
  <c r="CR12" i="39"/>
  <c r="CR13" i="39"/>
  <c r="CR14" i="39"/>
  <c r="CR15" i="39"/>
  <c r="CR16" i="39"/>
  <c r="CR17" i="39"/>
  <c r="CR18" i="39"/>
  <c r="CR19" i="39"/>
  <c r="CR20" i="39"/>
  <c r="CR21" i="39"/>
  <c r="CR22" i="39"/>
  <c r="CR23" i="39"/>
  <c r="CR24" i="39"/>
  <c r="CR3" i="39"/>
  <c r="CL4" i="39"/>
  <c r="CL5" i="39"/>
  <c r="CL6" i="39"/>
  <c r="CL7" i="39"/>
  <c r="CL8" i="39"/>
  <c r="CL9" i="39"/>
  <c r="CL10" i="39"/>
  <c r="CL11" i="39"/>
  <c r="CL12" i="39"/>
  <c r="CL13" i="39"/>
  <c r="CL14" i="39"/>
  <c r="CL15" i="39"/>
  <c r="CL16" i="39"/>
  <c r="CL17" i="39"/>
  <c r="CL18" i="39"/>
  <c r="CL19" i="39"/>
  <c r="CL20" i="39"/>
  <c r="CL21" i="39"/>
  <c r="CL22" i="39"/>
  <c r="CL23" i="39"/>
  <c r="CL24" i="39"/>
  <c r="CL25" i="39"/>
  <c r="CL26" i="39"/>
  <c r="CL27" i="39"/>
  <c r="CL28" i="39"/>
  <c r="CL29" i="39"/>
  <c r="CL30" i="39"/>
  <c r="CL31" i="39"/>
  <c r="CL32" i="39"/>
  <c r="CL33" i="39"/>
  <c r="CL34" i="39"/>
  <c r="CL35" i="39"/>
  <c r="CL36" i="39"/>
  <c r="CL37" i="39"/>
  <c r="CL38" i="39"/>
  <c r="CL39" i="39"/>
  <c r="CL40" i="39"/>
  <c r="CL41" i="39"/>
  <c r="CL42" i="39"/>
  <c r="CL3" i="39"/>
  <c r="CL2" i="39"/>
  <c r="CF4" i="39"/>
  <c r="CF5" i="39"/>
  <c r="CF6" i="39"/>
  <c r="CF7" i="39"/>
  <c r="CF8" i="39"/>
  <c r="CF9" i="39"/>
  <c r="CF10" i="39"/>
  <c r="CF11" i="39"/>
  <c r="CF12" i="39"/>
  <c r="CF13" i="39"/>
  <c r="CF14" i="39"/>
  <c r="CF15" i="39"/>
  <c r="CF16" i="39"/>
  <c r="CF17" i="39"/>
  <c r="CF18" i="39"/>
  <c r="CF19" i="39"/>
  <c r="CF20" i="39"/>
  <c r="CF21" i="39"/>
  <c r="CF22" i="39"/>
  <c r="CF23" i="39"/>
  <c r="CF24" i="39"/>
  <c r="CF25" i="39"/>
  <c r="CF26" i="39"/>
  <c r="CF3" i="39"/>
  <c r="CF2" i="39"/>
  <c r="BZ4" i="39"/>
  <c r="BZ5" i="39"/>
  <c r="BZ6" i="39"/>
  <c r="BZ7" i="39"/>
  <c r="BZ8" i="39"/>
  <c r="BZ9" i="39"/>
  <c r="BZ10" i="39"/>
  <c r="BZ11" i="39"/>
  <c r="BZ12" i="39"/>
  <c r="BZ13" i="39"/>
  <c r="BZ14" i="39"/>
  <c r="BZ15" i="39"/>
  <c r="BZ16" i="39"/>
  <c r="BZ17" i="39"/>
  <c r="BZ18" i="39"/>
  <c r="BZ19" i="39"/>
  <c r="BZ20" i="39"/>
  <c r="BZ21" i="39"/>
  <c r="BZ22" i="39"/>
  <c r="BZ23" i="39"/>
  <c r="BZ24" i="39"/>
  <c r="BZ25" i="39"/>
  <c r="BZ26" i="39"/>
  <c r="BZ3" i="39"/>
  <c r="BZ2" i="39"/>
  <c r="BT4" i="39"/>
  <c r="BT5" i="39"/>
  <c r="BT6" i="39"/>
  <c r="BT7" i="39"/>
  <c r="BT8" i="39"/>
  <c r="BT9" i="39"/>
  <c r="BT10" i="39"/>
  <c r="BT11" i="39"/>
  <c r="BT12" i="39"/>
  <c r="BT3" i="39"/>
  <c r="BT2" i="39"/>
  <c r="BN4" i="39"/>
  <c r="BN5" i="39"/>
  <c r="BN6" i="39"/>
  <c r="BN7" i="39"/>
  <c r="BN8" i="39"/>
  <c r="BN9" i="39"/>
  <c r="BN10" i="39"/>
  <c r="BN11" i="39"/>
  <c r="BN12" i="39"/>
  <c r="BN13" i="39"/>
  <c r="BN14" i="39"/>
  <c r="BN3" i="39"/>
  <c r="BN2" i="39"/>
  <c r="BH4" i="39"/>
  <c r="BH5" i="39"/>
  <c r="BH6" i="39"/>
  <c r="BH7" i="39"/>
  <c r="BH8" i="39"/>
  <c r="BH9" i="39"/>
  <c r="BH10" i="39"/>
  <c r="BH11" i="39"/>
  <c r="BH12" i="39"/>
  <c r="BH3" i="39"/>
  <c r="BH2" i="39"/>
  <c r="BB4" i="39"/>
  <c r="BB5" i="39"/>
  <c r="BB6" i="39"/>
  <c r="BB7" i="39"/>
  <c r="BB3" i="39"/>
  <c r="BB2" i="39"/>
  <c r="AV2" i="39"/>
  <c r="AP4" i="39"/>
  <c r="AP5" i="39"/>
  <c r="AP6" i="39"/>
  <c r="AP7" i="39"/>
  <c r="AP8" i="39"/>
  <c r="AP9" i="39"/>
  <c r="AP10" i="39"/>
  <c r="AP11" i="39"/>
  <c r="AP12" i="39"/>
  <c r="AP13" i="39"/>
  <c r="AP3" i="39"/>
  <c r="AP2" i="39"/>
  <c r="AJ2" i="39"/>
  <c r="AD2" i="39"/>
  <c r="X2" i="39"/>
  <c r="R4" i="39"/>
  <c r="R5" i="39"/>
  <c r="R6" i="39"/>
  <c r="R7" i="39"/>
  <c r="R8" i="39"/>
  <c r="R3" i="39"/>
  <c r="R2" i="39"/>
  <c r="L4" i="39"/>
  <c r="L5" i="39"/>
  <c r="L6" i="39"/>
  <c r="L7" i="39"/>
  <c r="L8" i="39"/>
  <c r="L9" i="39"/>
  <c r="L10" i="39"/>
  <c r="L11" i="39"/>
  <c r="L12" i="39"/>
  <c r="L13" i="39"/>
  <c r="L14" i="39"/>
  <c r="L15" i="39"/>
  <c r="L16" i="39"/>
  <c r="L17" i="39"/>
  <c r="L18" i="39"/>
  <c r="L19" i="39"/>
  <c r="L3" i="39"/>
  <c r="L2" i="39"/>
  <c r="F2" i="39"/>
  <c r="L15" i="33"/>
  <c r="DS4" i="37"/>
  <c r="DS5" i="37"/>
  <c r="DS6" i="37"/>
  <c r="DS7" i="37"/>
  <c r="DS8" i="37"/>
  <c r="DS9" i="37"/>
  <c r="DS10" i="37"/>
  <c r="DS11" i="37"/>
  <c r="DS12" i="37"/>
  <c r="DS13" i="37"/>
  <c r="DS14" i="37"/>
  <c r="DS15" i="37"/>
  <c r="DS16" i="37"/>
  <c r="DS17" i="37"/>
  <c r="DS18" i="37"/>
  <c r="DS19" i="37"/>
  <c r="DS20" i="37"/>
  <c r="DS21" i="37"/>
  <c r="DS22" i="37"/>
  <c r="DS23" i="37"/>
  <c r="DS24" i="37"/>
  <c r="DS25" i="37"/>
  <c r="DS26" i="37"/>
  <c r="DS27" i="37"/>
  <c r="DS28" i="37"/>
  <c r="DS29" i="37"/>
  <c r="DS30" i="37"/>
  <c r="DS31" i="37"/>
  <c r="DS32" i="37"/>
  <c r="DS33" i="37"/>
  <c r="DS34" i="37"/>
  <c r="DS35" i="37"/>
  <c r="DS36" i="37"/>
  <c r="DS3" i="37"/>
  <c r="DS2" i="37"/>
  <c r="DL4" i="37"/>
  <c r="DL5" i="37"/>
  <c r="DL6" i="37"/>
  <c r="DL7" i="37"/>
  <c r="DL8" i="37"/>
  <c r="DL9" i="37"/>
  <c r="DL10" i="37"/>
  <c r="DL11" i="37"/>
  <c r="DL12" i="37"/>
  <c r="DL13" i="37"/>
  <c r="DL14" i="37"/>
  <c r="DL15" i="37"/>
  <c r="DL16" i="37"/>
  <c r="DL17" i="37"/>
  <c r="DL18" i="37"/>
  <c r="DL19" i="37"/>
  <c r="DL20" i="37"/>
  <c r="DL21" i="37"/>
  <c r="DL22" i="37"/>
  <c r="DL23" i="37"/>
  <c r="DL24" i="37"/>
  <c r="DL25" i="37"/>
  <c r="DL26" i="37"/>
  <c r="DL27" i="37"/>
  <c r="DL28" i="37"/>
  <c r="DL29" i="37"/>
  <c r="DL30" i="37"/>
  <c r="DL31" i="37"/>
  <c r="DL32" i="37"/>
  <c r="DL33" i="37"/>
  <c r="DL34" i="37"/>
  <c r="DL3" i="37"/>
  <c r="DL2" i="37"/>
  <c r="DE4" i="37"/>
  <c r="DE5" i="37"/>
  <c r="DE6" i="37"/>
  <c r="DE7" i="37"/>
  <c r="DE8" i="37"/>
  <c r="DE9" i="37"/>
  <c r="DE10" i="37"/>
  <c r="DE11" i="37"/>
  <c r="DE12" i="37"/>
  <c r="DE13" i="37"/>
  <c r="DE14" i="37"/>
  <c r="DE15" i="37"/>
  <c r="DE16" i="37"/>
  <c r="DE17" i="37"/>
  <c r="DE18" i="37"/>
  <c r="DE19" i="37"/>
  <c r="DE20" i="37"/>
  <c r="DE21" i="37"/>
  <c r="DE22" i="37"/>
  <c r="DE23" i="37"/>
  <c r="DE24" i="37"/>
  <c r="DE25" i="37"/>
  <c r="DE26" i="37"/>
  <c r="DE27" i="37"/>
  <c r="DE28" i="37"/>
  <c r="DE29" i="37"/>
  <c r="DE30" i="37"/>
  <c r="DE31" i="37"/>
  <c r="DE32" i="37"/>
  <c r="DE33" i="37"/>
  <c r="DE3" i="37"/>
  <c r="DE2" i="37"/>
  <c r="CX4" i="37"/>
  <c r="CX5" i="37"/>
  <c r="CX6" i="37"/>
  <c r="CX7" i="37"/>
  <c r="CX8" i="37"/>
  <c r="CX9" i="37"/>
  <c r="CX10" i="37"/>
  <c r="CX11" i="37"/>
  <c r="CX12" i="37"/>
  <c r="CX13" i="37"/>
  <c r="CX14" i="37"/>
  <c r="CX15" i="37"/>
  <c r="CX16" i="37"/>
  <c r="CX17" i="37"/>
  <c r="CX18" i="37"/>
  <c r="CX19" i="37"/>
  <c r="CX20" i="37"/>
  <c r="CX21" i="37"/>
  <c r="CX22" i="37"/>
  <c r="CX23" i="37"/>
  <c r="CX24" i="37"/>
  <c r="CX25" i="37"/>
  <c r="CX26" i="37"/>
  <c r="CX27" i="37"/>
  <c r="CX28" i="37"/>
  <c r="CX29" i="37"/>
  <c r="CX3" i="37"/>
  <c r="CX2" i="37"/>
  <c r="CQ4" i="37"/>
  <c r="CQ5" i="37"/>
  <c r="CQ6" i="37"/>
  <c r="CQ7" i="37"/>
  <c r="CQ8" i="37"/>
  <c r="CQ9" i="37"/>
  <c r="CQ10" i="37"/>
  <c r="CQ11" i="37"/>
  <c r="CQ12" i="37"/>
  <c r="CQ13" i="37"/>
  <c r="CQ14" i="37"/>
  <c r="CQ15" i="37"/>
  <c r="CQ16" i="37"/>
  <c r="CQ17" i="37"/>
  <c r="CQ18" i="37"/>
  <c r="CQ19" i="37"/>
  <c r="CQ20" i="37"/>
  <c r="CQ21" i="37"/>
  <c r="CQ22" i="37"/>
  <c r="CQ23" i="37"/>
  <c r="CQ24" i="37"/>
  <c r="CQ25" i="37"/>
  <c r="CQ26" i="37"/>
  <c r="CQ27" i="37"/>
  <c r="CQ28" i="37"/>
  <c r="CQ29" i="37"/>
  <c r="CQ30" i="37"/>
  <c r="CQ31" i="37"/>
  <c r="CQ32" i="37"/>
  <c r="CQ33" i="37"/>
  <c r="CQ34" i="37"/>
  <c r="CQ35" i="37"/>
  <c r="CQ36" i="37"/>
  <c r="CQ37" i="37"/>
  <c r="CQ38" i="37"/>
  <c r="CQ39" i="37"/>
  <c r="CQ40" i="37"/>
  <c r="CQ41" i="37"/>
  <c r="CQ42" i="37"/>
  <c r="CQ43" i="37"/>
  <c r="CQ44" i="37"/>
  <c r="CQ45" i="37"/>
  <c r="CQ46" i="37"/>
  <c r="CQ47" i="37"/>
  <c r="CQ48" i="37"/>
  <c r="CQ49" i="37"/>
  <c r="CQ50" i="37"/>
  <c r="CQ51" i="37"/>
  <c r="CQ52" i="37"/>
  <c r="CQ53" i="37"/>
  <c r="CQ54" i="37"/>
  <c r="CQ55" i="37"/>
  <c r="CQ56" i="37"/>
  <c r="CQ57" i="37"/>
  <c r="CQ3" i="37"/>
  <c r="CQ2" i="37"/>
  <c r="CJ4" i="37"/>
  <c r="CJ5" i="37"/>
  <c r="CJ6" i="37"/>
  <c r="CJ7" i="37"/>
  <c r="CJ8" i="37"/>
  <c r="CJ9" i="37"/>
  <c r="CJ10" i="37"/>
  <c r="CJ11" i="37"/>
  <c r="CJ12" i="37"/>
  <c r="CJ13" i="37"/>
  <c r="CJ14" i="37"/>
  <c r="CJ15" i="37"/>
  <c r="CJ16" i="37"/>
  <c r="CJ17" i="37"/>
  <c r="CJ18" i="37"/>
  <c r="CJ19" i="37"/>
  <c r="CJ20" i="37"/>
  <c r="CJ21" i="37"/>
  <c r="CJ22" i="37"/>
  <c r="CJ23" i="37"/>
  <c r="CJ24" i="37"/>
  <c r="CJ25" i="37"/>
  <c r="CJ26" i="37"/>
  <c r="CJ27" i="37"/>
  <c r="CJ28" i="37"/>
  <c r="CJ29" i="37"/>
  <c r="CJ30" i="37"/>
  <c r="CJ31" i="37"/>
  <c r="CJ32" i="37"/>
  <c r="CJ33" i="37"/>
  <c r="CJ34" i="37"/>
  <c r="CJ35" i="37"/>
  <c r="CJ36" i="37"/>
  <c r="CJ37" i="37"/>
  <c r="CJ38" i="37"/>
  <c r="CJ39" i="37"/>
  <c r="CJ40" i="37"/>
  <c r="CJ41" i="37"/>
  <c r="CJ42" i="37"/>
  <c r="CJ43" i="37"/>
  <c r="CJ44" i="37"/>
  <c r="CJ3" i="37"/>
  <c r="CJ2" i="37"/>
  <c r="CC4" i="37"/>
  <c r="CC5" i="37"/>
  <c r="CC6" i="37"/>
  <c r="CC7" i="37"/>
  <c r="CC8" i="37"/>
  <c r="CC9" i="37"/>
  <c r="CC10" i="37"/>
  <c r="CC11" i="37"/>
  <c r="CC12" i="37"/>
  <c r="CC13" i="37"/>
  <c r="CC14" i="37"/>
  <c r="CC15" i="37"/>
  <c r="CC16" i="37"/>
  <c r="CC17" i="37"/>
  <c r="CC18" i="37"/>
  <c r="CC19" i="37"/>
  <c r="CC20" i="37"/>
  <c r="CC21" i="37"/>
  <c r="CC22" i="37"/>
  <c r="CC23" i="37"/>
  <c r="CC24" i="37"/>
  <c r="CC25" i="37"/>
  <c r="CC26" i="37"/>
  <c r="CC27" i="37"/>
  <c r="CC28" i="37"/>
  <c r="CC29" i="37"/>
  <c r="CC30" i="37"/>
  <c r="CC31" i="37"/>
  <c r="CC32" i="37"/>
  <c r="CC33" i="37"/>
  <c r="CC34" i="37"/>
  <c r="CC35" i="37"/>
  <c r="CC36" i="37"/>
  <c r="CC37" i="37"/>
  <c r="CC38" i="37"/>
  <c r="CC39" i="37"/>
  <c r="CC40" i="37"/>
  <c r="CC41" i="37"/>
  <c r="CC42" i="37"/>
  <c r="CC43" i="37"/>
  <c r="CC44" i="37"/>
  <c r="CC45" i="37"/>
  <c r="CC46" i="37"/>
  <c r="CC47" i="37"/>
  <c r="CC3" i="37"/>
  <c r="CC2" i="37"/>
  <c r="BV4" i="37"/>
  <c r="BV5" i="37"/>
  <c r="BV6" i="37"/>
  <c r="BV7" i="37"/>
  <c r="BV8" i="37"/>
  <c r="BV9" i="37"/>
  <c r="BV10" i="37"/>
  <c r="BV11" i="37"/>
  <c r="BV12" i="37"/>
  <c r="BV13" i="37"/>
  <c r="BV14" i="37"/>
  <c r="BV15" i="37"/>
  <c r="BV16" i="37"/>
  <c r="BV17" i="37"/>
  <c r="BV3" i="37"/>
  <c r="BV2" i="37"/>
  <c r="BO4" i="37"/>
  <c r="BO5" i="37"/>
  <c r="BO6" i="37"/>
  <c r="BO7" i="37"/>
  <c r="BO8" i="37"/>
  <c r="BO9" i="37"/>
  <c r="BO10" i="37"/>
  <c r="BO11" i="37"/>
  <c r="BO12" i="37"/>
  <c r="BO13" i="37"/>
  <c r="BO14" i="37"/>
  <c r="BO15" i="37"/>
  <c r="BO16" i="37"/>
  <c r="BO17" i="37"/>
  <c r="BO18" i="37"/>
  <c r="BO19" i="37"/>
  <c r="BO20" i="37"/>
  <c r="BO21" i="37"/>
  <c r="BO22" i="37"/>
  <c r="BO23" i="37"/>
  <c r="BO24" i="37"/>
  <c r="BO25" i="37"/>
  <c r="BO26" i="37"/>
  <c r="BO27" i="37"/>
  <c r="BO28" i="37"/>
  <c r="BO29" i="37"/>
  <c r="BO30" i="37"/>
  <c r="BO31" i="37"/>
  <c r="BO32" i="37"/>
  <c r="BO33" i="37"/>
  <c r="BO34" i="37"/>
  <c r="BO35" i="37"/>
  <c r="BO3" i="37"/>
  <c r="BO2" i="37"/>
  <c r="BH4" i="37"/>
  <c r="BH5" i="37"/>
  <c r="BH6" i="37"/>
  <c r="BH7" i="37"/>
  <c r="BH8" i="37"/>
  <c r="BH9" i="37"/>
  <c r="BH10" i="37"/>
  <c r="BH11" i="37"/>
  <c r="BH12" i="37"/>
  <c r="BH13" i="37"/>
  <c r="BH14" i="37"/>
  <c r="BH15" i="37"/>
  <c r="BH16" i="37"/>
  <c r="BH17" i="37"/>
  <c r="BH18" i="37"/>
  <c r="BH19" i="37"/>
  <c r="BH20" i="37"/>
  <c r="BH21" i="37"/>
  <c r="BH22" i="37"/>
  <c r="BH23" i="37"/>
  <c r="BH24" i="37"/>
  <c r="BH25" i="37"/>
  <c r="BH26" i="37"/>
  <c r="BH27" i="37"/>
  <c r="BH28" i="37"/>
  <c r="BH29" i="37"/>
  <c r="BH30" i="37"/>
  <c r="BH31" i="37"/>
  <c r="BH32" i="37"/>
  <c r="BH33" i="37"/>
  <c r="BH34" i="37"/>
  <c r="BH35" i="37"/>
  <c r="BH36" i="37"/>
  <c r="BH3" i="37"/>
  <c r="BH2" i="37"/>
  <c r="BA4" i="37"/>
  <c r="BA5" i="37"/>
  <c r="BA6" i="37"/>
  <c r="BA7" i="37"/>
  <c r="BA8" i="37"/>
  <c r="BA9" i="37"/>
  <c r="BA10" i="37"/>
  <c r="BA11" i="37"/>
  <c r="BA12" i="37"/>
  <c r="BA13" i="37"/>
  <c r="BA14" i="37"/>
  <c r="BA15" i="37"/>
  <c r="BA16" i="37"/>
  <c r="BA17" i="37"/>
  <c r="BA18" i="37"/>
  <c r="BA19" i="37"/>
  <c r="BA20" i="37"/>
  <c r="BA21" i="37"/>
  <c r="BA22" i="37"/>
  <c r="BA23" i="37"/>
  <c r="BA3" i="37"/>
  <c r="BA2" i="37"/>
  <c r="AT4" i="37"/>
  <c r="AT5" i="37"/>
  <c r="AT6" i="37"/>
  <c r="AT7" i="37"/>
  <c r="AT8" i="37"/>
  <c r="AT9" i="37"/>
  <c r="AT10" i="37"/>
  <c r="AT11" i="37"/>
  <c r="AT12" i="37"/>
  <c r="AT13" i="37"/>
  <c r="AT14" i="37"/>
  <c r="AT15" i="37"/>
  <c r="AT16" i="37"/>
  <c r="AT17" i="37"/>
  <c r="AT3" i="37"/>
  <c r="AT2" i="37"/>
  <c r="AM4" i="37"/>
  <c r="AM5" i="37"/>
  <c r="AM6" i="37"/>
  <c r="AM7" i="37"/>
  <c r="AM8" i="37"/>
  <c r="AM9" i="37"/>
  <c r="AM10" i="37"/>
  <c r="AM11" i="37"/>
  <c r="AM12" i="37"/>
  <c r="AM13" i="37"/>
  <c r="AM14" i="37"/>
  <c r="AM15" i="37"/>
  <c r="AM3" i="37"/>
  <c r="AM2" i="37"/>
  <c r="AF4" i="37"/>
  <c r="AF5" i="37"/>
  <c r="AF6" i="37"/>
  <c r="AF7" i="37"/>
  <c r="AF8" i="37"/>
  <c r="AF9" i="37"/>
  <c r="AF10" i="37"/>
  <c r="AF11" i="37"/>
  <c r="AF12" i="37"/>
  <c r="AF13" i="37"/>
  <c r="AF14" i="37"/>
  <c r="AF15" i="37"/>
  <c r="AF16" i="37"/>
  <c r="AF17" i="37"/>
  <c r="AF18" i="37"/>
  <c r="AF19" i="37"/>
  <c r="AF20" i="37"/>
  <c r="AF21" i="37"/>
  <c r="AF22" i="37"/>
  <c r="AF23" i="37"/>
  <c r="AF24" i="37"/>
  <c r="AF25" i="37"/>
  <c r="AF26" i="37"/>
  <c r="AF27" i="37"/>
  <c r="AF28" i="37"/>
  <c r="AF29" i="37"/>
  <c r="AF30" i="37"/>
  <c r="AF31" i="37"/>
  <c r="AF32" i="37"/>
  <c r="AF33" i="37"/>
  <c r="AF34" i="37"/>
  <c r="AF35" i="37"/>
  <c r="AF36" i="37"/>
  <c r="AF37" i="37"/>
  <c r="AF38" i="37"/>
  <c r="AF39" i="37"/>
  <c r="AF40" i="37"/>
  <c r="AF41" i="37"/>
  <c r="AF42" i="37"/>
  <c r="AF43" i="37"/>
  <c r="AF44" i="37"/>
  <c r="AF45" i="37"/>
  <c r="AF46" i="37"/>
  <c r="AF3" i="37"/>
  <c r="AF2" i="37"/>
  <c r="Y4" i="37"/>
  <c r="Y5" i="37"/>
  <c r="Y6" i="37"/>
  <c r="Y7" i="37"/>
  <c r="Y8" i="37"/>
  <c r="Y9" i="37"/>
  <c r="Y10" i="37"/>
  <c r="Y11" i="37"/>
  <c r="Y12" i="37"/>
  <c r="Y13" i="37"/>
  <c r="Y14" i="37"/>
  <c r="Y15" i="37"/>
  <c r="Y3" i="37"/>
  <c r="Y2" i="37"/>
  <c r="R4" i="37"/>
  <c r="R5" i="37"/>
  <c r="R6" i="37"/>
  <c r="R7" i="37"/>
  <c r="R8" i="37"/>
  <c r="R9" i="37"/>
  <c r="R10" i="37"/>
  <c r="R11" i="37"/>
  <c r="R12" i="37"/>
  <c r="R13" i="37"/>
  <c r="R14" i="37"/>
  <c r="R15" i="37"/>
  <c r="R16" i="37"/>
  <c r="R17" i="37"/>
  <c r="R18" i="37"/>
  <c r="R19" i="37"/>
  <c r="R20" i="37"/>
  <c r="R21" i="37"/>
  <c r="R22" i="37"/>
  <c r="R23" i="37"/>
  <c r="R3" i="37"/>
  <c r="R2" i="37"/>
  <c r="K4" i="37"/>
  <c r="K5" i="37"/>
  <c r="K6" i="37"/>
  <c r="K7" i="37"/>
  <c r="K8" i="37"/>
  <c r="K9" i="37"/>
  <c r="K10" i="37"/>
  <c r="K11" i="37"/>
  <c r="K12" i="37"/>
  <c r="K13" i="37"/>
  <c r="K14" i="37"/>
  <c r="K15" i="37"/>
  <c r="K16" i="37"/>
  <c r="K17" i="37"/>
  <c r="K18" i="37"/>
  <c r="K19" i="37"/>
  <c r="K20" i="37"/>
  <c r="K21" i="37"/>
  <c r="K22" i="37"/>
  <c r="K23" i="37"/>
  <c r="K24" i="37"/>
  <c r="K25" i="37"/>
  <c r="K26" i="37"/>
  <c r="K27" i="37"/>
  <c r="K28" i="37"/>
  <c r="K29" i="37"/>
  <c r="K30" i="37"/>
  <c r="K31" i="37"/>
  <c r="K32" i="37"/>
  <c r="K33" i="37"/>
  <c r="K34" i="37"/>
  <c r="K35" i="37"/>
  <c r="K36" i="37"/>
  <c r="K37" i="37"/>
  <c r="K38" i="37"/>
  <c r="K39" i="37"/>
  <c r="K40" i="37"/>
  <c r="K41" i="37"/>
  <c r="K3" i="37"/>
  <c r="K2" i="37"/>
  <c r="D4" i="37"/>
  <c r="D5" i="37"/>
  <c r="D6" i="37"/>
  <c r="D7" i="37"/>
  <c r="D8" i="37"/>
  <c r="D9" i="37"/>
  <c r="D10" i="37"/>
  <c r="D11" i="37"/>
  <c r="D12" i="37"/>
  <c r="D13" i="37"/>
  <c r="D14" i="37"/>
  <c r="D15" i="37"/>
  <c r="D3" i="37"/>
  <c r="D2" i="37"/>
  <c r="DV4" i="37"/>
  <c r="DV5" i="37"/>
  <c r="DV6" i="37"/>
  <c r="DV7" i="37"/>
  <c r="DV8" i="37"/>
  <c r="DV9" i="37"/>
  <c r="DV10" i="37"/>
  <c r="DV11" i="37"/>
  <c r="DV12" i="37"/>
  <c r="DV13" i="37"/>
  <c r="DV14" i="37"/>
  <c r="DV15" i="37"/>
  <c r="DV16" i="37"/>
  <c r="DV17" i="37"/>
  <c r="DV18" i="37"/>
  <c r="DV19" i="37"/>
  <c r="DV20" i="37"/>
  <c r="DV21" i="37"/>
  <c r="DV22" i="37"/>
  <c r="DV23" i="37"/>
  <c r="DV24" i="37"/>
  <c r="DV25" i="37"/>
  <c r="DV26" i="37"/>
  <c r="DV27" i="37"/>
  <c r="DV28" i="37"/>
  <c r="DV29" i="37"/>
  <c r="DV30" i="37"/>
  <c r="DV31" i="37"/>
  <c r="DV32" i="37"/>
  <c r="DV33" i="37"/>
  <c r="DV34" i="37"/>
  <c r="DV35" i="37"/>
  <c r="DV36" i="37"/>
  <c r="DV3" i="37"/>
  <c r="DV2" i="37"/>
  <c r="DO4" i="37"/>
  <c r="DO5" i="37"/>
  <c r="DO6" i="37"/>
  <c r="DO7" i="37"/>
  <c r="DO8" i="37"/>
  <c r="DO9" i="37"/>
  <c r="DO10" i="37"/>
  <c r="DO11" i="37"/>
  <c r="DO12" i="37"/>
  <c r="DO13" i="37"/>
  <c r="DO14" i="37"/>
  <c r="DO15" i="37"/>
  <c r="DO16" i="37"/>
  <c r="DO17" i="37"/>
  <c r="DO18" i="37"/>
  <c r="DO19" i="37"/>
  <c r="DO20" i="37"/>
  <c r="DO21" i="37"/>
  <c r="DO22" i="37"/>
  <c r="DO23" i="37"/>
  <c r="DO24" i="37"/>
  <c r="DO25" i="37"/>
  <c r="DO26" i="37"/>
  <c r="DO27" i="37"/>
  <c r="DO28" i="37"/>
  <c r="DO29" i="37"/>
  <c r="DO30" i="37"/>
  <c r="DO31" i="37"/>
  <c r="DO32" i="37"/>
  <c r="DO33" i="37"/>
  <c r="DO34" i="37"/>
  <c r="DO3" i="37"/>
  <c r="DO2" i="37"/>
  <c r="DH4" i="37"/>
  <c r="DH5" i="37"/>
  <c r="DH6" i="37"/>
  <c r="DH7" i="37"/>
  <c r="DH8" i="37"/>
  <c r="DH9" i="37"/>
  <c r="DH10" i="37"/>
  <c r="DH11" i="37"/>
  <c r="DH12" i="37"/>
  <c r="DH13" i="37"/>
  <c r="DH14" i="37"/>
  <c r="DH15" i="37"/>
  <c r="DH16" i="37"/>
  <c r="DH17" i="37"/>
  <c r="DH18" i="37"/>
  <c r="DH19" i="37"/>
  <c r="DH20" i="37"/>
  <c r="DH21" i="37"/>
  <c r="DH22" i="37"/>
  <c r="DH23" i="37"/>
  <c r="DH24" i="37"/>
  <c r="DH25" i="37"/>
  <c r="DH26" i="37"/>
  <c r="DH27" i="37"/>
  <c r="DH28" i="37"/>
  <c r="DH29" i="37"/>
  <c r="DH30" i="37"/>
  <c r="DH31" i="37"/>
  <c r="DH32" i="37"/>
  <c r="DH33" i="37"/>
  <c r="DH3" i="37"/>
  <c r="DH2" i="37"/>
  <c r="DA4" i="37"/>
  <c r="DA5" i="37"/>
  <c r="DA6" i="37"/>
  <c r="DA7" i="37"/>
  <c r="DA8" i="37"/>
  <c r="DA9" i="37"/>
  <c r="DA10" i="37"/>
  <c r="DA11" i="37"/>
  <c r="DA12" i="37"/>
  <c r="DA13" i="37"/>
  <c r="DA14" i="37"/>
  <c r="DA15" i="37"/>
  <c r="DA16" i="37"/>
  <c r="DA17" i="37"/>
  <c r="DA18" i="37"/>
  <c r="DA19" i="37"/>
  <c r="DA20" i="37"/>
  <c r="DA21" i="37"/>
  <c r="DA22" i="37"/>
  <c r="DA23" i="37"/>
  <c r="DA24" i="37"/>
  <c r="DA25" i="37"/>
  <c r="DA26" i="37"/>
  <c r="DA27" i="37"/>
  <c r="DA28" i="37"/>
  <c r="DA29" i="37"/>
  <c r="DA3" i="37"/>
  <c r="DA2" i="37"/>
  <c r="CT4" i="37"/>
  <c r="CT5" i="37"/>
  <c r="CT6" i="37"/>
  <c r="CT7" i="37"/>
  <c r="CT8" i="37"/>
  <c r="CT9" i="37"/>
  <c r="CT10" i="37"/>
  <c r="CT11" i="37"/>
  <c r="CT12" i="37"/>
  <c r="CT13" i="37"/>
  <c r="CT14" i="37"/>
  <c r="CT15" i="37"/>
  <c r="CT16" i="37"/>
  <c r="CT17" i="37"/>
  <c r="CT18" i="37"/>
  <c r="CT19" i="37"/>
  <c r="CT20" i="37"/>
  <c r="CT21" i="37"/>
  <c r="CT22" i="37"/>
  <c r="CT23" i="37"/>
  <c r="CT24" i="37"/>
  <c r="CT25" i="37"/>
  <c r="CT26" i="37"/>
  <c r="CT27" i="37"/>
  <c r="CT28" i="37"/>
  <c r="CT29" i="37"/>
  <c r="CT30" i="37"/>
  <c r="CT31" i="37"/>
  <c r="CT32" i="37"/>
  <c r="CT33" i="37"/>
  <c r="CT34" i="37"/>
  <c r="CT35" i="37"/>
  <c r="CT36" i="37"/>
  <c r="CT37" i="37"/>
  <c r="CT38" i="37"/>
  <c r="CT39" i="37"/>
  <c r="CT40" i="37"/>
  <c r="CT41" i="37"/>
  <c r="CT42" i="37"/>
  <c r="CT43" i="37"/>
  <c r="CT44" i="37"/>
  <c r="CT45" i="37"/>
  <c r="CT46" i="37"/>
  <c r="CT47" i="37"/>
  <c r="CT48" i="37"/>
  <c r="CT49" i="37"/>
  <c r="CT50" i="37"/>
  <c r="CT51" i="37"/>
  <c r="CT52" i="37"/>
  <c r="CT53" i="37"/>
  <c r="CT54" i="37"/>
  <c r="CT55" i="37"/>
  <c r="CT56" i="37"/>
  <c r="CT57" i="37"/>
  <c r="CT3" i="37"/>
  <c r="CT2" i="37"/>
  <c r="CM4" i="37"/>
  <c r="CM5" i="37"/>
  <c r="CM6" i="37"/>
  <c r="CM7" i="37"/>
  <c r="CM8" i="37"/>
  <c r="CM9" i="37"/>
  <c r="CM10" i="37"/>
  <c r="CM11" i="37"/>
  <c r="CM12" i="37"/>
  <c r="CM13" i="37"/>
  <c r="CM14" i="37"/>
  <c r="CM15" i="37"/>
  <c r="CM16" i="37"/>
  <c r="CM17" i="37"/>
  <c r="CM18" i="37"/>
  <c r="CM19" i="37"/>
  <c r="CM20" i="37"/>
  <c r="CM21" i="37"/>
  <c r="CM22" i="37"/>
  <c r="CM23" i="37"/>
  <c r="CM24" i="37"/>
  <c r="CM25" i="37"/>
  <c r="CM26" i="37"/>
  <c r="CM27" i="37"/>
  <c r="CM28" i="37"/>
  <c r="CM29" i="37"/>
  <c r="CM30" i="37"/>
  <c r="CM31" i="37"/>
  <c r="CM32" i="37"/>
  <c r="CM33" i="37"/>
  <c r="CM34" i="37"/>
  <c r="CM35" i="37"/>
  <c r="CM36" i="37"/>
  <c r="CM37" i="37"/>
  <c r="CM38" i="37"/>
  <c r="CM39" i="37"/>
  <c r="CM40" i="37"/>
  <c r="CM41" i="37"/>
  <c r="CM42" i="37"/>
  <c r="CM43" i="37"/>
  <c r="CM44" i="37"/>
  <c r="CM3" i="37"/>
  <c r="CM2" i="37"/>
  <c r="CF4" i="37"/>
  <c r="CF5" i="37"/>
  <c r="CF6" i="37"/>
  <c r="CF7" i="37"/>
  <c r="CF8" i="37"/>
  <c r="CF9" i="37"/>
  <c r="CF10" i="37"/>
  <c r="CF11" i="37"/>
  <c r="CF12" i="37"/>
  <c r="CF13" i="37"/>
  <c r="CF14" i="37"/>
  <c r="CF15" i="37"/>
  <c r="CF16" i="37"/>
  <c r="CF17" i="37"/>
  <c r="CF18" i="37"/>
  <c r="CF19" i="37"/>
  <c r="CF20" i="37"/>
  <c r="CF21" i="37"/>
  <c r="CF22" i="37"/>
  <c r="CF23" i="37"/>
  <c r="CF24" i="37"/>
  <c r="CF25" i="37"/>
  <c r="CF26" i="37"/>
  <c r="CF27" i="37"/>
  <c r="CF28" i="37"/>
  <c r="CF29" i="37"/>
  <c r="CF30" i="37"/>
  <c r="CF31" i="37"/>
  <c r="CF32" i="37"/>
  <c r="CF33" i="37"/>
  <c r="CF34" i="37"/>
  <c r="CF35" i="37"/>
  <c r="CF36" i="37"/>
  <c r="CF37" i="37"/>
  <c r="CF38" i="37"/>
  <c r="CF39" i="37"/>
  <c r="CF40" i="37"/>
  <c r="CF41" i="37"/>
  <c r="CF42" i="37"/>
  <c r="CF43" i="37"/>
  <c r="CF44" i="37"/>
  <c r="CF45" i="37"/>
  <c r="CF46" i="37"/>
  <c r="CF47" i="37"/>
  <c r="CF3" i="37"/>
  <c r="CF2" i="37"/>
  <c r="BY4" i="37"/>
  <c r="BY5" i="37"/>
  <c r="BY6" i="37"/>
  <c r="BY7" i="37"/>
  <c r="BY8" i="37"/>
  <c r="BY9" i="37"/>
  <c r="BY10" i="37"/>
  <c r="BY11" i="37"/>
  <c r="BY12" i="37"/>
  <c r="BY13" i="37"/>
  <c r="BY14" i="37"/>
  <c r="BY15" i="37"/>
  <c r="BY16" i="37"/>
  <c r="BY17" i="37"/>
  <c r="BY3" i="37"/>
  <c r="BY2" i="37"/>
  <c r="BW2" i="37"/>
  <c r="BX2" i="37"/>
  <c r="BR4" i="37"/>
  <c r="BR5" i="37"/>
  <c r="BR6" i="37"/>
  <c r="BR7" i="37"/>
  <c r="BR8" i="37"/>
  <c r="BR9" i="37"/>
  <c r="BR10" i="37"/>
  <c r="BR11" i="37"/>
  <c r="BR12" i="37"/>
  <c r="BR13" i="37"/>
  <c r="BR14" i="37"/>
  <c r="BR15" i="37"/>
  <c r="BR16" i="37"/>
  <c r="BR17" i="37"/>
  <c r="BR18" i="37"/>
  <c r="BR19" i="37"/>
  <c r="BR20" i="37"/>
  <c r="BR21" i="37"/>
  <c r="BR22" i="37"/>
  <c r="BR23" i="37"/>
  <c r="BR24" i="37"/>
  <c r="BR25" i="37"/>
  <c r="BR26" i="37"/>
  <c r="BR27" i="37"/>
  <c r="BR28" i="37"/>
  <c r="BR29" i="37"/>
  <c r="BR30" i="37"/>
  <c r="BR31" i="37"/>
  <c r="BR32" i="37"/>
  <c r="BR33" i="37"/>
  <c r="BR34" i="37"/>
  <c r="BR35" i="37"/>
  <c r="BR3" i="37"/>
  <c r="BR2" i="37"/>
  <c r="BK4" i="37"/>
  <c r="BK5" i="37"/>
  <c r="BK6" i="37"/>
  <c r="BK7" i="37"/>
  <c r="BK8" i="37"/>
  <c r="BK9" i="37"/>
  <c r="BK10" i="37"/>
  <c r="BK11" i="37"/>
  <c r="BK12" i="37"/>
  <c r="BK13" i="37"/>
  <c r="BK14" i="37"/>
  <c r="BK15" i="37"/>
  <c r="BK16" i="37"/>
  <c r="BK17" i="37"/>
  <c r="BK18" i="37"/>
  <c r="BK19" i="37"/>
  <c r="BK20" i="37"/>
  <c r="BK21" i="37"/>
  <c r="BK22" i="37"/>
  <c r="BK23" i="37"/>
  <c r="BK24" i="37"/>
  <c r="BK25" i="37"/>
  <c r="BK26" i="37"/>
  <c r="BK27" i="37"/>
  <c r="BK28" i="37"/>
  <c r="BK29" i="37"/>
  <c r="BK30" i="37"/>
  <c r="BK31" i="37"/>
  <c r="BK32" i="37"/>
  <c r="BK33" i="37"/>
  <c r="BK34" i="37"/>
  <c r="BK35" i="37"/>
  <c r="BK36" i="37"/>
  <c r="BK3" i="37"/>
  <c r="BK2" i="37"/>
  <c r="BD4" i="37"/>
  <c r="BD5" i="37"/>
  <c r="BD6" i="37"/>
  <c r="BD7" i="37"/>
  <c r="BD8" i="37"/>
  <c r="BD9" i="37"/>
  <c r="BD10" i="37"/>
  <c r="BD11" i="37"/>
  <c r="BD12" i="37"/>
  <c r="BD13" i="37"/>
  <c r="BD14" i="37"/>
  <c r="BD15" i="37"/>
  <c r="BD16" i="37"/>
  <c r="BD17" i="37"/>
  <c r="BD18" i="37"/>
  <c r="BD19" i="37"/>
  <c r="BD20" i="37"/>
  <c r="BD21" i="37"/>
  <c r="BD22" i="37"/>
  <c r="BD23" i="37"/>
  <c r="BD3" i="37"/>
  <c r="BD2" i="37"/>
  <c r="AW4" i="37"/>
  <c r="AW5" i="37"/>
  <c r="AW6" i="37"/>
  <c r="AW7" i="37"/>
  <c r="AW8" i="37"/>
  <c r="AW9" i="37"/>
  <c r="AW10" i="37"/>
  <c r="AW11" i="37"/>
  <c r="AW12" i="37"/>
  <c r="AW13" i="37"/>
  <c r="AW14" i="37"/>
  <c r="AW15" i="37"/>
  <c r="AW16" i="37"/>
  <c r="AW17" i="37"/>
  <c r="AW3" i="37"/>
  <c r="AW2" i="37"/>
  <c r="AP4" i="37"/>
  <c r="AP5" i="37"/>
  <c r="AP6" i="37"/>
  <c r="AP7" i="37"/>
  <c r="AP8" i="37"/>
  <c r="AP9" i="37"/>
  <c r="AP10" i="37"/>
  <c r="AP11" i="37"/>
  <c r="AP12" i="37"/>
  <c r="AP13" i="37"/>
  <c r="AP14" i="37"/>
  <c r="AP15" i="37"/>
  <c r="AP3" i="37"/>
  <c r="AP2" i="37"/>
  <c r="AI4" i="37"/>
  <c r="AI5" i="37"/>
  <c r="AI6" i="37"/>
  <c r="AI7" i="37"/>
  <c r="AI8" i="37"/>
  <c r="AI9" i="37"/>
  <c r="AI10" i="37"/>
  <c r="AI11" i="37"/>
  <c r="AI12" i="37"/>
  <c r="AI13" i="37"/>
  <c r="AI14" i="37"/>
  <c r="AI15" i="37"/>
  <c r="AI16" i="37"/>
  <c r="AI17" i="37"/>
  <c r="AI18" i="37"/>
  <c r="AI19" i="37"/>
  <c r="AI20" i="37"/>
  <c r="AI21" i="37"/>
  <c r="AI22" i="37"/>
  <c r="AI23" i="37"/>
  <c r="AI24" i="37"/>
  <c r="AI25" i="37"/>
  <c r="AI26" i="37"/>
  <c r="AI27" i="37"/>
  <c r="AI28" i="37"/>
  <c r="AI29" i="37"/>
  <c r="AI30" i="37"/>
  <c r="AI31" i="37"/>
  <c r="AI32" i="37"/>
  <c r="AI33" i="37"/>
  <c r="AI34" i="37"/>
  <c r="AI35" i="37"/>
  <c r="AI36" i="37"/>
  <c r="AI37" i="37"/>
  <c r="AI38" i="37"/>
  <c r="AI39" i="37"/>
  <c r="AI40" i="37"/>
  <c r="AI41" i="37"/>
  <c r="AI42" i="37"/>
  <c r="AI43" i="37"/>
  <c r="AI44" i="37"/>
  <c r="AI45" i="37"/>
  <c r="AI46" i="37"/>
  <c r="AI3" i="37"/>
  <c r="AI2" i="37"/>
  <c r="AB4" i="37"/>
  <c r="AB5" i="37"/>
  <c r="AB6" i="37"/>
  <c r="AB7" i="37"/>
  <c r="AB8" i="37"/>
  <c r="AB9" i="37"/>
  <c r="AB10" i="37"/>
  <c r="AB11" i="37"/>
  <c r="AB12" i="37"/>
  <c r="AB13" i="37"/>
  <c r="AB14" i="37"/>
  <c r="AB15" i="37"/>
  <c r="AB3" i="37"/>
  <c r="AB2" i="37"/>
  <c r="U4" i="37"/>
  <c r="U5" i="37"/>
  <c r="U6" i="37"/>
  <c r="U7" i="37"/>
  <c r="U8" i="37"/>
  <c r="U9" i="37"/>
  <c r="U10" i="37"/>
  <c r="U11" i="37"/>
  <c r="U12" i="37"/>
  <c r="U13" i="37"/>
  <c r="U14" i="37"/>
  <c r="U15" i="37"/>
  <c r="U16" i="37"/>
  <c r="U17" i="37"/>
  <c r="U18" i="37"/>
  <c r="U19" i="37"/>
  <c r="U20" i="37"/>
  <c r="U21" i="37"/>
  <c r="U22" i="37"/>
  <c r="U23" i="37"/>
  <c r="U3" i="37"/>
  <c r="T3" i="37"/>
  <c r="U2" i="37"/>
  <c r="N4" i="37"/>
  <c r="N5" i="37"/>
  <c r="N6" i="37"/>
  <c r="N7" i="37"/>
  <c r="N8" i="37"/>
  <c r="N9" i="37"/>
  <c r="N10" i="37"/>
  <c r="N11" i="37"/>
  <c r="N12" i="37"/>
  <c r="N13" i="37"/>
  <c r="N14" i="37"/>
  <c r="N15" i="37"/>
  <c r="N16" i="37"/>
  <c r="N17" i="37"/>
  <c r="N18" i="37"/>
  <c r="N19" i="37"/>
  <c r="N20" i="37"/>
  <c r="N21" i="37"/>
  <c r="N22" i="37"/>
  <c r="N23" i="37"/>
  <c r="N24" i="37"/>
  <c r="N25" i="37"/>
  <c r="N26" i="37"/>
  <c r="N27" i="37"/>
  <c r="N28" i="37"/>
  <c r="N29" i="37"/>
  <c r="N30" i="37"/>
  <c r="N31" i="37"/>
  <c r="N32" i="37"/>
  <c r="N33" i="37"/>
  <c r="N34" i="37"/>
  <c r="N35" i="37"/>
  <c r="N36" i="37"/>
  <c r="N37" i="37"/>
  <c r="N38" i="37"/>
  <c r="N39" i="37"/>
  <c r="N40" i="37"/>
  <c r="N41" i="37"/>
  <c r="N3" i="37"/>
  <c r="N2" i="37"/>
  <c r="G4" i="37"/>
  <c r="G5" i="37"/>
  <c r="G6" i="37"/>
  <c r="G7" i="37"/>
  <c r="G8" i="37"/>
  <c r="G9" i="37"/>
  <c r="G10" i="37"/>
  <c r="G11" i="37"/>
  <c r="G12" i="37"/>
  <c r="G13" i="37"/>
  <c r="G14" i="37"/>
  <c r="G15" i="37"/>
  <c r="G3" i="37"/>
  <c r="G2" i="37"/>
  <c r="F2" i="37"/>
  <c r="F15" i="24"/>
  <c r="P23" i="27"/>
  <c r="P20" i="27"/>
  <c r="P16" i="27"/>
  <c r="P12" i="27"/>
  <c r="P11" i="27"/>
  <c r="P10" i="27"/>
  <c r="O28" i="15"/>
  <c r="N38" i="19"/>
  <c r="J13" i="11"/>
  <c r="L22" i="33"/>
  <c r="I22" i="33"/>
  <c r="G9" i="28"/>
  <c r="AG6" i="21"/>
  <c r="AG7" i="21"/>
  <c r="AG8" i="21"/>
  <c r="AG9" i="21"/>
  <c r="AG10" i="21"/>
  <c r="AG11" i="21"/>
  <c r="AG12" i="21"/>
  <c r="AG13" i="21"/>
  <c r="AG14" i="21"/>
  <c r="AG15" i="21"/>
  <c r="AG16" i="21"/>
  <c r="AG17" i="21"/>
  <c r="AG18" i="21"/>
  <c r="AG19" i="21"/>
  <c r="AG20" i="21"/>
  <c r="AG21" i="21"/>
  <c r="AG22" i="21"/>
  <c r="AG23" i="21"/>
  <c r="AG24" i="21"/>
  <c r="AG25" i="21"/>
  <c r="AG26" i="21"/>
  <c r="AG27" i="21"/>
  <c r="AG28" i="21"/>
  <c r="AG29" i="21"/>
  <c r="AG30" i="21"/>
  <c r="AG31" i="21"/>
  <c r="AG32" i="21"/>
  <c r="AG33" i="21"/>
  <c r="AG34" i="21"/>
  <c r="AG35" i="21"/>
  <c r="AG36" i="21"/>
  <c r="AG37" i="21"/>
  <c r="AG38" i="21"/>
  <c r="AG39" i="21"/>
  <c r="AG40" i="21"/>
  <c r="AG41" i="21"/>
  <c r="AG42" i="21"/>
  <c r="AG43" i="21"/>
  <c r="AG44" i="21"/>
  <c r="AG45" i="21"/>
  <c r="AG46" i="21"/>
  <c r="AG47" i="21"/>
  <c r="AG48" i="21"/>
  <c r="AG49" i="21"/>
  <c r="AG50" i="21"/>
  <c r="AG51" i="21"/>
  <c r="AG52" i="21"/>
  <c r="AG53" i="21"/>
  <c r="AG54" i="21"/>
  <c r="AG55" i="21"/>
  <c r="AG56" i="21"/>
  <c r="AG57" i="21"/>
  <c r="AG58" i="21"/>
  <c r="AG59" i="21"/>
  <c r="AF6" i="21"/>
  <c r="AF7" i="21"/>
  <c r="AF8" i="21"/>
  <c r="AF9" i="21"/>
  <c r="AF10" i="21"/>
  <c r="AF11" i="21"/>
  <c r="AF12" i="21"/>
  <c r="AF13" i="21"/>
  <c r="AF14" i="21"/>
  <c r="AF15" i="21"/>
  <c r="AF16" i="21"/>
  <c r="AF17" i="21"/>
  <c r="AF18" i="21"/>
  <c r="AF19" i="21"/>
  <c r="AF20" i="21"/>
  <c r="AF21" i="21"/>
  <c r="AF22" i="21"/>
  <c r="AF23" i="21"/>
  <c r="AF24" i="21"/>
  <c r="AF25" i="21"/>
  <c r="AF26" i="21"/>
  <c r="AF27" i="21"/>
  <c r="AF28" i="21"/>
  <c r="AF29" i="21"/>
  <c r="AF30" i="21"/>
  <c r="AF31" i="21"/>
  <c r="AF32" i="21"/>
  <c r="AF33" i="21"/>
  <c r="AF34" i="21"/>
  <c r="AF35" i="21"/>
  <c r="AF36" i="21"/>
  <c r="AF37" i="21"/>
  <c r="AF38" i="21"/>
  <c r="AF39" i="21"/>
  <c r="AF40" i="21"/>
  <c r="AF41" i="21"/>
  <c r="AF42" i="21"/>
  <c r="AF43" i="21"/>
  <c r="AF44" i="21"/>
  <c r="AF45" i="21"/>
  <c r="AF46" i="21"/>
  <c r="AF47" i="21"/>
  <c r="AF48" i="21"/>
  <c r="AF49" i="21"/>
  <c r="AF50" i="21"/>
  <c r="AF51" i="21"/>
  <c r="AF52" i="21"/>
  <c r="AF53" i="21"/>
  <c r="AF54" i="21"/>
  <c r="AF55" i="21"/>
  <c r="AF56" i="21"/>
  <c r="AF57" i="21"/>
  <c r="AF58" i="21"/>
  <c r="AF59" i="21"/>
  <c r="DU2" i="37"/>
  <c r="DN2" i="37"/>
  <c r="DG2" i="37"/>
  <c r="CZ2" i="37"/>
  <c r="CS2" i="37"/>
  <c r="CL2" i="37"/>
  <c r="CE2" i="37"/>
  <c r="BQ2" i="37"/>
  <c r="BJ2" i="37"/>
  <c r="DU4" i="37"/>
  <c r="DU5" i="37"/>
  <c r="DU6" i="37"/>
  <c r="DU7" i="37"/>
  <c r="DU8" i="37"/>
  <c r="DU9" i="37"/>
  <c r="DU10" i="37"/>
  <c r="DU11" i="37"/>
  <c r="DU12" i="37"/>
  <c r="DU13" i="37"/>
  <c r="DU14" i="37"/>
  <c r="DU15" i="37"/>
  <c r="DU16" i="37"/>
  <c r="DU17" i="37"/>
  <c r="DU18" i="37"/>
  <c r="DU19" i="37"/>
  <c r="DU20" i="37"/>
  <c r="DU21" i="37"/>
  <c r="DU22" i="37"/>
  <c r="DU23" i="37"/>
  <c r="DU24" i="37"/>
  <c r="DU25" i="37"/>
  <c r="DU26" i="37"/>
  <c r="DU27" i="37"/>
  <c r="DU28" i="37"/>
  <c r="DU29" i="37"/>
  <c r="DU30" i="37"/>
  <c r="DU31" i="37"/>
  <c r="DU32" i="37"/>
  <c r="DU33" i="37"/>
  <c r="DU34" i="37"/>
  <c r="DU35" i="37"/>
  <c r="DU36" i="37"/>
  <c r="DU3" i="37"/>
  <c r="DN4" i="37"/>
  <c r="DN5" i="37"/>
  <c r="DN6" i="37"/>
  <c r="DN7" i="37"/>
  <c r="DN8" i="37"/>
  <c r="DN9" i="37"/>
  <c r="DN10" i="37"/>
  <c r="DN11" i="37"/>
  <c r="DN12" i="37"/>
  <c r="DN13" i="37"/>
  <c r="DN14" i="37"/>
  <c r="DN15" i="37"/>
  <c r="DN16" i="37"/>
  <c r="DN17" i="37"/>
  <c r="DN18" i="37"/>
  <c r="DN19" i="37"/>
  <c r="DN20" i="37"/>
  <c r="DN21" i="37"/>
  <c r="DN22" i="37"/>
  <c r="DN23" i="37"/>
  <c r="DN24" i="37"/>
  <c r="DN25" i="37"/>
  <c r="DN26" i="37"/>
  <c r="DN27" i="37"/>
  <c r="DN28" i="37"/>
  <c r="DN29" i="37"/>
  <c r="DN30" i="37"/>
  <c r="DN31" i="37"/>
  <c r="DN32" i="37"/>
  <c r="DN33" i="37"/>
  <c r="DN34" i="37"/>
  <c r="DN3" i="37"/>
  <c r="DG4" i="37"/>
  <c r="DG5" i="37"/>
  <c r="DG6" i="37"/>
  <c r="DG7" i="37"/>
  <c r="DG8" i="37"/>
  <c r="DG9" i="37"/>
  <c r="DG10" i="37"/>
  <c r="DG11" i="37"/>
  <c r="DG12" i="37"/>
  <c r="DG13" i="37"/>
  <c r="DG14" i="37"/>
  <c r="DG15" i="37"/>
  <c r="DG16" i="37"/>
  <c r="DG17" i="37"/>
  <c r="DG18" i="37"/>
  <c r="DG19" i="37"/>
  <c r="DG20" i="37"/>
  <c r="DG21" i="37"/>
  <c r="DG22" i="37"/>
  <c r="DG23" i="37"/>
  <c r="DG24" i="37"/>
  <c r="DG25" i="37"/>
  <c r="DG26" i="37"/>
  <c r="DG27" i="37"/>
  <c r="DG28" i="37"/>
  <c r="DG29" i="37"/>
  <c r="DG30" i="37"/>
  <c r="DG31" i="37"/>
  <c r="DG32" i="37"/>
  <c r="DG33" i="37"/>
  <c r="DG3" i="37"/>
  <c r="CZ4" i="37"/>
  <c r="CZ5" i="37"/>
  <c r="CZ6" i="37"/>
  <c r="CZ7" i="37"/>
  <c r="CZ8" i="37"/>
  <c r="CZ9" i="37"/>
  <c r="CZ10" i="37"/>
  <c r="CZ11" i="37"/>
  <c r="CZ12" i="37"/>
  <c r="CZ13" i="37"/>
  <c r="CZ14" i="37"/>
  <c r="CZ15" i="37"/>
  <c r="CZ16" i="37"/>
  <c r="CZ17" i="37"/>
  <c r="CZ18" i="37"/>
  <c r="CZ19" i="37"/>
  <c r="CZ20" i="37"/>
  <c r="CZ21" i="37"/>
  <c r="CZ22" i="37"/>
  <c r="CZ23" i="37"/>
  <c r="CZ24" i="37"/>
  <c r="CZ25" i="37"/>
  <c r="CZ26" i="37"/>
  <c r="CZ27" i="37"/>
  <c r="CZ28" i="37"/>
  <c r="CZ29" i="37"/>
  <c r="CZ3" i="37"/>
  <c r="CS4" i="37"/>
  <c r="CS5" i="37"/>
  <c r="CS6" i="37"/>
  <c r="CS7" i="37"/>
  <c r="CS8" i="37"/>
  <c r="CS9" i="37"/>
  <c r="CS10" i="37"/>
  <c r="CS11" i="37"/>
  <c r="CS12" i="37"/>
  <c r="CS13" i="37"/>
  <c r="CS14" i="37"/>
  <c r="CS15" i="37"/>
  <c r="CS16" i="37"/>
  <c r="CS17" i="37"/>
  <c r="CS18" i="37"/>
  <c r="CS19" i="37"/>
  <c r="CS20" i="37"/>
  <c r="CS21" i="37"/>
  <c r="CS22" i="37"/>
  <c r="CS23" i="37"/>
  <c r="CS24" i="37"/>
  <c r="CS25" i="37"/>
  <c r="CS26" i="37"/>
  <c r="CS27" i="37"/>
  <c r="CS28" i="37"/>
  <c r="CS29" i="37"/>
  <c r="CS30" i="37"/>
  <c r="CS31" i="37"/>
  <c r="CS32" i="37"/>
  <c r="CS33" i="37"/>
  <c r="CS34" i="37"/>
  <c r="CS35" i="37"/>
  <c r="CS36" i="37"/>
  <c r="CS37" i="37"/>
  <c r="CS38" i="37"/>
  <c r="CS39" i="37"/>
  <c r="CS40" i="37"/>
  <c r="CS41" i="37"/>
  <c r="CS42" i="37"/>
  <c r="CS43" i="37"/>
  <c r="CS44" i="37"/>
  <c r="CS45" i="37"/>
  <c r="CS46" i="37"/>
  <c r="CS47" i="37"/>
  <c r="CS48" i="37"/>
  <c r="CS49" i="37"/>
  <c r="CS50" i="37"/>
  <c r="CS51" i="37"/>
  <c r="CS52" i="37"/>
  <c r="CS53" i="37"/>
  <c r="CS54" i="37"/>
  <c r="CS55" i="37"/>
  <c r="CS56" i="37"/>
  <c r="CS57" i="37"/>
  <c r="CS3" i="37"/>
  <c r="CL4" i="37"/>
  <c r="CL5" i="37"/>
  <c r="CL6" i="37"/>
  <c r="CL7" i="37"/>
  <c r="CL8" i="37"/>
  <c r="CL9" i="37"/>
  <c r="CL10" i="37"/>
  <c r="CL11" i="37"/>
  <c r="CL12" i="37"/>
  <c r="CL13" i="37"/>
  <c r="CL14" i="37"/>
  <c r="CL15" i="37"/>
  <c r="CL16" i="37"/>
  <c r="CL17" i="37"/>
  <c r="CL18" i="37"/>
  <c r="CL19" i="37"/>
  <c r="CL20" i="37"/>
  <c r="CL21" i="37"/>
  <c r="CL22" i="37"/>
  <c r="CL23" i="37"/>
  <c r="CL24" i="37"/>
  <c r="CL25" i="37"/>
  <c r="CL26" i="37"/>
  <c r="CL27" i="37"/>
  <c r="CL28" i="37"/>
  <c r="CL29" i="37"/>
  <c r="CL30" i="37"/>
  <c r="CL31" i="37"/>
  <c r="CL32" i="37"/>
  <c r="CL33" i="37"/>
  <c r="CL34" i="37"/>
  <c r="CL35" i="37"/>
  <c r="CL36" i="37"/>
  <c r="CL37" i="37"/>
  <c r="CL38" i="37"/>
  <c r="CL39" i="37"/>
  <c r="CL40" i="37"/>
  <c r="CL41" i="37"/>
  <c r="CL42" i="37"/>
  <c r="CL43" i="37"/>
  <c r="CL44" i="37"/>
  <c r="CL3" i="37"/>
  <c r="CE4" i="37"/>
  <c r="CE5" i="37"/>
  <c r="CE6" i="37"/>
  <c r="CE7" i="37"/>
  <c r="CE8" i="37"/>
  <c r="CE9" i="37"/>
  <c r="CE10" i="37"/>
  <c r="CE11" i="37"/>
  <c r="CE12" i="37"/>
  <c r="CE13" i="37"/>
  <c r="CE14" i="37"/>
  <c r="CE15" i="37"/>
  <c r="CE16" i="37"/>
  <c r="CE17" i="37"/>
  <c r="CE18" i="37"/>
  <c r="CE19" i="37"/>
  <c r="CE20" i="37"/>
  <c r="CE21" i="37"/>
  <c r="CE22" i="37"/>
  <c r="CE23" i="37"/>
  <c r="CE24" i="37"/>
  <c r="CE25" i="37"/>
  <c r="CE26" i="37"/>
  <c r="CE27" i="37"/>
  <c r="CE28" i="37"/>
  <c r="CE29" i="37"/>
  <c r="CE30" i="37"/>
  <c r="CE31" i="37"/>
  <c r="CE32" i="37"/>
  <c r="CE33" i="37"/>
  <c r="CE34" i="37"/>
  <c r="CE35" i="37"/>
  <c r="CE36" i="37"/>
  <c r="CE37" i="37"/>
  <c r="CE38" i="37"/>
  <c r="CE39" i="37"/>
  <c r="CE40" i="37"/>
  <c r="CE41" i="37"/>
  <c r="CE42" i="37"/>
  <c r="CE43" i="37"/>
  <c r="CE44" i="37"/>
  <c r="CE45" i="37"/>
  <c r="CE46" i="37"/>
  <c r="CE47" i="37"/>
  <c r="CE3" i="37"/>
  <c r="BX4" i="37"/>
  <c r="BX5" i="37"/>
  <c r="BX6" i="37"/>
  <c r="BX7" i="37"/>
  <c r="BX8" i="37"/>
  <c r="BX9" i="37"/>
  <c r="BX10" i="37"/>
  <c r="BX11" i="37"/>
  <c r="BX12" i="37"/>
  <c r="BX13" i="37"/>
  <c r="BX14" i="37"/>
  <c r="BX15" i="37"/>
  <c r="BX16" i="37"/>
  <c r="BX17" i="37"/>
  <c r="BX3" i="37"/>
  <c r="BQ4" i="37"/>
  <c r="BQ5" i="37"/>
  <c r="BQ6" i="37"/>
  <c r="BQ7" i="37"/>
  <c r="BQ8" i="37"/>
  <c r="BQ9" i="37"/>
  <c r="BQ10" i="37"/>
  <c r="BQ11" i="37"/>
  <c r="BQ12" i="37"/>
  <c r="BQ13" i="37"/>
  <c r="BQ14" i="37"/>
  <c r="BQ15" i="37"/>
  <c r="BQ16" i="37"/>
  <c r="BQ17" i="37"/>
  <c r="BQ18" i="37"/>
  <c r="BQ19" i="37"/>
  <c r="BQ20" i="37"/>
  <c r="BQ21" i="37"/>
  <c r="BQ22" i="37"/>
  <c r="BQ23" i="37"/>
  <c r="BQ24" i="37"/>
  <c r="BQ25" i="37"/>
  <c r="BQ26" i="37"/>
  <c r="BQ27" i="37"/>
  <c r="BQ28" i="37"/>
  <c r="BQ29" i="37"/>
  <c r="BQ30" i="37"/>
  <c r="BQ31" i="37"/>
  <c r="BQ32" i="37"/>
  <c r="BQ33" i="37"/>
  <c r="BQ34" i="37"/>
  <c r="BQ35" i="37"/>
  <c r="BQ3" i="37"/>
  <c r="BJ4" i="37"/>
  <c r="BJ5" i="37"/>
  <c r="BJ6" i="37"/>
  <c r="BJ7" i="37"/>
  <c r="BJ8" i="37"/>
  <c r="BJ9" i="37"/>
  <c r="BJ10" i="37"/>
  <c r="BJ11" i="37"/>
  <c r="BJ12" i="37"/>
  <c r="BJ13" i="37"/>
  <c r="BJ14" i="37"/>
  <c r="BJ15" i="37"/>
  <c r="BJ16" i="37"/>
  <c r="BJ17" i="37"/>
  <c r="BJ18" i="37"/>
  <c r="BJ19" i="37"/>
  <c r="BJ20" i="37"/>
  <c r="BJ21" i="37"/>
  <c r="BJ22" i="37"/>
  <c r="BJ23" i="37"/>
  <c r="BJ24" i="37"/>
  <c r="BJ25" i="37"/>
  <c r="BJ26" i="37"/>
  <c r="BJ27" i="37"/>
  <c r="BJ28" i="37"/>
  <c r="BJ29" i="37"/>
  <c r="BJ30" i="37"/>
  <c r="BJ31" i="37"/>
  <c r="BJ32" i="37"/>
  <c r="BJ33" i="37"/>
  <c r="BJ34" i="37"/>
  <c r="BJ35" i="37"/>
  <c r="BJ36" i="37"/>
  <c r="BJ3" i="37"/>
  <c r="BC4" i="37"/>
  <c r="BC5" i="37"/>
  <c r="BC6" i="37"/>
  <c r="BC7" i="37"/>
  <c r="BC8" i="37"/>
  <c r="BC9" i="37"/>
  <c r="BC10" i="37"/>
  <c r="BC11" i="37"/>
  <c r="BC12" i="37"/>
  <c r="BC13" i="37"/>
  <c r="BC14" i="37"/>
  <c r="BC15" i="37"/>
  <c r="BC16" i="37"/>
  <c r="BC17" i="37"/>
  <c r="BC18" i="37"/>
  <c r="BC19" i="37"/>
  <c r="BC20" i="37"/>
  <c r="BC21" i="37"/>
  <c r="BC22" i="37"/>
  <c r="BC23" i="37"/>
  <c r="BC3" i="37"/>
  <c r="BC2" i="37"/>
  <c r="AV4" i="37"/>
  <c r="AV5" i="37"/>
  <c r="AV6" i="37"/>
  <c r="AV7" i="37"/>
  <c r="AV8" i="37"/>
  <c r="AV9" i="37"/>
  <c r="AV10" i="37"/>
  <c r="AV11" i="37"/>
  <c r="AV12" i="37"/>
  <c r="AV13" i="37"/>
  <c r="AV14" i="37"/>
  <c r="AV15" i="37"/>
  <c r="AV16" i="37"/>
  <c r="AV17" i="37"/>
  <c r="AV3" i="37"/>
  <c r="AV2" i="37"/>
  <c r="AO4" i="37"/>
  <c r="AO5" i="37"/>
  <c r="AO6" i="37"/>
  <c r="AO7" i="37"/>
  <c r="AO8" i="37"/>
  <c r="AO9" i="37"/>
  <c r="AO10" i="37"/>
  <c r="AO11" i="37"/>
  <c r="AO12" i="37"/>
  <c r="AO13" i="37"/>
  <c r="AO14" i="37"/>
  <c r="AO15" i="37"/>
  <c r="AO3" i="37"/>
  <c r="AO2" i="37"/>
  <c r="AH4" i="37"/>
  <c r="AH5" i="37"/>
  <c r="AH6" i="37"/>
  <c r="AH7" i="37"/>
  <c r="AH8" i="37"/>
  <c r="AH9" i="37"/>
  <c r="AH10" i="37"/>
  <c r="AH11" i="37"/>
  <c r="AH12" i="37"/>
  <c r="AH13" i="37"/>
  <c r="AH14" i="37"/>
  <c r="AH15" i="37"/>
  <c r="AH16" i="37"/>
  <c r="AH17" i="37"/>
  <c r="AH18" i="37"/>
  <c r="AH19" i="37"/>
  <c r="AH20" i="37"/>
  <c r="AH21" i="37"/>
  <c r="AH22" i="37"/>
  <c r="AH23" i="37"/>
  <c r="AH24" i="37"/>
  <c r="AH25" i="37"/>
  <c r="AH26" i="37"/>
  <c r="AH27" i="37"/>
  <c r="AH28" i="37"/>
  <c r="AH29" i="37"/>
  <c r="AH30" i="37"/>
  <c r="AH31" i="37"/>
  <c r="AH32" i="37"/>
  <c r="AH33" i="37"/>
  <c r="AH34" i="37"/>
  <c r="AH35" i="37"/>
  <c r="AH36" i="37"/>
  <c r="AH37" i="37"/>
  <c r="AH38" i="37"/>
  <c r="AH39" i="37"/>
  <c r="AH40" i="37"/>
  <c r="AH41" i="37"/>
  <c r="AH42" i="37"/>
  <c r="AH43" i="37"/>
  <c r="AH44" i="37"/>
  <c r="AH45" i="37"/>
  <c r="AH46" i="37"/>
  <c r="AH3" i="37"/>
  <c r="AH2" i="37"/>
  <c r="AA4" i="37"/>
  <c r="AA5" i="37"/>
  <c r="AA6" i="37"/>
  <c r="AA7" i="37"/>
  <c r="AA8" i="37"/>
  <c r="AA9" i="37"/>
  <c r="AA10" i="37"/>
  <c r="AA11" i="37"/>
  <c r="AA12" i="37"/>
  <c r="AA13" i="37"/>
  <c r="AA14" i="37"/>
  <c r="AA15" i="37"/>
  <c r="AA3" i="37"/>
  <c r="AA2" i="37"/>
  <c r="T4" i="37"/>
  <c r="T5" i="37"/>
  <c r="T6" i="37"/>
  <c r="T7" i="37"/>
  <c r="T8" i="37"/>
  <c r="T9" i="37"/>
  <c r="T10" i="37"/>
  <c r="T11" i="37"/>
  <c r="T12" i="37"/>
  <c r="T13" i="37"/>
  <c r="T14" i="37"/>
  <c r="T15" i="37"/>
  <c r="T16" i="37"/>
  <c r="T17" i="37"/>
  <c r="T18" i="37"/>
  <c r="T19" i="37"/>
  <c r="T20" i="37"/>
  <c r="T21" i="37"/>
  <c r="T22" i="37"/>
  <c r="T23" i="37"/>
  <c r="T2" i="37"/>
  <c r="M4" i="37"/>
  <c r="M5" i="37"/>
  <c r="M6" i="37"/>
  <c r="M7" i="37"/>
  <c r="M8" i="37"/>
  <c r="M9" i="37"/>
  <c r="M10" i="37"/>
  <c r="M11" i="37"/>
  <c r="M12" i="37"/>
  <c r="M13" i="37"/>
  <c r="M14" i="37"/>
  <c r="M15" i="37"/>
  <c r="M16" i="37"/>
  <c r="M17" i="37"/>
  <c r="M18" i="37"/>
  <c r="M19" i="37"/>
  <c r="M20" i="37"/>
  <c r="M21" i="37"/>
  <c r="M22" i="37"/>
  <c r="M23" i="37"/>
  <c r="M24" i="37"/>
  <c r="M25" i="37"/>
  <c r="M26" i="37"/>
  <c r="M27" i="37"/>
  <c r="M28" i="37"/>
  <c r="M29" i="37"/>
  <c r="M30" i="37"/>
  <c r="M31" i="37"/>
  <c r="M32" i="37"/>
  <c r="M33" i="37"/>
  <c r="M34" i="37"/>
  <c r="M35" i="37"/>
  <c r="M36" i="37"/>
  <c r="M37" i="37"/>
  <c r="M38" i="37"/>
  <c r="M39" i="37"/>
  <c r="M40" i="37"/>
  <c r="M41" i="37"/>
  <c r="M3" i="37"/>
  <c r="M2" i="37"/>
  <c r="F4" i="37"/>
  <c r="F5" i="37"/>
  <c r="F6" i="37"/>
  <c r="F7" i="37"/>
  <c r="F8" i="37"/>
  <c r="F9" i="37"/>
  <c r="F10" i="37"/>
  <c r="F11" i="37"/>
  <c r="F12" i="37"/>
  <c r="F13" i="37"/>
  <c r="F14" i="37"/>
  <c r="F15" i="37"/>
  <c r="F3" i="37"/>
  <c r="AG5" i="21"/>
  <c r="AF5" i="21"/>
  <c r="H12" i="31"/>
  <c r="G12" i="31"/>
  <c r="F12" i="31"/>
  <c r="F14" i="31"/>
  <c r="F17" i="31"/>
  <c r="F33" i="7"/>
  <c r="I8" i="6"/>
  <c r="J8" i="6"/>
  <c r="G13" i="6"/>
  <c r="G1" i="26"/>
  <c r="I1" i="15"/>
  <c r="O7" i="15"/>
  <c r="K25" i="14"/>
  <c r="J25" i="14"/>
  <c r="I25" i="14"/>
  <c r="H25" i="14"/>
  <c r="G25" i="14"/>
  <c r="F25" i="14"/>
  <c r="G29" i="6"/>
  <c r="R59" i="21"/>
  <c r="R58" i="21"/>
  <c r="R57" i="21"/>
  <c r="R56" i="21"/>
  <c r="R55" i="21"/>
  <c r="R54" i="21"/>
  <c r="R53" i="21"/>
  <c r="R52" i="21"/>
  <c r="R51" i="21"/>
  <c r="R50" i="21"/>
  <c r="R49" i="21"/>
  <c r="R48" i="21"/>
  <c r="R47" i="21"/>
  <c r="R46" i="21"/>
  <c r="R45" i="21"/>
  <c r="R44" i="21"/>
  <c r="R43" i="21"/>
  <c r="R42" i="21"/>
  <c r="R41" i="21"/>
  <c r="R40" i="21"/>
  <c r="R39" i="21"/>
  <c r="R38" i="21"/>
  <c r="R37" i="21"/>
  <c r="R36" i="21"/>
  <c r="R35" i="21"/>
  <c r="R34" i="21"/>
  <c r="R33" i="21"/>
  <c r="R32" i="21"/>
  <c r="R31" i="21"/>
  <c r="R30" i="21"/>
  <c r="R29" i="21"/>
  <c r="R28" i="21"/>
  <c r="R27" i="21"/>
  <c r="R26" i="21"/>
  <c r="R25" i="21"/>
  <c r="R24" i="21"/>
  <c r="R23" i="21"/>
  <c r="R22" i="21"/>
  <c r="R21" i="21"/>
  <c r="R20" i="21"/>
  <c r="R19" i="21"/>
  <c r="R18" i="21"/>
  <c r="R17" i="21"/>
  <c r="R16" i="21"/>
  <c r="R15" i="21"/>
  <c r="R14" i="21"/>
  <c r="R13" i="21"/>
  <c r="R12" i="21"/>
  <c r="R11" i="21"/>
  <c r="R10" i="21"/>
  <c r="R9" i="21"/>
  <c r="R8" i="21"/>
  <c r="R7" i="21"/>
  <c r="I13" i="31"/>
  <c r="H14" i="31"/>
  <c r="H17" i="31"/>
  <c r="G14" i="31"/>
  <c r="G17" i="31"/>
  <c r="W15" i="31"/>
  <c r="T15" i="31"/>
  <c r="W13" i="31"/>
  <c r="T13" i="31"/>
  <c r="M15" i="31"/>
  <c r="I15" i="31"/>
  <c r="M13" i="31"/>
  <c r="Z13" i="34"/>
  <c r="Y13" i="34"/>
  <c r="X13" i="34"/>
  <c r="W13" i="34"/>
  <c r="V13" i="34"/>
  <c r="U13" i="34"/>
  <c r="T13" i="34"/>
  <c r="Z12" i="34"/>
  <c r="Y12" i="34"/>
  <c r="X12" i="34"/>
  <c r="W12" i="34"/>
  <c r="V12" i="34"/>
  <c r="U12" i="34"/>
  <c r="T12" i="34"/>
  <c r="Z11" i="34"/>
  <c r="Y11" i="34"/>
  <c r="X11" i="34"/>
  <c r="W11" i="34"/>
  <c r="V11" i="34"/>
  <c r="U11" i="34"/>
  <c r="T11" i="34"/>
  <c r="Z10" i="34"/>
  <c r="Y10" i="34"/>
  <c r="X10" i="34"/>
  <c r="W10" i="34"/>
  <c r="V10" i="34"/>
  <c r="U10" i="34"/>
  <c r="T10" i="34"/>
  <c r="Z9" i="34"/>
  <c r="Y9" i="34"/>
  <c r="X9" i="34"/>
  <c r="W9" i="34"/>
  <c r="V9" i="34"/>
  <c r="U9" i="34"/>
  <c r="T9" i="34"/>
  <c r="K14" i="34"/>
  <c r="J14" i="34"/>
  <c r="H14" i="34"/>
  <c r="G14" i="34"/>
  <c r="F14" i="34"/>
  <c r="I13" i="34"/>
  <c r="I12" i="34"/>
  <c r="I11" i="34"/>
  <c r="I9" i="34"/>
  <c r="B62" i="33"/>
  <c r="B61" i="33"/>
  <c r="Q11" i="34"/>
  <c r="Q9" i="34"/>
  <c r="Q10" i="34"/>
  <c r="Q13" i="34"/>
  <c r="Q12" i="34"/>
  <c r="N15" i="31"/>
  <c r="AF31" i="30"/>
  <c r="AF30" i="30"/>
  <c r="AF26" i="30"/>
  <c r="AF24" i="30"/>
  <c r="AF22" i="30"/>
  <c r="AF21" i="30"/>
  <c r="AF20" i="30"/>
  <c r="AF19" i="30"/>
  <c r="AF15" i="30"/>
  <c r="AF12" i="30"/>
  <c r="AF11" i="30"/>
  <c r="AF10" i="30"/>
  <c r="AF9" i="30"/>
  <c r="AF8" i="30"/>
  <c r="AF7" i="30"/>
  <c r="AC31" i="29"/>
  <c r="AC30" i="29"/>
  <c r="AC26" i="29"/>
  <c r="AC24" i="29"/>
  <c r="AC22" i="29"/>
  <c r="AC21" i="29"/>
  <c r="AC20" i="29"/>
  <c r="AC19" i="29"/>
  <c r="AC15" i="29"/>
  <c r="AC12" i="29"/>
  <c r="AC11" i="29"/>
  <c r="AC10" i="29"/>
  <c r="AC9" i="29"/>
  <c r="AC8" i="29"/>
  <c r="AC7" i="29"/>
  <c r="W42" i="29"/>
  <c r="V42" i="29"/>
  <c r="U42" i="29"/>
  <c r="T42" i="29"/>
  <c r="S42" i="29"/>
  <c r="R42" i="29"/>
  <c r="I13" i="27"/>
  <c r="H13" i="27"/>
  <c r="N10" i="27"/>
  <c r="N16" i="27"/>
  <c r="F9" i="28"/>
  <c r="L8" i="28"/>
  <c r="L7" i="28"/>
  <c r="L6" i="28"/>
  <c r="O42" i="29"/>
  <c r="AD15" i="31"/>
  <c r="F15" i="13"/>
  <c r="AE15" i="31"/>
  <c r="N42" i="19"/>
  <c r="N41" i="19"/>
  <c r="P31" i="19"/>
  <c r="K31" i="19"/>
  <c r="G43" i="19"/>
  <c r="F43" i="19"/>
  <c r="H42" i="19"/>
  <c r="H41" i="19"/>
  <c r="O13" i="15"/>
  <c r="K13" i="15"/>
  <c r="I22" i="15"/>
  <c r="I13" i="15"/>
  <c r="AB15" i="31"/>
  <c r="P15" i="31"/>
  <c r="H43" i="19"/>
  <c r="H28" i="18"/>
  <c r="H27" i="18"/>
  <c r="H26" i="18"/>
  <c r="H25" i="18"/>
  <c r="H24" i="18"/>
  <c r="H23" i="18"/>
  <c r="H22" i="18"/>
  <c r="H21" i="18"/>
  <c r="H20" i="18"/>
  <c r="H19" i="18"/>
  <c r="H18" i="18"/>
  <c r="H17" i="18"/>
  <c r="H16" i="18"/>
  <c r="H15" i="18"/>
  <c r="H14" i="18"/>
  <c r="H13" i="18"/>
  <c r="H12" i="18"/>
  <c r="H11" i="18"/>
  <c r="H10" i="18"/>
  <c r="H9" i="18"/>
  <c r="H6" i="18"/>
  <c r="H26" i="17"/>
  <c r="H25" i="17"/>
  <c r="H24" i="17"/>
  <c r="H23" i="17"/>
  <c r="H22" i="17"/>
  <c r="H21" i="17"/>
  <c r="H20" i="17"/>
  <c r="H19" i="17"/>
  <c r="H18" i="17"/>
  <c r="H17" i="17"/>
  <c r="H16" i="17"/>
  <c r="H15" i="17"/>
  <c r="H14" i="17"/>
  <c r="H13" i="17"/>
  <c r="H12" i="17"/>
  <c r="H11" i="17"/>
  <c r="H10" i="17"/>
  <c r="H9" i="17"/>
  <c r="H6" i="17"/>
  <c r="D27" i="17"/>
  <c r="D29" i="17"/>
  <c r="P8" i="16"/>
  <c r="P5" i="16"/>
  <c r="W16" i="14"/>
  <c r="V16" i="14"/>
  <c r="S24" i="14"/>
  <c r="S23" i="14"/>
  <c r="S16" i="14"/>
  <c r="S15" i="14"/>
  <c r="S14" i="14"/>
  <c r="S10" i="14"/>
  <c r="S9" i="14"/>
  <c r="S8" i="14"/>
  <c r="S7" i="14"/>
  <c r="W10" i="14"/>
  <c r="V10" i="14"/>
  <c r="R10" i="14"/>
  <c r="L10" i="14"/>
  <c r="L25" i="14"/>
  <c r="AA25" i="14"/>
  <c r="W24" i="14"/>
  <c r="V24" i="14"/>
  <c r="R24" i="14"/>
  <c r="L24" i="14"/>
  <c r="W23" i="14"/>
  <c r="V23" i="14"/>
  <c r="R23" i="14"/>
  <c r="L23" i="14"/>
  <c r="G20" i="14"/>
  <c r="G17" i="14"/>
  <c r="H17" i="14"/>
  <c r="H20" i="14"/>
  <c r="G19" i="14"/>
  <c r="H19" i="14"/>
  <c r="N16" i="13"/>
  <c r="J16" i="13"/>
  <c r="W14" i="11"/>
  <c r="V14" i="11"/>
  <c r="W13" i="11"/>
  <c r="V13" i="11"/>
  <c r="W11" i="11"/>
  <c r="V11" i="11"/>
  <c r="W10" i="11"/>
  <c r="V10" i="11"/>
  <c r="U10" i="11"/>
  <c r="T10" i="11"/>
  <c r="W7" i="11"/>
  <c r="W6" i="11"/>
  <c r="I22" i="12"/>
  <c r="I24" i="12"/>
  <c r="H22" i="12"/>
  <c r="G22" i="12"/>
  <c r="H12" i="12"/>
  <c r="G12" i="12"/>
  <c r="H24" i="12"/>
  <c r="AF25" i="30"/>
  <c r="AF23" i="30"/>
  <c r="G24" i="12"/>
  <c r="AC25" i="29"/>
  <c r="AC23" i="29"/>
  <c r="G15" i="12"/>
  <c r="AC13" i="29"/>
  <c r="H15" i="12"/>
  <c r="AF13" i="30"/>
  <c r="M13" i="11"/>
  <c r="M14" i="11"/>
  <c r="J14" i="11"/>
  <c r="H26" i="12"/>
  <c r="H33" i="12"/>
  <c r="G26" i="12"/>
  <c r="K8" i="11"/>
  <c r="AF16" i="30"/>
  <c r="I8" i="11"/>
  <c r="AC16" i="29"/>
  <c r="N13" i="11"/>
  <c r="N14" i="11"/>
  <c r="B42" i="23"/>
  <c r="E30" i="23"/>
  <c r="F30" i="23"/>
  <c r="G30" i="23"/>
  <c r="H30" i="23"/>
  <c r="T6" i="23"/>
  <c r="U6" i="23"/>
  <c r="V6" i="23"/>
  <c r="W6" i="23"/>
  <c r="T7" i="23"/>
  <c r="U7" i="23"/>
  <c r="V7" i="23"/>
  <c r="W7" i="23"/>
  <c r="T8" i="23"/>
  <c r="U8" i="23"/>
  <c r="V8" i="23"/>
  <c r="W8" i="23"/>
  <c r="T9" i="23"/>
  <c r="U9" i="23"/>
  <c r="V9" i="23"/>
  <c r="W9" i="23"/>
  <c r="T10" i="23"/>
  <c r="U10" i="23"/>
  <c r="V10" i="23"/>
  <c r="W10" i="23"/>
  <c r="T11" i="23"/>
  <c r="U11" i="23"/>
  <c r="V11" i="23"/>
  <c r="W11" i="23"/>
  <c r="T12" i="23"/>
  <c r="U12" i="23"/>
  <c r="V12" i="23"/>
  <c r="W12" i="23"/>
  <c r="T13" i="23"/>
  <c r="U13" i="23"/>
  <c r="V13" i="23"/>
  <c r="W13" i="23"/>
  <c r="T14" i="23"/>
  <c r="U14" i="23"/>
  <c r="V14" i="23"/>
  <c r="W14" i="23"/>
  <c r="T15" i="23"/>
  <c r="U15" i="23"/>
  <c r="V15" i="23"/>
  <c r="W15" i="23"/>
  <c r="T16" i="23"/>
  <c r="U16" i="23"/>
  <c r="V16" i="23"/>
  <c r="W16" i="23"/>
  <c r="T17" i="23"/>
  <c r="U17" i="23"/>
  <c r="V17" i="23"/>
  <c r="W17" i="23"/>
  <c r="T18" i="23"/>
  <c r="U18" i="23"/>
  <c r="V18" i="23"/>
  <c r="W18" i="23"/>
  <c r="T19" i="23"/>
  <c r="U19" i="23"/>
  <c r="V19" i="23"/>
  <c r="W19" i="23"/>
  <c r="T20" i="23"/>
  <c r="U20" i="23"/>
  <c r="V20" i="23"/>
  <c r="W20" i="23"/>
  <c r="T21" i="23"/>
  <c r="U21" i="23"/>
  <c r="V21" i="23"/>
  <c r="W21" i="23"/>
  <c r="T22" i="23"/>
  <c r="U22" i="23"/>
  <c r="V22" i="23"/>
  <c r="W22" i="23"/>
  <c r="T23" i="23"/>
  <c r="U23" i="23"/>
  <c r="V23" i="23"/>
  <c r="W23" i="23"/>
  <c r="T24" i="23"/>
  <c r="U24" i="23"/>
  <c r="V24" i="23"/>
  <c r="W24" i="23"/>
  <c r="T25" i="23"/>
  <c r="U25" i="23"/>
  <c r="V25" i="23"/>
  <c r="W25" i="23"/>
  <c r="T26" i="23"/>
  <c r="U26" i="23"/>
  <c r="V26" i="23"/>
  <c r="W26" i="23"/>
  <c r="T27" i="23"/>
  <c r="U27" i="23"/>
  <c r="V27" i="23"/>
  <c r="W27" i="23"/>
  <c r="T28" i="23"/>
  <c r="U28" i="23"/>
  <c r="V28" i="23"/>
  <c r="W28" i="23"/>
  <c r="T29" i="23"/>
  <c r="U29" i="23"/>
  <c r="V29" i="23"/>
  <c r="W29" i="23"/>
  <c r="U5" i="23"/>
  <c r="V5" i="23"/>
  <c r="W5" i="23"/>
  <c r="T5" i="23"/>
  <c r="O6" i="23"/>
  <c r="P6" i="23"/>
  <c r="Q6" i="23"/>
  <c r="R6" i="23"/>
  <c r="O7" i="23"/>
  <c r="P7" i="23"/>
  <c r="Q7" i="23"/>
  <c r="R7" i="23"/>
  <c r="O8" i="23"/>
  <c r="P8" i="23"/>
  <c r="Q8" i="23"/>
  <c r="R8" i="23"/>
  <c r="O9" i="23"/>
  <c r="P9" i="23"/>
  <c r="Q9" i="23"/>
  <c r="R9" i="23"/>
  <c r="O10" i="23"/>
  <c r="P10" i="23"/>
  <c r="Q10" i="23"/>
  <c r="R10" i="23"/>
  <c r="O11" i="23"/>
  <c r="P11" i="23"/>
  <c r="Q11" i="23"/>
  <c r="R11" i="23"/>
  <c r="O12" i="23"/>
  <c r="P12" i="23"/>
  <c r="Q12" i="23"/>
  <c r="R12" i="23"/>
  <c r="O13" i="23"/>
  <c r="P13" i="23"/>
  <c r="Q13" i="23"/>
  <c r="R13" i="23"/>
  <c r="O14" i="23"/>
  <c r="P14" i="23"/>
  <c r="Q14" i="23"/>
  <c r="R14" i="23"/>
  <c r="O15" i="23"/>
  <c r="P15" i="23"/>
  <c r="Q15" i="23"/>
  <c r="R15" i="23"/>
  <c r="O16" i="23"/>
  <c r="P16" i="23"/>
  <c r="Q16" i="23"/>
  <c r="R16" i="23"/>
  <c r="O17" i="23"/>
  <c r="P17" i="23"/>
  <c r="Q17" i="23"/>
  <c r="R17" i="23"/>
  <c r="O18" i="23"/>
  <c r="P18" i="23"/>
  <c r="Q18" i="23"/>
  <c r="R18" i="23"/>
  <c r="O19" i="23"/>
  <c r="P19" i="23"/>
  <c r="Q19" i="23"/>
  <c r="R19" i="23"/>
  <c r="O20" i="23"/>
  <c r="P20" i="23"/>
  <c r="Q20" i="23"/>
  <c r="R20" i="23"/>
  <c r="O21" i="23"/>
  <c r="P21" i="23"/>
  <c r="Q21" i="23"/>
  <c r="R21" i="23"/>
  <c r="O22" i="23"/>
  <c r="P22" i="23"/>
  <c r="Q22" i="23"/>
  <c r="R22" i="23"/>
  <c r="O23" i="23"/>
  <c r="P23" i="23"/>
  <c r="Q23" i="23"/>
  <c r="R23" i="23"/>
  <c r="O24" i="23"/>
  <c r="P24" i="23"/>
  <c r="Q24" i="23"/>
  <c r="R24" i="23"/>
  <c r="O25" i="23"/>
  <c r="P25" i="23"/>
  <c r="Q25" i="23"/>
  <c r="R25" i="23"/>
  <c r="O26" i="23"/>
  <c r="P26" i="23"/>
  <c r="Q26" i="23"/>
  <c r="R26" i="23"/>
  <c r="O27" i="23"/>
  <c r="P27" i="23"/>
  <c r="Q27" i="23"/>
  <c r="R27" i="23"/>
  <c r="O28" i="23"/>
  <c r="P28" i="23"/>
  <c r="Q28" i="23"/>
  <c r="R28" i="23"/>
  <c r="O29" i="23"/>
  <c r="P29" i="23"/>
  <c r="Q29" i="23"/>
  <c r="R29" i="23"/>
  <c r="P5" i="23"/>
  <c r="Q5" i="23"/>
  <c r="R5" i="23"/>
  <c r="O5" i="23"/>
  <c r="D6" i="23"/>
  <c r="D7" i="23"/>
  <c r="D8" i="23"/>
  <c r="D9" i="23"/>
  <c r="D10" i="23"/>
  <c r="D11" i="23"/>
  <c r="D12" i="23"/>
  <c r="D13" i="23"/>
  <c r="D14" i="23"/>
  <c r="D15" i="23"/>
  <c r="D16" i="23"/>
  <c r="D17" i="23"/>
  <c r="D18" i="23"/>
  <c r="D19" i="23"/>
  <c r="D20" i="23"/>
  <c r="D21" i="23"/>
  <c r="D22" i="23"/>
  <c r="D23" i="23"/>
  <c r="D24" i="23"/>
  <c r="D25" i="23"/>
  <c r="D26" i="23"/>
  <c r="D27" i="23"/>
  <c r="D28" i="23"/>
  <c r="D29" i="23"/>
  <c r="D5" i="23"/>
  <c r="AF27" i="30"/>
  <c r="G33" i="12"/>
  <c r="AC32" i="29"/>
  <c r="AC27" i="29"/>
  <c r="AF32" i="30"/>
  <c r="L28" i="23"/>
  <c r="L24" i="23"/>
  <c r="L20" i="23"/>
  <c r="L16" i="23"/>
  <c r="L12" i="23"/>
  <c r="L8" i="23"/>
  <c r="K28" i="23"/>
  <c r="K24" i="23"/>
  <c r="K20" i="23"/>
  <c r="K16" i="23"/>
  <c r="K12" i="23"/>
  <c r="K8" i="23"/>
  <c r="L29" i="23"/>
  <c r="L27" i="23"/>
  <c r="L25" i="23"/>
  <c r="L23" i="23"/>
  <c r="L22" i="23"/>
  <c r="L21" i="23"/>
  <c r="L19" i="23"/>
  <c r="L18" i="23"/>
  <c r="L17" i="23"/>
  <c r="L15" i="23"/>
  <c r="L14" i="23"/>
  <c r="L13" i="23"/>
  <c r="L11" i="23"/>
  <c r="L10" i="23"/>
  <c r="L9" i="23"/>
  <c r="L7" i="23"/>
  <c r="K29" i="23"/>
  <c r="K27" i="23"/>
  <c r="K26" i="23"/>
  <c r="K25" i="23"/>
  <c r="K23" i="23"/>
  <c r="K22" i="23"/>
  <c r="K21" i="23"/>
  <c r="K19" i="23"/>
  <c r="K18" i="23"/>
  <c r="K17" i="23"/>
  <c r="K15" i="23"/>
  <c r="K14" i="23"/>
  <c r="K13" i="23"/>
  <c r="K11" i="23"/>
  <c r="K10" i="23"/>
  <c r="K9" i="23"/>
  <c r="K7" i="23"/>
  <c r="K6" i="23"/>
  <c r="L26" i="23"/>
  <c r="K5" i="23"/>
  <c r="L6" i="23"/>
  <c r="L5" i="23"/>
  <c r="B29" i="2"/>
  <c r="P14" i="24"/>
  <c r="H14" i="24"/>
  <c r="N8" i="24"/>
  <c r="H8" i="24"/>
  <c r="N9" i="24"/>
  <c r="H9" i="24"/>
  <c r="N10" i="24"/>
  <c r="H10" i="24"/>
  <c r="N7" i="24"/>
  <c r="H7" i="24"/>
  <c r="L14" i="24"/>
  <c r="I14" i="24"/>
  <c r="L8" i="24"/>
  <c r="I8" i="24"/>
  <c r="L9" i="24"/>
  <c r="I9" i="24"/>
  <c r="L10" i="24"/>
  <c r="I10" i="24"/>
  <c r="L7" i="24"/>
  <c r="I7" i="24"/>
  <c r="B29" i="24"/>
  <c r="D1" i="24"/>
  <c r="F18" i="24"/>
  <c r="B8" i="24"/>
  <c r="B9" i="24"/>
  <c r="B10" i="24"/>
  <c r="B11" i="24"/>
  <c r="B14" i="24"/>
  <c r="B15" i="24"/>
  <c r="B18" i="24"/>
  <c r="B55" i="22"/>
  <c r="CZ4" i="39"/>
  <c r="CZ5" i="39"/>
  <c r="CZ6" i="39"/>
  <c r="CZ7" i="39"/>
  <c r="CZ8" i="39"/>
  <c r="CZ9" i="39"/>
  <c r="CZ10" i="39"/>
  <c r="CZ11" i="39"/>
  <c r="CZ12" i="39"/>
  <c r="CZ13" i="39"/>
  <c r="CZ14" i="39"/>
  <c r="CZ15" i="39"/>
  <c r="CZ16" i="39"/>
  <c r="CZ17" i="39"/>
  <c r="CZ18" i="39"/>
  <c r="CZ19" i="39"/>
  <c r="CZ20" i="39"/>
  <c r="CZ21" i="39"/>
  <c r="CZ22" i="39"/>
  <c r="CZ23" i="39"/>
  <c r="CZ24" i="39"/>
  <c r="CZ25" i="39"/>
  <c r="CZ26" i="39"/>
  <c r="CN4" i="39"/>
  <c r="CN5" i="39"/>
  <c r="CN6" i="39"/>
  <c r="CN7" i="39"/>
  <c r="CN8" i="39"/>
  <c r="CN9" i="39"/>
  <c r="CN10" i="39"/>
  <c r="CN11" i="39"/>
  <c r="CN12" i="39"/>
  <c r="CN13" i="39"/>
  <c r="CN14" i="39"/>
  <c r="CN15" i="39"/>
  <c r="CN16" i="39"/>
  <c r="CN17" i="39"/>
  <c r="CN18" i="39"/>
  <c r="CN19" i="39"/>
  <c r="CN20" i="39"/>
  <c r="CN21" i="39"/>
  <c r="CN22" i="39"/>
  <c r="CN23" i="39"/>
  <c r="CN24" i="39"/>
  <c r="CZ3" i="39"/>
  <c r="CH4" i="39"/>
  <c r="CH5" i="39"/>
  <c r="CH6" i="39"/>
  <c r="CH7" i="39"/>
  <c r="CH8" i="39"/>
  <c r="CH9" i="39"/>
  <c r="CH10" i="39"/>
  <c r="CH11" i="39"/>
  <c r="CH12" i="39"/>
  <c r="CH13" i="39"/>
  <c r="CH14" i="39"/>
  <c r="CH15" i="39"/>
  <c r="CH16" i="39"/>
  <c r="CH17" i="39"/>
  <c r="CH18" i="39"/>
  <c r="CH19" i="39"/>
  <c r="CH20" i="39"/>
  <c r="CH21" i="39"/>
  <c r="CH22" i="39"/>
  <c r="CH23" i="39"/>
  <c r="CH24" i="39"/>
  <c r="CH25" i="39"/>
  <c r="CH26" i="39"/>
  <c r="CH27" i="39"/>
  <c r="CH28" i="39"/>
  <c r="CH29" i="39"/>
  <c r="CH30" i="39"/>
  <c r="CH31" i="39"/>
  <c r="CH32" i="39"/>
  <c r="CH33" i="39"/>
  <c r="CH34" i="39"/>
  <c r="CH35" i="39"/>
  <c r="CH36" i="39"/>
  <c r="CH37" i="39"/>
  <c r="CH38" i="39"/>
  <c r="CH39" i="39"/>
  <c r="CH40" i="39"/>
  <c r="CH41" i="39"/>
  <c r="CH42" i="39"/>
  <c r="CN3" i="39"/>
  <c r="CB4" i="39"/>
  <c r="CB5" i="39"/>
  <c r="CB6" i="39"/>
  <c r="CB7" i="39"/>
  <c r="CB8" i="39"/>
  <c r="CB9" i="39"/>
  <c r="CB10" i="39"/>
  <c r="CB11" i="39"/>
  <c r="CB12" i="39"/>
  <c r="CB13" i="39"/>
  <c r="CB14" i="39"/>
  <c r="CB15" i="39"/>
  <c r="CB16" i="39"/>
  <c r="CB17" i="39"/>
  <c r="CB18" i="39"/>
  <c r="CB19" i="39"/>
  <c r="CB20" i="39"/>
  <c r="CB21" i="39"/>
  <c r="CB22" i="39"/>
  <c r="CB23" i="39"/>
  <c r="CB24" i="39"/>
  <c r="CB25" i="39"/>
  <c r="CB26" i="39"/>
  <c r="CH3" i="39"/>
  <c r="BV4" i="39"/>
  <c r="BV5" i="39"/>
  <c r="BV6" i="39"/>
  <c r="BV7" i="39"/>
  <c r="BV8" i="39"/>
  <c r="BV9" i="39"/>
  <c r="BV10" i="39"/>
  <c r="BV11" i="39"/>
  <c r="BV12" i="39"/>
  <c r="BV13" i="39"/>
  <c r="BV14" i="39"/>
  <c r="BV15" i="39"/>
  <c r="BV16" i="39"/>
  <c r="BV17" i="39"/>
  <c r="BV18" i="39"/>
  <c r="BV19" i="39"/>
  <c r="BV20" i="39"/>
  <c r="BV21" i="39"/>
  <c r="BV22" i="39"/>
  <c r="BV23" i="39"/>
  <c r="BV24" i="39"/>
  <c r="BV25" i="39"/>
  <c r="BV26" i="39"/>
  <c r="CB3" i="39"/>
  <c r="BP4" i="39"/>
  <c r="BP5" i="39"/>
  <c r="BP6" i="39"/>
  <c r="BP7" i="39"/>
  <c r="BP8" i="39"/>
  <c r="BP9" i="39"/>
  <c r="BP10" i="39"/>
  <c r="BP11" i="39"/>
  <c r="BP12" i="39"/>
  <c r="BV3" i="39"/>
  <c r="BJ4" i="39"/>
  <c r="BJ5" i="39"/>
  <c r="BJ6" i="39"/>
  <c r="BJ7" i="39"/>
  <c r="BJ8" i="39"/>
  <c r="BJ9" i="39"/>
  <c r="BJ10" i="39"/>
  <c r="BJ11" i="39"/>
  <c r="BJ12" i="39"/>
  <c r="BJ13" i="39"/>
  <c r="BJ14" i="39"/>
  <c r="BP3" i="39"/>
  <c r="BD4" i="39"/>
  <c r="BD5" i="39"/>
  <c r="BD6" i="39"/>
  <c r="BD7" i="39"/>
  <c r="BD8" i="39"/>
  <c r="BD9" i="39"/>
  <c r="BD10" i="39"/>
  <c r="BD11" i="39"/>
  <c r="BD12" i="39"/>
  <c r="BJ3" i="39"/>
  <c r="AX4" i="39"/>
  <c r="AX5" i="39"/>
  <c r="AX6" i="39"/>
  <c r="AX7" i="39"/>
  <c r="BD3" i="39"/>
  <c r="AL4" i="39"/>
  <c r="AL5" i="39"/>
  <c r="AL6" i="39"/>
  <c r="AL7" i="39"/>
  <c r="AL8" i="39"/>
  <c r="AL9" i="39"/>
  <c r="AL10" i="39"/>
  <c r="AL11" i="39"/>
  <c r="AL12" i="39"/>
  <c r="AL13" i="39"/>
  <c r="AX3" i="39"/>
  <c r="N4" i="39"/>
  <c r="N5" i="39"/>
  <c r="N6" i="39"/>
  <c r="N7" i="39"/>
  <c r="N8" i="39"/>
  <c r="AL3" i="39"/>
  <c r="H4" i="39"/>
  <c r="H5" i="39"/>
  <c r="H6" i="39"/>
  <c r="H7" i="39"/>
  <c r="H8" i="39"/>
  <c r="H9" i="39"/>
  <c r="H10" i="39"/>
  <c r="H11" i="39"/>
  <c r="H12" i="39"/>
  <c r="H13" i="39"/>
  <c r="H14" i="39"/>
  <c r="H15" i="39"/>
  <c r="H16" i="39"/>
  <c r="H17" i="39"/>
  <c r="H18" i="39"/>
  <c r="H19" i="39"/>
  <c r="N3" i="39"/>
  <c r="H3" i="39"/>
  <c r="F1" i="22"/>
  <c r="CY25" i="39"/>
  <c r="DA25" i="39"/>
  <c r="DB25" i="39"/>
  <c r="DC25" i="39"/>
  <c r="CY26" i="39"/>
  <c r="DA26" i="39"/>
  <c r="DB26" i="39"/>
  <c r="DC26" i="39"/>
  <c r="CY16" i="39"/>
  <c r="DA16" i="39"/>
  <c r="DB16" i="39"/>
  <c r="DC16" i="39"/>
  <c r="CY17" i="39"/>
  <c r="DA17" i="39"/>
  <c r="DB17" i="39"/>
  <c r="DC17" i="39"/>
  <c r="CY18" i="39"/>
  <c r="DA18" i="39"/>
  <c r="DB18" i="39"/>
  <c r="DC18" i="39"/>
  <c r="CY19" i="39"/>
  <c r="DA19" i="39"/>
  <c r="DB19" i="39"/>
  <c r="DC19" i="39"/>
  <c r="CY20" i="39"/>
  <c r="DA20" i="39"/>
  <c r="DB20" i="39"/>
  <c r="DC20" i="39"/>
  <c r="CY21" i="39"/>
  <c r="DA21" i="39"/>
  <c r="DB21" i="39"/>
  <c r="DC21" i="39"/>
  <c r="CY22" i="39"/>
  <c r="DA22" i="39"/>
  <c r="DB22" i="39"/>
  <c r="DC22" i="39"/>
  <c r="CY23" i="39"/>
  <c r="DA23" i="39"/>
  <c r="DB23" i="39"/>
  <c r="DC23" i="39"/>
  <c r="CY24" i="39"/>
  <c r="DA24" i="39"/>
  <c r="DB24" i="39"/>
  <c r="DC24" i="39"/>
  <c r="CY5" i="39"/>
  <c r="DA5" i="39"/>
  <c r="DB5" i="39"/>
  <c r="DC5" i="39"/>
  <c r="CY6" i="39"/>
  <c r="DA6" i="39"/>
  <c r="DB6" i="39"/>
  <c r="DC6" i="39"/>
  <c r="CY7" i="39"/>
  <c r="DA7" i="39"/>
  <c r="DB7" i="39"/>
  <c r="DC7" i="39"/>
  <c r="CY8" i="39"/>
  <c r="DA8" i="39"/>
  <c r="DB8" i="39"/>
  <c r="DC8" i="39"/>
  <c r="CY9" i="39"/>
  <c r="DA9" i="39"/>
  <c r="DB9" i="39"/>
  <c r="DC9" i="39"/>
  <c r="CY10" i="39"/>
  <c r="DA10" i="39"/>
  <c r="DB10" i="39"/>
  <c r="DC10" i="39"/>
  <c r="CY11" i="39"/>
  <c r="DA11" i="39"/>
  <c r="DB11" i="39"/>
  <c r="DC11" i="39"/>
  <c r="CY12" i="39"/>
  <c r="DA12" i="39"/>
  <c r="DB12" i="39"/>
  <c r="DC12" i="39"/>
  <c r="CY13" i="39"/>
  <c r="DA13" i="39"/>
  <c r="DB13" i="39"/>
  <c r="DC13" i="39"/>
  <c r="CY14" i="39"/>
  <c r="DA14" i="39"/>
  <c r="DB14" i="39"/>
  <c r="DC14" i="39"/>
  <c r="CY15" i="39"/>
  <c r="DA15" i="39"/>
  <c r="DB15" i="39"/>
  <c r="DC15" i="39"/>
  <c r="CM19" i="39"/>
  <c r="CO19" i="39"/>
  <c r="CP19" i="39"/>
  <c r="CQ19" i="39"/>
  <c r="CM20" i="39"/>
  <c r="CO20" i="39"/>
  <c r="CP20" i="39"/>
  <c r="CQ20" i="39"/>
  <c r="CM21" i="39"/>
  <c r="CO21" i="39"/>
  <c r="CP21" i="39"/>
  <c r="CQ21" i="39"/>
  <c r="CM22" i="39"/>
  <c r="CO22" i="39"/>
  <c r="CP22" i="39"/>
  <c r="CQ22" i="39"/>
  <c r="CM23" i="39"/>
  <c r="CO23" i="39"/>
  <c r="CP23" i="39"/>
  <c r="CQ23" i="39"/>
  <c r="CM24" i="39"/>
  <c r="CO24" i="39"/>
  <c r="CP24" i="39"/>
  <c r="CQ24" i="39"/>
  <c r="CY3" i="39"/>
  <c r="DA3" i="39"/>
  <c r="DB3" i="39"/>
  <c r="DC3" i="39"/>
  <c r="CY4" i="39"/>
  <c r="DA4" i="39"/>
  <c r="DB4" i="39"/>
  <c r="DC4" i="39"/>
  <c r="CM10" i="39"/>
  <c r="CO10" i="39"/>
  <c r="CP10" i="39"/>
  <c r="CQ10" i="39"/>
  <c r="CM11" i="39"/>
  <c r="CO11" i="39"/>
  <c r="CP11" i="39"/>
  <c r="CQ11" i="39"/>
  <c r="CM12" i="39"/>
  <c r="CO12" i="39"/>
  <c r="CP12" i="39"/>
  <c r="CQ12" i="39"/>
  <c r="CM13" i="39"/>
  <c r="CO13" i="39"/>
  <c r="CP13" i="39"/>
  <c r="CQ13" i="39"/>
  <c r="CM14" i="39"/>
  <c r="CO14" i="39"/>
  <c r="CP14" i="39"/>
  <c r="CQ14" i="39"/>
  <c r="CM15" i="39"/>
  <c r="CO15" i="39"/>
  <c r="CP15" i="39"/>
  <c r="CQ15" i="39"/>
  <c r="CM16" i="39"/>
  <c r="CO16" i="39"/>
  <c r="CP16" i="39"/>
  <c r="CQ16" i="39"/>
  <c r="CM17" i="39"/>
  <c r="CO17" i="39"/>
  <c r="CP17" i="39"/>
  <c r="CQ17" i="39"/>
  <c r="CM18" i="39"/>
  <c r="CO18" i="39"/>
  <c r="CP18" i="39"/>
  <c r="CQ18" i="39"/>
  <c r="CG41" i="39"/>
  <c r="CI41" i="39"/>
  <c r="CJ41" i="39"/>
  <c r="CK41" i="39"/>
  <c r="CG42" i="39"/>
  <c r="CI42" i="39"/>
  <c r="CJ42" i="39"/>
  <c r="CK42" i="39"/>
  <c r="CM3" i="39"/>
  <c r="CO3" i="39"/>
  <c r="CP3" i="39"/>
  <c r="CQ3" i="39"/>
  <c r="CM4" i="39"/>
  <c r="CO4" i="39"/>
  <c r="CP4" i="39"/>
  <c r="CQ4" i="39"/>
  <c r="CM5" i="39"/>
  <c r="CO5" i="39"/>
  <c r="CP5" i="39"/>
  <c r="CQ5" i="39"/>
  <c r="CM6" i="39"/>
  <c r="CO6" i="39"/>
  <c r="CP6" i="39"/>
  <c r="CQ6" i="39"/>
  <c r="CM7" i="39"/>
  <c r="CO7" i="39"/>
  <c r="CP7" i="39"/>
  <c r="CQ7" i="39"/>
  <c r="CM8" i="39"/>
  <c r="CO8" i="39"/>
  <c r="CP8" i="39"/>
  <c r="CQ8" i="39"/>
  <c r="CM9" i="39"/>
  <c r="CO9" i="39"/>
  <c r="CP9" i="39"/>
  <c r="CQ9" i="39"/>
  <c r="CG34" i="39"/>
  <c r="CI34" i="39"/>
  <c r="CJ34" i="39"/>
  <c r="CK34" i="39"/>
  <c r="CG35" i="39"/>
  <c r="CI35" i="39"/>
  <c r="CJ35" i="39"/>
  <c r="CK35" i="39"/>
  <c r="CG36" i="39"/>
  <c r="CI36" i="39"/>
  <c r="CJ36" i="39"/>
  <c r="CK36" i="39"/>
  <c r="CG37" i="39"/>
  <c r="CI37" i="39"/>
  <c r="CJ37" i="39"/>
  <c r="CK37" i="39"/>
  <c r="CG38" i="39"/>
  <c r="CI38" i="39"/>
  <c r="CJ38" i="39"/>
  <c r="CK38" i="39"/>
  <c r="CG39" i="39"/>
  <c r="CI39" i="39"/>
  <c r="CJ39" i="39"/>
  <c r="CK39" i="39"/>
  <c r="CG40" i="39"/>
  <c r="CI40" i="39"/>
  <c r="CJ40" i="39"/>
  <c r="CK40" i="39"/>
  <c r="CG28" i="39"/>
  <c r="CI28" i="39"/>
  <c r="CJ28" i="39"/>
  <c r="CK28" i="39"/>
  <c r="CG29" i="39"/>
  <c r="CI29" i="39"/>
  <c r="CJ29" i="39"/>
  <c r="CK29" i="39"/>
  <c r="CG30" i="39"/>
  <c r="CI30" i="39"/>
  <c r="CJ30" i="39"/>
  <c r="CK30" i="39"/>
  <c r="CG31" i="39"/>
  <c r="CI31" i="39"/>
  <c r="CJ31" i="39"/>
  <c r="CK31" i="39"/>
  <c r="CG32" i="39"/>
  <c r="CI32" i="39"/>
  <c r="CJ32" i="39"/>
  <c r="CK32" i="39"/>
  <c r="CG33" i="39"/>
  <c r="CI33" i="39"/>
  <c r="CJ33" i="39"/>
  <c r="CK33" i="39"/>
  <c r="CG19" i="39"/>
  <c r="CI19" i="39"/>
  <c r="CJ19" i="39"/>
  <c r="CK19" i="39"/>
  <c r="CG20" i="39"/>
  <c r="CI20" i="39"/>
  <c r="CJ20" i="39"/>
  <c r="CK20" i="39"/>
  <c r="CG21" i="39"/>
  <c r="CI21" i="39"/>
  <c r="CJ21" i="39"/>
  <c r="CK21" i="39"/>
  <c r="CG22" i="39"/>
  <c r="CI22" i="39"/>
  <c r="CJ22" i="39"/>
  <c r="CK22" i="39"/>
  <c r="CG23" i="39"/>
  <c r="CI23" i="39"/>
  <c r="CJ23" i="39"/>
  <c r="CK23" i="39"/>
  <c r="CG24" i="39"/>
  <c r="CI24" i="39"/>
  <c r="CJ24" i="39"/>
  <c r="CK24" i="39"/>
  <c r="CG25" i="39"/>
  <c r="CI25" i="39"/>
  <c r="CJ25" i="39"/>
  <c r="CK25" i="39"/>
  <c r="CG26" i="39"/>
  <c r="CI26" i="39"/>
  <c r="CJ26" i="39"/>
  <c r="CK26" i="39"/>
  <c r="CG27" i="39"/>
  <c r="CI27" i="39"/>
  <c r="CJ27" i="39"/>
  <c r="CK27" i="39"/>
  <c r="CG5" i="39"/>
  <c r="CI5" i="39"/>
  <c r="CJ5" i="39"/>
  <c r="CK5" i="39"/>
  <c r="CG6" i="39"/>
  <c r="CI6" i="39"/>
  <c r="CJ6" i="39"/>
  <c r="CK6" i="39"/>
  <c r="CG7" i="39"/>
  <c r="CI7" i="39"/>
  <c r="CJ7" i="39"/>
  <c r="CK7" i="39"/>
  <c r="CG8" i="39"/>
  <c r="CI8" i="39"/>
  <c r="CJ8" i="39"/>
  <c r="CK8" i="39"/>
  <c r="CG9" i="39"/>
  <c r="CI9" i="39"/>
  <c r="CJ9" i="39"/>
  <c r="CK9" i="39"/>
  <c r="CG10" i="39"/>
  <c r="CI10" i="39"/>
  <c r="CJ10" i="39"/>
  <c r="CK10" i="39"/>
  <c r="CG11" i="39"/>
  <c r="CI11" i="39"/>
  <c r="CJ11" i="39"/>
  <c r="CK11" i="39"/>
  <c r="CG12" i="39"/>
  <c r="CI12" i="39"/>
  <c r="CJ12" i="39"/>
  <c r="CK12" i="39"/>
  <c r="CG13" i="39"/>
  <c r="CI13" i="39"/>
  <c r="CJ13" i="39"/>
  <c r="CK13" i="39"/>
  <c r="CG14" i="39"/>
  <c r="CI14" i="39"/>
  <c r="CJ14" i="39"/>
  <c r="CK14" i="39"/>
  <c r="CG15" i="39"/>
  <c r="CI15" i="39"/>
  <c r="CJ15" i="39"/>
  <c r="CK15" i="39"/>
  <c r="CG16" i="39"/>
  <c r="CI16" i="39"/>
  <c r="CJ16" i="39"/>
  <c r="CK16" i="39"/>
  <c r="CG17" i="39"/>
  <c r="CI17" i="39"/>
  <c r="CJ17" i="39"/>
  <c r="CK17" i="39"/>
  <c r="CG18" i="39"/>
  <c r="CI18" i="39"/>
  <c r="CJ18" i="39"/>
  <c r="CK18" i="39"/>
  <c r="CA25" i="39"/>
  <c r="CC25" i="39"/>
  <c r="CD25" i="39"/>
  <c r="CE25" i="39"/>
  <c r="CA26" i="39"/>
  <c r="CC26" i="39"/>
  <c r="CD26" i="39"/>
  <c r="CE26" i="39"/>
  <c r="CG3" i="39"/>
  <c r="CI3" i="39"/>
  <c r="CJ3" i="39"/>
  <c r="CK3" i="39"/>
  <c r="CG4" i="39"/>
  <c r="CI4" i="39"/>
  <c r="CJ4" i="39"/>
  <c r="CK4" i="39"/>
  <c r="CA20" i="39"/>
  <c r="CC20" i="39"/>
  <c r="CD20" i="39"/>
  <c r="CE20" i="39"/>
  <c r="CA21" i="39"/>
  <c r="CC21" i="39"/>
  <c r="CD21" i="39"/>
  <c r="CE21" i="39"/>
  <c r="CA22" i="39"/>
  <c r="CC22" i="39"/>
  <c r="CD22" i="39"/>
  <c r="CE22" i="39"/>
  <c r="CA23" i="39"/>
  <c r="CC23" i="39"/>
  <c r="CD23" i="39"/>
  <c r="CE23" i="39"/>
  <c r="CA24" i="39"/>
  <c r="CC24" i="39"/>
  <c r="CD24" i="39"/>
  <c r="CE24" i="39"/>
  <c r="CA15" i="39"/>
  <c r="CC15" i="39"/>
  <c r="CD15" i="39"/>
  <c r="CE15" i="39"/>
  <c r="CA16" i="39"/>
  <c r="CC16" i="39"/>
  <c r="CD16" i="39"/>
  <c r="CE16" i="39"/>
  <c r="CA17" i="39"/>
  <c r="CC17" i="39"/>
  <c r="CD17" i="39"/>
  <c r="CE17" i="39"/>
  <c r="CA18" i="39"/>
  <c r="CC18" i="39"/>
  <c r="CD18" i="39"/>
  <c r="CE18" i="39"/>
  <c r="CA19" i="39"/>
  <c r="CC19" i="39"/>
  <c r="CD19" i="39"/>
  <c r="CE19" i="39"/>
  <c r="CA11" i="39"/>
  <c r="CC11" i="39"/>
  <c r="CD11" i="39"/>
  <c r="CE11" i="39"/>
  <c r="CA12" i="39"/>
  <c r="CC12" i="39"/>
  <c r="CD12" i="39"/>
  <c r="CE12" i="39"/>
  <c r="CA13" i="39"/>
  <c r="CC13" i="39"/>
  <c r="CD13" i="39"/>
  <c r="CE13" i="39"/>
  <c r="CA14" i="39"/>
  <c r="CC14" i="39"/>
  <c r="CD14" i="39"/>
  <c r="CE14" i="39"/>
  <c r="CA3" i="39"/>
  <c r="CC3" i="39"/>
  <c r="CD3" i="39"/>
  <c r="CE3" i="39"/>
  <c r="CA4" i="39"/>
  <c r="CC4" i="39"/>
  <c r="CD4" i="39"/>
  <c r="CE4" i="39"/>
  <c r="CA5" i="39"/>
  <c r="CC5" i="39"/>
  <c r="CD5" i="39"/>
  <c r="CE5" i="39"/>
  <c r="CA6" i="39"/>
  <c r="CC6" i="39"/>
  <c r="CD6" i="39"/>
  <c r="CE6" i="39"/>
  <c r="CA7" i="39"/>
  <c r="CC7" i="39"/>
  <c r="CD7" i="39"/>
  <c r="CE7" i="39"/>
  <c r="CA8" i="39"/>
  <c r="CC8" i="39"/>
  <c r="CD8" i="39"/>
  <c r="CE8" i="39"/>
  <c r="CA9" i="39"/>
  <c r="CC9" i="39"/>
  <c r="CD9" i="39"/>
  <c r="CE9" i="39"/>
  <c r="CA10" i="39"/>
  <c r="CC10" i="39"/>
  <c r="CD10" i="39"/>
  <c r="CE10" i="39"/>
  <c r="BU22" i="39"/>
  <c r="BW22" i="39"/>
  <c r="BX22" i="39"/>
  <c r="BY22" i="39"/>
  <c r="BU23" i="39"/>
  <c r="BW23" i="39"/>
  <c r="BX23" i="39"/>
  <c r="BY23" i="39"/>
  <c r="BU24" i="39"/>
  <c r="BW24" i="39"/>
  <c r="BX24" i="39"/>
  <c r="BY24" i="39"/>
  <c r="BU25" i="39"/>
  <c r="BW25" i="39"/>
  <c r="BX25" i="39"/>
  <c r="BY25" i="39"/>
  <c r="BU26" i="39"/>
  <c r="BW26" i="39"/>
  <c r="BX26" i="39"/>
  <c r="BY26" i="39"/>
  <c r="BU18" i="39"/>
  <c r="BW18" i="39"/>
  <c r="BX18" i="39"/>
  <c r="BY18" i="39"/>
  <c r="BU19" i="39"/>
  <c r="BW19" i="39"/>
  <c r="BX19" i="39"/>
  <c r="BY19" i="39"/>
  <c r="BU20" i="39"/>
  <c r="BW20" i="39"/>
  <c r="BX20" i="39"/>
  <c r="BY20" i="39"/>
  <c r="BU21" i="39"/>
  <c r="BW21" i="39"/>
  <c r="BX21" i="39"/>
  <c r="BY21" i="39"/>
  <c r="BU15" i="39"/>
  <c r="BW15" i="39"/>
  <c r="BX15" i="39"/>
  <c r="BY15" i="39"/>
  <c r="BU16" i="39"/>
  <c r="BW16" i="39"/>
  <c r="BX16" i="39"/>
  <c r="BY16" i="39"/>
  <c r="BU17" i="39"/>
  <c r="BW17" i="39"/>
  <c r="BX17" i="39"/>
  <c r="BY17" i="39"/>
  <c r="BU9" i="39"/>
  <c r="BW9" i="39"/>
  <c r="BX9" i="39"/>
  <c r="BY9" i="39"/>
  <c r="BU10" i="39"/>
  <c r="BW10" i="39"/>
  <c r="BX10" i="39"/>
  <c r="BY10" i="39"/>
  <c r="BU11" i="39"/>
  <c r="BW11" i="39"/>
  <c r="BX11" i="39"/>
  <c r="BY11" i="39"/>
  <c r="BU12" i="39"/>
  <c r="BW12" i="39"/>
  <c r="BX12" i="39"/>
  <c r="BY12" i="39"/>
  <c r="BU13" i="39"/>
  <c r="BW13" i="39"/>
  <c r="BX13" i="39"/>
  <c r="BY13" i="39"/>
  <c r="BU14" i="39"/>
  <c r="BW14" i="39"/>
  <c r="BX14" i="39"/>
  <c r="BY14" i="39"/>
  <c r="BO6" i="39"/>
  <c r="BQ6" i="39"/>
  <c r="BR6" i="39"/>
  <c r="BS6" i="39"/>
  <c r="BO7" i="39"/>
  <c r="BQ7" i="39"/>
  <c r="BR7" i="39"/>
  <c r="BS7" i="39"/>
  <c r="BO8" i="39"/>
  <c r="BQ8" i="39"/>
  <c r="BR8" i="39"/>
  <c r="BS8" i="39"/>
  <c r="BO9" i="39"/>
  <c r="BQ9" i="39"/>
  <c r="BR9" i="39"/>
  <c r="BS9" i="39"/>
  <c r="BO10" i="39"/>
  <c r="BQ10" i="39"/>
  <c r="BR10" i="39"/>
  <c r="BS10" i="39"/>
  <c r="BO11" i="39"/>
  <c r="BQ11" i="39"/>
  <c r="BR11" i="39"/>
  <c r="BS11" i="39"/>
  <c r="BO12" i="39"/>
  <c r="BQ12" i="39"/>
  <c r="BR12" i="39"/>
  <c r="BS12" i="39"/>
  <c r="BU3" i="39"/>
  <c r="BW3" i="39"/>
  <c r="BX3" i="39"/>
  <c r="BY3" i="39"/>
  <c r="BU4" i="39"/>
  <c r="BW4" i="39"/>
  <c r="BX4" i="39"/>
  <c r="BY4" i="39"/>
  <c r="BU5" i="39"/>
  <c r="BW5" i="39"/>
  <c r="BX5" i="39"/>
  <c r="BY5" i="39"/>
  <c r="BU6" i="39"/>
  <c r="BW6" i="39"/>
  <c r="BX6" i="39"/>
  <c r="BY6" i="39"/>
  <c r="BU7" i="39"/>
  <c r="BW7" i="39"/>
  <c r="BX7" i="39"/>
  <c r="BY7" i="39"/>
  <c r="BU8" i="39"/>
  <c r="BW8" i="39"/>
  <c r="BX8" i="39"/>
  <c r="BY8" i="39"/>
  <c r="BI12" i="39"/>
  <c r="BK12" i="39"/>
  <c r="BL12" i="39"/>
  <c r="BM12" i="39"/>
  <c r="BI13" i="39"/>
  <c r="BK13" i="39"/>
  <c r="BL13" i="39"/>
  <c r="BM13" i="39"/>
  <c r="BI14" i="39"/>
  <c r="BK14" i="39"/>
  <c r="BL14" i="39"/>
  <c r="BM14" i="39"/>
  <c r="BO3" i="39"/>
  <c r="BQ3" i="39"/>
  <c r="BR3" i="39"/>
  <c r="BS3" i="39"/>
  <c r="BO4" i="39"/>
  <c r="BQ4" i="39"/>
  <c r="BR4" i="39"/>
  <c r="BS4" i="39"/>
  <c r="BO5" i="39"/>
  <c r="BQ5" i="39"/>
  <c r="BR5" i="39"/>
  <c r="BS5" i="39"/>
  <c r="BI7" i="39"/>
  <c r="BK7" i="39"/>
  <c r="BL7" i="39"/>
  <c r="BM7" i="39"/>
  <c r="BI8" i="39"/>
  <c r="BK8" i="39"/>
  <c r="BL8" i="39"/>
  <c r="BM8" i="39"/>
  <c r="BI9" i="39"/>
  <c r="BK9" i="39"/>
  <c r="BL9" i="39"/>
  <c r="BM9" i="39"/>
  <c r="BI10" i="39"/>
  <c r="BK10" i="39"/>
  <c r="BL10" i="39"/>
  <c r="BM10" i="39"/>
  <c r="BI11" i="39"/>
  <c r="BK11" i="39"/>
  <c r="BL11" i="39"/>
  <c r="BM11" i="39"/>
  <c r="BC11" i="39"/>
  <c r="BE11" i="39"/>
  <c r="BF11" i="39"/>
  <c r="BG11" i="39"/>
  <c r="BC12" i="39"/>
  <c r="BE12" i="39"/>
  <c r="BF12" i="39"/>
  <c r="BG12" i="39"/>
  <c r="BI3" i="39"/>
  <c r="BK3" i="39"/>
  <c r="BL3" i="39"/>
  <c r="BM3" i="39"/>
  <c r="BI4" i="39"/>
  <c r="BK4" i="39"/>
  <c r="BL4" i="39"/>
  <c r="BM4" i="39"/>
  <c r="BI5" i="39"/>
  <c r="BK5" i="39"/>
  <c r="BL5" i="39"/>
  <c r="BM5" i="39"/>
  <c r="BI6" i="39"/>
  <c r="BK6" i="39"/>
  <c r="BL6" i="39"/>
  <c r="BM6" i="39"/>
  <c r="BC4" i="39"/>
  <c r="BE4" i="39"/>
  <c r="BF4" i="39"/>
  <c r="BG4" i="39"/>
  <c r="BC5" i="39"/>
  <c r="BE5" i="39"/>
  <c r="BF5" i="39"/>
  <c r="BG5" i="39"/>
  <c r="BC6" i="39"/>
  <c r="BE6" i="39"/>
  <c r="BF6" i="39"/>
  <c r="BG6" i="39"/>
  <c r="BC7" i="39"/>
  <c r="BE7" i="39"/>
  <c r="BF7" i="39"/>
  <c r="BG7" i="39"/>
  <c r="BC8" i="39"/>
  <c r="BE8" i="39"/>
  <c r="BF8" i="39"/>
  <c r="BG8" i="39"/>
  <c r="BC9" i="39"/>
  <c r="BE9" i="39"/>
  <c r="BF9" i="39"/>
  <c r="BG9" i="39"/>
  <c r="BC10" i="39"/>
  <c r="BE10" i="39"/>
  <c r="BF10" i="39"/>
  <c r="BG10" i="39"/>
  <c r="AW5" i="39"/>
  <c r="AY5" i="39"/>
  <c r="AZ5" i="39"/>
  <c r="BA5" i="39"/>
  <c r="AW6" i="39"/>
  <c r="AY6" i="39"/>
  <c r="AZ6" i="39"/>
  <c r="BA6" i="39"/>
  <c r="AW7" i="39"/>
  <c r="AY7" i="39"/>
  <c r="AZ7" i="39"/>
  <c r="BA7" i="39"/>
  <c r="BC3" i="39"/>
  <c r="BE3" i="39"/>
  <c r="BF3" i="39"/>
  <c r="BG3" i="39"/>
  <c r="AK12" i="39"/>
  <c r="AM12" i="39"/>
  <c r="AN12" i="39"/>
  <c r="AO12" i="39"/>
  <c r="AK13" i="39"/>
  <c r="AM13" i="39"/>
  <c r="AN13" i="39"/>
  <c r="AO13" i="39"/>
  <c r="AW3" i="39"/>
  <c r="AY3" i="39"/>
  <c r="AZ3" i="39"/>
  <c r="BA3" i="39"/>
  <c r="AW4" i="39"/>
  <c r="AY4" i="39"/>
  <c r="AZ4" i="39"/>
  <c r="BA4" i="39"/>
  <c r="AK5" i="39"/>
  <c r="AM5" i="39"/>
  <c r="AN5" i="39"/>
  <c r="AO5" i="39"/>
  <c r="AK6" i="39"/>
  <c r="AM6" i="39"/>
  <c r="AN6" i="39"/>
  <c r="AO6" i="39"/>
  <c r="AK7" i="39"/>
  <c r="AM7" i="39"/>
  <c r="AN7" i="39"/>
  <c r="AO7" i="39"/>
  <c r="AK8" i="39"/>
  <c r="AM8" i="39"/>
  <c r="AN8" i="39"/>
  <c r="AO8" i="39"/>
  <c r="AK9" i="39"/>
  <c r="AM9" i="39"/>
  <c r="AN9" i="39"/>
  <c r="AO9" i="39"/>
  <c r="AK10" i="39"/>
  <c r="AM10" i="39"/>
  <c r="AN10" i="39"/>
  <c r="AO10" i="39"/>
  <c r="AK11" i="39"/>
  <c r="AM11" i="39"/>
  <c r="AN11" i="39"/>
  <c r="AO11" i="39"/>
  <c r="M5" i="39"/>
  <c r="O5" i="39"/>
  <c r="P5" i="39"/>
  <c r="Q5" i="39"/>
  <c r="M6" i="39"/>
  <c r="O6" i="39"/>
  <c r="P6" i="39"/>
  <c r="Q6" i="39"/>
  <c r="M7" i="39"/>
  <c r="O7" i="39"/>
  <c r="P7" i="39"/>
  <c r="Q7" i="39"/>
  <c r="M8" i="39"/>
  <c r="O8" i="39"/>
  <c r="P8" i="39"/>
  <c r="Q8" i="39"/>
  <c r="AK3" i="39"/>
  <c r="AM3" i="39"/>
  <c r="AN3" i="39"/>
  <c r="AO3" i="39"/>
  <c r="AK4" i="39"/>
  <c r="AM4" i="39"/>
  <c r="AN4" i="39"/>
  <c r="AO4" i="39"/>
  <c r="G4" i="39"/>
  <c r="I4" i="39"/>
  <c r="J4" i="39"/>
  <c r="K4" i="39"/>
  <c r="G5" i="39"/>
  <c r="I5" i="39"/>
  <c r="J5" i="39"/>
  <c r="K5" i="39"/>
  <c r="G6" i="39"/>
  <c r="I6" i="39"/>
  <c r="J6" i="39"/>
  <c r="K6" i="39"/>
  <c r="G7" i="39"/>
  <c r="I7" i="39"/>
  <c r="J7" i="39"/>
  <c r="K7" i="39"/>
  <c r="G8" i="39"/>
  <c r="I8" i="39"/>
  <c r="J8" i="39"/>
  <c r="K8" i="39"/>
  <c r="G9" i="39"/>
  <c r="I9" i="39"/>
  <c r="J9" i="39"/>
  <c r="K9" i="39"/>
  <c r="G10" i="39"/>
  <c r="I10" i="39"/>
  <c r="J10" i="39"/>
  <c r="K10" i="39"/>
  <c r="G11" i="39"/>
  <c r="I11" i="39"/>
  <c r="J11" i="39"/>
  <c r="K11" i="39"/>
  <c r="G12" i="39"/>
  <c r="I12" i="39"/>
  <c r="J12" i="39"/>
  <c r="K12" i="39"/>
  <c r="G13" i="39"/>
  <c r="I13" i="39"/>
  <c r="J13" i="39"/>
  <c r="K13" i="39"/>
  <c r="G14" i="39"/>
  <c r="I14" i="39"/>
  <c r="J14" i="39"/>
  <c r="K14" i="39"/>
  <c r="G15" i="39"/>
  <c r="I15" i="39"/>
  <c r="J15" i="39"/>
  <c r="K15" i="39"/>
  <c r="G16" i="39"/>
  <c r="I16" i="39"/>
  <c r="J16" i="39"/>
  <c r="K16" i="39"/>
  <c r="G17" i="39"/>
  <c r="I17" i="39"/>
  <c r="J17" i="39"/>
  <c r="K17" i="39"/>
  <c r="G18" i="39"/>
  <c r="I18" i="39"/>
  <c r="J18" i="39"/>
  <c r="K18" i="39"/>
  <c r="G19" i="39"/>
  <c r="I19" i="39"/>
  <c r="J19" i="39"/>
  <c r="K19" i="39"/>
  <c r="M3" i="39"/>
  <c r="O3" i="39"/>
  <c r="P3" i="39"/>
  <c r="Q3" i="39"/>
  <c r="M4" i="39"/>
  <c r="O4" i="39"/>
  <c r="P4" i="39"/>
  <c r="Q4" i="39"/>
  <c r="K3" i="39"/>
  <c r="J3" i="39"/>
  <c r="I3" i="39"/>
  <c r="G3" i="39"/>
  <c r="C2" i="39"/>
  <c r="C2" i="37"/>
  <c r="DB2" i="39"/>
  <c r="DA2" i="39"/>
  <c r="CV2" i="39"/>
  <c r="CP2" i="39"/>
  <c r="CO2" i="39"/>
  <c r="CJ2" i="39"/>
  <c r="CI2" i="39"/>
  <c r="CD2" i="39"/>
  <c r="CC2" i="39"/>
  <c r="BX2" i="39"/>
  <c r="BW2" i="39"/>
  <c r="BR2" i="39"/>
  <c r="BQ2" i="39"/>
  <c r="BL2" i="39"/>
  <c r="BK2" i="39"/>
  <c r="BF2" i="39"/>
  <c r="BE2" i="39"/>
  <c r="AZ2" i="39"/>
  <c r="AY2" i="39"/>
  <c r="AT2" i="39"/>
  <c r="AS2" i="39"/>
  <c r="AN2" i="39"/>
  <c r="AM2" i="39"/>
  <c r="AH2" i="39"/>
  <c r="AG2" i="39"/>
  <c r="AB2" i="39"/>
  <c r="AA2" i="39"/>
  <c r="V2" i="39"/>
  <c r="U2" i="39"/>
  <c r="P2" i="39"/>
  <c r="O2" i="39"/>
  <c r="J2" i="39"/>
  <c r="I2" i="39"/>
  <c r="D2" i="39"/>
  <c r="BE4" i="37"/>
  <c r="BE5" i="37"/>
  <c r="BE6" i="37"/>
  <c r="BE7" i="37"/>
  <c r="BE8" i="37"/>
  <c r="BE9" i="37"/>
  <c r="BE10" i="37"/>
  <c r="BE11" i="37"/>
  <c r="BE12" i="37"/>
  <c r="BE13" i="37"/>
  <c r="BE14" i="37"/>
  <c r="BE15" i="37"/>
  <c r="BE16" i="37"/>
  <c r="BE17" i="37"/>
  <c r="BE18" i="37"/>
  <c r="BE19" i="37"/>
  <c r="BE20" i="37"/>
  <c r="BE21" i="37"/>
  <c r="BE22" i="37"/>
  <c r="BE23" i="37"/>
  <c r="BE24" i="37"/>
  <c r="BE25" i="37"/>
  <c r="BE26" i="37"/>
  <c r="BE27" i="37"/>
  <c r="BE28" i="37"/>
  <c r="BE29" i="37"/>
  <c r="BE30" i="37"/>
  <c r="BE31" i="37"/>
  <c r="BE32" i="37"/>
  <c r="BE33" i="37"/>
  <c r="BE34" i="37"/>
  <c r="BE35" i="37"/>
  <c r="BE36" i="37"/>
  <c r="BI4" i="37"/>
  <c r="BI5" i="37"/>
  <c r="BI6" i="37"/>
  <c r="BI7" i="37"/>
  <c r="BI8" i="37"/>
  <c r="BI9" i="37"/>
  <c r="BI10" i="37"/>
  <c r="BI11" i="37"/>
  <c r="BI12" i="37"/>
  <c r="BI13" i="37"/>
  <c r="BI14" i="37"/>
  <c r="BI15" i="37"/>
  <c r="BI16" i="37"/>
  <c r="BI17" i="37"/>
  <c r="BI18" i="37"/>
  <c r="BI19" i="37"/>
  <c r="BI20" i="37"/>
  <c r="BI21" i="37"/>
  <c r="BI22" i="37"/>
  <c r="BI23" i="37"/>
  <c r="BI24" i="37"/>
  <c r="BI25" i="37"/>
  <c r="BI26" i="37"/>
  <c r="BI27" i="37"/>
  <c r="BI28" i="37"/>
  <c r="BI29" i="37"/>
  <c r="BI30" i="37"/>
  <c r="BI31" i="37"/>
  <c r="BI32" i="37"/>
  <c r="BI33" i="37"/>
  <c r="BI34" i="37"/>
  <c r="BI35" i="37"/>
  <c r="BI36" i="37"/>
  <c r="R6" i="21"/>
  <c r="R5" i="21"/>
  <c r="Y5" i="21"/>
  <c r="C5" i="22"/>
  <c r="H5" i="22"/>
  <c r="B6" i="22"/>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5" i="21"/>
  <c r="Y6" i="21"/>
  <c r="Y7" i="21"/>
  <c r="Y8" i="21"/>
  <c r="Y9" i="21"/>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Y40" i="21"/>
  <c r="Y41" i="21"/>
  <c r="Y42" i="21"/>
  <c r="Y43" i="21"/>
  <c r="Y44" i="21"/>
  <c r="Y45" i="21"/>
  <c r="Y46" i="21"/>
  <c r="Y47" i="21"/>
  <c r="Y48" i="21"/>
  <c r="Y49" i="21"/>
  <c r="Y50" i="21"/>
  <c r="Y51" i="21"/>
  <c r="Y52" i="21"/>
  <c r="Y53" i="21"/>
  <c r="Y54" i="21"/>
  <c r="Y55" i="21"/>
  <c r="Y56" i="21"/>
  <c r="Y57" i="21"/>
  <c r="Y58" i="21"/>
  <c r="Y59" i="21"/>
  <c r="DT4" i="37"/>
  <c r="DT5" i="37"/>
  <c r="DT6" i="37"/>
  <c r="DT7" i="37"/>
  <c r="DT8" i="37"/>
  <c r="DT9" i="37"/>
  <c r="DT10" i="37"/>
  <c r="DT11" i="37"/>
  <c r="DT12" i="37"/>
  <c r="DT13" i="37"/>
  <c r="DT14" i="37"/>
  <c r="DT15" i="37"/>
  <c r="DT16" i="37"/>
  <c r="DT17" i="37"/>
  <c r="DT18" i="37"/>
  <c r="DT19" i="37"/>
  <c r="DT20" i="37"/>
  <c r="DT21" i="37"/>
  <c r="DT22" i="37"/>
  <c r="DT23" i="37"/>
  <c r="DT24" i="37"/>
  <c r="DT25" i="37"/>
  <c r="DT26" i="37"/>
  <c r="DT27" i="37"/>
  <c r="DT28" i="37"/>
  <c r="DT29" i="37"/>
  <c r="DT30" i="37"/>
  <c r="DT31" i="37"/>
  <c r="DT32" i="37"/>
  <c r="DT33" i="37"/>
  <c r="DT34" i="37"/>
  <c r="DT35" i="37"/>
  <c r="DT36" i="37"/>
  <c r="DM4" i="37"/>
  <c r="DM5" i="37"/>
  <c r="DM6" i="37"/>
  <c r="DM7" i="37"/>
  <c r="DM8" i="37"/>
  <c r="DM9" i="37"/>
  <c r="DM10" i="37"/>
  <c r="DM11" i="37"/>
  <c r="DM12" i="37"/>
  <c r="DM13" i="37"/>
  <c r="DM14" i="37"/>
  <c r="DM15" i="37"/>
  <c r="DM16" i="37"/>
  <c r="DM17" i="37"/>
  <c r="DM18" i="37"/>
  <c r="DM19" i="37"/>
  <c r="DM20" i="37"/>
  <c r="DM21" i="37"/>
  <c r="DM22" i="37"/>
  <c r="DM23" i="37"/>
  <c r="DM24" i="37"/>
  <c r="DM25" i="37"/>
  <c r="DM26" i="37"/>
  <c r="DM27" i="37"/>
  <c r="DM28" i="37"/>
  <c r="DM29" i="37"/>
  <c r="DM30" i="37"/>
  <c r="DM31" i="37"/>
  <c r="DM32" i="37"/>
  <c r="DM33" i="37"/>
  <c r="DM34" i="37"/>
  <c r="DT3" i="37"/>
  <c r="DF4" i="37"/>
  <c r="DF5" i="37"/>
  <c r="DF6" i="37"/>
  <c r="DF7" i="37"/>
  <c r="DF8" i="37"/>
  <c r="DF9" i="37"/>
  <c r="DF10" i="37"/>
  <c r="DF11" i="37"/>
  <c r="DF12" i="37"/>
  <c r="DF13" i="37"/>
  <c r="DF14" i="37"/>
  <c r="DF15" i="37"/>
  <c r="DF16" i="37"/>
  <c r="DF17" i="37"/>
  <c r="DF18" i="37"/>
  <c r="DF19" i="37"/>
  <c r="DF20" i="37"/>
  <c r="DF21" i="37"/>
  <c r="DF22" i="37"/>
  <c r="DF23" i="37"/>
  <c r="DF24" i="37"/>
  <c r="DF25" i="37"/>
  <c r="DF26" i="37"/>
  <c r="DF27" i="37"/>
  <c r="DF28" i="37"/>
  <c r="DF29" i="37"/>
  <c r="DF30" i="37"/>
  <c r="DF31" i="37"/>
  <c r="DF32" i="37"/>
  <c r="DF33" i="37"/>
  <c r="DM3" i="37"/>
  <c r="CY4" i="37"/>
  <c r="CY5" i="37"/>
  <c r="CY6" i="37"/>
  <c r="CY7" i="37"/>
  <c r="CY8" i="37"/>
  <c r="CY9" i="37"/>
  <c r="CY10" i="37"/>
  <c r="CY11" i="37"/>
  <c r="CY12" i="37"/>
  <c r="CY13" i="37"/>
  <c r="CY14" i="37"/>
  <c r="CY15" i="37"/>
  <c r="CY16" i="37"/>
  <c r="CY17" i="37"/>
  <c r="CY18" i="37"/>
  <c r="CY19" i="37"/>
  <c r="CY20" i="37"/>
  <c r="CY21" i="37"/>
  <c r="CY22" i="37"/>
  <c r="CY23" i="37"/>
  <c r="CY24" i="37"/>
  <c r="CY25" i="37"/>
  <c r="CY26" i="37"/>
  <c r="CY27" i="37"/>
  <c r="CY28" i="37"/>
  <c r="CY29" i="37"/>
  <c r="DF3" i="37"/>
  <c r="CR4" i="37"/>
  <c r="CR5" i="37"/>
  <c r="CR6" i="37"/>
  <c r="CR7" i="37"/>
  <c r="CR8" i="37"/>
  <c r="CR9" i="37"/>
  <c r="CR10" i="37"/>
  <c r="CR11" i="37"/>
  <c r="CR12" i="37"/>
  <c r="CR13" i="37"/>
  <c r="CR14" i="37"/>
  <c r="CR15" i="37"/>
  <c r="CR16" i="37"/>
  <c r="CR17" i="37"/>
  <c r="CR18" i="37"/>
  <c r="CR19" i="37"/>
  <c r="CR20" i="37"/>
  <c r="CR21" i="37"/>
  <c r="CR22" i="37"/>
  <c r="CR23" i="37"/>
  <c r="CR24" i="37"/>
  <c r="CR25" i="37"/>
  <c r="CR26" i="37"/>
  <c r="CR27" i="37"/>
  <c r="CR28" i="37"/>
  <c r="CR29" i="37"/>
  <c r="CR30" i="37"/>
  <c r="CR31" i="37"/>
  <c r="CR32" i="37"/>
  <c r="CR33" i="37"/>
  <c r="CR34" i="37"/>
  <c r="CR35" i="37"/>
  <c r="CR36" i="37"/>
  <c r="CR37" i="37"/>
  <c r="CR38" i="37"/>
  <c r="CR39" i="37"/>
  <c r="CR40" i="37"/>
  <c r="CR41" i="37"/>
  <c r="CR42" i="37"/>
  <c r="CR43" i="37"/>
  <c r="CR44" i="37"/>
  <c r="CR45" i="37"/>
  <c r="CR46" i="37"/>
  <c r="CR47" i="37"/>
  <c r="CR48" i="37"/>
  <c r="CR49" i="37"/>
  <c r="CR50" i="37"/>
  <c r="CR51" i="37"/>
  <c r="CR52" i="37"/>
  <c r="CR53" i="37"/>
  <c r="CR54" i="37"/>
  <c r="CR55" i="37"/>
  <c r="CR56" i="37"/>
  <c r="CR57" i="37"/>
  <c r="CY3" i="37"/>
  <c r="CK4" i="37"/>
  <c r="CK5" i="37"/>
  <c r="CK6" i="37"/>
  <c r="CK7" i="37"/>
  <c r="CK8" i="37"/>
  <c r="CK9" i="37"/>
  <c r="CK10" i="37"/>
  <c r="CK11" i="37"/>
  <c r="CK12" i="37"/>
  <c r="CK13" i="37"/>
  <c r="CK14" i="37"/>
  <c r="CK15" i="37"/>
  <c r="CK16" i="37"/>
  <c r="CK17" i="37"/>
  <c r="CK18" i="37"/>
  <c r="CK19" i="37"/>
  <c r="CK20" i="37"/>
  <c r="CK21" i="37"/>
  <c r="CK22" i="37"/>
  <c r="CK23" i="37"/>
  <c r="CK24" i="37"/>
  <c r="CK25" i="37"/>
  <c r="CK26" i="37"/>
  <c r="CK27" i="37"/>
  <c r="CK28" i="37"/>
  <c r="CK29" i="37"/>
  <c r="CK30" i="37"/>
  <c r="CK31" i="37"/>
  <c r="CK32" i="37"/>
  <c r="CK33" i="37"/>
  <c r="CK34" i="37"/>
  <c r="CK35" i="37"/>
  <c r="CK36" i="37"/>
  <c r="CK37" i="37"/>
  <c r="CK38" i="37"/>
  <c r="CK39" i="37"/>
  <c r="CK40" i="37"/>
  <c r="CK41" i="37"/>
  <c r="CK42" i="37"/>
  <c r="CK43" i="37"/>
  <c r="CK44" i="37"/>
  <c r="CR3" i="37"/>
  <c r="CD4" i="37"/>
  <c r="CD5" i="37"/>
  <c r="CD6" i="37"/>
  <c r="CD7" i="37"/>
  <c r="CD8" i="37"/>
  <c r="CD9" i="37"/>
  <c r="CD10" i="37"/>
  <c r="CD11" i="37"/>
  <c r="CD12" i="37"/>
  <c r="CD13" i="37"/>
  <c r="CD14" i="37"/>
  <c r="CD15" i="37"/>
  <c r="CD16" i="37"/>
  <c r="CD17" i="37"/>
  <c r="CD18" i="37"/>
  <c r="CD19" i="37"/>
  <c r="CD20" i="37"/>
  <c r="CD21" i="37"/>
  <c r="CD22" i="37"/>
  <c r="CD23" i="37"/>
  <c r="CD24" i="37"/>
  <c r="CD25" i="37"/>
  <c r="CD26" i="37"/>
  <c r="CD27" i="37"/>
  <c r="CD28" i="37"/>
  <c r="CD29" i="37"/>
  <c r="CD30" i="37"/>
  <c r="CD31" i="37"/>
  <c r="CD32" i="37"/>
  <c r="CD33" i="37"/>
  <c r="CD34" i="37"/>
  <c r="CD35" i="37"/>
  <c r="CD36" i="37"/>
  <c r="CD37" i="37"/>
  <c r="CD38" i="37"/>
  <c r="CD39" i="37"/>
  <c r="CD40" i="37"/>
  <c r="CD41" i="37"/>
  <c r="CD42" i="37"/>
  <c r="CD43" i="37"/>
  <c r="CD44" i="37"/>
  <c r="CD45" i="37"/>
  <c r="CD46" i="37"/>
  <c r="CD47" i="37"/>
  <c r="CK3" i="37"/>
  <c r="BW4" i="37"/>
  <c r="BW5" i="37"/>
  <c r="BW6" i="37"/>
  <c r="BW7" i="37"/>
  <c r="BW8" i="37"/>
  <c r="BW9" i="37"/>
  <c r="BW10" i="37"/>
  <c r="BW11" i="37"/>
  <c r="BW12" i="37"/>
  <c r="BW13" i="37"/>
  <c r="BW14" i="37"/>
  <c r="BW15" i="37"/>
  <c r="BW16" i="37"/>
  <c r="BW17" i="37"/>
  <c r="CD3" i="37"/>
  <c r="BP4" i="37"/>
  <c r="BP5" i="37"/>
  <c r="BP6" i="37"/>
  <c r="BP7" i="37"/>
  <c r="BP8" i="37"/>
  <c r="BP9" i="37"/>
  <c r="BP10" i="37"/>
  <c r="BP11" i="37"/>
  <c r="BP12" i="37"/>
  <c r="BP13" i="37"/>
  <c r="BP14" i="37"/>
  <c r="BP15" i="37"/>
  <c r="BP16" i="37"/>
  <c r="BP17" i="37"/>
  <c r="BP18" i="37"/>
  <c r="BP19" i="37"/>
  <c r="BP20" i="37"/>
  <c r="BP21" i="37"/>
  <c r="BP22" i="37"/>
  <c r="BP23" i="37"/>
  <c r="BP24" i="37"/>
  <c r="BP25" i="37"/>
  <c r="BP26" i="37"/>
  <c r="BP27" i="37"/>
  <c r="BP28" i="37"/>
  <c r="BP29" i="37"/>
  <c r="BP30" i="37"/>
  <c r="BP31" i="37"/>
  <c r="BP32" i="37"/>
  <c r="BP33" i="37"/>
  <c r="BP34" i="37"/>
  <c r="BP35" i="37"/>
  <c r="BW3" i="37"/>
  <c r="BP3" i="37"/>
  <c r="BB4" i="37"/>
  <c r="BB5" i="37"/>
  <c r="BB6" i="37"/>
  <c r="BB7" i="37"/>
  <c r="BB8" i="37"/>
  <c r="BB9" i="37"/>
  <c r="BB10" i="37"/>
  <c r="BB11" i="37"/>
  <c r="BB12" i="37"/>
  <c r="BB13" i="37"/>
  <c r="BB14" i="37"/>
  <c r="BB15" i="37"/>
  <c r="BB16" i="37"/>
  <c r="BB17" i="37"/>
  <c r="BB18" i="37"/>
  <c r="BB19" i="37"/>
  <c r="BB20" i="37"/>
  <c r="BB21" i="37"/>
  <c r="BB22" i="37"/>
  <c r="BB23" i="37"/>
  <c r="BI3" i="37"/>
  <c r="AU4" i="37"/>
  <c r="AU5" i="37"/>
  <c r="AU6" i="37"/>
  <c r="AU7" i="37"/>
  <c r="AU8" i="37"/>
  <c r="AU9" i="37"/>
  <c r="AU10" i="37"/>
  <c r="AU11" i="37"/>
  <c r="AU12" i="37"/>
  <c r="AU13" i="37"/>
  <c r="AU14" i="37"/>
  <c r="AU15" i="37"/>
  <c r="AU16" i="37"/>
  <c r="AU17" i="37"/>
  <c r="BB3" i="37"/>
  <c r="AN4" i="37"/>
  <c r="AN5" i="37"/>
  <c r="AN6" i="37"/>
  <c r="AN7" i="37"/>
  <c r="AN8" i="37"/>
  <c r="AN9" i="37"/>
  <c r="AN10" i="37"/>
  <c r="AN11" i="37"/>
  <c r="AN12" i="37"/>
  <c r="AN13" i="37"/>
  <c r="AN14" i="37"/>
  <c r="AN15" i="37"/>
  <c r="AU3" i="37"/>
  <c r="AG4" i="37"/>
  <c r="AG5" i="37"/>
  <c r="AG6" i="37"/>
  <c r="AG7" i="37"/>
  <c r="AG8" i="37"/>
  <c r="AG9" i="37"/>
  <c r="AG10" i="37"/>
  <c r="AG11" i="37"/>
  <c r="AG12" i="37"/>
  <c r="AG13" i="37"/>
  <c r="AG14" i="37"/>
  <c r="AG15" i="37"/>
  <c r="AG16" i="37"/>
  <c r="AG17" i="37"/>
  <c r="AG18" i="37"/>
  <c r="AG19" i="37"/>
  <c r="AG20" i="37"/>
  <c r="AG21" i="37"/>
  <c r="AG22" i="37"/>
  <c r="AG23" i="37"/>
  <c r="AG24" i="37"/>
  <c r="AG25" i="37"/>
  <c r="AG26" i="37"/>
  <c r="AG27" i="37"/>
  <c r="AG28" i="37"/>
  <c r="AG29" i="37"/>
  <c r="AG30" i="37"/>
  <c r="AG31" i="37"/>
  <c r="AG32" i="37"/>
  <c r="AG33" i="37"/>
  <c r="AG34" i="37"/>
  <c r="AG35" i="37"/>
  <c r="AG36" i="37"/>
  <c r="AG37" i="37"/>
  <c r="AG38" i="37"/>
  <c r="AG39" i="37"/>
  <c r="AG40" i="37"/>
  <c r="AG41" i="37"/>
  <c r="AG42" i="37"/>
  <c r="AG43" i="37"/>
  <c r="AG44" i="37"/>
  <c r="AG45" i="37"/>
  <c r="AG46" i="37"/>
  <c r="AN3" i="37"/>
  <c r="Z4" i="37"/>
  <c r="Z5" i="37"/>
  <c r="Z6" i="37"/>
  <c r="Z7" i="37"/>
  <c r="Z8" i="37"/>
  <c r="Z9" i="37"/>
  <c r="Z10" i="37"/>
  <c r="Z11" i="37"/>
  <c r="Z12" i="37"/>
  <c r="Z13" i="37"/>
  <c r="Z14" i="37"/>
  <c r="Z15" i="37"/>
  <c r="AG3" i="37"/>
  <c r="S4" i="37"/>
  <c r="S5" i="37"/>
  <c r="S6" i="37"/>
  <c r="S7" i="37"/>
  <c r="S8" i="37"/>
  <c r="S9" i="37"/>
  <c r="S10" i="37"/>
  <c r="S11" i="37"/>
  <c r="S12" i="37"/>
  <c r="S13" i="37"/>
  <c r="S14" i="37"/>
  <c r="S15" i="37"/>
  <c r="S16" i="37"/>
  <c r="S17" i="37"/>
  <c r="S18" i="37"/>
  <c r="S19" i="37"/>
  <c r="S20" i="37"/>
  <c r="S21" i="37"/>
  <c r="S22" i="37"/>
  <c r="S23" i="37"/>
  <c r="Z3" i="37"/>
  <c r="L4" i="37"/>
  <c r="L5" i="37"/>
  <c r="L6" i="37"/>
  <c r="L7" i="37"/>
  <c r="L8" i="37"/>
  <c r="L9" i="37"/>
  <c r="L10" i="37"/>
  <c r="L11" i="37"/>
  <c r="L12" i="37"/>
  <c r="L13" i="37"/>
  <c r="L14" i="37"/>
  <c r="L15" i="37"/>
  <c r="L16" i="37"/>
  <c r="L17" i="37"/>
  <c r="L18" i="37"/>
  <c r="L19" i="37"/>
  <c r="L20" i="37"/>
  <c r="L21" i="37"/>
  <c r="L22" i="37"/>
  <c r="L23" i="37"/>
  <c r="L24" i="37"/>
  <c r="L25" i="37"/>
  <c r="L26" i="37"/>
  <c r="L27" i="37"/>
  <c r="L28" i="37"/>
  <c r="L29" i="37"/>
  <c r="L30" i="37"/>
  <c r="L31" i="37"/>
  <c r="L32" i="37"/>
  <c r="L33" i="37"/>
  <c r="L34" i="37"/>
  <c r="L35" i="37"/>
  <c r="L36" i="37"/>
  <c r="L37" i="37"/>
  <c r="L38" i="37"/>
  <c r="L39" i="37"/>
  <c r="L40" i="37"/>
  <c r="L41" i="37"/>
  <c r="S3" i="37"/>
  <c r="L3" i="37"/>
  <c r="E4" i="37"/>
  <c r="E5" i="37"/>
  <c r="E6" i="37"/>
  <c r="E7" i="37"/>
  <c r="E8" i="37"/>
  <c r="E9" i="37"/>
  <c r="E10" i="37"/>
  <c r="E11" i="37"/>
  <c r="E12" i="37"/>
  <c r="E13" i="37"/>
  <c r="E14" i="37"/>
  <c r="E15" i="37"/>
  <c r="E3" i="37"/>
  <c r="D5" i="22"/>
  <c r="G5" i="22"/>
  <c r="E5" i="22"/>
  <c r="F5" i="22"/>
  <c r="B7" i="22"/>
  <c r="B8" i="22"/>
  <c r="C6" i="22"/>
  <c r="P5" i="22"/>
  <c r="Q5" i="22"/>
  <c r="M11" i="11"/>
  <c r="M10" i="11"/>
  <c r="M9" i="11"/>
  <c r="N9" i="11"/>
  <c r="AF9" i="11"/>
  <c r="M7" i="11"/>
  <c r="M6" i="11"/>
  <c r="J11" i="11"/>
  <c r="F8" i="32"/>
  <c r="J10" i="11"/>
  <c r="J7" i="11"/>
  <c r="N7" i="11"/>
  <c r="J6" i="11"/>
  <c r="F5" i="32"/>
  <c r="N10" i="11"/>
  <c r="P6" i="22"/>
  <c r="F6" i="22"/>
  <c r="E6" i="22"/>
  <c r="D6" i="22"/>
  <c r="G6" i="22"/>
  <c r="H6" i="22"/>
  <c r="N11" i="11"/>
  <c r="G5" i="32"/>
  <c r="N6" i="11"/>
  <c r="Q6" i="22"/>
  <c r="C7" i="22"/>
  <c r="B9" i="22"/>
  <c r="C8" i="22"/>
  <c r="M5" i="22"/>
  <c r="M6" i="22"/>
  <c r="Q7" i="22"/>
  <c r="E7" i="22"/>
  <c r="H7" i="22"/>
  <c r="G7" i="22"/>
  <c r="F7" i="22"/>
  <c r="D7" i="22"/>
  <c r="H8" i="22"/>
  <c r="G8" i="22"/>
  <c r="F8" i="22"/>
  <c r="D8" i="22"/>
  <c r="E8" i="22"/>
  <c r="U23" i="19"/>
  <c r="AF6" i="11"/>
  <c r="P7" i="22"/>
  <c r="P8" i="22"/>
  <c r="Q8" i="22"/>
  <c r="B10" i="22"/>
  <c r="C9" i="22"/>
  <c r="Q23" i="8"/>
  <c r="P23" i="8"/>
  <c r="O23" i="8"/>
  <c r="N23" i="8"/>
  <c r="M7" i="22"/>
  <c r="G9" i="22"/>
  <c r="F9" i="22"/>
  <c r="E9" i="22"/>
  <c r="H9" i="22"/>
  <c r="D9" i="22"/>
  <c r="K23" i="8"/>
  <c r="M8" i="22"/>
  <c r="B11" i="22"/>
  <c r="C10" i="22"/>
  <c r="P9" i="22"/>
  <c r="Q9" i="22"/>
  <c r="Q24" i="4"/>
  <c r="P24" i="4"/>
  <c r="O24" i="4"/>
  <c r="I24" i="4"/>
  <c r="J24" i="4"/>
  <c r="Z38" i="34"/>
  <c r="Y38" i="34"/>
  <c r="X38" i="34"/>
  <c r="W38" i="34"/>
  <c r="V38" i="34"/>
  <c r="U38" i="34"/>
  <c r="T38" i="34"/>
  <c r="I38" i="34"/>
  <c r="B28" i="2"/>
  <c r="B27" i="2"/>
  <c r="G10" i="22"/>
  <c r="D10" i="22"/>
  <c r="H10" i="22"/>
  <c r="F10" i="22"/>
  <c r="E10" i="22"/>
  <c r="L24" i="4"/>
  <c r="Q38" i="34"/>
  <c r="M9" i="22"/>
  <c r="P10" i="22"/>
  <c r="Q10" i="22"/>
  <c r="C11" i="22"/>
  <c r="B12" i="22"/>
  <c r="F11" i="22"/>
  <c r="H11" i="22"/>
  <c r="G11" i="22"/>
  <c r="E11" i="22"/>
  <c r="D11" i="22"/>
  <c r="B13" i="22"/>
  <c r="C12" i="22"/>
  <c r="M10" i="22"/>
  <c r="Q11" i="22"/>
  <c r="P11" i="22"/>
  <c r="G27" i="17"/>
  <c r="E27" i="17"/>
  <c r="E29" i="17"/>
  <c r="G29" i="18"/>
  <c r="E29" i="18"/>
  <c r="D29" i="18"/>
  <c r="H29" i="18"/>
  <c r="H27" i="17"/>
  <c r="H12" i="22"/>
  <c r="G12" i="22"/>
  <c r="F12" i="22"/>
  <c r="D12" i="22"/>
  <c r="E12" i="22"/>
  <c r="M11" i="22"/>
  <c r="P12" i="22"/>
  <c r="Q12" i="22"/>
  <c r="B14" i="22"/>
  <c r="C13" i="22"/>
  <c r="H5" i="16"/>
  <c r="H10" i="16"/>
  <c r="H9" i="16"/>
  <c r="H8" i="16"/>
  <c r="H7" i="16"/>
  <c r="H6" i="16"/>
  <c r="D13" i="22"/>
  <c r="H13" i="22"/>
  <c r="G13" i="22"/>
  <c r="F13" i="22"/>
  <c r="E13" i="22"/>
  <c r="P13" i="22"/>
  <c r="Q13" i="22"/>
  <c r="B15" i="22"/>
  <c r="C14" i="22"/>
  <c r="M12" i="22"/>
  <c r="L16" i="33"/>
  <c r="I16" i="33"/>
  <c r="H14" i="22"/>
  <c r="G14" i="22"/>
  <c r="F14" i="22"/>
  <c r="E14" i="22"/>
  <c r="D14" i="22"/>
  <c r="P14" i="22"/>
  <c r="Q14" i="22"/>
  <c r="M13" i="22"/>
  <c r="B16" i="22"/>
  <c r="C15" i="22"/>
  <c r="H3" i="2"/>
  <c r="B8" i="2"/>
  <c r="B9" i="2"/>
  <c r="B10" i="2"/>
  <c r="B11" i="2"/>
  <c r="B12" i="2"/>
  <c r="C14" i="2"/>
  <c r="D14" i="2"/>
  <c r="B15" i="2"/>
  <c r="B16" i="2"/>
  <c r="B17" i="2"/>
  <c r="B18" i="2"/>
  <c r="B19" i="2"/>
  <c r="B20" i="2"/>
  <c r="B21" i="2"/>
  <c r="B22" i="2"/>
  <c r="B23" i="2"/>
  <c r="B26" i="2"/>
  <c r="B32" i="2"/>
  <c r="B33" i="2"/>
  <c r="B34" i="2"/>
  <c r="B35" i="2"/>
  <c r="B36" i="2"/>
  <c r="B37" i="2"/>
  <c r="B38" i="2"/>
  <c r="B39" i="2"/>
  <c r="B40" i="2"/>
  <c r="H15" i="22"/>
  <c r="G15" i="22"/>
  <c r="E15" i="22"/>
  <c r="D15" i="22"/>
  <c r="F15" i="22"/>
  <c r="O22" i="15"/>
  <c r="K22" i="15"/>
  <c r="P19" i="15"/>
  <c r="O18" i="15"/>
  <c r="N17" i="15"/>
  <c r="O17" i="15"/>
  <c r="P20" i="15"/>
  <c r="O19" i="15"/>
  <c r="N18" i="15"/>
  <c r="P18" i="15"/>
  <c r="O20" i="15"/>
  <c r="N19" i="15"/>
  <c r="P17" i="15"/>
  <c r="N20" i="15"/>
  <c r="AA44" i="30"/>
  <c r="W38" i="30"/>
  <c r="Z44" i="30"/>
  <c r="V44" i="30"/>
  <c r="Y44" i="30"/>
  <c r="U44" i="30"/>
  <c r="Y40" i="30"/>
  <c r="U36" i="30"/>
  <c r="X44" i="30"/>
  <c r="T44" i="30"/>
  <c r="X39" i="30"/>
  <c r="T35" i="30"/>
  <c r="W44" i="30"/>
  <c r="AA42" i="30"/>
  <c r="Z41" i="30"/>
  <c r="V37" i="30"/>
  <c r="AA31" i="30"/>
  <c r="W31" i="30"/>
  <c r="AA30" i="30"/>
  <c r="W30" i="30"/>
  <c r="AA26" i="30"/>
  <c r="W26" i="30"/>
  <c r="AA24" i="30"/>
  <c r="W24" i="30"/>
  <c r="AA22" i="30"/>
  <c r="W22" i="30"/>
  <c r="AA21" i="30"/>
  <c r="W21" i="30"/>
  <c r="AA20" i="30"/>
  <c r="W20" i="30"/>
  <c r="AA19" i="30"/>
  <c r="W19" i="30"/>
  <c r="AA15" i="30"/>
  <c r="W15" i="30"/>
  <c r="X30" i="30"/>
  <c r="T26" i="30"/>
  <c r="T22" i="30"/>
  <c r="T21" i="30"/>
  <c r="T20" i="30"/>
  <c r="Z31" i="30"/>
  <c r="V31" i="30"/>
  <c r="Z30" i="30"/>
  <c r="V30" i="30"/>
  <c r="Z26" i="30"/>
  <c r="V26" i="30"/>
  <c r="Z24" i="30"/>
  <c r="V24" i="30"/>
  <c r="Z22" i="30"/>
  <c r="V22" i="30"/>
  <c r="Z21" i="30"/>
  <c r="V21" i="30"/>
  <c r="Z20" i="30"/>
  <c r="V20" i="30"/>
  <c r="Z19" i="30"/>
  <c r="V19" i="30"/>
  <c r="Z15" i="30"/>
  <c r="V15" i="30"/>
  <c r="T31" i="30"/>
  <c r="T30" i="30"/>
  <c r="X24" i="30"/>
  <c r="X22" i="30"/>
  <c r="X20" i="30"/>
  <c r="T19" i="30"/>
  <c r="X15" i="30"/>
  <c r="Y31" i="30"/>
  <c r="U31" i="30"/>
  <c r="Y30" i="30"/>
  <c r="U30" i="30"/>
  <c r="Y26" i="30"/>
  <c r="U26" i="30"/>
  <c r="Y24" i="30"/>
  <c r="U24" i="30"/>
  <c r="Y22" i="30"/>
  <c r="U22" i="30"/>
  <c r="Y21" i="30"/>
  <c r="U21" i="30"/>
  <c r="Y20" i="30"/>
  <c r="U20" i="30"/>
  <c r="Y19" i="30"/>
  <c r="U19" i="30"/>
  <c r="Y15" i="30"/>
  <c r="U15" i="30"/>
  <c r="X31" i="30"/>
  <c r="X26" i="30"/>
  <c r="T24" i="30"/>
  <c r="X21" i="30"/>
  <c r="X19" i="30"/>
  <c r="T15" i="30"/>
  <c r="AA12" i="30"/>
  <c r="W12" i="30"/>
  <c r="AA11" i="30"/>
  <c r="W11" i="30"/>
  <c r="AA10" i="30"/>
  <c r="W10" i="30"/>
  <c r="AA9" i="30"/>
  <c r="W9" i="30"/>
  <c r="AA8" i="30"/>
  <c r="W8" i="30"/>
  <c r="AA7" i="30"/>
  <c r="W7" i="30"/>
  <c r="X11" i="30"/>
  <c r="T10" i="30"/>
  <c r="T8" i="30"/>
  <c r="Z12" i="30"/>
  <c r="V12" i="30"/>
  <c r="Z11" i="30"/>
  <c r="V11" i="30"/>
  <c r="Z10" i="30"/>
  <c r="V10" i="30"/>
  <c r="Z9" i="30"/>
  <c r="V9" i="30"/>
  <c r="Z8" i="30"/>
  <c r="V8" i="30"/>
  <c r="Z7" i="30"/>
  <c r="V7" i="30"/>
  <c r="T12" i="30"/>
  <c r="X10" i="30"/>
  <c r="T9" i="30"/>
  <c r="X7" i="30"/>
  <c r="Y12" i="30"/>
  <c r="U12" i="30"/>
  <c r="Y11" i="30"/>
  <c r="U11" i="30"/>
  <c r="Y10" i="30"/>
  <c r="U10" i="30"/>
  <c r="Y9" i="30"/>
  <c r="U9" i="30"/>
  <c r="Y8" i="30"/>
  <c r="U8" i="30"/>
  <c r="Y7" i="30"/>
  <c r="U7" i="30"/>
  <c r="X12" i="30"/>
  <c r="T11" i="30"/>
  <c r="X9" i="30"/>
  <c r="X8" i="30"/>
  <c r="T7" i="30"/>
  <c r="M8" i="28"/>
  <c r="M7" i="28"/>
  <c r="M6" i="28"/>
  <c r="O42" i="19"/>
  <c r="K42" i="19"/>
  <c r="O41" i="19"/>
  <c r="K41" i="19"/>
  <c r="O40" i="19"/>
  <c r="O38" i="19"/>
  <c r="K38" i="19"/>
  <c r="P28" i="15"/>
  <c r="Q23" i="27"/>
  <c r="Q16" i="27"/>
  <c r="Q11" i="27"/>
  <c r="Q20" i="27"/>
  <c r="Q12" i="27"/>
  <c r="Q10" i="27"/>
  <c r="C28" i="2"/>
  <c r="V15" i="31"/>
  <c r="X13" i="31"/>
  <c r="D28" i="2"/>
  <c r="Y15" i="31"/>
  <c r="U15" i="31"/>
  <c r="U13" i="31"/>
  <c r="C29" i="2"/>
  <c r="X15" i="31"/>
  <c r="V13" i="31"/>
  <c r="Y13" i="31"/>
  <c r="O16" i="27"/>
  <c r="P10" i="16"/>
  <c r="P6" i="16"/>
  <c r="T24" i="14"/>
  <c r="T14" i="14"/>
  <c r="T7" i="14"/>
  <c r="U10" i="14"/>
  <c r="U24" i="14"/>
  <c r="T8" i="14"/>
  <c r="P9" i="16"/>
  <c r="T23" i="14"/>
  <c r="T10" i="14"/>
  <c r="T16" i="14"/>
  <c r="T9" i="14"/>
  <c r="U23" i="14"/>
  <c r="P7" i="16"/>
  <c r="T15" i="14"/>
  <c r="Z11" i="11"/>
  <c r="Y14" i="11"/>
  <c r="Y10" i="11"/>
  <c r="Z10" i="11"/>
  <c r="Y13" i="11"/>
  <c r="Z14" i="11"/>
  <c r="Y11" i="11"/>
  <c r="Y7" i="11"/>
  <c r="Z13" i="11"/>
  <c r="Y6" i="11"/>
  <c r="D26" i="2"/>
  <c r="D29" i="2"/>
  <c r="Q15" i="22"/>
  <c r="P15" i="22"/>
  <c r="B17" i="22"/>
  <c r="C16" i="22"/>
  <c r="M14" i="22"/>
  <c r="Y10" i="31"/>
  <c r="V16" i="31"/>
  <c r="Y9" i="31"/>
  <c r="V11" i="31"/>
  <c r="Y16" i="31"/>
  <c r="Y8" i="31"/>
  <c r="Y11" i="31"/>
  <c r="Y7" i="31"/>
  <c r="V7" i="31"/>
  <c r="V9" i="31"/>
  <c r="V8" i="31"/>
  <c r="D16" i="22"/>
  <c r="E16" i="22"/>
  <c r="F16" i="22"/>
  <c r="H16" i="22"/>
  <c r="G16" i="22"/>
  <c r="C36" i="2"/>
  <c r="Q44" i="30"/>
  <c r="K16" i="27"/>
  <c r="Q10" i="11"/>
  <c r="Q9" i="11"/>
  <c r="O10" i="14"/>
  <c r="O24" i="14"/>
  <c r="O23" i="14"/>
  <c r="Q13" i="31"/>
  <c r="Q15" i="31"/>
  <c r="M15" i="22"/>
  <c r="P16" i="22"/>
  <c r="Q16" i="22"/>
  <c r="B18" i="22"/>
  <c r="C17" i="22"/>
  <c r="CP57" i="37"/>
  <c r="CO57" i="37"/>
  <c r="CN57" i="37"/>
  <c r="CP56" i="37"/>
  <c r="CO56" i="37"/>
  <c r="CN56" i="37"/>
  <c r="CP55" i="37"/>
  <c r="CO55" i="37"/>
  <c r="CN55" i="37"/>
  <c r="CP54" i="37"/>
  <c r="CO54" i="37"/>
  <c r="CN54" i="37"/>
  <c r="CP53" i="37"/>
  <c r="CO53" i="37"/>
  <c r="CN53" i="37"/>
  <c r="CP52" i="37"/>
  <c r="CO52" i="37"/>
  <c r="CN52" i="37"/>
  <c r="CP51" i="37"/>
  <c r="CO51" i="37"/>
  <c r="CN51" i="37"/>
  <c r="CP50" i="37"/>
  <c r="CO50" i="37"/>
  <c r="CN50" i="37"/>
  <c r="CP49" i="37"/>
  <c r="CO49" i="37"/>
  <c r="CN49" i="37"/>
  <c r="CP48" i="37"/>
  <c r="CO48" i="37"/>
  <c r="CN48" i="37"/>
  <c r="CP47" i="37"/>
  <c r="CO47" i="37"/>
  <c r="CN47" i="37"/>
  <c r="CB47" i="37"/>
  <c r="CA47" i="37"/>
  <c r="BZ47" i="37"/>
  <c r="CP46" i="37"/>
  <c r="CO46" i="37"/>
  <c r="CN46" i="37"/>
  <c r="CB46" i="37"/>
  <c r="CA46" i="37"/>
  <c r="BZ46" i="37"/>
  <c r="AE46" i="37"/>
  <c r="AD46" i="37"/>
  <c r="AC46" i="37"/>
  <c r="CP45" i="37"/>
  <c r="CO45" i="37"/>
  <c r="CN45" i="37"/>
  <c r="CB45" i="37"/>
  <c r="CA45" i="37"/>
  <c r="BZ45" i="37"/>
  <c r="AE45" i="37"/>
  <c r="AD45" i="37"/>
  <c r="AC45" i="37"/>
  <c r="CP44" i="37"/>
  <c r="CO44" i="37"/>
  <c r="CN44" i="37"/>
  <c r="CI44" i="37"/>
  <c r="CH44" i="37"/>
  <c r="CG44" i="37"/>
  <c r="CB44" i="37"/>
  <c r="CA44" i="37"/>
  <c r="BZ44" i="37"/>
  <c r="AE44" i="37"/>
  <c r="AD44" i="37"/>
  <c r="AC44" i="37"/>
  <c r="CP43" i="37"/>
  <c r="CO43" i="37"/>
  <c r="CN43" i="37"/>
  <c r="CI43" i="37"/>
  <c r="CH43" i="37"/>
  <c r="CG43" i="37"/>
  <c r="CB43" i="37"/>
  <c r="CA43" i="37"/>
  <c r="BZ43" i="37"/>
  <c r="AE43" i="37"/>
  <c r="AD43" i="37"/>
  <c r="AC43" i="37"/>
  <c r="CP42" i="37"/>
  <c r="CO42" i="37"/>
  <c r="CN42" i="37"/>
  <c r="CI42" i="37"/>
  <c r="CH42" i="37"/>
  <c r="CG42" i="37"/>
  <c r="CB42" i="37"/>
  <c r="CA42" i="37"/>
  <c r="BZ42" i="37"/>
  <c r="AE42" i="37"/>
  <c r="AD42" i="37"/>
  <c r="AC42" i="37"/>
  <c r="CP41" i="37"/>
  <c r="CO41" i="37"/>
  <c r="CN41" i="37"/>
  <c r="CI41" i="37"/>
  <c r="CH41" i="37"/>
  <c r="CG41" i="37"/>
  <c r="CB41" i="37"/>
  <c r="CA41" i="37"/>
  <c r="BZ41" i="37"/>
  <c r="AE41" i="37"/>
  <c r="AD41" i="37"/>
  <c r="AC41" i="37"/>
  <c r="J41" i="37"/>
  <c r="I41" i="37"/>
  <c r="H41" i="37"/>
  <c r="CP40" i="37"/>
  <c r="CO40" i="37"/>
  <c r="CN40" i="37"/>
  <c r="CI40" i="37"/>
  <c r="CH40" i="37"/>
  <c r="CG40" i="37"/>
  <c r="CB40" i="37"/>
  <c r="CA40" i="37"/>
  <c r="BZ40" i="37"/>
  <c r="AE40" i="37"/>
  <c r="AD40" i="37"/>
  <c r="AC40" i="37"/>
  <c r="J40" i="37"/>
  <c r="I40" i="37"/>
  <c r="H40" i="37"/>
  <c r="CP39" i="37"/>
  <c r="CO39" i="37"/>
  <c r="CN39" i="37"/>
  <c r="CI39" i="37"/>
  <c r="CH39" i="37"/>
  <c r="CG39" i="37"/>
  <c r="CB39" i="37"/>
  <c r="CA39" i="37"/>
  <c r="BZ39" i="37"/>
  <c r="AE39" i="37"/>
  <c r="AD39" i="37"/>
  <c r="AC39" i="37"/>
  <c r="J39" i="37"/>
  <c r="I39" i="37"/>
  <c r="H39" i="37"/>
  <c r="CP38" i="37"/>
  <c r="CO38" i="37"/>
  <c r="CN38" i="37"/>
  <c r="CI38" i="37"/>
  <c r="CH38" i="37"/>
  <c r="CG38" i="37"/>
  <c r="CB38" i="37"/>
  <c r="CA38" i="37"/>
  <c r="BZ38" i="37"/>
  <c r="AE38" i="37"/>
  <c r="AD38" i="37"/>
  <c r="AC38" i="37"/>
  <c r="J38" i="37"/>
  <c r="I38" i="37"/>
  <c r="H38" i="37"/>
  <c r="CP37" i="37"/>
  <c r="CO37" i="37"/>
  <c r="CN37" i="37"/>
  <c r="CI37" i="37"/>
  <c r="CH37" i="37"/>
  <c r="CG37" i="37"/>
  <c r="CB37" i="37"/>
  <c r="CA37" i="37"/>
  <c r="BZ37" i="37"/>
  <c r="AE37" i="37"/>
  <c r="AD37" i="37"/>
  <c r="AC37" i="37"/>
  <c r="J37" i="37"/>
  <c r="I37" i="37"/>
  <c r="H37" i="37"/>
  <c r="DR36" i="37"/>
  <c r="DQ36" i="37"/>
  <c r="DP36" i="37"/>
  <c r="CP36" i="37"/>
  <c r="CO36" i="37"/>
  <c r="CN36" i="37"/>
  <c r="CI36" i="37"/>
  <c r="CH36" i="37"/>
  <c r="CG36" i="37"/>
  <c r="CB36" i="37"/>
  <c r="CA36" i="37"/>
  <c r="BZ36" i="37"/>
  <c r="BG36" i="37"/>
  <c r="BF36" i="37"/>
  <c r="AE36" i="37"/>
  <c r="AD36" i="37"/>
  <c r="AC36" i="37"/>
  <c r="J36" i="37"/>
  <c r="I36" i="37"/>
  <c r="H36" i="37"/>
  <c r="DR35" i="37"/>
  <c r="DQ35" i="37"/>
  <c r="DP35" i="37"/>
  <c r="CP35" i="37"/>
  <c r="CO35" i="37"/>
  <c r="CN35" i="37"/>
  <c r="CI35" i="37"/>
  <c r="CH35" i="37"/>
  <c r="CG35" i="37"/>
  <c r="CB35" i="37"/>
  <c r="CA35" i="37"/>
  <c r="BZ35" i="37"/>
  <c r="BN35" i="37"/>
  <c r="BM35" i="37"/>
  <c r="BL35" i="37"/>
  <c r="BG35" i="37"/>
  <c r="BF35" i="37"/>
  <c r="AE35" i="37"/>
  <c r="AD35" i="37"/>
  <c r="AC35" i="37"/>
  <c r="J35" i="37"/>
  <c r="I35" i="37"/>
  <c r="H35" i="37"/>
  <c r="DR34" i="37"/>
  <c r="DQ34" i="37"/>
  <c r="DP34" i="37"/>
  <c r="DK34" i="37"/>
  <c r="DJ34" i="37"/>
  <c r="DI34" i="37"/>
  <c r="CP34" i="37"/>
  <c r="CO34" i="37"/>
  <c r="CN34" i="37"/>
  <c r="CI34" i="37"/>
  <c r="CH34" i="37"/>
  <c r="CG34" i="37"/>
  <c r="CB34" i="37"/>
  <c r="CA34" i="37"/>
  <c r="BZ34" i="37"/>
  <c r="BN34" i="37"/>
  <c r="BM34" i="37"/>
  <c r="BL34" i="37"/>
  <c r="BG34" i="37"/>
  <c r="BF34" i="37"/>
  <c r="AE34" i="37"/>
  <c r="AD34" i="37"/>
  <c r="AC34" i="37"/>
  <c r="J34" i="37"/>
  <c r="I34" i="37"/>
  <c r="H34" i="37"/>
  <c r="DR33" i="37"/>
  <c r="DQ33" i="37"/>
  <c r="DP33" i="37"/>
  <c r="DK33" i="37"/>
  <c r="DJ33" i="37"/>
  <c r="DI33" i="37"/>
  <c r="DD33" i="37"/>
  <c r="DC33" i="37"/>
  <c r="DB33" i="37"/>
  <c r="CP33" i="37"/>
  <c r="CO33" i="37"/>
  <c r="CN33" i="37"/>
  <c r="CI33" i="37"/>
  <c r="CH33" i="37"/>
  <c r="CG33" i="37"/>
  <c r="CB33" i="37"/>
  <c r="CA33" i="37"/>
  <c r="BZ33" i="37"/>
  <c r="BN33" i="37"/>
  <c r="BM33" i="37"/>
  <c r="BL33" i="37"/>
  <c r="BG33" i="37"/>
  <c r="BF33" i="37"/>
  <c r="AE33" i="37"/>
  <c r="AD33" i="37"/>
  <c r="AC33" i="37"/>
  <c r="J33" i="37"/>
  <c r="I33" i="37"/>
  <c r="H33" i="37"/>
  <c r="DR32" i="37"/>
  <c r="DQ32" i="37"/>
  <c r="DP32" i="37"/>
  <c r="DK32" i="37"/>
  <c r="DJ32" i="37"/>
  <c r="DI32" i="37"/>
  <c r="DD32" i="37"/>
  <c r="DC32" i="37"/>
  <c r="DB32" i="37"/>
  <c r="CP32" i="37"/>
  <c r="CO32" i="37"/>
  <c r="CN32" i="37"/>
  <c r="CI32" i="37"/>
  <c r="CH32" i="37"/>
  <c r="CG32" i="37"/>
  <c r="CB32" i="37"/>
  <c r="CA32" i="37"/>
  <c r="BZ32" i="37"/>
  <c r="BN32" i="37"/>
  <c r="BM32" i="37"/>
  <c r="BL32" i="37"/>
  <c r="BG32" i="37"/>
  <c r="BF32" i="37"/>
  <c r="AE32" i="37"/>
  <c r="AD32" i="37"/>
  <c r="AC32" i="37"/>
  <c r="J32" i="37"/>
  <c r="I32" i="37"/>
  <c r="H32" i="37"/>
  <c r="DR31" i="37"/>
  <c r="DQ31" i="37"/>
  <c r="DP31" i="37"/>
  <c r="DK31" i="37"/>
  <c r="DJ31" i="37"/>
  <c r="DI31" i="37"/>
  <c r="DD31" i="37"/>
  <c r="DC31" i="37"/>
  <c r="DB31" i="37"/>
  <c r="CP31" i="37"/>
  <c r="CO31" i="37"/>
  <c r="CN31" i="37"/>
  <c r="CI31" i="37"/>
  <c r="CH31" i="37"/>
  <c r="CG31" i="37"/>
  <c r="CB31" i="37"/>
  <c r="CA31" i="37"/>
  <c r="BZ31" i="37"/>
  <c r="BN31" i="37"/>
  <c r="BM31" i="37"/>
  <c r="BL31" i="37"/>
  <c r="BG31" i="37"/>
  <c r="BF31" i="37"/>
  <c r="AE31" i="37"/>
  <c r="AD31" i="37"/>
  <c r="AC31" i="37"/>
  <c r="J31" i="37"/>
  <c r="I31" i="37"/>
  <c r="H31" i="37"/>
  <c r="DR30" i="37"/>
  <c r="DQ30" i="37"/>
  <c r="DP30" i="37"/>
  <c r="DK30" i="37"/>
  <c r="DJ30" i="37"/>
  <c r="DI30" i="37"/>
  <c r="DD30" i="37"/>
  <c r="DC30" i="37"/>
  <c r="DB30" i="37"/>
  <c r="CP30" i="37"/>
  <c r="CO30" i="37"/>
  <c r="CN30" i="37"/>
  <c r="CI30" i="37"/>
  <c r="CH30" i="37"/>
  <c r="CG30" i="37"/>
  <c r="CB30" i="37"/>
  <c r="CA30" i="37"/>
  <c r="BZ30" i="37"/>
  <c r="BN30" i="37"/>
  <c r="BM30" i="37"/>
  <c r="BL30" i="37"/>
  <c r="BG30" i="37"/>
  <c r="BF30" i="37"/>
  <c r="AE30" i="37"/>
  <c r="AD30" i="37"/>
  <c r="AC30" i="37"/>
  <c r="J30" i="37"/>
  <c r="I30" i="37"/>
  <c r="H30" i="37"/>
  <c r="DR29" i="37"/>
  <c r="DQ29" i="37"/>
  <c r="DP29" i="37"/>
  <c r="DK29" i="37"/>
  <c r="DJ29" i="37"/>
  <c r="DI29" i="37"/>
  <c r="DD29" i="37"/>
  <c r="DC29" i="37"/>
  <c r="DB29" i="37"/>
  <c r="CW29" i="37"/>
  <c r="CV29" i="37"/>
  <c r="CU29" i="37"/>
  <c r="CP29" i="37"/>
  <c r="CO29" i="37"/>
  <c r="CN29" i="37"/>
  <c r="CI29" i="37"/>
  <c r="CH29" i="37"/>
  <c r="CG29" i="37"/>
  <c r="CB29" i="37"/>
  <c r="CA29" i="37"/>
  <c r="BZ29" i="37"/>
  <c r="BN29" i="37"/>
  <c r="BM29" i="37"/>
  <c r="BL29" i="37"/>
  <c r="BG29" i="37"/>
  <c r="BF29" i="37"/>
  <c r="AE29" i="37"/>
  <c r="AD29" i="37"/>
  <c r="AC29" i="37"/>
  <c r="J29" i="37"/>
  <c r="I29" i="37"/>
  <c r="H29" i="37"/>
  <c r="DR28" i="37"/>
  <c r="DQ28" i="37"/>
  <c r="DP28" i="37"/>
  <c r="DK28" i="37"/>
  <c r="DJ28" i="37"/>
  <c r="DI28" i="37"/>
  <c r="DD28" i="37"/>
  <c r="DC28" i="37"/>
  <c r="DB28" i="37"/>
  <c r="CW28" i="37"/>
  <c r="CV28" i="37"/>
  <c r="CU28" i="37"/>
  <c r="CP28" i="37"/>
  <c r="CO28" i="37"/>
  <c r="CN28" i="37"/>
  <c r="CI28" i="37"/>
  <c r="CH28" i="37"/>
  <c r="CG28" i="37"/>
  <c r="CB28" i="37"/>
  <c r="CA28" i="37"/>
  <c r="BZ28" i="37"/>
  <c r="BN28" i="37"/>
  <c r="BM28" i="37"/>
  <c r="BL28" i="37"/>
  <c r="BG28" i="37"/>
  <c r="BF28" i="37"/>
  <c r="AE28" i="37"/>
  <c r="AD28" i="37"/>
  <c r="AC28" i="37"/>
  <c r="J28" i="37"/>
  <c r="I28" i="37"/>
  <c r="H28" i="37"/>
  <c r="DR27" i="37"/>
  <c r="DQ27" i="37"/>
  <c r="DP27" i="37"/>
  <c r="DK27" i="37"/>
  <c r="DJ27" i="37"/>
  <c r="DI27" i="37"/>
  <c r="DD27" i="37"/>
  <c r="DC27" i="37"/>
  <c r="DB27" i="37"/>
  <c r="CW27" i="37"/>
  <c r="CV27" i="37"/>
  <c r="CU27" i="37"/>
  <c r="CP27" i="37"/>
  <c r="CO27" i="37"/>
  <c r="CN27" i="37"/>
  <c r="CI27" i="37"/>
  <c r="CH27" i="37"/>
  <c r="CG27" i="37"/>
  <c r="CB27" i="37"/>
  <c r="CA27" i="37"/>
  <c r="BZ27" i="37"/>
  <c r="BN27" i="37"/>
  <c r="BM27" i="37"/>
  <c r="BL27" i="37"/>
  <c r="BG27" i="37"/>
  <c r="BF27" i="37"/>
  <c r="AE27" i="37"/>
  <c r="AD27" i="37"/>
  <c r="AC27" i="37"/>
  <c r="J27" i="37"/>
  <c r="I27" i="37"/>
  <c r="H27" i="37"/>
  <c r="DR26" i="37"/>
  <c r="DQ26" i="37"/>
  <c r="DP26" i="37"/>
  <c r="DK26" i="37"/>
  <c r="DJ26" i="37"/>
  <c r="DI26" i="37"/>
  <c r="DD26" i="37"/>
  <c r="DC26" i="37"/>
  <c r="DB26" i="37"/>
  <c r="CW26" i="37"/>
  <c r="CV26" i="37"/>
  <c r="CU26" i="37"/>
  <c r="CP26" i="37"/>
  <c r="CO26" i="37"/>
  <c r="CN26" i="37"/>
  <c r="CI26" i="37"/>
  <c r="CH26" i="37"/>
  <c r="CG26" i="37"/>
  <c r="CB26" i="37"/>
  <c r="CA26" i="37"/>
  <c r="BZ26" i="37"/>
  <c r="BN26" i="37"/>
  <c r="BM26" i="37"/>
  <c r="BL26" i="37"/>
  <c r="BG26" i="37"/>
  <c r="BF26" i="37"/>
  <c r="AE26" i="37"/>
  <c r="AD26" i="37"/>
  <c r="AC26" i="37"/>
  <c r="J26" i="37"/>
  <c r="I26" i="37"/>
  <c r="H26" i="37"/>
  <c r="DR25" i="37"/>
  <c r="DQ25" i="37"/>
  <c r="DP25" i="37"/>
  <c r="DK25" i="37"/>
  <c r="DJ25" i="37"/>
  <c r="DI25" i="37"/>
  <c r="DD25" i="37"/>
  <c r="DC25" i="37"/>
  <c r="DB25" i="37"/>
  <c r="CW25" i="37"/>
  <c r="CV25" i="37"/>
  <c r="CU25" i="37"/>
  <c r="CP25" i="37"/>
  <c r="CO25" i="37"/>
  <c r="CN25" i="37"/>
  <c r="CI25" i="37"/>
  <c r="CH25" i="37"/>
  <c r="CG25" i="37"/>
  <c r="CB25" i="37"/>
  <c r="CA25" i="37"/>
  <c r="BZ25" i="37"/>
  <c r="BN25" i="37"/>
  <c r="BM25" i="37"/>
  <c r="BL25" i="37"/>
  <c r="BG25" i="37"/>
  <c r="BF25" i="37"/>
  <c r="AE25" i="37"/>
  <c r="AD25" i="37"/>
  <c r="AC25" i="37"/>
  <c r="J25" i="37"/>
  <c r="I25" i="37"/>
  <c r="H25" i="37"/>
  <c r="DR24" i="37"/>
  <c r="DQ24" i="37"/>
  <c r="DP24" i="37"/>
  <c r="DK24" i="37"/>
  <c r="DJ24" i="37"/>
  <c r="DI24" i="37"/>
  <c r="DD24" i="37"/>
  <c r="DC24" i="37"/>
  <c r="DB24" i="37"/>
  <c r="CW24" i="37"/>
  <c r="CV24" i="37"/>
  <c r="CU24" i="37"/>
  <c r="CP24" i="37"/>
  <c r="CO24" i="37"/>
  <c r="CN24" i="37"/>
  <c r="CI24" i="37"/>
  <c r="CH24" i="37"/>
  <c r="CG24" i="37"/>
  <c r="CB24" i="37"/>
  <c r="CA24" i="37"/>
  <c r="BZ24" i="37"/>
  <c r="BN24" i="37"/>
  <c r="BM24" i="37"/>
  <c r="BL24" i="37"/>
  <c r="BG24" i="37"/>
  <c r="BF24" i="37"/>
  <c r="AE24" i="37"/>
  <c r="AD24" i="37"/>
  <c r="AC24" i="37"/>
  <c r="J24" i="37"/>
  <c r="I24" i="37"/>
  <c r="H24" i="37"/>
  <c r="DR23" i="37"/>
  <c r="DQ23" i="37"/>
  <c r="DP23" i="37"/>
  <c r="DK23" i="37"/>
  <c r="DJ23" i="37"/>
  <c r="DI23" i="37"/>
  <c r="DD23" i="37"/>
  <c r="DC23" i="37"/>
  <c r="DB23" i="37"/>
  <c r="CW23" i="37"/>
  <c r="CV23" i="37"/>
  <c r="CU23" i="37"/>
  <c r="CP23" i="37"/>
  <c r="CO23" i="37"/>
  <c r="CN23" i="37"/>
  <c r="CI23" i="37"/>
  <c r="CH23" i="37"/>
  <c r="CG23" i="37"/>
  <c r="CB23" i="37"/>
  <c r="CA23" i="37"/>
  <c r="BZ23" i="37"/>
  <c r="BN23" i="37"/>
  <c r="BM23" i="37"/>
  <c r="BL23" i="37"/>
  <c r="BG23" i="37"/>
  <c r="BF23" i="37"/>
  <c r="AZ23" i="37"/>
  <c r="AY23" i="37"/>
  <c r="AX23" i="37"/>
  <c r="AE23" i="37"/>
  <c r="AD23" i="37"/>
  <c r="AC23" i="37"/>
  <c r="Q23" i="37"/>
  <c r="P23" i="37"/>
  <c r="O23" i="37"/>
  <c r="J23" i="37"/>
  <c r="I23" i="37"/>
  <c r="H23" i="37"/>
  <c r="DR22" i="37"/>
  <c r="DQ22" i="37"/>
  <c r="DP22" i="37"/>
  <c r="DK22" i="37"/>
  <c r="DJ22" i="37"/>
  <c r="DI22" i="37"/>
  <c r="DD22" i="37"/>
  <c r="DC22" i="37"/>
  <c r="DB22" i="37"/>
  <c r="CW22" i="37"/>
  <c r="CV22" i="37"/>
  <c r="CU22" i="37"/>
  <c r="CP22" i="37"/>
  <c r="CO22" i="37"/>
  <c r="CN22" i="37"/>
  <c r="CI22" i="37"/>
  <c r="CH22" i="37"/>
  <c r="CG22" i="37"/>
  <c r="CB22" i="37"/>
  <c r="CA22" i="37"/>
  <c r="BZ22" i="37"/>
  <c r="BN22" i="37"/>
  <c r="BM22" i="37"/>
  <c r="BL22" i="37"/>
  <c r="BG22" i="37"/>
  <c r="BF22" i="37"/>
  <c r="AZ22" i="37"/>
  <c r="AY22" i="37"/>
  <c r="AX22" i="37"/>
  <c r="AE22" i="37"/>
  <c r="AD22" i="37"/>
  <c r="AC22" i="37"/>
  <c r="Q22" i="37"/>
  <c r="P22" i="37"/>
  <c r="O22" i="37"/>
  <c r="J22" i="37"/>
  <c r="I22" i="37"/>
  <c r="H22" i="37"/>
  <c r="DR21" i="37"/>
  <c r="DQ21" i="37"/>
  <c r="DP21" i="37"/>
  <c r="DK21" i="37"/>
  <c r="DJ21" i="37"/>
  <c r="DI21" i="37"/>
  <c r="DD21" i="37"/>
  <c r="DC21" i="37"/>
  <c r="DB21" i="37"/>
  <c r="CW21" i="37"/>
  <c r="CV21" i="37"/>
  <c r="CU21" i="37"/>
  <c r="CP21" i="37"/>
  <c r="CO21" i="37"/>
  <c r="CN21" i="37"/>
  <c r="CI21" i="37"/>
  <c r="CH21" i="37"/>
  <c r="CG21" i="37"/>
  <c r="CB21" i="37"/>
  <c r="CA21" i="37"/>
  <c r="BZ21" i="37"/>
  <c r="BN21" i="37"/>
  <c r="BM21" i="37"/>
  <c r="BL21" i="37"/>
  <c r="BG21" i="37"/>
  <c r="BF21" i="37"/>
  <c r="AZ21" i="37"/>
  <c r="AY21" i="37"/>
  <c r="AX21" i="37"/>
  <c r="AE21" i="37"/>
  <c r="AD21" i="37"/>
  <c r="AC21" i="37"/>
  <c r="Q21" i="37"/>
  <c r="P21" i="37"/>
  <c r="O21" i="37"/>
  <c r="J21" i="37"/>
  <c r="I21" i="37"/>
  <c r="H21" i="37"/>
  <c r="DR20" i="37"/>
  <c r="DQ20" i="37"/>
  <c r="DP20" i="37"/>
  <c r="DK20" i="37"/>
  <c r="DJ20" i="37"/>
  <c r="DI20" i="37"/>
  <c r="DD20" i="37"/>
  <c r="DC20" i="37"/>
  <c r="DB20" i="37"/>
  <c r="CW20" i="37"/>
  <c r="CV20" i="37"/>
  <c r="CU20" i="37"/>
  <c r="CP20" i="37"/>
  <c r="CO20" i="37"/>
  <c r="CN20" i="37"/>
  <c r="CI20" i="37"/>
  <c r="CH20" i="37"/>
  <c r="CG20" i="37"/>
  <c r="CB20" i="37"/>
  <c r="CA20" i="37"/>
  <c r="BZ20" i="37"/>
  <c r="BN20" i="37"/>
  <c r="BM20" i="37"/>
  <c r="BL20" i="37"/>
  <c r="BG20" i="37"/>
  <c r="BF20" i="37"/>
  <c r="AZ20" i="37"/>
  <c r="AY20" i="37"/>
  <c r="AX20" i="37"/>
  <c r="AE20" i="37"/>
  <c r="AD20" i="37"/>
  <c r="AC20" i="37"/>
  <c r="Q20" i="37"/>
  <c r="P20" i="37"/>
  <c r="O20" i="37"/>
  <c r="J20" i="37"/>
  <c r="I20" i="37"/>
  <c r="H20" i="37"/>
  <c r="DR19" i="37"/>
  <c r="DQ19" i="37"/>
  <c r="DP19" i="37"/>
  <c r="DK19" i="37"/>
  <c r="DJ19" i="37"/>
  <c r="DI19" i="37"/>
  <c r="DD19" i="37"/>
  <c r="DC19" i="37"/>
  <c r="DB19" i="37"/>
  <c r="CW19" i="37"/>
  <c r="CV19" i="37"/>
  <c r="CU19" i="37"/>
  <c r="CP19" i="37"/>
  <c r="CO19" i="37"/>
  <c r="CN19" i="37"/>
  <c r="CI19" i="37"/>
  <c r="CH19" i="37"/>
  <c r="CG19" i="37"/>
  <c r="CB19" i="37"/>
  <c r="CA19" i="37"/>
  <c r="BZ19" i="37"/>
  <c r="BN19" i="37"/>
  <c r="BM19" i="37"/>
  <c r="BL19" i="37"/>
  <c r="BG19" i="37"/>
  <c r="BF19" i="37"/>
  <c r="AZ19" i="37"/>
  <c r="AY19" i="37"/>
  <c r="AX19" i="37"/>
  <c r="AE19" i="37"/>
  <c r="AD19" i="37"/>
  <c r="AC19" i="37"/>
  <c r="Q19" i="37"/>
  <c r="P19" i="37"/>
  <c r="O19" i="37"/>
  <c r="J19" i="37"/>
  <c r="I19" i="37"/>
  <c r="H19" i="37"/>
  <c r="DR18" i="37"/>
  <c r="DQ18" i="37"/>
  <c r="DP18" i="37"/>
  <c r="DK18" i="37"/>
  <c r="DJ18" i="37"/>
  <c r="DI18" i="37"/>
  <c r="DD18" i="37"/>
  <c r="DC18" i="37"/>
  <c r="DB18" i="37"/>
  <c r="CW18" i="37"/>
  <c r="CV18" i="37"/>
  <c r="CU18" i="37"/>
  <c r="CP18" i="37"/>
  <c r="CO18" i="37"/>
  <c r="CN18" i="37"/>
  <c r="CI18" i="37"/>
  <c r="CH18" i="37"/>
  <c r="CG18" i="37"/>
  <c r="CB18" i="37"/>
  <c r="CA18" i="37"/>
  <c r="BZ18" i="37"/>
  <c r="BN18" i="37"/>
  <c r="BM18" i="37"/>
  <c r="BL18" i="37"/>
  <c r="BG18" i="37"/>
  <c r="BF18" i="37"/>
  <c r="AZ18" i="37"/>
  <c r="AY18" i="37"/>
  <c r="AX18" i="37"/>
  <c r="AE18" i="37"/>
  <c r="AD18" i="37"/>
  <c r="AC18" i="37"/>
  <c r="Q18" i="37"/>
  <c r="P18" i="37"/>
  <c r="O18" i="37"/>
  <c r="J18" i="37"/>
  <c r="I18" i="37"/>
  <c r="H18" i="37"/>
  <c r="DR17" i="37"/>
  <c r="DQ17" i="37"/>
  <c r="DP17" i="37"/>
  <c r="DK17" i="37"/>
  <c r="DJ17" i="37"/>
  <c r="DI17" i="37"/>
  <c r="DD17" i="37"/>
  <c r="DC17" i="37"/>
  <c r="DB17" i="37"/>
  <c r="CW17" i="37"/>
  <c r="CV17" i="37"/>
  <c r="CU17" i="37"/>
  <c r="CP17" i="37"/>
  <c r="CO17" i="37"/>
  <c r="CN17" i="37"/>
  <c r="CI17" i="37"/>
  <c r="CH17" i="37"/>
  <c r="CG17" i="37"/>
  <c r="CB17" i="37"/>
  <c r="CA17" i="37"/>
  <c r="BZ17" i="37"/>
  <c r="BU17" i="37"/>
  <c r="BT17" i="37"/>
  <c r="BS17" i="37"/>
  <c r="BN17" i="37"/>
  <c r="BM17" i="37"/>
  <c r="BL17" i="37"/>
  <c r="BG17" i="37"/>
  <c r="BF17" i="37"/>
  <c r="AZ17" i="37"/>
  <c r="AY17" i="37"/>
  <c r="AX17" i="37"/>
  <c r="AS17" i="37"/>
  <c r="AR17" i="37"/>
  <c r="AQ17" i="37"/>
  <c r="AE17" i="37"/>
  <c r="AD17" i="37"/>
  <c r="AC17" i="37"/>
  <c r="Q17" i="37"/>
  <c r="P17" i="37"/>
  <c r="O17" i="37"/>
  <c r="J17" i="37"/>
  <c r="I17" i="37"/>
  <c r="H17" i="37"/>
  <c r="DR16" i="37"/>
  <c r="DQ16" i="37"/>
  <c r="DP16" i="37"/>
  <c r="DK16" i="37"/>
  <c r="DJ16" i="37"/>
  <c r="DI16" i="37"/>
  <c r="DD16" i="37"/>
  <c r="DC16" i="37"/>
  <c r="DB16" i="37"/>
  <c r="CW16" i="37"/>
  <c r="CV16" i="37"/>
  <c r="CU16" i="37"/>
  <c r="CP16" i="37"/>
  <c r="CO16" i="37"/>
  <c r="CN16" i="37"/>
  <c r="CI16" i="37"/>
  <c r="CH16" i="37"/>
  <c r="CG16" i="37"/>
  <c r="CB16" i="37"/>
  <c r="CA16" i="37"/>
  <c r="BZ16" i="37"/>
  <c r="BU16" i="37"/>
  <c r="BT16" i="37"/>
  <c r="BS16" i="37"/>
  <c r="BN16" i="37"/>
  <c r="BM16" i="37"/>
  <c r="BL16" i="37"/>
  <c r="BG16" i="37"/>
  <c r="BF16" i="37"/>
  <c r="AZ16" i="37"/>
  <c r="AY16" i="37"/>
  <c r="AX16" i="37"/>
  <c r="AS16" i="37"/>
  <c r="AR16" i="37"/>
  <c r="AQ16" i="37"/>
  <c r="AE16" i="37"/>
  <c r="AD16" i="37"/>
  <c r="AC16" i="37"/>
  <c r="Q16" i="37"/>
  <c r="P16" i="37"/>
  <c r="O16" i="37"/>
  <c r="J16" i="37"/>
  <c r="I16" i="37"/>
  <c r="H16" i="37"/>
  <c r="DR15" i="37"/>
  <c r="DQ15" i="37"/>
  <c r="DP15" i="37"/>
  <c r="DK15" i="37"/>
  <c r="DJ15" i="37"/>
  <c r="DI15" i="37"/>
  <c r="DD15" i="37"/>
  <c r="DC15" i="37"/>
  <c r="DB15" i="37"/>
  <c r="CW15" i="37"/>
  <c r="CV15" i="37"/>
  <c r="CU15" i="37"/>
  <c r="CP15" i="37"/>
  <c r="CO15" i="37"/>
  <c r="CN15" i="37"/>
  <c r="CI15" i="37"/>
  <c r="CH15" i="37"/>
  <c r="CG15" i="37"/>
  <c r="CB15" i="37"/>
  <c r="CA15" i="37"/>
  <c r="BZ15" i="37"/>
  <c r="BU15" i="37"/>
  <c r="BT15" i="37"/>
  <c r="BS15" i="37"/>
  <c r="BN15" i="37"/>
  <c r="BM15" i="37"/>
  <c r="BL15" i="37"/>
  <c r="BG15" i="37"/>
  <c r="BF15" i="37"/>
  <c r="AZ15" i="37"/>
  <c r="AY15" i="37"/>
  <c r="AX15" i="37"/>
  <c r="AS15" i="37"/>
  <c r="AR15" i="37"/>
  <c r="AQ15" i="37"/>
  <c r="AL15" i="37"/>
  <c r="AK15" i="37"/>
  <c r="AJ15" i="37"/>
  <c r="AE15" i="37"/>
  <c r="AD15" i="37"/>
  <c r="AC15" i="37"/>
  <c r="X15" i="37"/>
  <c r="W15" i="37"/>
  <c r="V15" i="37"/>
  <c r="Q15" i="37"/>
  <c r="P15" i="37"/>
  <c r="O15" i="37"/>
  <c r="J15" i="37"/>
  <c r="I15" i="37"/>
  <c r="H15" i="37"/>
  <c r="C15" i="37"/>
  <c r="B15" i="37"/>
  <c r="A15" i="37"/>
  <c r="DR14" i="37"/>
  <c r="DQ14" i="37"/>
  <c r="DP14" i="37"/>
  <c r="DK14" i="37"/>
  <c r="DJ14" i="37"/>
  <c r="DI14" i="37"/>
  <c r="DD14" i="37"/>
  <c r="DC14" i="37"/>
  <c r="DB14" i="37"/>
  <c r="CW14" i="37"/>
  <c r="CV14" i="37"/>
  <c r="CU14" i="37"/>
  <c r="CP14" i="37"/>
  <c r="CO14" i="37"/>
  <c r="CN14" i="37"/>
  <c r="CI14" i="37"/>
  <c r="CH14" i="37"/>
  <c r="CG14" i="37"/>
  <c r="CB14" i="37"/>
  <c r="CA14" i="37"/>
  <c r="BZ14" i="37"/>
  <c r="BU14" i="37"/>
  <c r="BT14" i="37"/>
  <c r="BS14" i="37"/>
  <c r="BN14" i="37"/>
  <c r="BM14" i="37"/>
  <c r="BL14" i="37"/>
  <c r="BG14" i="37"/>
  <c r="BF14" i="37"/>
  <c r="AZ14" i="37"/>
  <c r="AY14" i="37"/>
  <c r="AX14" i="37"/>
  <c r="AS14" i="37"/>
  <c r="AR14" i="37"/>
  <c r="AQ14" i="37"/>
  <c r="AL14" i="37"/>
  <c r="AK14" i="37"/>
  <c r="AJ14" i="37"/>
  <c r="AE14" i="37"/>
  <c r="AD14" i="37"/>
  <c r="AC14" i="37"/>
  <c r="X14" i="37"/>
  <c r="W14" i="37"/>
  <c r="V14" i="37"/>
  <c r="Q14" i="37"/>
  <c r="P14" i="37"/>
  <c r="O14" i="37"/>
  <c r="J14" i="37"/>
  <c r="I14" i="37"/>
  <c r="H14" i="37"/>
  <c r="C14" i="37"/>
  <c r="B14" i="37"/>
  <c r="A14" i="37"/>
  <c r="DR13" i="37"/>
  <c r="DQ13" i="37"/>
  <c r="DP13" i="37"/>
  <c r="DK13" i="37"/>
  <c r="DJ13" i="37"/>
  <c r="DI13" i="37"/>
  <c r="DD13" i="37"/>
  <c r="DC13" i="37"/>
  <c r="DB13" i="37"/>
  <c r="CW13" i="37"/>
  <c r="CV13" i="37"/>
  <c r="CU13" i="37"/>
  <c r="CP13" i="37"/>
  <c r="CO13" i="37"/>
  <c r="CN13" i="37"/>
  <c r="CI13" i="37"/>
  <c r="CH13" i="37"/>
  <c r="CG13" i="37"/>
  <c r="CB13" i="37"/>
  <c r="CA13" i="37"/>
  <c r="BZ13" i="37"/>
  <c r="BU13" i="37"/>
  <c r="BT13" i="37"/>
  <c r="BS13" i="37"/>
  <c r="BN13" i="37"/>
  <c r="BM13" i="37"/>
  <c r="BL13" i="37"/>
  <c r="BG13" i="37"/>
  <c r="BF13" i="37"/>
  <c r="AZ13" i="37"/>
  <c r="AY13" i="37"/>
  <c r="AX13" i="37"/>
  <c r="AS13" i="37"/>
  <c r="AR13" i="37"/>
  <c r="AQ13" i="37"/>
  <c r="AL13" i="37"/>
  <c r="AK13" i="37"/>
  <c r="AJ13" i="37"/>
  <c r="AE13" i="37"/>
  <c r="AD13" i="37"/>
  <c r="AC13" i="37"/>
  <c r="X13" i="37"/>
  <c r="W13" i="37"/>
  <c r="V13" i="37"/>
  <c r="Q13" i="37"/>
  <c r="P13" i="37"/>
  <c r="O13" i="37"/>
  <c r="J13" i="37"/>
  <c r="I13" i="37"/>
  <c r="H13" i="37"/>
  <c r="C13" i="37"/>
  <c r="B13" i="37"/>
  <c r="A13" i="37"/>
  <c r="DR12" i="37"/>
  <c r="DQ12" i="37"/>
  <c r="DP12" i="37"/>
  <c r="DK12" i="37"/>
  <c r="DJ12" i="37"/>
  <c r="DI12" i="37"/>
  <c r="DD12" i="37"/>
  <c r="DC12" i="37"/>
  <c r="DB12" i="37"/>
  <c r="CW12" i="37"/>
  <c r="CV12" i="37"/>
  <c r="CU12" i="37"/>
  <c r="CP12" i="37"/>
  <c r="CO12" i="37"/>
  <c r="CN12" i="37"/>
  <c r="CI12" i="37"/>
  <c r="CH12" i="37"/>
  <c r="CG12" i="37"/>
  <c r="CB12" i="37"/>
  <c r="CA12" i="37"/>
  <c r="BZ12" i="37"/>
  <c r="BU12" i="37"/>
  <c r="BT12" i="37"/>
  <c r="BS12" i="37"/>
  <c r="BN12" i="37"/>
  <c r="BM12" i="37"/>
  <c r="BL12" i="37"/>
  <c r="BG12" i="37"/>
  <c r="BF12" i="37"/>
  <c r="AZ12" i="37"/>
  <c r="AY12" i="37"/>
  <c r="AX12" i="37"/>
  <c r="AS12" i="37"/>
  <c r="AR12" i="37"/>
  <c r="AQ12" i="37"/>
  <c r="AL12" i="37"/>
  <c r="AK12" i="37"/>
  <c r="AJ12" i="37"/>
  <c r="AE12" i="37"/>
  <c r="AD12" i="37"/>
  <c r="AC12" i="37"/>
  <c r="X12" i="37"/>
  <c r="W12" i="37"/>
  <c r="V12" i="37"/>
  <c r="Q12" i="37"/>
  <c r="P12" i="37"/>
  <c r="O12" i="37"/>
  <c r="J12" i="37"/>
  <c r="I12" i="37"/>
  <c r="H12" i="37"/>
  <c r="C12" i="37"/>
  <c r="B12" i="37"/>
  <c r="A12" i="37"/>
  <c r="DR11" i="37"/>
  <c r="DQ11" i="37"/>
  <c r="DP11" i="37"/>
  <c r="DK11" i="37"/>
  <c r="DJ11" i="37"/>
  <c r="DI11" i="37"/>
  <c r="DD11" i="37"/>
  <c r="DC11" i="37"/>
  <c r="DB11" i="37"/>
  <c r="CW11" i="37"/>
  <c r="CV11" i="37"/>
  <c r="CU11" i="37"/>
  <c r="CP11" i="37"/>
  <c r="CO11" i="37"/>
  <c r="CN11" i="37"/>
  <c r="CI11" i="37"/>
  <c r="CH11" i="37"/>
  <c r="CG11" i="37"/>
  <c r="CB11" i="37"/>
  <c r="CA11" i="37"/>
  <c r="BZ11" i="37"/>
  <c r="BU11" i="37"/>
  <c r="BT11" i="37"/>
  <c r="BS11" i="37"/>
  <c r="BN11" i="37"/>
  <c r="BM11" i="37"/>
  <c r="BL11" i="37"/>
  <c r="BG11" i="37"/>
  <c r="BF11" i="37"/>
  <c r="AZ11" i="37"/>
  <c r="AY11" i="37"/>
  <c r="AX11" i="37"/>
  <c r="AS11" i="37"/>
  <c r="AR11" i="37"/>
  <c r="AQ11" i="37"/>
  <c r="AL11" i="37"/>
  <c r="AK11" i="37"/>
  <c r="AJ11" i="37"/>
  <c r="AE11" i="37"/>
  <c r="AD11" i="37"/>
  <c r="AC11" i="37"/>
  <c r="X11" i="37"/>
  <c r="W11" i="37"/>
  <c r="V11" i="37"/>
  <c r="Q11" i="37"/>
  <c r="P11" i="37"/>
  <c r="O11" i="37"/>
  <c r="J11" i="37"/>
  <c r="I11" i="37"/>
  <c r="H11" i="37"/>
  <c r="C11" i="37"/>
  <c r="B11" i="37"/>
  <c r="A11" i="37"/>
  <c r="DR10" i="37"/>
  <c r="DQ10" i="37"/>
  <c r="DP10" i="37"/>
  <c r="DK10" i="37"/>
  <c r="DJ10" i="37"/>
  <c r="DI10" i="37"/>
  <c r="DD10" i="37"/>
  <c r="DC10" i="37"/>
  <c r="DB10" i="37"/>
  <c r="CW10" i="37"/>
  <c r="CV10" i="37"/>
  <c r="CU10" i="37"/>
  <c r="CP10" i="37"/>
  <c r="CO10" i="37"/>
  <c r="CN10" i="37"/>
  <c r="CI10" i="37"/>
  <c r="CH10" i="37"/>
  <c r="CG10" i="37"/>
  <c r="CB10" i="37"/>
  <c r="CA10" i="37"/>
  <c r="BZ10" i="37"/>
  <c r="BU10" i="37"/>
  <c r="BT10" i="37"/>
  <c r="BS10" i="37"/>
  <c r="BN10" i="37"/>
  <c r="BM10" i="37"/>
  <c r="BL10" i="37"/>
  <c r="BG10" i="37"/>
  <c r="BF10" i="37"/>
  <c r="AZ10" i="37"/>
  <c r="AY10" i="37"/>
  <c r="AX10" i="37"/>
  <c r="AS10" i="37"/>
  <c r="AR10" i="37"/>
  <c r="AQ10" i="37"/>
  <c r="AL10" i="37"/>
  <c r="AK10" i="37"/>
  <c r="AJ10" i="37"/>
  <c r="AE10" i="37"/>
  <c r="AD10" i="37"/>
  <c r="AC10" i="37"/>
  <c r="X10" i="37"/>
  <c r="W10" i="37"/>
  <c r="V10" i="37"/>
  <c r="Q10" i="37"/>
  <c r="P10" i="37"/>
  <c r="O10" i="37"/>
  <c r="J10" i="37"/>
  <c r="I10" i="37"/>
  <c r="H10" i="37"/>
  <c r="C10" i="37"/>
  <c r="B10" i="37"/>
  <c r="A10" i="37"/>
  <c r="DR9" i="37"/>
  <c r="DQ9" i="37"/>
  <c r="DP9" i="37"/>
  <c r="DK9" i="37"/>
  <c r="DJ9" i="37"/>
  <c r="DI9" i="37"/>
  <c r="DD9" i="37"/>
  <c r="DC9" i="37"/>
  <c r="DB9" i="37"/>
  <c r="CW9" i="37"/>
  <c r="CV9" i="37"/>
  <c r="CU9" i="37"/>
  <c r="CP9" i="37"/>
  <c r="CO9" i="37"/>
  <c r="CN9" i="37"/>
  <c r="CI9" i="37"/>
  <c r="CH9" i="37"/>
  <c r="CG9" i="37"/>
  <c r="CB9" i="37"/>
  <c r="CA9" i="37"/>
  <c r="BZ9" i="37"/>
  <c r="BU9" i="37"/>
  <c r="BT9" i="37"/>
  <c r="BS9" i="37"/>
  <c r="BN9" i="37"/>
  <c r="BM9" i="37"/>
  <c r="BL9" i="37"/>
  <c r="BG9" i="37"/>
  <c r="BF9" i="37"/>
  <c r="AZ9" i="37"/>
  <c r="AY9" i="37"/>
  <c r="AX9" i="37"/>
  <c r="AS9" i="37"/>
  <c r="AR9" i="37"/>
  <c r="AQ9" i="37"/>
  <c r="AL9" i="37"/>
  <c r="AK9" i="37"/>
  <c r="AJ9" i="37"/>
  <c r="AE9" i="37"/>
  <c r="AD9" i="37"/>
  <c r="AC9" i="37"/>
  <c r="X9" i="37"/>
  <c r="W9" i="37"/>
  <c r="V9" i="37"/>
  <c r="Q9" i="37"/>
  <c r="P9" i="37"/>
  <c r="O9" i="37"/>
  <c r="J9" i="37"/>
  <c r="I9" i="37"/>
  <c r="H9" i="37"/>
  <c r="C9" i="37"/>
  <c r="B9" i="37"/>
  <c r="A9" i="37"/>
  <c r="DR8" i="37"/>
  <c r="DQ8" i="37"/>
  <c r="DP8" i="37"/>
  <c r="DK8" i="37"/>
  <c r="DJ8" i="37"/>
  <c r="DI8" i="37"/>
  <c r="DD8" i="37"/>
  <c r="DC8" i="37"/>
  <c r="DB8" i="37"/>
  <c r="CW8" i="37"/>
  <c r="CV8" i="37"/>
  <c r="CU8" i="37"/>
  <c r="CP8" i="37"/>
  <c r="CO8" i="37"/>
  <c r="CN8" i="37"/>
  <c r="CI8" i="37"/>
  <c r="CH8" i="37"/>
  <c r="CG8" i="37"/>
  <c r="CB8" i="37"/>
  <c r="CA8" i="37"/>
  <c r="BZ8" i="37"/>
  <c r="BU8" i="37"/>
  <c r="BT8" i="37"/>
  <c r="BS8" i="37"/>
  <c r="BN8" i="37"/>
  <c r="BM8" i="37"/>
  <c r="BL8" i="37"/>
  <c r="BG8" i="37"/>
  <c r="BF8" i="37"/>
  <c r="AZ8" i="37"/>
  <c r="AY8" i="37"/>
  <c r="AX8" i="37"/>
  <c r="AS8" i="37"/>
  <c r="AR8" i="37"/>
  <c r="AQ8" i="37"/>
  <c r="AL8" i="37"/>
  <c r="AK8" i="37"/>
  <c r="AJ8" i="37"/>
  <c r="AE8" i="37"/>
  <c r="AD8" i="37"/>
  <c r="AC8" i="37"/>
  <c r="X8" i="37"/>
  <c r="W8" i="37"/>
  <c r="V8" i="37"/>
  <c r="Q8" i="37"/>
  <c r="P8" i="37"/>
  <c r="O8" i="37"/>
  <c r="J8" i="37"/>
  <c r="I8" i="37"/>
  <c r="H8" i="37"/>
  <c r="C8" i="37"/>
  <c r="B8" i="37"/>
  <c r="A8" i="37"/>
  <c r="DR7" i="37"/>
  <c r="DQ7" i="37"/>
  <c r="DP7" i="37"/>
  <c r="DK7" i="37"/>
  <c r="DJ7" i="37"/>
  <c r="DI7" i="37"/>
  <c r="DD7" i="37"/>
  <c r="DC7" i="37"/>
  <c r="DB7" i="37"/>
  <c r="CW7" i="37"/>
  <c r="CV7" i="37"/>
  <c r="CU7" i="37"/>
  <c r="CP7" i="37"/>
  <c r="CO7" i="37"/>
  <c r="CN7" i="37"/>
  <c r="CI7" i="37"/>
  <c r="CH7" i="37"/>
  <c r="CG7" i="37"/>
  <c r="CB7" i="37"/>
  <c r="CA7" i="37"/>
  <c r="BZ7" i="37"/>
  <c r="BU7" i="37"/>
  <c r="BT7" i="37"/>
  <c r="BS7" i="37"/>
  <c r="BN7" i="37"/>
  <c r="BM7" i="37"/>
  <c r="BL7" i="37"/>
  <c r="BG7" i="37"/>
  <c r="BF7" i="37"/>
  <c r="AZ7" i="37"/>
  <c r="AY7" i="37"/>
  <c r="AX7" i="37"/>
  <c r="AS7" i="37"/>
  <c r="AR7" i="37"/>
  <c r="AQ7" i="37"/>
  <c r="AL7" i="37"/>
  <c r="AK7" i="37"/>
  <c r="AJ7" i="37"/>
  <c r="AE7" i="37"/>
  <c r="AD7" i="37"/>
  <c r="AC7" i="37"/>
  <c r="X7" i="37"/>
  <c r="W7" i="37"/>
  <c r="V7" i="37"/>
  <c r="Q7" i="37"/>
  <c r="P7" i="37"/>
  <c r="O7" i="37"/>
  <c r="J7" i="37"/>
  <c r="I7" i="37"/>
  <c r="H7" i="37"/>
  <c r="C7" i="37"/>
  <c r="B7" i="37"/>
  <c r="A7" i="37"/>
  <c r="DR6" i="37"/>
  <c r="DQ6" i="37"/>
  <c r="DP6" i="37"/>
  <c r="DK6" i="37"/>
  <c r="DJ6" i="37"/>
  <c r="DI6" i="37"/>
  <c r="DD6" i="37"/>
  <c r="DC6" i="37"/>
  <c r="DB6" i="37"/>
  <c r="CW6" i="37"/>
  <c r="CV6" i="37"/>
  <c r="CU6" i="37"/>
  <c r="CP6" i="37"/>
  <c r="CO6" i="37"/>
  <c r="CN6" i="37"/>
  <c r="CI6" i="37"/>
  <c r="CH6" i="37"/>
  <c r="CG6" i="37"/>
  <c r="CB6" i="37"/>
  <c r="CA6" i="37"/>
  <c r="BZ6" i="37"/>
  <c r="BU6" i="37"/>
  <c r="BT6" i="37"/>
  <c r="BS6" i="37"/>
  <c r="BN6" i="37"/>
  <c r="BM6" i="37"/>
  <c r="BL6" i="37"/>
  <c r="BG6" i="37"/>
  <c r="BF6" i="37"/>
  <c r="AZ6" i="37"/>
  <c r="AY6" i="37"/>
  <c r="AX6" i="37"/>
  <c r="AS6" i="37"/>
  <c r="AR6" i="37"/>
  <c r="AQ6" i="37"/>
  <c r="AL6" i="37"/>
  <c r="AK6" i="37"/>
  <c r="AJ6" i="37"/>
  <c r="AE6" i="37"/>
  <c r="AD6" i="37"/>
  <c r="AC6" i="37"/>
  <c r="X6" i="37"/>
  <c r="W6" i="37"/>
  <c r="V6" i="37"/>
  <c r="Q6" i="37"/>
  <c r="P6" i="37"/>
  <c r="O6" i="37"/>
  <c r="J6" i="37"/>
  <c r="I6" i="37"/>
  <c r="H6" i="37"/>
  <c r="C6" i="37"/>
  <c r="B6" i="37"/>
  <c r="A6" i="37"/>
  <c r="DR5" i="37"/>
  <c r="DQ5" i="37"/>
  <c r="DP5" i="37"/>
  <c r="DK5" i="37"/>
  <c r="DJ5" i="37"/>
  <c r="DI5" i="37"/>
  <c r="DD5" i="37"/>
  <c r="DC5" i="37"/>
  <c r="DB5" i="37"/>
  <c r="CW5" i="37"/>
  <c r="CV5" i="37"/>
  <c r="CU5" i="37"/>
  <c r="CP5" i="37"/>
  <c r="CO5" i="37"/>
  <c r="CN5" i="37"/>
  <c r="CI5" i="37"/>
  <c r="CH5" i="37"/>
  <c r="CG5" i="37"/>
  <c r="CB5" i="37"/>
  <c r="CA5" i="37"/>
  <c r="BZ5" i="37"/>
  <c r="BU5" i="37"/>
  <c r="BT5" i="37"/>
  <c r="BS5" i="37"/>
  <c r="BN5" i="37"/>
  <c r="BM5" i="37"/>
  <c r="BL5" i="37"/>
  <c r="BG5" i="37"/>
  <c r="BF5" i="37"/>
  <c r="AZ5" i="37"/>
  <c r="AY5" i="37"/>
  <c r="AX5" i="37"/>
  <c r="AS5" i="37"/>
  <c r="AR5" i="37"/>
  <c r="AQ5" i="37"/>
  <c r="AL5" i="37"/>
  <c r="AK5" i="37"/>
  <c r="AJ5" i="37"/>
  <c r="AE5" i="37"/>
  <c r="AD5" i="37"/>
  <c r="AC5" i="37"/>
  <c r="X5" i="37"/>
  <c r="W5" i="37"/>
  <c r="V5" i="37"/>
  <c r="Q5" i="37"/>
  <c r="P5" i="37"/>
  <c r="O5" i="37"/>
  <c r="J5" i="37"/>
  <c r="I5" i="37"/>
  <c r="H5" i="37"/>
  <c r="C5" i="37"/>
  <c r="B5" i="37"/>
  <c r="A5" i="37"/>
  <c r="DR4" i="37"/>
  <c r="DQ4" i="37"/>
  <c r="DP4" i="37"/>
  <c r="DK4" i="37"/>
  <c r="DJ4" i="37"/>
  <c r="DI4" i="37"/>
  <c r="DD4" i="37"/>
  <c r="DC4" i="37"/>
  <c r="DB4" i="37"/>
  <c r="CW4" i="37"/>
  <c r="CV4" i="37"/>
  <c r="CU4" i="37"/>
  <c r="CP4" i="37"/>
  <c r="CO4" i="37"/>
  <c r="CN4" i="37"/>
  <c r="CI4" i="37"/>
  <c r="CH4" i="37"/>
  <c r="CG4" i="37"/>
  <c r="CB4" i="37"/>
  <c r="CA4" i="37"/>
  <c r="BZ4" i="37"/>
  <c r="BU4" i="37"/>
  <c r="BT4" i="37"/>
  <c r="BS4" i="37"/>
  <c r="BN4" i="37"/>
  <c r="BM4" i="37"/>
  <c r="BL4" i="37"/>
  <c r="BG4" i="37"/>
  <c r="BF4" i="37"/>
  <c r="AZ4" i="37"/>
  <c r="AY4" i="37"/>
  <c r="AX4" i="37"/>
  <c r="AS4" i="37"/>
  <c r="AR4" i="37"/>
  <c r="AQ4" i="37"/>
  <c r="AL4" i="37"/>
  <c r="AK4" i="37"/>
  <c r="AJ4" i="37"/>
  <c r="AE4" i="37"/>
  <c r="AD4" i="37"/>
  <c r="AC4" i="37"/>
  <c r="X4" i="37"/>
  <c r="W4" i="37"/>
  <c r="V4" i="37"/>
  <c r="Q4" i="37"/>
  <c r="P4" i="37"/>
  <c r="O4" i="37"/>
  <c r="J4" i="37"/>
  <c r="I4" i="37"/>
  <c r="H4" i="37"/>
  <c r="C4" i="37"/>
  <c r="B4" i="37"/>
  <c r="A4" i="37"/>
  <c r="DR3" i="37"/>
  <c r="DQ3" i="37"/>
  <c r="DP3" i="37"/>
  <c r="DK3" i="37"/>
  <c r="DJ3" i="37"/>
  <c r="DI3" i="37"/>
  <c r="DD3" i="37"/>
  <c r="DC3" i="37"/>
  <c r="DB3" i="37"/>
  <c r="CW3" i="37"/>
  <c r="CV3" i="37"/>
  <c r="CU3" i="37"/>
  <c r="CP3" i="37"/>
  <c r="CO3" i="37"/>
  <c r="CN3" i="37"/>
  <c r="CI3" i="37"/>
  <c r="CH3" i="37"/>
  <c r="CG3" i="37"/>
  <c r="CB3" i="37"/>
  <c r="CA3" i="37"/>
  <c r="BZ3" i="37"/>
  <c r="BU3" i="37"/>
  <c r="BT3" i="37"/>
  <c r="BS3" i="37"/>
  <c r="BN3" i="37"/>
  <c r="BM3" i="37"/>
  <c r="BL3" i="37"/>
  <c r="BG3" i="37"/>
  <c r="BF3" i="37"/>
  <c r="BE3" i="37"/>
  <c r="AZ3" i="37"/>
  <c r="AY3" i="37"/>
  <c r="AX3" i="37"/>
  <c r="AS3" i="37"/>
  <c r="AR3" i="37"/>
  <c r="AQ3" i="37"/>
  <c r="AL3" i="37"/>
  <c r="AK3" i="37"/>
  <c r="AJ3" i="37"/>
  <c r="AE3" i="37"/>
  <c r="AD3" i="37"/>
  <c r="AC3" i="37"/>
  <c r="X3" i="37"/>
  <c r="W3" i="37"/>
  <c r="V3" i="37"/>
  <c r="Q3" i="37"/>
  <c r="P3" i="37"/>
  <c r="O3" i="37"/>
  <c r="J3" i="37"/>
  <c r="I3" i="37"/>
  <c r="H3" i="37"/>
  <c r="C3" i="37"/>
  <c r="B3" i="37"/>
  <c r="A3" i="37"/>
  <c r="DR2" i="37"/>
  <c r="DQ2" i="37"/>
  <c r="DK2" i="37"/>
  <c r="DD2" i="37"/>
  <c r="DC2" i="37"/>
  <c r="CW2" i="37"/>
  <c r="CV2" i="37"/>
  <c r="CP2" i="37"/>
  <c r="CO2" i="37"/>
  <c r="CI2" i="37"/>
  <c r="CH2" i="37"/>
  <c r="CB2" i="37"/>
  <c r="CA2" i="37"/>
  <c r="BU2" i="37"/>
  <c r="BT2" i="37"/>
  <c r="BN2" i="37"/>
  <c r="BM2" i="37"/>
  <c r="BG2" i="37"/>
  <c r="BF2" i="37"/>
  <c r="AZ2" i="37"/>
  <c r="AY2" i="37"/>
  <c r="AS2" i="37"/>
  <c r="AR2" i="37"/>
  <c r="AL2" i="37"/>
  <c r="AK2" i="37"/>
  <c r="AE2" i="37"/>
  <c r="AD2" i="37"/>
  <c r="X2" i="37"/>
  <c r="W2" i="37"/>
  <c r="Q2" i="37"/>
  <c r="P2" i="37"/>
  <c r="J2" i="37"/>
  <c r="I2" i="37"/>
  <c r="B2" i="37"/>
  <c r="B57" i="34"/>
  <c r="B52" i="34"/>
  <c r="E40" i="2" s="1"/>
  <c r="K35" i="34"/>
  <c r="J35" i="34"/>
  <c r="H35" i="34"/>
  <c r="G35" i="34"/>
  <c r="F35" i="34"/>
  <c r="Z34" i="34"/>
  <c r="Y34" i="34"/>
  <c r="X34" i="34"/>
  <c r="W34" i="34"/>
  <c r="V34" i="34"/>
  <c r="U34" i="34"/>
  <c r="T34" i="34"/>
  <c r="I34" i="34"/>
  <c r="Z33" i="34"/>
  <c r="Y33" i="34"/>
  <c r="X33" i="34"/>
  <c r="W33" i="34"/>
  <c r="V33" i="34"/>
  <c r="U33" i="34"/>
  <c r="T33" i="34"/>
  <c r="I33" i="34"/>
  <c r="Z32" i="34"/>
  <c r="Y32" i="34"/>
  <c r="X32" i="34"/>
  <c r="W32" i="34"/>
  <c r="V32" i="34"/>
  <c r="U32" i="34"/>
  <c r="T32" i="34"/>
  <c r="I32" i="34"/>
  <c r="Z31" i="34"/>
  <c r="Y31" i="34"/>
  <c r="X31" i="34"/>
  <c r="W31" i="34"/>
  <c r="V31" i="34"/>
  <c r="U31" i="34"/>
  <c r="T31" i="34"/>
  <c r="I31" i="34"/>
  <c r="I35" i="34"/>
  <c r="K28" i="34"/>
  <c r="J28" i="34"/>
  <c r="H28" i="34"/>
  <c r="G28" i="34"/>
  <c r="F28" i="34"/>
  <c r="Z27" i="34"/>
  <c r="Y27" i="34"/>
  <c r="X27" i="34"/>
  <c r="W27" i="34"/>
  <c r="V27" i="34"/>
  <c r="U27" i="34"/>
  <c r="T27" i="34"/>
  <c r="I27" i="34"/>
  <c r="Z26" i="34"/>
  <c r="Y26" i="34"/>
  <c r="X26" i="34"/>
  <c r="W26" i="34"/>
  <c r="V26" i="34"/>
  <c r="U26" i="34"/>
  <c r="T26" i="34"/>
  <c r="I26" i="34"/>
  <c r="Z25" i="34"/>
  <c r="Y25" i="34"/>
  <c r="X25" i="34"/>
  <c r="W25" i="34"/>
  <c r="V25" i="34"/>
  <c r="U25" i="34"/>
  <c r="T25" i="34"/>
  <c r="I25" i="34"/>
  <c r="Z24" i="34"/>
  <c r="Y24" i="34"/>
  <c r="X24" i="34"/>
  <c r="W24" i="34"/>
  <c r="V24" i="34"/>
  <c r="U24" i="34"/>
  <c r="T24" i="34"/>
  <c r="I24" i="34"/>
  <c r="K21" i="34"/>
  <c r="J21" i="34"/>
  <c r="H21" i="34"/>
  <c r="G21" i="34"/>
  <c r="F21" i="34"/>
  <c r="F41" i="34"/>
  <c r="Z20" i="34"/>
  <c r="Y20" i="34"/>
  <c r="X20" i="34"/>
  <c r="W20" i="34"/>
  <c r="V20" i="34"/>
  <c r="U20" i="34"/>
  <c r="T20" i="34"/>
  <c r="I20" i="34"/>
  <c r="Z19" i="34"/>
  <c r="Y19" i="34"/>
  <c r="X19" i="34"/>
  <c r="W19" i="34"/>
  <c r="V19" i="34"/>
  <c r="U19" i="34"/>
  <c r="T19" i="34"/>
  <c r="I19" i="34"/>
  <c r="Z18" i="34"/>
  <c r="Y18" i="34"/>
  <c r="X18" i="34"/>
  <c r="W18" i="34"/>
  <c r="V18" i="34"/>
  <c r="U18" i="34"/>
  <c r="T18" i="34"/>
  <c r="I18" i="34"/>
  <c r="Z17" i="34"/>
  <c r="Y17" i="34"/>
  <c r="X17" i="34"/>
  <c r="W17" i="34"/>
  <c r="V17" i="34"/>
  <c r="U17" i="34"/>
  <c r="T17" i="34"/>
  <c r="I17" i="34"/>
  <c r="I21" i="34"/>
  <c r="G41" i="34"/>
  <c r="I10" i="34"/>
  <c r="Z8" i="34"/>
  <c r="Y8" i="34"/>
  <c r="X8" i="34"/>
  <c r="W8" i="34"/>
  <c r="V8" i="34"/>
  <c r="U8" i="34"/>
  <c r="T8" i="34"/>
  <c r="C40" i="2"/>
  <c r="I8" i="34"/>
  <c r="O1" i="34"/>
  <c r="B69" i="33"/>
  <c r="B68" i="33"/>
  <c r="B67" i="33"/>
  <c r="B66" i="33"/>
  <c r="B65" i="33"/>
  <c r="B64" i="33"/>
  <c r="B63" i="33"/>
  <c r="B60" i="33"/>
  <c r="B59" i="33"/>
  <c r="B58" i="33"/>
  <c r="B50" i="33"/>
  <c r="E39" i="2" s="1"/>
  <c r="P38" i="33"/>
  <c r="N38" i="33"/>
  <c r="H38" i="33"/>
  <c r="L38" i="33"/>
  <c r="I38" i="33"/>
  <c r="L37" i="33"/>
  <c r="I37" i="33"/>
  <c r="L36" i="33"/>
  <c r="I36" i="33"/>
  <c r="L35" i="33"/>
  <c r="I35" i="33"/>
  <c r="L34" i="33"/>
  <c r="L20" i="33"/>
  <c r="I20" i="33"/>
  <c r="L19" i="33"/>
  <c r="I19" i="33"/>
  <c r="L17" i="33"/>
  <c r="I17" i="33"/>
  <c r="I15" i="33"/>
  <c r="L12" i="33"/>
  <c r="I12" i="33"/>
  <c r="L11" i="33"/>
  <c r="I11" i="33"/>
  <c r="L10" i="33"/>
  <c r="B8" i="33"/>
  <c r="B56" i="33"/>
  <c r="F1" i="33"/>
  <c r="B32" i="32"/>
  <c r="B29" i="32"/>
  <c r="E38" i="2" s="1"/>
  <c r="N17" i="32"/>
  <c r="H17" i="32"/>
  <c r="S17" i="32"/>
  <c r="N14" i="32"/>
  <c r="H14" i="32"/>
  <c r="S14" i="32"/>
  <c r="N13" i="32"/>
  <c r="H13" i="32"/>
  <c r="S13" i="32"/>
  <c r="N12" i="32"/>
  <c r="H12" i="32"/>
  <c r="S12" i="32"/>
  <c r="N11" i="32"/>
  <c r="H11" i="32"/>
  <c r="S11" i="32"/>
  <c r="G8" i="32"/>
  <c r="N7" i="32"/>
  <c r="H7" i="32"/>
  <c r="B6" i="32"/>
  <c r="B33" i="32"/>
  <c r="H1" i="32"/>
  <c r="B39" i="31"/>
  <c r="B36" i="31"/>
  <c r="E37" i="2" s="1"/>
  <c r="N25" i="31"/>
  <c r="Z24" i="31"/>
  <c r="Q24" i="31"/>
  <c r="Z23" i="31"/>
  <c r="Q23" i="31"/>
  <c r="N22" i="31"/>
  <c r="Z21" i="31"/>
  <c r="Q21" i="31"/>
  <c r="Z20" i="31"/>
  <c r="Q20" i="31"/>
  <c r="W16" i="31"/>
  <c r="T16" i="31"/>
  <c r="M16" i="31"/>
  <c r="I16" i="31"/>
  <c r="L12" i="31"/>
  <c r="L14" i="31"/>
  <c r="L17" i="31"/>
  <c r="K12" i="31"/>
  <c r="K14" i="31"/>
  <c r="K17" i="31"/>
  <c r="J12" i="31"/>
  <c r="J14" i="31"/>
  <c r="J17" i="31"/>
  <c r="W11" i="31"/>
  <c r="T11" i="31"/>
  <c r="M11" i="31"/>
  <c r="I11" i="31"/>
  <c r="W10" i="31"/>
  <c r="M10" i="31"/>
  <c r="W9" i="31"/>
  <c r="T9" i="31"/>
  <c r="M9" i="31"/>
  <c r="I9" i="31"/>
  <c r="W8" i="31"/>
  <c r="T8" i="31"/>
  <c r="M8" i="31"/>
  <c r="I8" i="31"/>
  <c r="B8" i="31"/>
  <c r="B9" i="31"/>
  <c r="B41" i="31"/>
  <c r="W7" i="31"/>
  <c r="T7" i="31"/>
  <c r="M7" i="31"/>
  <c r="I7" i="31"/>
  <c r="N1" i="31"/>
  <c r="B59" i="30"/>
  <c r="B56" i="30"/>
  <c r="E36" i="2" s="1"/>
  <c r="Q42" i="30"/>
  <c r="Q41" i="30"/>
  <c r="Q40" i="30"/>
  <c r="Q39" i="30"/>
  <c r="Q38" i="30"/>
  <c r="Q37" i="30"/>
  <c r="Q36" i="30"/>
  <c r="Q35" i="30"/>
  <c r="AG31" i="30"/>
  <c r="N31" i="30"/>
  <c r="AE31" i="30"/>
  <c r="AG30" i="30"/>
  <c r="N30" i="30"/>
  <c r="AE30" i="30"/>
  <c r="N26" i="30"/>
  <c r="AE26" i="30"/>
  <c r="AG24" i="30"/>
  <c r="N24" i="30"/>
  <c r="AE24" i="30"/>
  <c r="M23" i="30"/>
  <c r="M25" i="30"/>
  <c r="L23" i="30"/>
  <c r="L25" i="30"/>
  <c r="K23" i="30"/>
  <c r="K25" i="30"/>
  <c r="J23" i="30"/>
  <c r="J25" i="30"/>
  <c r="I23" i="30"/>
  <c r="I25" i="30"/>
  <c r="H23" i="30"/>
  <c r="H25" i="30"/>
  <c r="G23" i="30"/>
  <c r="G25" i="30"/>
  <c r="F23" i="30"/>
  <c r="F25" i="30"/>
  <c r="AG22" i="30"/>
  <c r="N22" i="30"/>
  <c r="AE22" i="30"/>
  <c r="AG21" i="30"/>
  <c r="N21" i="30"/>
  <c r="AE21" i="30"/>
  <c r="AG20" i="30"/>
  <c r="N20" i="30"/>
  <c r="AE20" i="30"/>
  <c r="AG19" i="30"/>
  <c r="N19" i="30"/>
  <c r="AE19" i="30"/>
  <c r="AG15" i="30"/>
  <c r="N15" i="30"/>
  <c r="AE15" i="30"/>
  <c r="M13" i="30"/>
  <c r="M16" i="30"/>
  <c r="L13" i="30"/>
  <c r="L16" i="30"/>
  <c r="K13" i="30"/>
  <c r="K16" i="30"/>
  <c r="J13" i="30"/>
  <c r="J16" i="30"/>
  <c r="I13" i="30"/>
  <c r="I16" i="30"/>
  <c r="H13" i="30"/>
  <c r="H16" i="30"/>
  <c r="G13" i="30"/>
  <c r="G16" i="30"/>
  <c r="F13" i="30"/>
  <c r="F16" i="30"/>
  <c r="AG12" i="30"/>
  <c r="N12" i="30"/>
  <c r="AE12" i="30"/>
  <c r="AG11" i="30"/>
  <c r="N11" i="30"/>
  <c r="AE11" i="30"/>
  <c r="AG10" i="30"/>
  <c r="N10" i="30"/>
  <c r="AE10" i="30"/>
  <c r="AG9" i="30"/>
  <c r="N9" i="30"/>
  <c r="AE9" i="30"/>
  <c r="AG8" i="30"/>
  <c r="N8" i="30"/>
  <c r="AE8" i="30"/>
  <c r="B8" i="30"/>
  <c r="B9" i="30"/>
  <c r="AG7" i="30"/>
  <c r="N7" i="30"/>
  <c r="AE7" i="30"/>
  <c r="Q6" i="30"/>
  <c r="N1" i="30"/>
  <c r="B57" i="29"/>
  <c r="B54" i="29"/>
  <c r="E35" i="2" s="1"/>
  <c r="W40" i="29"/>
  <c r="O40" i="29"/>
  <c r="V39" i="29"/>
  <c r="O39" i="29"/>
  <c r="U38" i="29"/>
  <c r="O38" i="29"/>
  <c r="T37" i="29"/>
  <c r="O37" i="29"/>
  <c r="S36" i="29"/>
  <c r="O36" i="29"/>
  <c r="R35" i="29"/>
  <c r="O35" i="29"/>
  <c r="AB31" i="29"/>
  <c r="W31" i="29"/>
  <c r="V31" i="29"/>
  <c r="U31" i="29"/>
  <c r="T31" i="29"/>
  <c r="S31" i="29"/>
  <c r="R31" i="29"/>
  <c r="L31" i="29"/>
  <c r="AA31" i="29"/>
  <c r="AB30" i="29"/>
  <c r="W30" i="29"/>
  <c r="V30" i="29"/>
  <c r="U30" i="29"/>
  <c r="T30" i="29"/>
  <c r="S30" i="29"/>
  <c r="R30" i="29"/>
  <c r="L30" i="29"/>
  <c r="AA30" i="29"/>
  <c r="W26" i="29"/>
  <c r="V26" i="29"/>
  <c r="U26" i="29"/>
  <c r="T26" i="29"/>
  <c r="S26" i="29"/>
  <c r="R26" i="29"/>
  <c r="L26" i="29"/>
  <c r="AA26" i="29"/>
  <c r="AB24" i="29"/>
  <c r="W24" i="29"/>
  <c r="V24" i="29"/>
  <c r="U24" i="29"/>
  <c r="T24" i="29"/>
  <c r="S24" i="29"/>
  <c r="R24" i="29"/>
  <c r="L24" i="29"/>
  <c r="AA24" i="29"/>
  <c r="K23" i="29"/>
  <c r="K25" i="29"/>
  <c r="J23" i="29"/>
  <c r="J25" i="29"/>
  <c r="I23" i="29"/>
  <c r="I25" i="29"/>
  <c r="H23" i="29"/>
  <c r="H25" i="29"/>
  <c r="G23" i="29"/>
  <c r="G25" i="29"/>
  <c r="F23" i="29"/>
  <c r="F25" i="29"/>
  <c r="AB22" i="29"/>
  <c r="W22" i="29"/>
  <c r="V22" i="29"/>
  <c r="U22" i="29"/>
  <c r="T22" i="29"/>
  <c r="S22" i="29"/>
  <c r="R22" i="29"/>
  <c r="L22" i="29"/>
  <c r="AA22" i="29"/>
  <c r="AB21" i="29"/>
  <c r="W21" i="29"/>
  <c r="V21" i="29"/>
  <c r="U21" i="29"/>
  <c r="T21" i="29"/>
  <c r="S21" i="29"/>
  <c r="R21" i="29"/>
  <c r="L21" i="29"/>
  <c r="AA21" i="29"/>
  <c r="AB20" i="29"/>
  <c r="W20" i="29"/>
  <c r="V20" i="29"/>
  <c r="U20" i="29"/>
  <c r="T20" i="29"/>
  <c r="S20" i="29"/>
  <c r="R20" i="29"/>
  <c r="L20" i="29"/>
  <c r="AA20" i="29"/>
  <c r="AB19" i="29"/>
  <c r="W19" i="29"/>
  <c r="V19" i="29"/>
  <c r="U19" i="29"/>
  <c r="T19" i="29"/>
  <c r="S19" i="29"/>
  <c r="R19" i="29"/>
  <c r="L19" i="29"/>
  <c r="AA19" i="29"/>
  <c r="AB15" i="29"/>
  <c r="W15" i="29"/>
  <c r="V15" i="29"/>
  <c r="U15" i="29"/>
  <c r="T15" i="29"/>
  <c r="S15" i="29"/>
  <c r="R15" i="29"/>
  <c r="L15" i="29"/>
  <c r="AA15" i="29"/>
  <c r="K13" i="29"/>
  <c r="K16" i="29"/>
  <c r="J13" i="29"/>
  <c r="J16" i="29"/>
  <c r="I13" i="29"/>
  <c r="I16" i="29"/>
  <c r="H13" i="29"/>
  <c r="H16" i="29"/>
  <c r="G13" i="29"/>
  <c r="G16" i="29"/>
  <c r="F13" i="29"/>
  <c r="F16" i="29"/>
  <c r="AB12" i="29"/>
  <c r="W12" i="29"/>
  <c r="V12" i="29"/>
  <c r="U12" i="29"/>
  <c r="T12" i="29"/>
  <c r="S12" i="29"/>
  <c r="R12" i="29"/>
  <c r="L12" i="29"/>
  <c r="AA12" i="29"/>
  <c r="AB11" i="29"/>
  <c r="W11" i="29"/>
  <c r="V11" i="29"/>
  <c r="U11" i="29"/>
  <c r="T11" i="29"/>
  <c r="S11" i="29"/>
  <c r="R11" i="29"/>
  <c r="L11" i="29"/>
  <c r="AA11" i="29"/>
  <c r="AB10" i="29"/>
  <c r="W10" i="29"/>
  <c r="V10" i="29"/>
  <c r="U10" i="29"/>
  <c r="T10" i="29"/>
  <c r="S10" i="29"/>
  <c r="R10" i="29"/>
  <c r="L10" i="29"/>
  <c r="AA10" i="29"/>
  <c r="AB9" i="29"/>
  <c r="W9" i="29"/>
  <c r="V9" i="29"/>
  <c r="U9" i="29"/>
  <c r="T9" i="29"/>
  <c r="S9" i="29"/>
  <c r="R9" i="29"/>
  <c r="L9" i="29"/>
  <c r="AA9" i="29"/>
  <c r="AB8" i="29"/>
  <c r="W8" i="29"/>
  <c r="V8" i="29"/>
  <c r="U8" i="29"/>
  <c r="T8" i="29"/>
  <c r="S8" i="29"/>
  <c r="R8" i="29"/>
  <c r="L8" i="29"/>
  <c r="AA8" i="29"/>
  <c r="B8" i="29"/>
  <c r="AB7" i="29"/>
  <c r="W7" i="29"/>
  <c r="V7" i="29"/>
  <c r="U7" i="29"/>
  <c r="T7" i="29"/>
  <c r="S7" i="29"/>
  <c r="R7" i="29"/>
  <c r="L7" i="29"/>
  <c r="AA7" i="29"/>
  <c r="O6" i="29"/>
  <c r="L1" i="29"/>
  <c r="B23" i="28"/>
  <c r="B20" i="28"/>
  <c r="E34" i="2" s="1"/>
  <c r="I8" i="28"/>
  <c r="B7" i="28"/>
  <c r="B8" i="28"/>
  <c r="B9" i="28"/>
  <c r="B26" i="28"/>
  <c r="G1" i="28"/>
  <c r="B34" i="27"/>
  <c r="E33" i="2" s="1"/>
  <c r="N23" i="27"/>
  <c r="N20" i="27"/>
  <c r="G13" i="27"/>
  <c r="F13" i="27"/>
  <c r="N12" i="27"/>
  <c r="N11" i="27"/>
  <c r="I1" i="27"/>
  <c r="B28" i="26"/>
  <c r="E32" i="2" s="1"/>
  <c r="L17" i="26"/>
  <c r="I17" i="26"/>
  <c r="L16" i="26"/>
  <c r="L15" i="26"/>
  <c r="M9" i="26"/>
  <c r="L9" i="26"/>
  <c r="M8" i="26"/>
  <c r="L8" i="26"/>
  <c r="B70" i="21"/>
  <c r="B6" i="21"/>
  <c r="B7" i="21"/>
  <c r="B8" i="21"/>
  <c r="B9" i="21"/>
  <c r="B10" i="21"/>
  <c r="B11" i="21"/>
  <c r="B12" i="21"/>
  <c r="B13" i="21"/>
  <c r="B14" i="21"/>
  <c r="B15" i="21"/>
  <c r="B16" i="21"/>
  <c r="B17" i="21"/>
  <c r="B18" i="21"/>
  <c r="B19" i="21"/>
  <c r="B20" i="21"/>
  <c r="P1" i="21"/>
  <c r="B59" i="19"/>
  <c r="B60" i="19"/>
  <c r="B61" i="19"/>
  <c r="B62" i="19"/>
  <c r="B63" i="19"/>
  <c r="B64" i="19"/>
  <c r="B65" i="19"/>
  <c r="B66" i="19"/>
  <c r="B67" i="19"/>
  <c r="B68" i="19"/>
  <c r="B69" i="19"/>
  <c r="B70" i="19"/>
  <c r="B71" i="19"/>
  <c r="B55" i="19"/>
  <c r="E23" i="2" s="1"/>
  <c r="N40" i="19"/>
  <c r="H40" i="19"/>
  <c r="P28" i="19"/>
  <c r="K28" i="19"/>
  <c r="P27" i="19"/>
  <c r="K27" i="19"/>
  <c r="P26" i="19"/>
  <c r="K26" i="19"/>
  <c r="G23" i="19"/>
  <c r="F23" i="19"/>
  <c r="O22" i="19"/>
  <c r="N22" i="19"/>
  <c r="H22" i="19"/>
  <c r="O21" i="19"/>
  <c r="N21" i="19"/>
  <c r="H21" i="19"/>
  <c r="O20" i="19"/>
  <c r="N20" i="19"/>
  <c r="H20" i="19"/>
  <c r="G15" i="19"/>
  <c r="F15" i="19"/>
  <c r="H14" i="19"/>
  <c r="H13" i="19"/>
  <c r="H12" i="19"/>
  <c r="G9" i="19"/>
  <c r="F9" i="19"/>
  <c r="O8" i="19"/>
  <c r="N8" i="19"/>
  <c r="H8" i="19"/>
  <c r="O7" i="19"/>
  <c r="N7" i="19"/>
  <c r="H7" i="19"/>
  <c r="O6" i="19"/>
  <c r="N6" i="19"/>
  <c r="H6" i="19"/>
  <c r="H1" i="19"/>
  <c r="B46" i="18"/>
  <c r="E22" i="2" s="1"/>
  <c r="U31" i="18"/>
  <c r="E31" i="18"/>
  <c r="D31" i="18"/>
  <c r="T31" i="18"/>
  <c r="F28" i="18"/>
  <c r="F27" i="18"/>
  <c r="F26" i="18"/>
  <c r="F25" i="18"/>
  <c r="F24" i="18"/>
  <c r="F23" i="18"/>
  <c r="F22" i="18"/>
  <c r="F21" i="18"/>
  <c r="F20" i="18"/>
  <c r="F19" i="18"/>
  <c r="F18" i="18"/>
  <c r="F17" i="18"/>
  <c r="F16" i="18"/>
  <c r="F15" i="18"/>
  <c r="F14" i="18"/>
  <c r="F13" i="18"/>
  <c r="F12" i="18"/>
  <c r="F11" i="18"/>
  <c r="F10" i="18"/>
  <c r="F9" i="18"/>
  <c r="B9" i="18"/>
  <c r="B10" i="18"/>
  <c r="B11" i="18"/>
  <c r="B12" i="18"/>
  <c r="B13" i="18"/>
  <c r="B14" i="18"/>
  <c r="B15" i="18"/>
  <c r="B16" i="18"/>
  <c r="B17" i="18"/>
  <c r="B18" i="18"/>
  <c r="B19" i="18"/>
  <c r="B20" i="18"/>
  <c r="B21" i="18"/>
  <c r="B22" i="18"/>
  <c r="B23" i="18"/>
  <c r="B24" i="18"/>
  <c r="B25" i="18"/>
  <c r="B26" i="18"/>
  <c r="B27" i="18"/>
  <c r="B28" i="18"/>
  <c r="B29" i="18"/>
  <c r="B31" i="18"/>
  <c r="B35" i="18"/>
  <c r="P6" i="18"/>
  <c r="O6" i="18"/>
  <c r="N6" i="18"/>
  <c r="F6" i="18"/>
  <c r="H1" i="18"/>
  <c r="B44" i="17"/>
  <c r="E21" i="2" s="1"/>
  <c r="U29" i="17"/>
  <c r="T29" i="17"/>
  <c r="P26" i="17"/>
  <c r="O26" i="17"/>
  <c r="N26" i="17"/>
  <c r="F26" i="17"/>
  <c r="F25" i="17"/>
  <c r="F24" i="17"/>
  <c r="F23" i="17"/>
  <c r="F22" i="17"/>
  <c r="F21" i="17"/>
  <c r="F20" i="17"/>
  <c r="F19" i="17"/>
  <c r="F18" i="17"/>
  <c r="F17" i="17"/>
  <c r="F16" i="17"/>
  <c r="F15" i="17"/>
  <c r="F14" i="17"/>
  <c r="F13" i="17"/>
  <c r="F12" i="17"/>
  <c r="F11" i="17"/>
  <c r="F10" i="17"/>
  <c r="F9" i="17"/>
  <c r="B9" i="17"/>
  <c r="B10" i="17"/>
  <c r="B11" i="17"/>
  <c r="B12" i="17"/>
  <c r="B13" i="17"/>
  <c r="B14" i="17"/>
  <c r="B15" i="17"/>
  <c r="B16" i="17"/>
  <c r="B17" i="17"/>
  <c r="B18" i="17"/>
  <c r="B19" i="17"/>
  <c r="B20" i="17"/>
  <c r="B21" i="17"/>
  <c r="B22" i="17"/>
  <c r="B23" i="17"/>
  <c r="B24" i="17"/>
  <c r="B25" i="17"/>
  <c r="B26" i="17"/>
  <c r="B27" i="17"/>
  <c r="B29" i="17"/>
  <c r="B33" i="17"/>
  <c r="P6" i="17"/>
  <c r="O6" i="17"/>
  <c r="N6" i="17"/>
  <c r="F6" i="17"/>
  <c r="H1" i="17"/>
  <c r="B25" i="16"/>
  <c r="B22" i="16"/>
  <c r="E20" i="2" s="1"/>
  <c r="G11" i="16"/>
  <c r="E11" i="16"/>
  <c r="D11" i="16"/>
  <c r="F10" i="16"/>
  <c r="F9" i="16"/>
  <c r="N8" i="16"/>
  <c r="M8" i="16"/>
  <c r="F8" i="16"/>
  <c r="F7" i="16"/>
  <c r="F6" i="16"/>
  <c r="B6" i="16"/>
  <c r="B26" i="16"/>
  <c r="N5" i="16"/>
  <c r="M5" i="16"/>
  <c r="F5" i="16"/>
  <c r="H1" i="16"/>
  <c r="B48" i="15"/>
  <c r="B45" i="15"/>
  <c r="E19" i="2" s="1"/>
  <c r="O34" i="15"/>
  <c r="I34" i="15"/>
  <c r="O30" i="15"/>
  <c r="I30" i="15"/>
  <c r="I28" i="15"/>
  <c r="G25" i="15"/>
  <c r="H21" i="15"/>
  <c r="G21" i="15"/>
  <c r="H29" i="15"/>
  <c r="H31" i="15"/>
  <c r="F21" i="15"/>
  <c r="I20" i="15"/>
  <c r="I19" i="15"/>
  <c r="I18" i="15"/>
  <c r="I17" i="15"/>
  <c r="H12" i="15"/>
  <c r="G12" i="15"/>
  <c r="G29" i="15"/>
  <c r="G31" i="15"/>
  <c r="F12" i="15"/>
  <c r="P11" i="15"/>
  <c r="O11" i="15"/>
  <c r="N11" i="15"/>
  <c r="I11" i="15"/>
  <c r="P10" i="15"/>
  <c r="O10" i="15"/>
  <c r="N10" i="15"/>
  <c r="I10" i="15"/>
  <c r="P9" i="15"/>
  <c r="O9" i="15"/>
  <c r="N9" i="15"/>
  <c r="I9" i="15"/>
  <c r="P8" i="15"/>
  <c r="O8" i="15"/>
  <c r="N8" i="15"/>
  <c r="I8" i="15"/>
  <c r="B8" i="15"/>
  <c r="B49" i="15"/>
  <c r="P7" i="15"/>
  <c r="N7" i="15"/>
  <c r="I7" i="15"/>
  <c r="B42" i="14"/>
  <c r="B39" i="14"/>
  <c r="E18" i="2" s="1"/>
  <c r="K20" i="14"/>
  <c r="J20" i="14"/>
  <c r="I20" i="14"/>
  <c r="F20" i="14"/>
  <c r="I17" i="14"/>
  <c r="F17" i="14"/>
  <c r="R16" i="14"/>
  <c r="K17" i="14"/>
  <c r="J17" i="14"/>
  <c r="W15" i="14"/>
  <c r="V15" i="14"/>
  <c r="R15" i="14"/>
  <c r="L15" i="14"/>
  <c r="W14" i="14"/>
  <c r="V14" i="14"/>
  <c r="R14" i="14"/>
  <c r="L14" i="14"/>
  <c r="W9" i="14"/>
  <c r="V9" i="14"/>
  <c r="R9" i="14"/>
  <c r="L9" i="14"/>
  <c r="W8" i="14"/>
  <c r="V8" i="14"/>
  <c r="R8" i="14"/>
  <c r="L8" i="14"/>
  <c r="B8" i="14"/>
  <c r="B43" i="14"/>
  <c r="W7" i="14"/>
  <c r="V7" i="14"/>
  <c r="R7" i="14"/>
  <c r="L7" i="14"/>
  <c r="L1" i="14"/>
  <c r="B33" i="13"/>
  <c r="B34" i="13"/>
  <c r="B35" i="13"/>
  <c r="B36" i="13"/>
  <c r="B37" i="13"/>
  <c r="B38" i="13"/>
  <c r="B39" i="13"/>
  <c r="B40" i="13"/>
  <c r="B41" i="13"/>
  <c r="B29" i="13"/>
  <c r="E17" i="2" s="1"/>
  <c r="N18" i="13"/>
  <c r="M18" i="13"/>
  <c r="H18" i="13"/>
  <c r="N15" i="13"/>
  <c r="H15" i="13"/>
  <c r="N13" i="13"/>
  <c r="G12" i="13"/>
  <c r="G14" i="13"/>
  <c r="N11" i="13"/>
  <c r="N10" i="13"/>
  <c r="H10" i="13"/>
  <c r="N9" i="13"/>
  <c r="N8" i="13"/>
  <c r="N7" i="13"/>
  <c r="N6" i="13"/>
  <c r="H1" i="13"/>
  <c r="B44" i="12"/>
  <c r="E16" i="2" s="1"/>
  <c r="AG23" i="30"/>
  <c r="F22" i="12"/>
  <c r="AB23" i="29"/>
  <c r="B19" i="12"/>
  <c r="B20" i="12"/>
  <c r="B21" i="12"/>
  <c r="B22" i="12"/>
  <c r="B23" i="12"/>
  <c r="B24" i="12"/>
  <c r="B25" i="12"/>
  <c r="B26" i="12"/>
  <c r="B29" i="12"/>
  <c r="B30" i="12"/>
  <c r="B33" i="12"/>
  <c r="B15" i="12"/>
  <c r="I12" i="12"/>
  <c r="F12" i="12"/>
  <c r="AB13" i="29"/>
  <c r="B7" i="12"/>
  <c r="B8" i="12"/>
  <c r="B9" i="12"/>
  <c r="B10" i="12"/>
  <c r="B11" i="12"/>
  <c r="B12" i="12"/>
  <c r="J1" i="12"/>
  <c r="B31" i="11"/>
  <c r="B32" i="11"/>
  <c r="B33" i="11"/>
  <c r="B34" i="11"/>
  <c r="B35" i="11"/>
  <c r="B36" i="11"/>
  <c r="B37" i="11"/>
  <c r="B27" i="11"/>
  <c r="E15" i="2" s="1"/>
  <c r="AB16" i="11"/>
  <c r="Q16" i="11"/>
  <c r="U14" i="11"/>
  <c r="T14" i="11"/>
  <c r="U13" i="11"/>
  <c r="T13" i="11"/>
  <c r="U11" i="11"/>
  <c r="T11" i="11"/>
  <c r="AF11" i="11"/>
  <c r="U7" i="11"/>
  <c r="T7" i="11"/>
  <c r="B7" i="11"/>
  <c r="B8" i="11"/>
  <c r="U6" i="11"/>
  <c r="T6" i="11"/>
  <c r="N1" i="11"/>
  <c r="B34" i="8"/>
  <c r="E12" i="2" s="1"/>
  <c r="Q21" i="8"/>
  <c r="P21" i="8"/>
  <c r="O21" i="8"/>
  <c r="N21" i="8"/>
  <c r="Q20" i="8"/>
  <c r="P20" i="8"/>
  <c r="O20" i="8"/>
  <c r="N20" i="8"/>
  <c r="P17" i="8"/>
  <c r="O17" i="8"/>
  <c r="N17" i="8"/>
  <c r="I17" i="8"/>
  <c r="P16" i="8"/>
  <c r="O16" i="8"/>
  <c r="N16" i="8"/>
  <c r="I16" i="8"/>
  <c r="Q14" i="8"/>
  <c r="Q10" i="8"/>
  <c r="Q9" i="8"/>
  <c r="K9" i="8"/>
  <c r="B7" i="8"/>
  <c r="B8" i="8"/>
  <c r="B9" i="8"/>
  <c r="B10" i="8"/>
  <c r="B11" i="8"/>
  <c r="B13" i="8"/>
  <c r="B14" i="8"/>
  <c r="B16" i="8"/>
  <c r="B17" i="8"/>
  <c r="B20" i="8"/>
  <c r="B21" i="8"/>
  <c r="P6" i="8"/>
  <c r="O6" i="8"/>
  <c r="N6" i="8"/>
  <c r="I6" i="8"/>
  <c r="I1" i="8"/>
  <c r="B48" i="7"/>
  <c r="B45" i="7"/>
  <c r="E11" i="2" s="1"/>
  <c r="H33" i="7"/>
  <c r="G33" i="7"/>
  <c r="Q32" i="7"/>
  <c r="P32" i="7"/>
  <c r="O32" i="7"/>
  <c r="I32" i="7"/>
  <c r="J32" i="7"/>
  <c r="Q31" i="7"/>
  <c r="P31" i="7"/>
  <c r="O31" i="7"/>
  <c r="I31" i="7"/>
  <c r="J31" i="7"/>
  <c r="Q30" i="7"/>
  <c r="P30" i="7"/>
  <c r="O30" i="7"/>
  <c r="I30" i="7"/>
  <c r="J30" i="7"/>
  <c r="H26" i="7"/>
  <c r="G26" i="7"/>
  <c r="F26" i="7"/>
  <c r="Q25" i="7"/>
  <c r="P25" i="7"/>
  <c r="O25" i="7"/>
  <c r="I25" i="7"/>
  <c r="J25" i="7"/>
  <c r="Q24" i="7"/>
  <c r="P24" i="7"/>
  <c r="O24" i="7"/>
  <c r="I24" i="7"/>
  <c r="J24" i="7"/>
  <c r="Q23" i="7"/>
  <c r="P23" i="7"/>
  <c r="O23" i="7"/>
  <c r="I23" i="7"/>
  <c r="J23" i="7"/>
  <c r="Q22" i="7"/>
  <c r="P22" i="7"/>
  <c r="O22" i="7"/>
  <c r="I22" i="7"/>
  <c r="J22" i="7"/>
  <c r="Q18" i="7"/>
  <c r="P18" i="7"/>
  <c r="O18" i="7"/>
  <c r="I18" i="7"/>
  <c r="J18" i="7"/>
  <c r="Q17" i="7"/>
  <c r="P17" i="7"/>
  <c r="O17" i="7"/>
  <c r="I17" i="7"/>
  <c r="J17" i="7"/>
  <c r="Q14" i="7"/>
  <c r="P14" i="7"/>
  <c r="O14" i="7"/>
  <c r="I14" i="7"/>
  <c r="J14" i="7"/>
  <c r="Q13" i="7"/>
  <c r="P13" i="7"/>
  <c r="O13" i="7"/>
  <c r="I13" i="7"/>
  <c r="J13" i="7"/>
  <c r="Q12" i="7"/>
  <c r="P12" i="7"/>
  <c r="O12" i="7"/>
  <c r="I12" i="7"/>
  <c r="J12" i="7"/>
  <c r="Q11" i="7"/>
  <c r="P11" i="7"/>
  <c r="O11" i="7"/>
  <c r="I11" i="7"/>
  <c r="J11" i="7"/>
  <c r="Q10" i="7"/>
  <c r="P10" i="7"/>
  <c r="O10" i="7"/>
  <c r="I10" i="7"/>
  <c r="J10" i="7"/>
  <c r="Q9" i="7"/>
  <c r="P9" i="7"/>
  <c r="O9" i="7"/>
  <c r="I9" i="7"/>
  <c r="J9" i="7"/>
  <c r="Q8" i="7"/>
  <c r="P8" i="7"/>
  <c r="O8" i="7"/>
  <c r="I8" i="7"/>
  <c r="J8" i="7"/>
  <c r="B8" i="7"/>
  <c r="J1" i="7"/>
  <c r="B61" i="6"/>
  <c r="B58" i="6"/>
  <c r="E10" i="2" s="1"/>
  <c r="H47" i="6"/>
  <c r="G47" i="6"/>
  <c r="F47" i="6"/>
  <c r="Q46" i="6"/>
  <c r="P46" i="6"/>
  <c r="O46" i="6"/>
  <c r="I46" i="6"/>
  <c r="J46" i="6"/>
  <c r="Q45" i="6"/>
  <c r="P45" i="6"/>
  <c r="O45" i="6"/>
  <c r="I45" i="6"/>
  <c r="J45" i="6"/>
  <c r="H41" i="6"/>
  <c r="G41" i="6"/>
  <c r="F41" i="6"/>
  <c r="Q40" i="6"/>
  <c r="P40" i="6"/>
  <c r="O40" i="6"/>
  <c r="I40" i="6"/>
  <c r="J40" i="6"/>
  <c r="Q39" i="6"/>
  <c r="P39" i="6"/>
  <c r="O39" i="6"/>
  <c r="I39" i="6"/>
  <c r="J39" i="6"/>
  <c r="I7" i="8"/>
  <c r="Q38" i="6"/>
  <c r="P38" i="6"/>
  <c r="O38" i="6"/>
  <c r="I38" i="6"/>
  <c r="J38" i="6"/>
  <c r="Q37" i="6"/>
  <c r="P37" i="6"/>
  <c r="O37" i="6"/>
  <c r="I37" i="6"/>
  <c r="J37" i="6"/>
  <c r="Q36" i="6"/>
  <c r="P36" i="6"/>
  <c r="O36" i="6"/>
  <c r="I36" i="6"/>
  <c r="J36" i="6"/>
  <c r="Q35" i="6"/>
  <c r="P35" i="6"/>
  <c r="O35" i="6"/>
  <c r="I35" i="6"/>
  <c r="J35" i="6"/>
  <c r="Q34" i="6"/>
  <c r="P34" i="6"/>
  <c r="O34" i="6"/>
  <c r="I34" i="6"/>
  <c r="J34" i="6"/>
  <c r="Q33" i="6"/>
  <c r="P33" i="6"/>
  <c r="O33" i="6"/>
  <c r="I33" i="6"/>
  <c r="J33" i="6"/>
  <c r="H29" i="6"/>
  <c r="F29" i="6"/>
  <c r="Q28" i="6"/>
  <c r="P28" i="6"/>
  <c r="O28" i="6"/>
  <c r="I28" i="6"/>
  <c r="J28" i="6"/>
  <c r="Q27" i="6"/>
  <c r="P27" i="6"/>
  <c r="O27" i="6"/>
  <c r="I27" i="6"/>
  <c r="J27" i="6"/>
  <c r="Q26" i="6"/>
  <c r="P26" i="6"/>
  <c r="O26" i="6"/>
  <c r="I26" i="6"/>
  <c r="J26" i="6"/>
  <c r="Q25" i="6"/>
  <c r="P25" i="6"/>
  <c r="O25" i="6"/>
  <c r="I25" i="6"/>
  <c r="J25" i="6"/>
  <c r="Q24" i="6"/>
  <c r="P24" i="6"/>
  <c r="O24" i="6"/>
  <c r="I24" i="6"/>
  <c r="J24" i="6"/>
  <c r="Q23" i="6"/>
  <c r="P23" i="6"/>
  <c r="O23" i="6"/>
  <c r="I23" i="6"/>
  <c r="J23" i="6"/>
  <c r="H20" i="6"/>
  <c r="G20" i="6"/>
  <c r="G30" i="6"/>
  <c r="F20" i="6"/>
  <c r="Q19" i="6"/>
  <c r="P19" i="6"/>
  <c r="O19" i="6"/>
  <c r="I19" i="6"/>
  <c r="J19" i="6"/>
  <c r="Q18" i="6"/>
  <c r="P18" i="6"/>
  <c r="O18" i="6"/>
  <c r="I18" i="6"/>
  <c r="J18" i="6"/>
  <c r="Q17" i="6"/>
  <c r="P17" i="6"/>
  <c r="O17" i="6"/>
  <c r="I17" i="6"/>
  <c r="J17" i="6"/>
  <c r="Q16" i="6"/>
  <c r="P16" i="6"/>
  <c r="O16" i="6"/>
  <c r="I16" i="6"/>
  <c r="J16" i="6"/>
  <c r="H13" i="6"/>
  <c r="F13" i="6"/>
  <c r="Q12" i="6"/>
  <c r="P12" i="6"/>
  <c r="O12" i="6"/>
  <c r="I12" i="6"/>
  <c r="J12" i="6"/>
  <c r="Q11" i="6"/>
  <c r="P11" i="6"/>
  <c r="O11" i="6"/>
  <c r="I11" i="6"/>
  <c r="J11" i="6"/>
  <c r="Q10" i="6"/>
  <c r="P10" i="6"/>
  <c r="O10" i="6"/>
  <c r="I10" i="6"/>
  <c r="J10" i="6"/>
  <c r="Q9" i="6"/>
  <c r="P9" i="6"/>
  <c r="O9" i="6"/>
  <c r="I9" i="6"/>
  <c r="J9" i="6"/>
  <c r="Q8" i="6"/>
  <c r="P8" i="6"/>
  <c r="O8" i="6"/>
  <c r="B8" i="6"/>
  <c r="B9" i="6"/>
  <c r="Q7" i="6"/>
  <c r="P7" i="6"/>
  <c r="O7" i="6"/>
  <c r="I7" i="6"/>
  <c r="J7" i="6"/>
  <c r="J1" i="6"/>
  <c r="B23" i="5"/>
  <c r="B20" i="5"/>
  <c r="E9" i="2" s="1"/>
  <c r="Q8" i="5"/>
  <c r="P8" i="5"/>
  <c r="O8" i="5"/>
  <c r="I8" i="5"/>
  <c r="J8" i="5"/>
  <c r="Q7" i="5"/>
  <c r="P7" i="5"/>
  <c r="O7" i="5"/>
  <c r="I7" i="5"/>
  <c r="J7" i="5"/>
  <c r="B7" i="5"/>
  <c r="B24" i="5"/>
  <c r="J1" i="5"/>
  <c r="B38" i="4"/>
  <c r="B35" i="4"/>
  <c r="E8" i="2" s="1"/>
  <c r="Q21" i="4"/>
  <c r="P21" i="4"/>
  <c r="O21" i="4"/>
  <c r="I21" i="4"/>
  <c r="J21" i="4"/>
  <c r="Q20" i="4"/>
  <c r="P20" i="4"/>
  <c r="O20" i="4"/>
  <c r="I20" i="4"/>
  <c r="J20" i="4"/>
  <c r="Q17" i="4"/>
  <c r="P17" i="4"/>
  <c r="O17" i="4"/>
  <c r="I17" i="4"/>
  <c r="J17" i="4"/>
  <c r="T17" i="32"/>
  <c r="Q14" i="4"/>
  <c r="P14" i="4"/>
  <c r="O14" i="4"/>
  <c r="I14" i="4"/>
  <c r="J14" i="4"/>
  <c r="T14" i="32"/>
  <c r="Q13" i="4"/>
  <c r="P13" i="4"/>
  <c r="O13" i="4"/>
  <c r="I13" i="4"/>
  <c r="J13" i="4"/>
  <c r="T13" i="32"/>
  <c r="Q12" i="4"/>
  <c r="P12" i="4"/>
  <c r="O12" i="4"/>
  <c r="I12" i="4"/>
  <c r="J12" i="4"/>
  <c r="T12" i="32"/>
  <c r="Q11" i="4"/>
  <c r="P11" i="4"/>
  <c r="O11" i="4"/>
  <c r="I11" i="4"/>
  <c r="J11" i="4"/>
  <c r="T11" i="32"/>
  <c r="H9" i="4"/>
  <c r="H7" i="7"/>
  <c r="H15" i="7"/>
  <c r="H19" i="7"/>
  <c r="G9" i="4"/>
  <c r="G7" i="7"/>
  <c r="G15" i="7"/>
  <c r="F9" i="4"/>
  <c r="F7" i="7"/>
  <c r="Q8" i="4"/>
  <c r="P8" i="4"/>
  <c r="O8" i="4"/>
  <c r="I8" i="4"/>
  <c r="J8" i="4"/>
  <c r="AG11" i="11"/>
  <c r="Q7" i="4"/>
  <c r="P7" i="4"/>
  <c r="O7" i="4"/>
  <c r="I7" i="4"/>
  <c r="J7" i="4"/>
  <c r="AG8" i="11"/>
  <c r="B7" i="4"/>
  <c r="B39" i="4"/>
  <c r="Q6" i="4"/>
  <c r="P6" i="4"/>
  <c r="O6" i="4"/>
  <c r="I6" i="4"/>
  <c r="J6" i="4"/>
  <c r="J1" i="4"/>
  <c r="Y15" i="29"/>
  <c r="Y8" i="29"/>
  <c r="Y9" i="29"/>
  <c r="Y10" i="29"/>
  <c r="Y11" i="29"/>
  <c r="Y12" i="29"/>
  <c r="AC15" i="30"/>
  <c r="F45" i="30"/>
  <c r="F43" i="30"/>
  <c r="J43" i="30"/>
  <c r="J45" i="30"/>
  <c r="G45" i="30"/>
  <c r="G43" i="30"/>
  <c r="K43" i="30"/>
  <c r="K45" i="30"/>
  <c r="H45" i="30"/>
  <c r="H43" i="30"/>
  <c r="L43" i="30"/>
  <c r="L45" i="30"/>
  <c r="I45" i="30"/>
  <c r="I43" i="30"/>
  <c r="M43" i="30"/>
  <c r="M45" i="30"/>
  <c r="Y24" i="29"/>
  <c r="Y19" i="29"/>
  <c r="N19" i="29"/>
  <c r="Y20" i="29"/>
  <c r="N20" i="29"/>
  <c r="Y21" i="29"/>
  <c r="Y22" i="29"/>
  <c r="N22" i="29"/>
  <c r="H43" i="29"/>
  <c r="H41" i="29"/>
  <c r="I43" i="29"/>
  <c r="I41" i="29"/>
  <c r="J43" i="29"/>
  <c r="J41" i="29"/>
  <c r="G43" i="29"/>
  <c r="G41" i="29"/>
  <c r="K43" i="29"/>
  <c r="K41" i="29"/>
  <c r="H11" i="16"/>
  <c r="AC31" i="30"/>
  <c r="P31" i="30"/>
  <c r="AC20" i="30"/>
  <c r="P20" i="30"/>
  <c r="AC22" i="30"/>
  <c r="P22" i="30"/>
  <c r="AC9" i="30"/>
  <c r="P9" i="30"/>
  <c r="AC11" i="30"/>
  <c r="P11" i="30"/>
  <c r="Q17" i="32"/>
  <c r="J17" i="32"/>
  <c r="C8" i="2"/>
  <c r="Q13" i="32"/>
  <c r="J13" i="32"/>
  <c r="AC8" i="30"/>
  <c r="P8" i="30"/>
  <c r="AC12" i="30"/>
  <c r="P12" i="30"/>
  <c r="AC19" i="30"/>
  <c r="P19" i="30"/>
  <c r="AC21" i="30"/>
  <c r="P21" i="30"/>
  <c r="AC24" i="30"/>
  <c r="AC30" i="30"/>
  <c r="P30" i="30"/>
  <c r="Q12" i="32"/>
  <c r="J12" i="32"/>
  <c r="Q14" i="32"/>
  <c r="J14" i="32"/>
  <c r="AG6" i="11"/>
  <c r="U32" i="19"/>
  <c r="Q11" i="32"/>
  <c r="J11" i="32"/>
  <c r="AC10" i="30"/>
  <c r="P10" i="30"/>
  <c r="H30" i="6"/>
  <c r="H42" i="6"/>
  <c r="Y7" i="29"/>
  <c r="Y30" i="29"/>
  <c r="N30" i="29"/>
  <c r="Y31" i="29"/>
  <c r="N31" i="29"/>
  <c r="I14" i="34"/>
  <c r="AC7" i="30"/>
  <c r="P7" i="30"/>
  <c r="H17" i="22"/>
  <c r="G17" i="22"/>
  <c r="F17" i="22"/>
  <c r="D17" i="22"/>
  <c r="E17" i="22"/>
  <c r="K14" i="8"/>
  <c r="C12" i="2"/>
  <c r="G8" i="11"/>
  <c r="G12" i="11"/>
  <c r="G15" i="11"/>
  <c r="G17" i="13"/>
  <c r="C19" i="21"/>
  <c r="G19" i="21"/>
  <c r="C15" i="21"/>
  <c r="G15" i="21"/>
  <c r="C11" i="21"/>
  <c r="G11" i="21"/>
  <c r="C7" i="21"/>
  <c r="G7" i="21"/>
  <c r="C13" i="21"/>
  <c r="G13" i="21"/>
  <c r="C5" i="21"/>
  <c r="C20" i="21"/>
  <c r="G20" i="21"/>
  <c r="C12" i="21"/>
  <c r="G12" i="21"/>
  <c r="C18" i="21"/>
  <c r="G18" i="21"/>
  <c r="C14" i="21"/>
  <c r="G14" i="21"/>
  <c r="C10" i="21"/>
  <c r="G10" i="21"/>
  <c r="C6" i="21"/>
  <c r="G6" i="21"/>
  <c r="C17" i="21"/>
  <c r="G17" i="21"/>
  <c r="C9" i="21"/>
  <c r="G9" i="21"/>
  <c r="C16" i="21"/>
  <c r="G16" i="21"/>
  <c r="C8" i="21"/>
  <c r="G8" i="21"/>
  <c r="H11" i="21"/>
  <c r="D11" i="21"/>
  <c r="C35" i="2"/>
  <c r="M12" i="31"/>
  <c r="M14" i="31"/>
  <c r="M17" i="31"/>
  <c r="AI18" i="21"/>
  <c r="AI9" i="21"/>
  <c r="AI16" i="21"/>
  <c r="AI10" i="21"/>
  <c r="AI7" i="21"/>
  <c r="AI20" i="21"/>
  <c r="AI14" i="21"/>
  <c r="AI5" i="21"/>
  <c r="AI12" i="21"/>
  <c r="AI11" i="21"/>
  <c r="AI19" i="21"/>
  <c r="AI17" i="21"/>
  <c r="AI15" i="21"/>
  <c r="AI8" i="21"/>
  <c r="AI6" i="21"/>
  <c r="AI13" i="21"/>
  <c r="I34" i="33"/>
  <c r="C39" i="2"/>
  <c r="N8" i="29"/>
  <c r="N9" i="29"/>
  <c r="F41" i="29"/>
  <c r="F43" i="29"/>
  <c r="B72" i="19"/>
  <c r="B73" i="19"/>
  <c r="B74" i="19"/>
  <c r="B75" i="19"/>
  <c r="B76" i="19"/>
  <c r="B77" i="19"/>
  <c r="B78" i="19"/>
  <c r="B79" i="19"/>
  <c r="B80" i="19"/>
  <c r="B81" i="19"/>
  <c r="B82" i="19"/>
  <c r="B83" i="19"/>
  <c r="K6" i="17"/>
  <c r="AG13" i="30"/>
  <c r="I15" i="12"/>
  <c r="I27" i="30"/>
  <c r="I32" i="30"/>
  <c r="M27" i="30"/>
  <c r="M32" i="30"/>
  <c r="H41" i="34"/>
  <c r="H27" i="30"/>
  <c r="H32" i="30"/>
  <c r="L27" i="30"/>
  <c r="L32" i="30"/>
  <c r="R31" i="18"/>
  <c r="J31" i="18"/>
  <c r="P17" i="22"/>
  <c r="Q17" i="22"/>
  <c r="M16" i="22"/>
  <c r="B19" i="22"/>
  <c r="C18" i="22"/>
  <c r="B21" i="21"/>
  <c r="I8" i="8"/>
  <c r="C9" i="2"/>
  <c r="J41" i="34"/>
  <c r="K41" i="34"/>
  <c r="N10" i="31"/>
  <c r="N16" i="30"/>
  <c r="AE16" i="30"/>
  <c r="I27" i="29"/>
  <c r="I32" i="29"/>
  <c r="B24" i="28"/>
  <c r="I6" i="28"/>
  <c r="C34" i="2"/>
  <c r="F29" i="18"/>
  <c r="F31" i="18"/>
  <c r="F27" i="17"/>
  <c r="F29" i="17"/>
  <c r="R29" i="17"/>
  <c r="D21" i="2"/>
  <c r="B9" i="15"/>
  <c r="B10" i="15"/>
  <c r="B51" i="15"/>
  <c r="C17" i="2"/>
  <c r="C11" i="2"/>
  <c r="I13" i="6"/>
  <c r="J13" i="6"/>
  <c r="L24" i="6"/>
  <c r="C10" i="2"/>
  <c r="B9" i="11"/>
  <c r="B10" i="11"/>
  <c r="B11" i="11"/>
  <c r="B12" i="11"/>
  <c r="B13" i="11"/>
  <c r="B14" i="11"/>
  <c r="B15" i="11"/>
  <c r="B16" i="11"/>
  <c r="K10" i="8"/>
  <c r="L16" i="29"/>
  <c r="AA16" i="29"/>
  <c r="I10" i="33"/>
  <c r="C22" i="17"/>
  <c r="C18" i="17"/>
  <c r="C14" i="17"/>
  <c r="C10" i="17"/>
  <c r="C15" i="17"/>
  <c r="C25" i="17"/>
  <c r="C21" i="17"/>
  <c r="C17" i="17"/>
  <c r="C13" i="17"/>
  <c r="C9" i="17"/>
  <c r="C19" i="17"/>
  <c r="C24" i="17"/>
  <c r="C20" i="17"/>
  <c r="C16" i="17"/>
  <c r="C12" i="17"/>
  <c r="C23" i="17"/>
  <c r="C11" i="17"/>
  <c r="C25" i="18"/>
  <c r="C21" i="18"/>
  <c r="C17" i="18"/>
  <c r="C13" i="18"/>
  <c r="C9" i="18"/>
  <c r="C22" i="18"/>
  <c r="C10" i="18"/>
  <c r="C28" i="18"/>
  <c r="C24" i="18"/>
  <c r="C20" i="18"/>
  <c r="C16" i="18"/>
  <c r="C12" i="18"/>
  <c r="C26" i="18"/>
  <c r="C14" i="18"/>
  <c r="C27" i="18"/>
  <c r="C23" i="18"/>
  <c r="C19" i="18"/>
  <c r="C15" i="18"/>
  <c r="C11" i="18"/>
  <c r="C18" i="18"/>
  <c r="Q26" i="34"/>
  <c r="K20" i="19"/>
  <c r="N7" i="31"/>
  <c r="J8" i="13"/>
  <c r="L21" i="4"/>
  <c r="L12" i="6"/>
  <c r="L16" i="6"/>
  <c r="L13" i="7"/>
  <c r="L40" i="6"/>
  <c r="K17" i="8"/>
  <c r="I19" i="14"/>
  <c r="F17" i="19"/>
  <c r="H23" i="19"/>
  <c r="O9" i="29"/>
  <c r="N24" i="29"/>
  <c r="Q22" i="30"/>
  <c r="H5" i="32"/>
  <c r="Q18" i="34"/>
  <c r="H15" i="4"/>
  <c r="H18" i="4"/>
  <c r="H22" i="4"/>
  <c r="H6" i="5"/>
  <c r="H9" i="5"/>
  <c r="L38" i="6"/>
  <c r="L46" i="6"/>
  <c r="I47" i="6"/>
  <c r="J47" i="6"/>
  <c r="B62" i="6"/>
  <c r="L12" i="7"/>
  <c r="I33" i="7"/>
  <c r="J33" i="7"/>
  <c r="J22" i="12"/>
  <c r="J24" i="12"/>
  <c r="K22" i="19"/>
  <c r="J6" i="13"/>
  <c r="J10" i="13"/>
  <c r="L20" i="14"/>
  <c r="F19" i="14"/>
  <c r="K7" i="15"/>
  <c r="K9" i="15"/>
  <c r="K7" i="19"/>
  <c r="K21" i="19"/>
  <c r="N12" i="29"/>
  <c r="O21" i="29"/>
  <c r="O31" i="29"/>
  <c r="B60" i="30"/>
  <c r="L20" i="4"/>
  <c r="L8" i="6"/>
  <c r="L39" i="6"/>
  <c r="L11" i="7"/>
  <c r="L32" i="7"/>
  <c r="K16" i="8"/>
  <c r="J13" i="13"/>
  <c r="B7" i="16"/>
  <c r="B8" i="16"/>
  <c r="K6" i="19"/>
  <c r="N10" i="29"/>
  <c r="N11" i="29"/>
  <c r="J27" i="29"/>
  <c r="J32" i="29"/>
  <c r="J27" i="30"/>
  <c r="J32" i="30"/>
  <c r="Q19" i="30"/>
  <c r="Q24" i="30"/>
  <c r="B10" i="31"/>
  <c r="B11" i="31"/>
  <c r="B12" i="31"/>
  <c r="B13" i="31"/>
  <c r="Q34" i="34"/>
  <c r="L7" i="5"/>
  <c r="L11" i="6"/>
  <c r="I20" i="6"/>
  <c r="J20" i="6"/>
  <c r="L27" i="6"/>
  <c r="L18" i="7"/>
  <c r="L25" i="7"/>
  <c r="I26" i="7"/>
  <c r="J26" i="7"/>
  <c r="L30" i="7"/>
  <c r="K20" i="15"/>
  <c r="I21" i="15"/>
  <c r="Y25" i="12"/>
  <c r="Q31" i="34"/>
  <c r="L11" i="4"/>
  <c r="L26" i="6"/>
  <c r="L36" i="6"/>
  <c r="L24" i="7"/>
  <c r="J7" i="13"/>
  <c r="J11" i="13"/>
  <c r="J18" i="13"/>
  <c r="J19" i="14"/>
  <c r="K10" i="15"/>
  <c r="K18" i="15"/>
  <c r="K26" i="17"/>
  <c r="H9" i="19"/>
  <c r="F37" i="19"/>
  <c r="K8" i="19"/>
  <c r="G17" i="19"/>
  <c r="K40" i="19"/>
  <c r="N21" i="29"/>
  <c r="Q12" i="30"/>
  <c r="Q31" i="30"/>
  <c r="N8" i="31"/>
  <c r="H8" i="32"/>
  <c r="Q19" i="34"/>
  <c r="Q24" i="34"/>
  <c r="Q25" i="34"/>
  <c r="I28" i="34"/>
  <c r="L10" i="6"/>
  <c r="O15" i="29"/>
  <c r="Q32" i="34"/>
  <c r="L7" i="6"/>
  <c r="F24" i="12"/>
  <c r="AB25" i="29"/>
  <c r="K19" i="14"/>
  <c r="I12" i="15"/>
  <c r="X25" i="12"/>
  <c r="K17" i="15"/>
  <c r="J5" i="16"/>
  <c r="J8" i="16"/>
  <c r="H15" i="19"/>
  <c r="G37" i="19"/>
  <c r="I8" i="26"/>
  <c r="O7" i="29"/>
  <c r="O10" i="29"/>
  <c r="O12" i="29"/>
  <c r="O20" i="29"/>
  <c r="O26" i="29"/>
  <c r="Q8" i="30"/>
  <c r="Q11" i="30"/>
  <c r="Q26" i="30"/>
  <c r="F30" i="6"/>
  <c r="F42" i="6"/>
  <c r="L17" i="4"/>
  <c r="B8" i="5"/>
  <c r="B9" i="5"/>
  <c r="B26" i="5"/>
  <c r="L17" i="6"/>
  <c r="I29" i="6"/>
  <c r="J29" i="6"/>
  <c r="L34" i="6"/>
  <c r="L10" i="7"/>
  <c r="L17" i="7"/>
  <c r="L7" i="4"/>
  <c r="L13" i="4"/>
  <c r="L14" i="4"/>
  <c r="L19" i="6"/>
  <c r="L25" i="6"/>
  <c r="G42" i="6"/>
  <c r="L9" i="7"/>
  <c r="L22" i="7"/>
  <c r="L23" i="7"/>
  <c r="K6" i="8"/>
  <c r="K20" i="8"/>
  <c r="K21" i="8"/>
  <c r="I7" i="28"/>
  <c r="O11" i="29"/>
  <c r="Q10" i="30"/>
  <c r="Q21" i="30"/>
  <c r="N13" i="30"/>
  <c r="AE13" i="30"/>
  <c r="Q30" i="30"/>
  <c r="N11" i="31"/>
  <c r="Q17" i="34"/>
  <c r="H27" i="7"/>
  <c r="H34" i="7"/>
  <c r="L28" i="6"/>
  <c r="L33" i="6"/>
  <c r="L37" i="6"/>
  <c r="I41" i="6"/>
  <c r="J41" i="6"/>
  <c r="L45" i="6"/>
  <c r="J12" i="12"/>
  <c r="J15" i="12"/>
  <c r="J9" i="13"/>
  <c r="J15" i="13"/>
  <c r="L16" i="14"/>
  <c r="AG9" i="11"/>
  <c r="K8" i="15"/>
  <c r="K11" i="15"/>
  <c r="I9" i="26"/>
  <c r="N7" i="29"/>
  <c r="H27" i="29"/>
  <c r="H32" i="29"/>
  <c r="N15" i="29"/>
  <c r="O22" i="29"/>
  <c r="G27" i="30"/>
  <c r="G32" i="30"/>
  <c r="K27" i="30"/>
  <c r="K32" i="30"/>
  <c r="Q15" i="30"/>
  <c r="P15" i="30"/>
  <c r="N25" i="30"/>
  <c r="AE25" i="30"/>
  <c r="P24" i="30"/>
  <c r="I12" i="31"/>
  <c r="I14" i="31"/>
  <c r="N9" i="31"/>
  <c r="N16" i="31"/>
  <c r="Q8" i="34"/>
  <c r="Q27" i="34"/>
  <c r="Q33" i="34"/>
  <c r="B63" i="6"/>
  <c r="B10" i="6"/>
  <c r="G31" i="18"/>
  <c r="AE41" i="34"/>
  <c r="G19" i="7"/>
  <c r="I15" i="7"/>
  <c r="M14" i="12"/>
  <c r="L11" i="14"/>
  <c r="B11" i="15"/>
  <c r="G29" i="17"/>
  <c r="K6" i="18"/>
  <c r="O13" i="19"/>
  <c r="M7" i="12"/>
  <c r="L6" i="4"/>
  <c r="L8" i="4"/>
  <c r="G15" i="4"/>
  <c r="I9" i="4"/>
  <c r="J9" i="4"/>
  <c r="L12" i="4"/>
  <c r="L9" i="6"/>
  <c r="L18" i="6"/>
  <c r="I7" i="7"/>
  <c r="J7" i="7"/>
  <c r="L8" i="7"/>
  <c r="F15" i="7"/>
  <c r="L31" i="7"/>
  <c r="AD11" i="11"/>
  <c r="P11" i="11"/>
  <c r="M18" i="12"/>
  <c r="M23" i="12"/>
  <c r="L17" i="14"/>
  <c r="AG26" i="30"/>
  <c r="K19" i="15"/>
  <c r="I31" i="15"/>
  <c r="P34" i="15"/>
  <c r="K34" i="15"/>
  <c r="F11" i="16"/>
  <c r="M7" i="16"/>
  <c r="O12" i="32"/>
  <c r="K12" i="32"/>
  <c r="X16" i="31"/>
  <c r="U11" i="31"/>
  <c r="X10" i="31"/>
  <c r="Q10" i="31"/>
  <c r="X9" i="31"/>
  <c r="O14" i="32"/>
  <c r="K14" i="32"/>
  <c r="O7" i="32"/>
  <c r="U8" i="31"/>
  <c r="X7" i="31"/>
  <c r="O13" i="32"/>
  <c r="K13" i="32"/>
  <c r="U9" i="31"/>
  <c r="O17" i="32"/>
  <c r="K17" i="32"/>
  <c r="U7" i="31"/>
  <c r="O20" i="27"/>
  <c r="K20" i="27"/>
  <c r="O11" i="27"/>
  <c r="K11" i="27"/>
  <c r="X8" i="31"/>
  <c r="M16" i="26"/>
  <c r="I16" i="26"/>
  <c r="O12" i="27"/>
  <c r="K12" i="27"/>
  <c r="O10" i="27"/>
  <c r="X11" i="31"/>
  <c r="M15" i="26"/>
  <c r="I15" i="26"/>
  <c r="U16" i="31"/>
  <c r="O11" i="32"/>
  <c r="K11" i="32"/>
  <c r="O23" i="27"/>
  <c r="K23" i="27"/>
  <c r="N14" i="19"/>
  <c r="N13" i="19"/>
  <c r="N12" i="19"/>
  <c r="N9" i="16"/>
  <c r="P30" i="15"/>
  <c r="K30" i="15"/>
  <c r="U7" i="14"/>
  <c r="M30" i="12"/>
  <c r="M21" i="12"/>
  <c r="M10" i="12"/>
  <c r="N10" i="16"/>
  <c r="M9" i="16"/>
  <c r="N6" i="16"/>
  <c r="U16" i="14"/>
  <c r="O16" i="14"/>
  <c r="U14" i="14"/>
  <c r="O14" i="14"/>
  <c r="U8" i="14"/>
  <c r="O8" i="14"/>
  <c r="M29" i="12"/>
  <c r="M20" i="12"/>
  <c r="M9" i="12"/>
  <c r="M10" i="16"/>
  <c r="N7" i="16"/>
  <c r="M6" i="16"/>
  <c r="U15" i="14"/>
  <c r="O15" i="14"/>
  <c r="U9" i="14"/>
  <c r="O9" i="14"/>
  <c r="M19" i="12"/>
  <c r="M8" i="12"/>
  <c r="B8" i="4"/>
  <c r="F15" i="4"/>
  <c r="L8" i="5"/>
  <c r="L23" i="6"/>
  <c r="L35" i="6"/>
  <c r="B9" i="7"/>
  <c r="B49" i="7"/>
  <c r="L14" i="7"/>
  <c r="M11" i="12"/>
  <c r="I29" i="15"/>
  <c r="B27" i="16"/>
  <c r="O12" i="19"/>
  <c r="O14" i="19"/>
  <c r="B9" i="14"/>
  <c r="B10" i="14"/>
  <c r="F27" i="33"/>
  <c r="AD6" i="11"/>
  <c r="P6" i="11"/>
  <c r="F15" i="12"/>
  <c r="F26" i="12"/>
  <c r="AG25" i="30"/>
  <c r="L25" i="29"/>
  <c r="AA25" i="29"/>
  <c r="B58" i="29"/>
  <c r="B9" i="29"/>
  <c r="K27" i="29"/>
  <c r="K32" i="29"/>
  <c r="G27" i="29"/>
  <c r="G32" i="29"/>
  <c r="O19" i="29"/>
  <c r="O30" i="29"/>
  <c r="B25" i="28"/>
  <c r="O8" i="29"/>
  <c r="F27" i="29"/>
  <c r="F32" i="29"/>
  <c r="Q7" i="30"/>
  <c r="Q9" i="30"/>
  <c r="L13" i="29"/>
  <c r="AA13" i="29"/>
  <c r="Y13" i="29"/>
  <c r="N23" i="30"/>
  <c r="AE23" i="30"/>
  <c r="AC23" i="30"/>
  <c r="L23" i="29"/>
  <c r="AA23" i="29"/>
  <c r="Y23" i="29"/>
  <c r="O24" i="29"/>
  <c r="B61" i="30"/>
  <c r="B10" i="30"/>
  <c r="F27" i="30"/>
  <c r="F32" i="30"/>
  <c r="Q20" i="34"/>
  <c r="Q20" i="30"/>
  <c r="B40" i="31"/>
  <c r="B7" i="32"/>
  <c r="C21" i="21"/>
  <c r="G21" i="21"/>
  <c r="AI21" i="21"/>
  <c r="H31" i="18"/>
  <c r="G35" i="18"/>
  <c r="H29" i="17"/>
  <c r="G33" i="17"/>
  <c r="F14" i="33"/>
  <c r="AC25" i="30"/>
  <c r="AD9" i="31"/>
  <c r="F8" i="13"/>
  <c r="AD11" i="31"/>
  <c r="F11" i="13"/>
  <c r="AD7" i="31"/>
  <c r="F6" i="13"/>
  <c r="P23" i="30"/>
  <c r="AD8" i="31"/>
  <c r="F7" i="13"/>
  <c r="B14" i="31"/>
  <c r="B45" i="31"/>
  <c r="AD10" i="31"/>
  <c r="F9" i="13"/>
  <c r="F33" i="33"/>
  <c r="F32" i="33"/>
  <c r="F31" i="33"/>
  <c r="I11" i="8"/>
  <c r="AD16" i="31"/>
  <c r="F16" i="13"/>
  <c r="N23" i="29"/>
  <c r="Y25" i="29"/>
  <c r="D38" i="2"/>
  <c r="D7" i="21"/>
  <c r="E6" i="21"/>
  <c r="E11" i="21"/>
  <c r="F16" i="21"/>
  <c r="D5" i="21"/>
  <c r="T5" i="22"/>
  <c r="S5" i="22"/>
  <c r="T6" i="22"/>
  <c r="S6" i="22"/>
  <c r="T8" i="22"/>
  <c r="S8" i="22"/>
  <c r="T7" i="22"/>
  <c r="S7" i="22"/>
  <c r="S9" i="22"/>
  <c r="T9" i="22"/>
  <c r="T10" i="22"/>
  <c r="S10" i="22"/>
  <c r="S11" i="22"/>
  <c r="T11" i="22"/>
  <c r="T12" i="22"/>
  <c r="S12" i="22"/>
  <c r="S13" i="22"/>
  <c r="T13" i="22"/>
  <c r="T14" i="22"/>
  <c r="S14" i="22"/>
  <c r="S15" i="22"/>
  <c r="T15" i="22"/>
  <c r="T16" i="22"/>
  <c r="S16" i="22"/>
  <c r="T17" i="22"/>
  <c r="S17" i="22"/>
  <c r="F14" i="21"/>
  <c r="F8" i="21"/>
  <c r="F12" i="21"/>
  <c r="F17" i="21"/>
  <c r="F18" i="21"/>
  <c r="F20" i="21"/>
  <c r="F19" i="21"/>
  <c r="H18" i="22"/>
  <c r="F18" i="22"/>
  <c r="E18" i="22"/>
  <c r="D18" i="22"/>
  <c r="G18" i="22"/>
  <c r="F13" i="21"/>
  <c r="F15" i="21"/>
  <c r="C18" i="2"/>
  <c r="F5" i="21"/>
  <c r="F21" i="21"/>
  <c r="F6" i="21"/>
  <c r="F7" i="21"/>
  <c r="F9" i="21"/>
  <c r="F10" i="21"/>
  <c r="F11" i="21"/>
  <c r="D10" i="21"/>
  <c r="D9" i="21"/>
  <c r="H19" i="21"/>
  <c r="E7" i="21"/>
  <c r="E9" i="21"/>
  <c r="E10" i="21"/>
  <c r="E8" i="21"/>
  <c r="E13" i="21"/>
  <c r="H14" i="21"/>
  <c r="H16" i="21"/>
  <c r="D18" i="21"/>
  <c r="H12" i="21"/>
  <c r="D17" i="21"/>
  <c r="E16" i="21"/>
  <c r="H13" i="21"/>
  <c r="D14" i="21"/>
  <c r="E17" i="21"/>
  <c r="D13" i="21"/>
  <c r="H7" i="21"/>
  <c r="D16" i="21"/>
  <c r="H17" i="21"/>
  <c r="H8" i="21"/>
  <c r="E21" i="21"/>
  <c r="H18" i="21"/>
  <c r="E18" i="21"/>
  <c r="D20" i="21"/>
  <c r="H20" i="21"/>
  <c r="D12" i="21"/>
  <c r="H5" i="21"/>
  <c r="E5" i="21"/>
  <c r="E12" i="21"/>
  <c r="E19" i="21"/>
  <c r="D6" i="21"/>
  <c r="H10" i="21"/>
  <c r="H9" i="21"/>
  <c r="E15" i="21"/>
  <c r="D15" i="21"/>
  <c r="E14" i="21"/>
  <c r="D21" i="21"/>
  <c r="G5" i="21"/>
  <c r="D19" i="21"/>
  <c r="H15" i="21"/>
  <c r="E20" i="21"/>
  <c r="D8" i="21"/>
  <c r="H6" i="21"/>
  <c r="H21" i="21"/>
  <c r="V5" i="21"/>
  <c r="V6" i="21"/>
  <c r="AC13" i="30"/>
  <c r="P13" i="30"/>
  <c r="H8" i="11"/>
  <c r="F6" i="32"/>
  <c r="AD9" i="11"/>
  <c r="P9" i="11"/>
  <c r="AB25" i="14"/>
  <c r="I17" i="31"/>
  <c r="N14" i="31"/>
  <c r="AD14" i="31"/>
  <c r="I26" i="12"/>
  <c r="I33" i="12"/>
  <c r="L8" i="11"/>
  <c r="G6" i="32"/>
  <c r="G9" i="32"/>
  <c r="G15" i="32"/>
  <c r="G18" i="32"/>
  <c r="C23" i="2"/>
  <c r="N13" i="31"/>
  <c r="AC26" i="30"/>
  <c r="P26" i="30"/>
  <c r="D22" i="2"/>
  <c r="AB26" i="29"/>
  <c r="W25" i="12"/>
  <c r="U25" i="12"/>
  <c r="B11" i="14"/>
  <c r="B45" i="14"/>
  <c r="N25" i="29"/>
  <c r="B50" i="15"/>
  <c r="B25" i="5"/>
  <c r="I42" i="6"/>
  <c r="J42" i="6"/>
  <c r="Z5" i="21"/>
  <c r="Q18" i="22"/>
  <c r="P18" i="22"/>
  <c r="B20" i="22"/>
  <c r="C19" i="22"/>
  <c r="M17" i="22"/>
  <c r="B22" i="21"/>
  <c r="AB5" i="21"/>
  <c r="AD5" i="21"/>
  <c r="AD6" i="21"/>
  <c r="Z6" i="21"/>
  <c r="AB6" i="21"/>
  <c r="V7" i="21"/>
  <c r="J29" i="17"/>
  <c r="I41" i="34"/>
  <c r="AD41" i="34"/>
  <c r="AB41" i="34"/>
  <c r="N12" i="31"/>
  <c r="AD12" i="31"/>
  <c r="W5" i="21"/>
  <c r="C20" i="2"/>
  <c r="C33" i="2"/>
  <c r="C37" i="2"/>
  <c r="C16" i="2"/>
  <c r="C32" i="2"/>
  <c r="C38" i="2"/>
  <c r="C19" i="2"/>
  <c r="Q7" i="11"/>
  <c r="Q14" i="11"/>
  <c r="O7" i="14"/>
  <c r="K7" i="32"/>
  <c r="X5" i="21"/>
  <c r="Q13" i="11"/>
  <c r="P25" i="30"/>
  <c r="J9" i="16"/>
  <c r="F39" i="19"/>
  <c r="F44" i="19"/>
  <c r="B43" i="31"/>
  <c r="Q9" i="31"/>
  <c r="I30" i="6"/>
  <c r="J30" i="6"/>
  <c r="H17" i="19"/>
  <c r="H32" i="19"/>
  <c r="W6" i="21"/>
  <c r="B42" i="31"/>
  <c r="K12" i="19"/>
  <c r="Q11" i="31"/>
  <c r="X6" i="21"/>
  <c r="Q8" i="31"/>
  <c r="Q11" i="11"/>
  <c r="O20" i="17"/>
  <c r="N20" i="17"/>
  <c r="P20" i="17"/>
  <c r="O16" i="17"/>
  <c r="N16" i="17"/>
  <c r="P16" i="17"/>
  <c r="AB16" i="29"/>
  <c r="Y16" i="29"/>
  <c r="B50" i="7"/>
  <c r="B10" i="7"/>
  <c r="P11" i="18"/>
  <c r="O11" i="18"/>
  <c r="N11" i="18"/>
  <c r="P19" i="18"/>
  <c r="O19" i="18"/>
  <c r="N19" i="18"/>
  <c r="P23" i="18"/>
  <c r="O23" i="18"/>
  <c r="N23" i="18"/>
  <c r="O25" i="17"/>
  <c r="N25" i="17"/>
  <c r="P25" i="17"/>
  <c r="G18" i="4"/>
  <c r="I15" i="4"/>
  <c r="J15" i="4"/>
  <c r="M6" i="12"/>
  <c r="O23" i="17"/>
  <c r="N23" i="17"/>
  <c r="P23" i="17"/>
  <c r="O15" i="17"/>
  <c r="N15" i="17"/>
  <c r="P15" i="17"/>
  <c r="J10" i="16"/>
  <c r="P16" i="18"/>
  <c r="O16" i="18"/>
  <c r="N16" i="18"/>
  <c r="P28" i="18"/>
  <c r="O28" i="18"/>
  <c r="N28" i="18"/>
  <c r="J15" i="7"/>
  <c r="F19" i="7"/>
  <c r="B12" i="15"/>
  <c r="B13" i="15"/>
  <c r="B52" i="15"/>
  <c r="G27" i="7"/>
  <c r="I19" i="7"/>
  <c r="B44" i="31"/>
  <c r="N13" i="29"/>
  <c r="L27" i="29"/>
  <c r="AA27" i="29"/>
  <c r="L32" i="29"/>
  <c r="AA32" i="29"/>
  <c r="B59" i="29"/>
  <c r="B10" i="29"/>
  <c r="O22" i="17"/>
  <c r="N22" i="17"/>
  <c r="P22" i="17"/>
  <c r="O18" i="17"/>
  <c r="N18" i="17"/>
  <c r="P18" i="17"/>
  <c r="O14" i="17"/>
  <c r="N14" i="17"/>
  <c r="P14" i="17"/>
  <c r="O10" i="17"/>
  <c r="N10" i="17"/>
  <c r="P10" i="17"/>
  <c r="B44" i="14"/>
  <c r="B40" i="4"/>
  <c r="B9" i="4"/>
  <c r="P9" i="18"/>
  <c r="O9" i="18"/>
  <c r="N9" i="18"/>
  <c r="P13" i="18"/>
  <c r="O13" i="18"/>
  <c r="N13" i="18"/>
  <c r="P17" i="18"/>
  <c r="O17" i="18"/>
  <c r="N17" i="18"/>
  <c r="P21" i="18"/>
  <c r="O21" i="18"/>
  <c r="N21" i="18"/>
  <c r="P25" i="18"/>
  <c r="O25" i="18"/>
  <c r="N25" i="18"/>
  <c r="Q6" i="11"/>
  <c r="K13" i="19"/>
  <c r="L19" i="14"/>
  <c r="B62" i="30"/>
  <c r="B11" i="30"/>
  <c r="AG16" i="30"/>
  <c r="AC16" i="30"/>
  <c r="O24" i="17"/>
  <c r="N24" i="17"/>
  <c r="P24" i="17"/>
  <c r="O12" i="17"/>
  <c r="N12" i="17"/>
  <c r="P12" i="17"/>
  <c r="P15" i="18"/>
  <c r="O15" i="18"/>
  <c r="N15" i="18"/>
  <c r="P27" i="18"/>
  <c r="O27" i="18"/>
  <c r="N27" i="18"/>
  <c r="K28" i="15"/>
  <c r="N32" i="30"/>
  <c r="AE32" i="30"/>
  <c r="N27" i="30"/>
  <c r="AE27" i="30"/>
  <c r="O19" i="17"/>
  <c r="N19" i="17"/>
  <c r="P19" i="17"/>
  <c r="O11" i="17"/>
  <c r="N11" i="17"/>
  <c r="P11" i="17"/>
  <c r="H38" i="19"/>
  <c r="G39" i="19"/>
  <c r="G44" i="19"/>
  <c r="B28" i="16"/>
  <c r="B9" i="16"/>
  <c r="F18" i="4"/>
  <c r="P12" i="18"/>
  <c r="O12" i="18"/>
  <c r="N12" i="18"/>
  <c r="P20" i="18"/>
  <c r="O20" i="18"/>
  <c r="N20" i="18"/>
  <c r="P24" i="18"/>
  <c r="O24" i="18"/>
  <c r="N24" i="18"/>
  <c r="J7" i="16"/>
  <c r="B8" i="32"/>
  <c r="B34" i="32"/>
  <c r="O21" i="17"/>
  <c r="N21" i="17"/>
  <c r="P21" i="17"/>
  <c r="O17" i="17"/>
  <c r="N17" i="17"/>
  <c r="P17" i="17"/>
  <c r="O13" i="17"/>
  <c r="N13" i="17"/>
  <c r="P13" i="17"/>
  <c r="O9" i="17"/>
  <c r="N9" i="17"/>
  <c r="P9" i="17"/>
  <c r="J6" i="16"/>
  <c r="P10" i="18"/>
  <c r="O10" i="18"/>
  <c r="N10" i="18"/>
  <c r="P14" i="18"/>
  <c r="O14" i="18"/>
  <c r="N14" i="18"/>
  <c r="P18" i="18"/>
  <c r="O18" i="18"/>
  <c r="N18" i="18"/>
  <c r="P22" i="18"/>
  <c r="O22" i="18"/>
  <c r="N22" i="18"/>
  <c r="P26" i="18"/>
  <c r="O26" i="18"/>
  <c r="N26" i="18"/>
  <c r="K14" i="19"/>
  <c r="Q16" i="31"/>
  <c r="K10" i="27"/>
  <c r="Q7" i="31"/>
  <c r="B11" i="6"/>
  <c r="B64" i="6"/>
  <c r="H33" i="17"/>
  <c r="P33" i="17"/>
  <c r="K33" i="17"/>
  <c r="C22" i="21"/>
  <c r="AI22" i="21"/>
  <c r="H35" i="18"/>
  <c r="P35" i="18"/>
  <c r="K35" i="18"/>
  <c r="F8" i="33"/>
  <c r="I13" i="8"/>
  <c r="F9" i="33"/>
  <c r="F7" i="33"/>
  <c r="P33" i="33"/>
  <c r="N33" i="33"/>
  <c r="H33" i="33"/>
  <c r="AE16" i="31"/>
  <c r="AB16" i="31"/>
  <c r="P16" i="31"/>
  <c r="H16" i="13"/>
  <c r="B46" i="31"/>
  <c r="B15" i="31"/>
  <c r="AE7" i="31"/>
  <c r="F12" i="13"/>
  <c r="H6" i="13"/>
  <c r="AE9" i="31"/>
  <c r="AB9" i="31"/>
  <c r="P9" i="31"/>
  <c r="H8" i="13"/>
  <c r="AD13" i="31"/>
  <c r="F13" i="13"/>
  <c r="J26" i="12"/>
  <c r="J33" i="12"/>
  <c r="AE10" i="31"/>
  <c r="AB10" i="31"/>
  <c r="P10" i="31"/>
  <c r="H9" i="13"/>
  <c r="AE8" i="31"/>
  <c r="AB8" i="31"/>
  <c r="P8" i="31"/>
  <c r="H7" i="13"/>
  <c r="AB7" i="31"/>
  <c r="P7" i="31"/>
  <c r="AE11" i="31"/>
  <c r="AB11" i="31"/>
  <c r="P11" i="31"/>
  <c r="H11" i="13"/>
  <c r="E19" i="22"/>
  <c r="D19" i="22"/>
  <c r="F19" i="22"/>
  <c r="H19" i="22"/>
  <c r="G19" i="22"/>
  <c r="J8" i="11"/>
  <c r="J12" i="11"/>
  <c r="J15" i="11"/>
  <c r="G7" i="27"/>
  <c r="B54" i="15"/>
  <c r="B17" i="15"/>
  <c r="L25" i="12"/>
  <c r="D16" i="2"/>
  <c r="M8" i="11"/>
  <c r="S5" i="21"/>
  <c r="K9" i="17"/>
  <c r="C22" i="2"/>
  <c r="N17" i="31"/>
  <c r="AD17" i="31"/>
  <c r="Y26" i="29"/>
  <c r="N26" i="29"/>
  <c r="M18" i="22"/>
  <c r="Q19" i="22"/>
  <c r="P19" i="22"/>
  <c r="B21" i="22"/>
  <c r="C20" i="22"/>
  <c r="B23" i="21"/>
  <c r="AB7" i="21"/>
  <c r="AD7" i="21"/>
  <c r="Z7" i="21"/>
  <c r="W7" i="21"/>
  <c r="X7" i="21"/>
  <c r="D40" i="2"/>
  <c r="Q41" i="34"/>
  <c r="P16" i="30"/>
  <c r="S6" i="21"/>
  <c r="K15" i="17"/>
  <c r="K18" i="18"/>
  <c r="K17" i="17"/>
  <c r="K21" i="18"/>
  <c r="H37" i="19"/>
  <c r="H39" i="19"/>
  <c r="H44" i="19"/>
  <c r="T32" i="19"/>
  <c r="T23" i="19"/>
  <c r="R23" i="19"/>
  <c r="K20" i="18"/>
  <c r="K22" i="18"/>
  <c r="K25" i="18"/>
  <c r="K15" i="18"/>
  <c r="K23" i="18"/>
  <c r="K12" i="18"/>
  <c r="K27" i="18"/>
  <c r="K22" i="17"/>
  <c r="K16" i="18"/>
  <c r="N16" i="29"/>
  <c r="F22" i="4"/>
  <c r="B63" i="30"/>
  <c r="B12" i="30"/>
  <c r="B11" i="4"/>
  <c r="B41" i="4"/>
  <c r="B29" i="16"/>
  <c r="B10" i="16"/>
  <c r="K19" i="17"/>
  <c r="K24" i="17"/>
  <c r="K9" i="18"/>
  <c r="B53" i="15"/>
  <c r="F27" i="7"/>
  <c r="F34" i="7"/>
  <c r="J19" i="7"/>
  <c r="F18" i="33"/>
  <c r="F23" i="33"/>
  <c r="F24" i="33"/>
  <c r="K25" i="17"/>
  <c r="B11" i="7"/>
  <c r="B51" i="7"/>
  <c r="H6" i="32"/>
  <c r="F9" i="32"/>
  <c r="K26" i="18"/>
  <c r="K10" i="18"/>
  <c r="K24" i="18"/>
  <c r="K11" i="17"/>
  <c r="K12" i="17"/>
  <c r="K13" i="18"/>
  <c r="B14" i="14"/>
  <c r="B46" i="14"/>
  <c r="K14" i="17"/>
  <c r="B60" i="29"/>
  <c r="B11" i="29"/>
  <c r="K28" i="18"/>
  <c r="K11" i="18"/>
  <c r="K20" i="17"/>
  <c r="B35" i="32"/>
  <c r="B9" i="32"/>
  <c r="K13" i="17"/>
  <c r="K18" i="17"/>
  <c r="B65" i="6"/>
  <c r="B12" i="6"/>
  <c r="K14" i="18"/>
  <c r="K21" i="17"/>
  <c r="AG27" i="30"/>
  <c r="K17" i="18"/>
  <c r="K10" i="17"/>
  <c r="I27" i="7"/>
  <c r="G34" i="7"/>
  <c r="I34" i="7"/>
  <c r="K23" i="17"/>
  <c r="G22" i="4"/>
  <c r="I18" i="4"/>
  <c r="J18" i="4"/>
  <c r="K19" i="18"/>
  <c r="AB27" i="29"/>
  <c r="Y27" i="29"/>
  <c r="F33" i="12"/>
  <c r="F7" i="27"/>
  <c r="K16" i="17"/>
  <c r="G22" i="21"/>
  <c r="D22" i="21"/>
  <c r="E22" i="21"/>
  <c r="H22" i="21"/>
  <c r="F22" i="21"/>
  <c r="AI23" i="21"/>
  <c r="C23" i="21"/>
  <c r="C21" i="2"/>
  <c r="G19" i="27"/>
  <c r="I7" i="27"/>
  <c r="F19" i="27"/>
  <c r="H7" i="27"/>
  <c r="F21" i="33"/>
  <c r="H12" i="13"/>
  <c r="D39" i="2"/>
  <c r="AE12" i="31"/>
  <c r="AB12" i="31"/>
  <c r="P12" i="31"/>
  <c r="F14" i="13"/>
  <c r="AE13" i="31"/>
  <c r="AB13" i="31"/>
  <c r="H13" i="13"/>
  <c r="B16" i="31"/>
  <c r="B47" i="31"/>
  <c r="T19" i="22"/>
  <c r="E20" i="22"/>
  <c r="D20" i="22"/>
  <c r="H20" i="22"/>
  <c r="G20" i="22"/>
  <c r="F20" i="22"/>
  <c r="Q8" i="11"/>
  <c r="C15" i="2"/>
  <c r="M12" i="11"/>
  <c r="M15" i="11"/>
  <c r="AC27" i="30"/>
  <c r="P27" i="30"/>
  <c r="R32" i="19"/>
  <c r="J32" i="19"/>
  <c r="M19" i="22"/>
  <c r="P20" i="22"/>
  <c r="Q20" i="22"/>
  <c r="B22" i="22"/>
  <c r="C21" i="22"/>
  <c r="B24" i="21"/>
  <c r="S7" i="21"/>
  <c r="Z8" i="21"/>
  <c r="AB8" i="21"/>
  <c r="AD8" i="21"/>
  <c r="H9" i="32"/>
  <c r="F15" i="32"/>
  <c r="J23" i="19"/>
  <c r="X8" i="21"/>
  <c r="V8" i="21"/>
  <c r="W8" i="21"/>
  <c r="N27" i="29"/>
  <c r="B47" i="14"/>
  <c r="B15" i="14"/>
  <c r="AG32" i="30"/>
  <c r="B66" i="6"/>
  <c r="B13" i="6"/>
  <c r="B52" i="7"/>
  <c r="B12" i="7"/>
  <c r="B18" i="15"/>
  <c r="B55" i="15"/>
  <c r="B12" i="4"/>
  <c r="B42" i="4"/>
  <c r="B36" i="32"/>
  <c r="B11" i="32"/>
  <c r="B61" i="29"/>
  <c r="B12" i="29"/>
  <c r="J34" i="7"/>
  <c r="J27" i="7"/>
  <c r="AB32" i="29"/>
  <c r="G6" i="5"/>
  <c r="I22" i="4"/>
  <c r="J22" i="4"/>
  <c r="B11" i="16"/>
  <c r="B31" i="16"/>
  <c r="B30" i="16"/>
  <c r="B13" i="30"/>
  <c r="B64" i="30"/>
  <c r="F6" i="5"/>
  <c r="C24" i="21"/>
  <c r="AI24" i="21"/>
  <c r="G23" i="21"/>
  <c r="E23" i="21"/>
  <c r="F23" i="21"/>
  <c r="D23" i="21"/>
  <c r="H23" i="21"/>
  <c r="S18" i="22"/>
  <c r="T20" i="22"/>
  <c r="T18" i="22"/>
  <c r="S19" i="22"/>
  <c r="I19" i="27"/>
  <c r="Q7" i="27"/>
  <c r="P7" i="27"/>
  <c r="H19" i="27"/>
  <c r="H14" i="13"/>
  <c r="H17" i="13"/>
  <c r="P13" i="31"/>
  <c r="B48" i="31"/>
  <c r="B17" i="31"/>
  <c r="F8" i="11"/>
  <c r="AE14" i="31"/>
  <c r="AB14" i="31"/>
  <c r="P14" i="31"/>
  <c r="F17" i="13"/>
  <c r="S20" i="22"/>
  <c r="D21" i="22"/>
  <c r="S21" i="22"/>
  <c r="G21" i="22"/>
  <c r="F21" i="22"/>
  <c r="E21" i="22"/>
  <c r="H21" i="22"/>
  <c r="D23" i="2"/>
  <c r="AC32" i="30"/>
  <c r="D36" i="2"/>
  <c r="Y32" i="29"/>
  <c r="N32" i="29"/>
  <c r="Q21" i="22"/>
  <c r="P21" i="22"/>
  <c r="M20" i="22"/>
  <c r="B23" i="22"/>
  <c r="C22" i="22"/>
  <c r="B25" i="21"/>
  <c r="Z9" i="21"/>
  <c r="AB9" i="21"/>
  <c r="AD9" i="21"/>
  <c r="H15" i="32"/>
  <c r="F18" i="32"/>
  <c r="H18" i="32"/>
  <c r="D35" i="2"/>
  <c r="V9" i="21"/>
  <c r="X9" i="21"/>
  <c r="W9" i="21"/>
  <c r="S8" i="21"/>
  <c r="B19" i="15"/>
  <c r="B56" i="15"/>
  <c r="B67" i="6"/>
  <c r="B16" i="6"/>
  <c r="B48" i="14"/>
  <c r="B16" i="14"/>
  <c r="B12" i="32"/>
  <c r="B37" i="32"/>
  <c r="B13" i="7"/>
  <c r="B53" i="7"/>
  <c r="B65" i="30"/>
  <c r="B15" i="30"/>
  <c r="I6" i="5"/>
  <c r="J6" i="5"/>
  <c r="G9" i="5"/>
  <c r="I9" i="5"/>
  <c r="B13" i="4"/>
  <c r="B43" i="4"/>
  <c r="F9" i="5"/>
  <c r="B62" i="29"/>
  <c r="B13" i="29"/>
  <c r="C25" i="21"/>
  <c r="AI25" i="21"/>
  <c r="G24" i="21"/>
  <c r="D24" i="21"/>
  <c r="F24" i="21"/>
  <c r="H24" i="21"/>
  <c r="E24" i="21"/>
  <c r="K7" i="27"/>
  <c r="AE17" i="31"/>
  <c r="AB17" i="31"/>
  <c r="P17" i="31"/>
  <c r="F13" i="33"/>
  <c r="B20" i="31"/>
  <c r="B49" i="31"/>
  <c r="F12" i="11"/>
  <c r="F15" i="11"/>
  <c r="N8" i="11"/>
  <c r="T21" i="22"/>
  <c r="F22" i="22"/>
  <c r="E22" i="22"/>
  <c r="D22" i="22"/>
  <c r="T22" i="22"/>
  <c r="H22" i="22"/>
  <c r="G22" i="22"/>
  <c r="P32" i="30"/>
  <c r="M21" i="22"/>
  <c r="Q22" i="22"/>
  <c r="P22" i="22"/>
  <c r="B24" i="22"/>
  <c r="C23" i="22"/>
  <c r="B26" i="21"/>
  <c r="AD10" i="21"/>
  <c r="Z10" i="21"/>
  <c r="AB10" i="21"/>
  <c r="J9" i="5"/>
  <c r="W10" i="21"/>
  <c r="V10" i="21"/>
  <c r="X10" i="21"/>
  <c r="S9" i="21"/>
  <c r="B44" i="4"/>
  <c r="B14" i="4"/>
  <c r="B66" i="30"/>
  <c r="B16" i="30"/>
  <c r="B68" i="6"/>
  <c r="B17" i="6"/>
  <c r="B13" i="32"/>
  <c r="B38" i="32"/>
  <c r="B17" i="14"/>
  <c r="B49" i="14"/>
  <c r="B15" i="29"/>
  <c r="B63" i="29"/>
  <c r="B54" i="7"/>
  <c r="B14" i="7"/>
  <c r="B57" i="15"/>
  <c r="B20" i="15"/>
  <c r="C26" i="21"/>
  <c r="AI26" i="21"/>
  <c r="G25" i="21"/>
  <c r="E25" i="21"/>
  <c r="D25" i="21"/>
  <c r="F25" i="21"/>
  <c r="H25" i="21"/>
  <c r="D37" i="2"/>
  <c r="F28" i="33"/>
  <c r="N12" i="11"/>
  <c r="N15" i="11"/>
  <c r="AF8" i="11"/>
  <c r="AD8" i="11"/>
  <c r="B52" i="31"/>
  <c r="B21" i="31"/>
  <c r="S22" i="22"/>
  <c r="H23" i="22"/>
  <c r="G23" i="22"/>
  <c r="E23" i="22"/>
  <c r="D23" i="22"/>
  <c r="S23" i="22"/>
  <c r="F23" i="22"/>
  <c r="M22" i="22"/>
  <c r="P23" i="22"/>
  <c r="Q23" i="22"/>
  <c r="B25" i="22"/>
  <c r="C24" i="22"/>
  <c r="B27" i="21"/>
  <c r="AB11" i="21"/>
  <c r="AD11" i="21"/>
  <c r="Z11" i="21"/>
  <c r="S10" i="21"/>
  <c r="V11" i="21"/>
  <c r="W11" i="21"/>
  <c r="X11" i="21"/>
  <c r="B58" i="15"/>
  <c r="B21" i="15"/>
  <c r="B22" i="15"/>
  <c r="B39" i="32"/>
  <c r="B14" i="32"/>
  <c r="B69" i="6"/>
  <c r="B18" i="6"/>
  <c r="B45" i="4"/>
  <c r="B15" i="4"/>
  <c r="B67" i="30"/>
  <c r="B19" i="30"/>
  <c r="B15" i="7"/>
  <c r="B55" i="7"/>
  <c r="B64" i="29"/>
  <c r="B16" i="29"/>
  <c r="B50" i="14"/>
  <c r="B19" i="14"/>
  <c r="C27" i="21"/>
  <c r="AI27" i="21"/>
  <c r="G26" i="21"/>
  <c r="D26" i="21"/>
  <c r="E26" i="21"/>
  <c r="F26" i="21"/>
  <c r="H26" i="21"/>
  <c r="P8" i="11"/>
  <c r="D15" i="2"/>
  <c r="B22" i="31"/>
  <c r="B53" i="31"/>
  <c r="T23" i="22"/>
  <c r="H24" i="22"/>
  <c r="E24" i="22"/>
  <c r="G24" i="22"/>
  <c r="F24" i="22"/>
  <c r="D24" i="22"/>
  <c r="T24" i="22"/>
  <c r="B60" i="15"/>
  <c r="B28" i="15"/>
  <c r="P24" i="22"/>
  <c r="Q24" i="22"/>
  <c r="M23" i="22"/>
  <c r="B26" i="22"/>
  <c r="C25" i="22"/>
  <c r="B28" i="21"/>
  <c r="Z12" i="21"/>
  <c r="AB12" i="21"/>
  <c r="AD12" i="21"/>
  <c r="W12" i="21"/>
  <c r="V12" i="21"/>
  <c r="X12" i="21"/>
  <c r="S11" i="21"/>
  <c r="B20" i="14"/>
  <c r="B51" i="14"/>
  <c r="B19" i="6"/>
  <c r="B70" i="6"/>
  <c r="B59" i="15"/>
  <c r="B17" i="7"/>
  <c r="B56" i="7"/>
  <c r="B65" i="29"/>
  <c r="B19" i="29"/>
  <c r="B68" i="30"/>
  <c r="B20" i="30"/>
  <c r="B17" i="4"/>
  <c r="B46" i="4"/>
  <c r="B40" i="32"/>
  <c r="B15" i="32"/>
  <c r="C28" i="21"/>
  <c r="AI28" i="21"/>
  <c r="G27" i="21"/>
  <c r="E27" i="21"/>
  <c r="D27" i="21"/>
  <c r="F27" i="21"/>
  <c r="H27" i="21"/>
  <c r="B54" i="31"/>
  <c r="B23" i="31"/>
  <c r="S24" i="22"/>
  <c r="G25" i="22"/>
  <c r="F25" i="22"/>
  <c r="E25" i="22"/>
  <c r="H25" i="22"/>
  <c r="D25" i="22"/>
  <c r="S25" i="22"/>
  <c r="B52" i="14"/>
  <c r="B23" i="14"/>
  <c r="P25" i="22"/>
  <c r="Q25" i="22"/>
  <c r="B27" i="22"/>
  <c r="C26" i="22"/>
  <c r="M24" i="22"/>
  <c r="B29" i="21"/>
  <c r="Z13" i="21"/>
  <c r="AB13" i="21"/>
  <c r="AD13" i="21"/>
  <c r="X13" i="21"/>
  <c r="V13" i="21"/>
  <c r="W13" i="21"/>
  <c r="S12" i="21"/>
  <c r="B41" i="32"/>
  <c r="B17" i="32"/>
  <c r="B18" i="4"/>
  <c r="B47" i="4"/>
  <c r="B61" i="15"/>
  <c r="B29" i="15"/>
  <c r="B66" i="29"/>
  <c r="B20" i="29"/>
  <c r="B69" i="30"/>
  <c r="B21" i="30"/>
  <c r="B57" i="7"/>
  <c r="B18" i="7"/>
  <c r="B71" i="6"/>
  <c r="B20" i="6"/>
  <c r="AI29" i="21"/>
  <c r="C29" i="21"/>
  <c r="G28" i="21"/>
  <c r="H28" i="21"/>
  <c r="E28" i="21"/>
  <c r="F28" i="21"/>
  <c r="D28" i="21"/>
  <c r="B55" i="31"/>
  <c r="B24" i="31"/>
  <c r="T25" i="22"/>
  <c r="G26" i="22"/>
  <c r="F26" i="22"/>
  <c r="E26" i="22"/>
  <c r="D26" i="22"/>
  <c r="T26" i="22"/>
  <c r="H26" i="22"/>
  <c r="B24" i="14"/>
  <c r="B53" i="14"/>
  <c r="M25" i="22"/>
  <c r="P26" i="22"/>
  <c r="Q26" i="22"/>
  <c r="B28" i="22"/>
  <c r="C27" i="22"/>
  <c r="B30" i="21"/>
  <c r="AD14" i="21"/>
  <c r="Z14" i="21"/>
  <c r="AB14" i="21"/>
  <c r="S13" i="21"/>
  <c r="X14" i="21"/>
  <c r="V14" i="21"/>
  <c r="W14" i="21"/>
  <c r="B58" i="7"/>
  <c r="B19" i="7"/>
  <c r="B48" i="4"/>
  <c r="B20" i="4"/>
  <c r="B21" i="29"/>
  <c r="B67" i="29"/>
  <c r="B62" i="15"/>
  <c r="B30" i="15"/>
  <c r="B18" i="32"/>
  <c r="B43" i="32"/>
  <c r="B42" i="32"/>
  <c r="B72" i="6"/>
  <c r="B23" i="6"/>
  <c r="B22" i="30"/>
  <c r="B70" i="30"/>
  <c r="AI30" i="21"/>
  <c r="C30" i="21"/>
  <c r="G29" i="21"/>
  <c r="H29" i="21"/>
  <c r="E29" i="21"/>
  <c r="F29" i="21"/>
  <c r="D29" i="21"/>
  <c r="B56" i="31"/>
  <c r="B25" i="31"/>
  <c r="B57" i="31"/>
  <c r="S26" i="22"/>
  <c r="H27" i="22"/>
  <c r="G27" i="22"/>
  <c r="F27" i="22"/>
  <c r="E27" i="22"/>
  <c r="D27" i="22"/>
  <c r="S27" i="22"/>
  <c r="B25" i="14"/>
  <c r="B55" i="14"/>
  <c r="B54" i="14"/>
  <c r="M26" i="22"/>
  <c r="B29" i="22"/>
  <c r="C28" i="22"/>
  <c r="Q27" i="22"/>
  <c r="P27" i="22"/>
  <c r="B31" i="21"/>
  <c r="AB15" i="21"/>
  <c r="AD15" i="21"/>
  <c r="Z15" i="21"/>
  <c r="V15" i="21"/>
  <c r="X15" i="21"/>
  <c r="W15" i="21"/>
  <c r="S14" i="21"/>
  <c r="B21" i="4"/>
  <c r="B49" i="4"/>
  <c r="B71" i="30"/>
  <c r="B23" i="30"/>
  <c r="B22" i="29"/>
  <c r="B68" i="29"/>
  <c r="B22" i="7"/>
  <c r="B59" i="7"/>
  <c r="B73" i="6"/>
  <c r="B24" i="6"/>
  <c r="B63" i="15"/>
  <c r="B31" i="15"/>
  <c r="C31" i="21"/>
  <c r="AI31" i="21"/>
  <c r="G30" i="21"/>
  <c r="E30" i="21"/>
  <c r="F30" i="21"/>
  <c r="D30" i="21"/>
  <c r="H30" i="21"/>
  <c r="T27" i="22"/>
  <c r="H28" i="22"/>
  <c r="G28" i="22"/>
  <c r="F28" i="22"/>
  <c r="D28" i="22"/>
  <c r="T28" i="22"/>
  <c r="E28" i="22"/>
  <c r="P28" i="22"/>
  <c r="Q28" i="22"/>
  <c r="M27" i="22"/>
  <c r="B30" i="22"/>
  <c r="C29" i="22"/>
  <c r="B32" i="21"/>
  <c r="Z16" i="21"/>
  <c r="AB16" i="21"/>
  <c r="AD16" i="21"/>
  <c r="W16" i="21"/>
  <c r="X16" i="21"/>
  <c r="V16" i="21"/>
  <c r="S15" i="21"/>
  <c r="B74" i="6"/>
  <c r="B25" i="6"/>
  <c r="B23" i="7"/>
  <c r="B60" i="7"/>
  <c r="B69" i="29"/>
  <c r="B23" i="29"/>
  <c r="B50" i="4"/>
  <c r="B22" i="4"/>
  <c r="B34" i="15"/>
  <c r="B65" i="15"/>
  <c r="B64" i="15"/>
  <c r="B24" i="30"/>
  <c r="B72" i="30"/>
  <c r="C32" i="21"/>
  <c r="AI32" i="21"/>
  <c r="G31" i="21"/>
  <c r="F31" i="21"/>
  <c r="E31" i="21"/>
  <c r="D31" i="21"/>
  <c r="H31" i="21"/>
  <c r="S28" i="22"/>
  <c r="S29" i="22"/>
  <c r="T29" i="22"/>
  <c r="H29" i="22"/>
  <c r="D29" i="22"/>
  <c r="E29" i="22"/>
  <c r="G29" i="22"/>
  <c r="F29" i="22"/>
  <c r="B31" i="22"/>
  <c r="C30" i="22"/>
  <c r="M28" i="22"/>
  <c r="Q29" i="22"/>
  <c r="P29" i="22"/>
  <c r="B33" i="21"/>
  <c r="Z17" i="21"/>
  <c r="AB17" i="21"/>
  <c r="AD17" i="21"/>
  <c r="B51" i="4"/>
  <c r="B24" i="4"/>
  <c r="S16" i="21"/>
  <c r="X17" i="21"/>
  <c r="V17" i="21"/>
  <c r="W17" i="21"/>
  <c r="B61" i="7"/>
  <c r="B24" i="7"/>
  <c r="B73" i="30"/>
  <c r="B25" i="30"/>
  <c r="B70" i="29"/>
  <c r="B24" i="29"/>
  <c r="B75" i="6"/>
  <c r="B26" i="6"/>
  <c r="AI33" i="21"/>
  <c r="C33" i="21"/>
  <c r="G32" i="21"/>
  <c r="D32" i="21"/>
  <c r="F32" i="21"/>
  <c r="H32" i="21"/>
  <c r="E32" i="21"/>
  <c r="T30" i="22"/>
  <c r="S30" i="22"/>
  <c r="G30" i="22"/>
  <c r="H30" i="22"/>
  <c r="F30" i="22"/>
  <c r="E30" i="22"/>
  <c r="D30" i="22"/>
  <c r="M29" i="22"/>
  <c r="Q30" i="22"/>
  <c r="P30" i="22"/>
  <c r="B32" i="22"/>
  <c r="C31" i="22"/>
  <c r="B34" i="21"/>
  <c r="AD18" i="21"/>
  <c r="Z18" i="21"/>
  <c r="AB18" i="21"/>
  <c r="S17" i="21"/>
  <c r="V18" i="21"/>
  <c r="W18" i="21"/>
  <c r="X18" i="21"/>
  <c r="B74" i="30"/>
  <c r="B26" i="30"/>
  <c r="B76" i="6"/>
  <c r="B27" i="6"/>
  <c r="B25" i="29"/>
  <c r="B71" i="29"/>
  <c r="B62" i="7"/>
  <c r="B25" i="7"/>
  <c r="AI34" i="21"/>
  <c r="C34" i="21"/>
  <c r="G33" i="21"/>
  <c r="F33" i="21"/>
  <c r="H33" i="21"/>
  <c r="E33" i="21"/>
  <c r="D33" i="21"/>
  <c r="S31" i="22"/>
  <c r="T31" i="22"/>
  <c r="H31" i="22"/>
  <c r="G31" i="22"/>
  <c r="E31" i="22"/>
  <c r="D31" i="22"/>
  <c r="F31" i="22"/>
  <c r="M30" i="22"/>
  <c r="B33" i="22"/>
  <c r="C32" i="22"/>
  <c r="P31" i="22"/>
  <c r="Q31" i="22"/>
  <c r="B35" i="21"/>
  <c r="AB19" i="21"/>
  <c r="AD19" i="21"/>
  <c r="Z19" i="21"/>
  <c r="X19" i="21"/>
  <c r="V19" i="21"/>
  <c r="W19" i="21"/>
  <c r="S18" i="21"/>
  <c r="B72" i="29"/>
  <c r="B26" i="29"/>
  <c r="B75" i="30"/>
  <c r="B27" i="30"/>
  <c r="B26" i="7"/>
  <c r="B63" i="7"/>
  <c r="B77" i="6"/>
  <c r="B28" i="6"/>
  <c r="AI35" i="21"/>
  <c r="C35" i="21"/>
  <c r="G34" i="21"/>
  <c r="E34" i="21"/>
  <c r="H34" i="21"/>
  <c r="F34" i="21"/>
  <c r="D34" i="21"/>
  <c r="T32" i="22"/>
  <c r="S32" i="22"/>
  <c r="D32" i="22"/>
  <c r="H32" i="22"/>
  <c r="G32" i="22"/>
  <c r="E32" i="22"/>
  <c r="F32" i="22"/>
  <c r="M31" i="22"/>
  <c r="P32" i="22"/>
  <c r="Q32" i="22"/>
  <c r="B34" i="22"/>
  <c r="C33" i="22"/>
  <c r="B36" i="21"/>
  <c r="Z20" i="21"/>
  <c r="AB20" i="21"/>
  <c r="AD20" i="21"/>
  <c r="W20" i="21"/>
  <c r="V20" i="21"/>
  <c r="X20" i="21"/>
  <c r="S19" i="21"/>
  <c r="B29" i="6"/>
  <c r="B78" i="6"/>
  <c r="B30" i="30"/>
  <c r="B76" i="30"/>
  <c r="B73" i="29"/>
  <c r="B27" i="29"/>
  <c r="B64" i="7"/>
  <c r="B27" i="7"/>
  <c r="G35" i="21"/>
  <c r="D35" i="21"/>
  <c r="F35" i="21"/>
  <c r="E35" i="21"/>
  <c r="H35" i="21"/>
  <c r="C36" i="21"/>
  <c r="AI36" i="21"/>
  <c r="S33" i="22"/>
  <c r="T33" i="22"/>
  <c r="H33" i="22"/>
  <c r="D33" i="22"/>
  <c r="G33" i="22"/>
  <c r="F33" i="22"/>
  <c r="E33" i="22"/>
  <c r="M32" i="22"/>
  <c r="Q33" i="22"/>
  <c r="P33" i="22"/>
  <c r="B35" i="22"/>
  <c r="C34" i="22"/>
  <c r="B37" i="21"/>
  <c r="Z21" i="21"/>
  <c r="AB21" i="21"/>
  <c r="AD21" i="21"/>
  <c r="V21" i="21"/>
  <c r="X21" i="21"/>
  <c r="W21" i="21"/>
  <c r="S20" i="21"/>
  <c r="B77" i="30"/>
  <c r="B31" i="30"/>
  <c r="B74" i="29"/>
  <c r="B30" i="29"/>
  <c r="B75" i="29"/>
  <c r="B30" i="7"/>
  <c r="B65" i="7"/>
  <c r="B79" i="6"/>
  <c r="B30" i="6"/>
  <c r="C37" i="21"/>
  <c r="AI37" i="21"/>
  <c r="G36" i="21"/>
  <c r="D36" i="21"/>
  <c r="E36" i="21"/>
  <c r="F36" i="21"/>
  <c r="H36" i="21"/>
  <c r="T34" i="22"/>
  <c r="S34" i="22"/>
  <c r="H34" i="22"/>
  <c r="F34" i="22"/>
  <c r="E34" i="22"/>
  <c r="D34" i="22"/>
  <c r="G34" i="22"/>
  <c r="P34" i="22"/>
  <c r="Q34" i="22"/>
  <c r="M33" i="22"/>
  <c r="B36" i="22"/>
  <c r="C35" i="22"/>
  <c r="B38" i="21"/>
  <c r="AD22" i="21"/>
  <c r="Z22" i="21"/>
  <c r="AB22" i="21"/>
  <c r="S21" i="21"/>
  <c r="W22" i="21"/>
  <c r="V22" i="21"/>
  <c r="X22" i="21"/>
  <c r="B31" i="29"/>
  <c r="B33" i="6"/>
  <c r="B80" i="6"/>
  <c r="B32" i="30"/>
  <c r="B78" i="30"/>
  <c r="B66" i="7"/>
  <c r="B31" i="7"/>
  <c r="AI38" i="21"/>
  <c r="C38" i="21"/>
  <c r="G37" i="21"/>
  <c r="F37" i="21"/>
  <c r="D37" i="21"/>
  <c r="H37" i="21"/>
  <c r="E37" i="21"/>
  <c r="S35" i="22"/>
  <c r="T35" i="22"/>
  <c r="E35" i="22"/>
  <c r="D35" i="22"/>
  <c r="G35" i="22"/>
  <c r="F35" i="22"/>
  <c r="H35" i="22"/>
  <c r="B37" i="22"/>
  <c r="C36" i="22"/>
  <c r="M34" i="22"/>
  <c r="P35" i="22"/>
  <c r="Q35" i="22"/>
  <c r="B39" i="21"/>
  <c r="AB23" i="21"/>
  <c r="AD23" i="21"/>
  <c r="Z23" i="21"/>
  <c r="S22" i="21"/>
  <c r="V23" i="21"/>
  <c r="W23" i="21"/>
  <c r="X23" i="21"/>
  <c r="B81" i="6"/>
  <c r="B34" i="6"/>
  <c r="B32" i="7"/>
  <c r="B67" i="7"/>
  <c r="B35" i="30"/>
  <c r="B36" i="30"/>
  <c r="B37" i="30"/>
  <c r="B38" i="30"/>
  <c r="B39" i="30"/>
  <c r="B40" i="30"/>
  <c r="B41" i="30"/>
  <c r="B42" i="30"/>
  <c r="B43" i="30"/>
  <c r="B44" i="30"/>
  <c r="B45" i="30"/>
  <c r="B79" i="30"/>
  <c r="B76" i="29"/>
  <c r="B32" i="29"/>
  <c r="C39" i="21"/>
  <c r="AI39" i="21"/>
  <c r="G38" i="21"/>
  <c r="F38" i="21"/>
  <c r="D38" i="21"/>
  <c r="H38" i="21"/>
  <c r="E38" i="21"/>
  <c r="T36" i="22"/>
  <c r="S36" i="22"/>
  <c r="E36" i="22"/>
  <c r="H36" i="22"/>
  <c r="G36" i="22"/>
  <c r="F36" i="22"/>
  <c r="D36" i="22"/>
  <c r="M35" i="22"/>
  <c r="P36" i="22"/>
  <c r="Q36" i="22"/>
  <c r="B38" i="22"/>
  <c r="C37" i="22"/>
  <c r="B40" i="21"/>
  <c r="Z24" i="21"/>
  <c r="AB24" i="21"/>
  <c r="AD24" i="21"/>
  <c r="S23" i="21"/>
  <c r="V24" i="21"/>
  <c r="X24" i="21"/>
  <c r="W24" i="21"/>
  <c r="B68" i="7"/>
  <c r="B33" i="7"/>
  <c r="B82" i="6"/>
  <c r="B35" i="6"/>
  <c r="B77" i="29"/>
  <c r="B35" i="29"/>
  <c r="B36" i="29"/>
  <c r="B37" i="29"/>
  <c r="B38" i="29"/>
  <c r="B39" i="29"/>
  <c r="B40" i="29"/>
  <c r="B41" i="29"/>
  <c r="B42" i="29"/>
  <c r="B43" i="29"/>
  <c r="AI40" i="21"/>
  <c r="C40" i="21"/>
  <c r="G39" i="21"/>
  <c r="E39" i="21"/>
  <c r="D39" i="21"/>
  <c r="F39" i="21"/>
  <c r="H39" i="21"/>
  <c r="S37" i="22"/>
  <c r="T37" i="22"/>
  <c r="G37" i="22"/>
  <c r="F37" i="22"/>
  <c r="D37" i="22"/>
  <c r="E37" i="22"/>
  <c r="H37" i="22"/>
  <c r="M36" i="22"/>
  <c r="B39" i="22"/>
  <c r="C38" i="22"/>
  <c r="Q37" i="22"/>
  <c r="P37" i="22"/>
  <c r="B41" i="21"/>
  <c r="Z25" i="21"/>
  <c r="AB25" i="21"/>
  <c r="AD25" i="21"/>
  <c r="S24" i="21"/>
  <c r="V25" i="21"/>
  <c r="X25" i="21"/>
  <c r="W25" i="21"/>
  <c r="B83" i="6"/>
  <c r="B36" i="6"/>
  <c r="B69" i="7"/>
  <c r="B34" i="7"/>
  <c r="B70" i="7"/>
  <c r="C41" i="21"/>
  <c r="AI41" i="21"/>
  <c r="G40" i="21"/>
  <c r="F40" i="21"/>
  <c r="D40" i="21"/>
  <c r="E40" i="21"/>
  <c r="H40" i="21"/>
  <c r="T38" i="22"/>
  <c r="S38" i="22"/>
  <c r="F38" i="22"/>
  <c r="E38" i="22"/>
  <c r="D38" i="22"/>
  <c r="H38" i="22"/>
  <c r="G38" i="22"/>
  <c r="M37" i="22"/>
  <c r="Q38" i="22"/>
  <c r="P38" i="22"/>
  <c r="B40" i="22"/>
  <c r="C39" i="22"/>
  <c r="B42" i="21"/>
  <c r="AD26" i="21"/>
  <c r="Z26" i="21"/>
  <c r="AB26" i="21"/>
  <c r="V26" i="21"/>
  <c r="W26" i="21"/>
  <c r="X26" i="21"/>
  <c r="S25" i="21"/>
  <c r="B84" i="6"/>
  <c r="B37" i="6"/>
  <c r="C42" i="21"/>
  <c r="AI42" i="21"/>
  <c r="G41" i="21"/>
  <c r="F41" i="21"/>
  <c r="E41" i="21"/>
  <c r="H41" i="21"/>
  <c r="D41" i="21"/>
  <c r="S39" i="22"/>
  <c r="T39" i="22"/>
  <c r="F39" i="22"/>
  <c r="E39" i="22"/>
  <c r="D39" i="22"/>
  <c r="H39" i="22"/>
  <c r="G39" i="22"/>
  <c r="M38" i="22"/>
  <c r="B41" i="22"/>
  <c r="C40" i="22"/>
  <c r="Q39" i="22"/>
  <c r="P39" i="22"/>
  <c r="B43" i="21"/>
  <c r="AB27" i="21"/>
  <c r="AD27" i="21"/>
  <c r="Z27" i="21"/>
  <c r="X27" i="21"/>
  <c r="V27" i="21"/>
  <c r="W27" i="21"/>
  <c r="S26" i="21"/>
  <c r="B85" i="6"/>
  <c r="B38" i="6"/>
  <c r="AI43" i="21"/>
  <c r="C43" i="21"/>
  <c r="G42" i="21"/>
  <c r="D42" i="21"/>
  <c r="H42" i="21"/>
  <c r="F42" i="21"/>
  <c r="E42" i="21"/>
  <c r="T40" i="22"/>
  <c r="S40" i="22"/>
  <c r="E40" i="22"/>
  <c r="H40" i="22"/>
  <c r="G40" i="22"/>
  <c r="F40" i="22"/>
  <c r="D40" i="22"/>
  <c r="P40" i="22"/>
  <c r="Q40" i="22"/>
  <c r="M39" i="22"/>
  <c r="B42" i="22"/>
  <c r="C41" i="22"/>
  <c r="B44" i="21"/>
  <c r="Z28" i="21"/>
  <c r="AB28" i="21"/>
  <c r="AD28" i="21"/>
  <c r="S27" i="21"/>
  <c r="W28" i="21"/>
  <c r="X28" i="21"/>
  <c r="V28" i="21"/>
  <c r="B86" i="6"/>
  <c r="B39" i="6"/>
  <c r="G43" i="21"/>
  <c r="D43" i="21"/>
  <c r="F43" i="21"/>
  <c r="H43" i="21"/>
  <c r="E43" i="21"/>
  <c r="AI44" i="21"/>
  <c r="C44" i="21"/>
  <c r="S41" i="22"/>
  <c r="T41" i="22"/>
  <c r="G41" i="22"/>
  <c r="F41" i="22"/>
  <c r="E41" i="22"/>
  <c r="H41" i="22"/>
  <c r="D41" i="22"/>
  <c r="B43" i="22"/>
  <c r="C42" i="22"/>
  <c r="P41" i="22"/>
  <c r="Q41" i="22"/>
  <c r="M40" i="22"/>
  <c r="B45" i="21"/>
  <c r="Z29" i="21"/>
  <c r="AB29" i="21"/>
  <c r="AD29" i="21"/>
  <c r="S28" i="21"/>
  <c r="X29" i="21"/>
  <c r="V29" i="21"/>
  <c r="W29" i="21"/>
  <c r="B87" i="6"/>
  <c r="B40" i="6"/>
  <c r="G44" i="21"/>
  <c r="F44" i="21"/>
  <c r="D44" i="21"/>
  <c r="E44" i="21"/>
  <c r="H44" i="21"/>
  <c r="C45" i="21"/>
  <c r="AI45" i="21"/>
  <c r="T42" i="22"/>
  <c r="S42" i="22"/>
  <c r="D42" i="22"/>
  <c r="G42" i="22"/>
  <c r="H42" i="22"/>
  <c r="F42" i="22"/>
  <c r="E42" i="22"/>
  <c r="M41" i="22"/>
  <c r="P42" i="22"/>
  <c r="Q42" i="22"/>
  <c r="B44" i="22"/>
  <c r="C43" i="22"/>
  <c r="B46" i="21"/>
  <c r="AD30" i="21"/>
  <c r="Z30" i="21"/>
  <c r="AB30" i="21"/>
  <c r="S29" i="21"/>
  <c r="W30" i="21"/>
  <c r="V30" i="21"/>
  <c r="X30" i="21"/>
  <c r="B88" i="6"/>
  <c r="B41" i="6"/>
  <c r="G45" i="21"/>
  <c r="F45" i="21"/>
  <c r="E45" i="21"/>
  <c r="H45" i="21"/>
  <c r="D45" i="21"/>
  <c r="AI46" i="21"/>
  <c r="C46" i="21"/>
  <c r="S43" i="22"/>
  <c r="T43" i="22"/>
  <c r="H43" i="22"/>
  <c r="G43" i="22"/>
  <c r="E43" i="22"/>
  <c r="D43" i="22"/>
  <c r="F43" i="22"/>
  <c r="M42" i="22"/>
  <c r="Q43" i="22"/>
  <c r="P43" i="22"/>
  <c r="C44" i="22"/>
  <c r="B47" i="21"/>
  <c r="AB31" i="21"/>
  <c r="AD31" i="21"/>
  <c r="Z31" i="21"/>
  <c r="S30" i="21"/>
  <c r="W31" i="21"/>
  <c r="X31" i="21"/>
  <c r="V31" i="21"/>
  <c r="B89" i="6"/>
  <c r="B42" i="6"/>
  <c r="C47" i="21"/>
  <c r="AI47" i="21"/>
  <c r="G46" i="21"/>
  <c r="H46" i="21"/>
  <c r="F46" i="21"/>
  <c r="D46" i="21"/>
  <c r="E46" i="21"/>
  <c r="T44" i="22"/>
  <c r="S44" i="22"/>
  <c r="H44" i="22"/>
  <c r="G44" i="22"/>
  <c r="F44" i="22"/>
  <c r="D44" i="22"/>
  <c r="E44" i="22"/>
  <c r="P44" i="22"/>
  <c r="Q44" i="22"/>
  <c r="M43" i="22"/>
  <c r="B48" i="21"/>
  <c r="Z32" i="21"/>
  <c r="AB32" i="21"/>
  <c r="AD32" i="21"/>
  <c r="X32" i="21"/>
  <c r="W32" i="21"/>
  <c r="V32" i="21"/>
  <c r="S31" i="21"/>
  <c r="B90" i="6"/>
  <c r="B45" i="6"/>
  <c r="AI48" i="21"/>
  <c r="C48" i="21"/>
  <c r="G47" i="21"/>
  <c r="E47" i="21"/>
  <c r="F47" i="21"/>
  <c r="D47" i="21"/>
  <c r="H47" i="21"/>
  <c r="C27" i="2"/>
  <c r="M44" i="22"/>
  <c r="B49" i="21"/>
  <c r="Z33" i="21"/>
  <c r="AB33" i="21"/>
  <c r="AD33" i="21"/>
  <c r="S32" i="21"/>
  <c r="W33" i="21"/>
  <c r="V33" i="21"/>
  <c r="X33" i="21"/>
  <c r="B91" i="6"/>
  <c r="B46" i="6"/>
  <c r="AI49" i="21"/>
  <c r="C49" i="21"/>
  <c r="G48" i="21"/>
  <c r="E48" i="21"/>
  <c r="D48" i="21"/>
  <c r="F48" i="21"/>
  <c r="H48" i="21"/>
  <c r="B50" i="21"/>
  <c r="AD34" i="21"/>
  <c r="Z34" i="21"/>
  <c r="AB34" i="21"/>
  <c r="X34" i="21"/>
  <c r="W34" i="21"/>
  <c r="V34" i="21"/>
  <c r="S33" i="21"/>
  <c r="B92" i="6"/>
  <c r="B47" i="6"/>
  <c r="B93" i="6"/>
  <c r="C50" i="21"/>
  <c r="AI50" i="21"/>
  <c r="G49" i="21"/>
  <c r="D49" i="21"/>
  <c r="E49" i="21"/>
  <c r="F49" i="21"/>
  <c r="H49" i="21"/>
  <c r="B51" i="21"/>
  <c r="AB35" i="21"/>
  <c r="AD35" i="21"/>
  <c r="Z35" i="21"/>
  <c r="S34" i="21"/>
  <c r="V35" i="21"/>
  <c r="X35" i="21"/>
  <c r="W35" i="21"/>
  <c r="AI51" i="21"/>
  <c r="C51" i="21"/>
  <c r="G50" i="21"/>
  <c r="E50" i="21"/>
  <c r="F50" i="21"/>
  <c r="D50" i="21"/>
  <c r="H50" i="21"/>
  <c r="B52" i="21"/>
  <c r="Z36" i="21"/>
  <c r="AB36" i="21"/>
  <c r="AD36" i="21"/>
  <c r="S35" i="21"/>
  <c r="X36" i="21"/>
  <c r="W36" i="21"/>
  <c r="V36" i="21"/>
  <c r="AI52" i="21"/>
  <c r="C52" i="21"/>
  <c r="G51" i="21"/>
  <c r="H51" i="21"/>
  <c r="D51" i="21"/>
  <c r="E51" i="21"/>
  <c r="F51" i="21"/>
  <c r="B53" i="21"/>
  <c r="Z37" i="21"/>
  <c r="AB37" i="21"/>
  <c r="AD37" i="21"/>
  <c r="V37" i="21"/>
  <c r="X37" i="21"/>
  <c r="W37" i="21"/>
  <c r="S36" i="21"/>
  <c r="AI53" i="21"/>
  <c r="C53" i="21"/>
  <c r="G52" i="21"/>
  <c r="F52" i="21"/>
  <c r="E52" i="21"/>
  <c r="H52" i="21"/>
  <c r="D52" i="21"/>
  <c r="B54" i="21"/>
  <c r="AD38" i="21"/>
  <c r="Z38" i="21"/>
  <c r="AB38" i="21"/>
  <c r="V38" i="21"/>
  <c r="W38" i="21"/>
  <c r="X38" i="21"/>
  <c r="S37" i="21"/>
  <c r="AI54" i="21"/>
  <c r="C54" i="21"/>
  <c r="G53" i="21"/>
  <c r="F53" i="21"/>
  <c r="E53" i="21"/>
  <c r="H53" i="21"/>
  <c r="D53" i="21"/>
  <c r="B55" i="21"/>
  <c r="AB39" i="21"/>
  <c r="AD39" i="21"/>
  <c r="Z39" i="21"/>
  <c r="W39" i="21"/>
  <c r="X39" i="21"/>
  <c r="V39" i="21"/>
  <c r="S38" i="21"/>
  <c r="G54" i="21"/>
  <c r="H54" i="21"/>
  <c r="F54" i="21"/>
  <c r="E54" i="21"/>
  <c r="D54" i="21"/>
  <c r="C55" i="21"/>
  <c r="AI55" i="21"/>
  <c r="B56" i="21"/>
  <c r="Z40" i="21"/>
  <c r="AB40" i="21"/>
  <c r="AD40" i="21"/>
  <c r="S39" i="21"/>
  <c r="W40" i="21"/>
  <c r="V40" i="21"/>
  <c r="X40" i="21"/>
  <c r="AI56" i="21"/>
  <c r="C56" i="21"/>
  <c r="G55" i="21"/>
  <c r="D55" i="21"/>
  <c r="H55" i="21"/>
  <c r="F55" i="21"/>
  <c r="E55" i="21"/>
  <c r="B57" i="21"/>
  <c r="Z41" i="21"/>
  <c r="AB41" i="21"/>
  <c r="AD41" i="21"/>
  <c r="X41" i="21"/>
  <c r="W41" i="21"/>
  <c r="V41" i="21"/>
  <c r="S40" i="21"/>
  <c r="AI57" i="21"/>
  <c r="C57" i="21"/>
  <c r="G56" i="21"/>
  <c r="E56" i="21"/>
  <c r="D56" i="21"/>
  <c r="F56" i="21"/>
  <c r="H56" i="21"/>
  <c r="B58" i="21"/>
  <c r="AD42" i="21"/>
  <c r="Z42" i="21"/>
  <c r="AB42" i="21"/>
  <c r="X42" i="21"/>
  <c r="W42" i="21"/>
  <c r="V42" i="21"/>
  <c r="S41" i="21"/>
  <c r="C58" i="21"/>
  <c r="AI58" i="21"/>
  <c r="G57" i="21"/>
  <c r="E57" i="21"/>
  <c r="F57" i="21"/>
  <c r="D57" i="21"/>
  <c r="H57" i="21"/>
  <c r="B59" i="21"/>
  <c r="AB43" i="21"/>
  <c r="AD43" i="21"/>
  <c r="Z43" i="21"/>
  <c r="S42" i="21"/>
  <c r="X43" i="21"/>
  <c r="V43" i="21"/>
  <c r="W43" i="21"/>
  <c r="C59" i="21"/>
  <c r="AI59" i="21"/>
  <c r="G58" i="21"/>
  <c r="F58" i="21"/>
  <c r="H58" i="21"/>
  <c r="D58" i="21"/>
  <c r="E58" i="21"/>
  <c r="Z44" i="21"/>
  <c r="AB44" i="21"/>
  <c r="AD44" i="21"/>
  <c r="X44" i="21"/>
  <c r="V44" i="21"/>
  <c r="W44" i="21"/>
  <c r="S43" i="21"/>
  <c r="G59" i="21"/>
  <c r="D59" i="21"/>
  <c r="H59" i="21"/>
  <c r="F59" i="21"/>
  <c r="E59" i="21"/>
  <c r="L15" i="22"/>
  <c r="L7" i="22"/>
  <c r="Z45" i="21"/>
  <c r="AB45" i="21"/>
  <c r="AD45" i="21"/>
  <c r="V45" i="21"/>
  <c r="W45" i="21"/>
  <c r="X45" i="21"/>
  <c r="S44" i="21"/>
  <c r="L42" i="22"/>
  <c r="L44" i="22"/>
  <c r="L43" i="22"/>
  <c r="L35" i="22"/>
  <c r="L11" i="22"/>
  <c r="L24" i="22"/>
  <c r="L40" i="22"/>
  <c r="L12" i="22"/>
  <c r="L33" i="22"/>
  <c r="L26" i="22"/>
  <c r="L28" i="22"/>
  <c r="L38" i="22"/>
  <c r="L29" i="22"/>
  <c r="L9" i="22"/>
  <c r="L39" i="22"/>
  <c r="L37" i="22"/>
  <c r="L36" i="22"/>
  <c r="L30" i="22"/>
  <c r="L25" i="22"/>
  <c r="L22" i="22"/>
  <c r="L20" i="22"/>
  <c r="L14" i="22"/>
  <c r="L10" i="22"/>
  <c r="L21" i="22"/>
  <c r="L13" i="22"/>
  <c r="L16" i="22"/>
  <c r="L41" i="22"/>
  <c r="L34" i="22"/>
  <c r="L31" i="22"/>
  <c r="L32" i="22"/>
  <c r="L27" i="22"/>
  <c r="L23" i="22"/>
  <c r="L5" i="22"/>
  <c r="D27" i="2"/>
  <c r="L19" i="22"/>
  <c r="L17" i="22"/>
  <c r="L18" i="22"/>
  <c r="L8" i="22"/>
  <c r="L6" i="22"/>
  <c r="AD46" i="21"/>
  <c r="Z46" i="21"/>
  <c r="AB46" i="21"/>
  <c r="V46" i="21"/>
  <c r="W46" i="21"/>
  <c r="X46" i="21"/>
  <c r="S45" i="21"/>
  <c r="AB47" i="21"/>
  <c r="AD47" i="21"/>
  <c r="Z47" i="21"/>
  <c r="V47" i="21"/>
  <c r="W47" i="21"/>
  <c r="X47" i="21"/>
  <c r="S46" i="21"/>
  <c r="Z48" i="21"/>
  <c r="AB48" i="21"/>
  <c r="AD48" i="21"/>
  <c r="S47" i="21"/>
  <c r="W48" i="21"/>
  <c r="V48" i="21"/>
  <c r="X48" i="21"/>
  <c r="Z49" i="21"/>
  <c r="AB49" i="21"/>
  <c r="AD49" i="21"/>
  <c r="S48" i="21"/>
  <c r="X49" i="21"/>
  <c r="V49" i="21"/>
  <c r="W49" i="21"/>
  <c r="AD50" i="21"/>
  <c r="Z50" i="21"/>
  <c r="AB50" i="21"/>
  <c r="S49" i="21"/>
  <c r="W50" i="21"/>
  <c r="X50" i="21"/>
  <c r="V50" i="21"/>
  <c r="AB51" i="21"/>
  <c r="AD51" i="21"/>
  <c r="Z51" i="21"/>
  <c r="X51" i="21"/>
  <c r="V51" i="21"/>
  <c r="W51" i="21"/>
  <c r="S50" i="21"/>
  <c r="Z52" i="21"/>
  <c r="AB52" i="21"/>
  <c r="AD52" i="21"/>
  <c r="W52" i="21"/>
  <c r="X52" i="21"/>
  <c r="V52" i="21"/>
  <c r="S51" i="21"/>
  <c r="Z53" i="21"/>
  <c r="AB53" i="21"/>
  <c r="AD53" i="21"/>
  <c r="V53" i="21"/>
  <c r="X53" i="21"/>
  <c r="W53" i="21"/>
  <c r="S52" i="21"/>
  <c r="AD54" i="21"/>
  <c r="Z54" i="21"/>
  <c r="AB54" i="21"/>
  <c r="W54" i="21"/>
  <c r="V54" i="21"/>
  <c r="X54" i="21"/>
  <c r="S53" i="21"/>
  <c r="AB55" i="21"/>
  <c r="AD55" i="21"/>
  <c r="Z55" i="21"/>
  <c r="S54" i="21"/>
  <c r="X55" i="21"/>
  <c r="V55" i="21"/>
  <c r="W55" i="21"/>
  <c r="Z56" i="21"/>
  <c r="AB56" i="21"/>
  <c r="AD56" i="21"/>
  <c r="S55" i="21"/>
  <c r="X56" i="21"/>
  <c r="V56" i="21"/>
  <c r="W56" i="21"/>
  <c r="Z57" i="21"/>
  <c r="AB57" i="21"/>
  <c r="AD57" i="21"/>
  <c r="S56" i="21"/>
  <c r="W57" i="21"/>
  <c r="V57" i="21"/>
  <c r="X57" i="21"/>
  <c r="AD58" i="21"/>
  <c r="Z58" i="21"/>
  <c r="AB58" i="21"/>
  <c r="S57" i="21"/>
  <c r="X58" i="21"/>
  <c r="V58" i="21"/>
  <c r="W58" i="21"/>
  <c r="AB59" i="21"/>
  <c r="AD59" i="21"/>
  <c r="Z59" i="21"/>
  <c r="S58" i="21"/>
  <c r="V59" i="21"/>
  <c r="W59" i="21"/>
  <c r="X59" i="21"/>
  <c r="C26" i="2"/>
  <c r="S59" i="21"/>
  <c r="Y25" i="14"/>
  <c r="N25" i="14"/>
  <c r="D18" i="2"/>
</calcChain>
</file>

<file path=xl/sharedStrings.xml><?xml version="1.0" encoding="utf-8"?>
<sst xmlns="http://schemas.openxmlformats.org/spreadsheetml/2006/main" count="20788" uniqueCount="4802">
  <si>
    <t>Change history</t>
  </si>
  <si>
    <t>On 23 February 2017 we published IN 17/03 ‘Expectations for monopoly company annual performance reporting 2016-17’.</t>
  </si>
  <si>
    <t xml:space="preserve">We have updated the file to correct for some cell referencing errors and presentational changes.  These changes are detailed below.  </t>
  </si>
  <si>
    <t>Version</t>
  </si>
  <si>
    <t>Description of change</t>
  </si>
  <si>
    <t>Updated by</t>
  </si>
  <si>
    <t>QC'd by</t>
  </si>
  <si>
    <t>Table 4H, line 7 'Retail profit margin - Household' - formulae amended 
Table 4H, line 8 'Retail profit margin - Non-household' - formulae amended 
We have corrected the formulae so that the margin should be an EBIT margin rather than an EBITDA margin which deducted costs before depreciation and amortisation (from table 2C). It should actually be after depreciation and amortisation.</t>
  </si>
  <si>
    <t>JN</t>
  </si>
  <si>
    <t>SL (EM notified)</t>
  </si>
  <si>
    <t>Table 1E cell I13 references the wastewater RCV in table 4C in error. Formulae corrected to reference the water column for WOCs and the sum of wastewater and water for WASCs.</t>
  </si>
  <si>
    <t>SL</t>
  </si>
  <si>
    <t>Table 4H cell F8 references the wastewater RCV in table 4C in error. Formulae corrected to reference the water column for WOCs and the sum of wastewater and water for WASCs.</t>
  </si>
  <si>
    <t>Table 4H line 20 (cell F28) - corrected the formulae calculation and removed the references to table 1D.</t>
  </si>
  <si>
    <t xml:space="preserve">Table 2A - data validation check updated. Cell AG9 updated from ='2D'!L16 to = ROUND('2D'!L16, 3)
</t>
  </si>
  <si>
    <t xml:space="preserve">Table 2C - data validation check updated. Cell M10 deleted. </t>
  </si>
  <si>
    <t>Table 4H - data validation check updated.  Cell L15 updated from ISNUMBER to ISTEXT.</t>
  </si>
  <si>
    <t xml:space="preserve">Percentage (%) values are over-inflated by x100.
1. Introduction - 'Tables' section updated with 'We have set input cells that require a '%' entry as a 'percentage' rather than as a 'number'. The underlying data saved will be between a figure of 0 and 1 but will be displayed as a percentage.  For example, an input of '10', will display as 10%, but will hold an underlying value of 0.1.'
2. Table 1E line 7: calc amended to remove 'x100' from calculation because the cell format is set as a 'percentage'.
3. Table 1E lines 11 and 12: cell format changed from 'number' to 'percentage'.
4. Table 4H lines 7 and 8, and lines 21 to 23: calc amended to remove 'x100' from calculation because the cell format is set as a 'percentage'.
5. Table 4H (data validation): cells Q33 and Q38 amended from '100' to '1'
</t>
  </si>
  <si>
    <t>Several changes made to table '3A' (outcome performance):
1. Column "Unit description" added
2. Column "2015-16 performance level - actual" added
3. Conditional formatting for decimal places added to columns H and I
4. Validation lists for columns J, K, M and N amended to replace blank with a dash/hyphen.
Several changes were made to table '3B' (sub-measure performance):
1. Column for the "2015-16 performance level - actual" was added
2. Conditional formatting for decimal places added to columns H and I
3. Validation lists for column J amended to replace blank with a dash/hyphen.</t>
  </si>
  <si>
    <t>BC</t>
  </si>
  <si>
    <t xml:space="preserve">AR
</t>
  </si>
  <si>
    <t>Amendments to the column definitions in tables 3A (outcome performance) and 3B (sub-measure performance) to incorporate the above changes.</t>
  </si>
  <si>
    <t>AR</t>
  </si>
  <si>
    <t>Table 2D, line 5 'Cost at 31 March 2017' - formulae corrected to sum lines 1 to 4.</t>
  </si>
  <si>
    <t>HJ</t>
  </si>
  <si>
    <t xml:space="preserve">Table 2D, line 6 - line description corrected to “At 1 April 2016”. </t>
  </si>
  <si>
    <r>
      <t>Table 2A line 4 
1. Updated from an input cell to a copy cell from table 2D</t>
    </r>
    <r>
      <rPr>
        <sz val="9"/>
        <rFont val="Arial"/>
        <family val="2"/>
      </rPr>
      <t xml:space="preserve">
2. Data validations updated</t>
    </r>
  </si>
  <si>
    <t>Table 2B 
1. Updated input cells to calculated cells from table 2D 
2. Data validations updated</t>
  </si>
  <si>
    <t>Table 2C household column
1. Updated input cells to copycells from table 4F 
2. Data validations updated</t>
  </si>
  <si>
    <t>APR table 3A guidance added to tab '3A' - companies should submit their PC and ODI monetary values in APR table 3A in 2012-13 prices.</t>
  </si>
  <si>
    <t>APR table 4H guidance added to tab '4H' - further clarification in respect of the RORE figure that needs to be included in table 4H of the APR.</t>
  </si>
  <si>
    <t>Validation sheet - cell G3 updated to include Balzalgette in the referenced range to correct the #N/A ref errors in tables 1E and 4H.</t>
  </si>
  <si>
    <t>Table 3D - line 5 changed from a calculation to an input, and definition updated.  Data validation updated.</t>
  </si>
  <si>
    <t>NW</t>
  </si>
  <si>
    <t>2017 Annual performance report tables</t>
  </si>
  <si>
    <t>Introduction</t>
  </si>
  <si>
    <t>Companies have to publish an annual performance report for which we have set out the minimum requirement in the Regulatory Accounting Guidelines. The purpose of this spreadsheet is to help Ofwat process the actual data for 2016-17 data from all companies. Companies should complete these tables and return them to us at the same time as they publish their annual performance report on their own websites, and no later than 15 July 2017.</t>
  </si>
  <si>
    <t>Further detail is included in IN 17/03 ‘Expectations for monopoly company annual performance reporting 2016-17’.</t>
  </si>
  <si>
    <t>Tables</t>
  </si>
  <si>
    <t>Companies should have particular regard to the regulatory accounting guidelines set out for each table when preparing their submission.</t>
  </si>
  <si>
    <t>We expect companies to complete the tables with actual data for 2016-17.</t>
  </si>
  <si>
    <t>The content of three tables (tables 2G, 2H, 3A and 3B) is tailored to each company. These tables will display the content for the company that is selected on the validation sheet.</t>
  </si>
  <si>
    <t>The calculations are locked in the table template to prevent editing.</t>
  </si>
  <si>
    <t>We have set input cells that require a '%' entry as a 'percentage' rather than as a 'number' format. The underlying data saved will be between a figure of 0 and 1 but will be displayed as a percentage.  For example, an input of '10', will display as 10%, but will hold an underlying value of 0.1.</t>
  </si>
  <si>
    <t>Queries and submissions</t>
  </si>
  <si>
    <t>Select the company name from the drop down list on the validation sheet.</t>
  </si>
  <si>
    <t>The validation sheet within the file will highlight where there are outstanding issues with the data you are submitting.  Please review this prior to submission and address any outstanding issues prior to submission.</t>
  </si>
  <si>
    <t>Companies should return their completed tables at the same time as they publish their annual performance report on their own websites, and no later than 15 July 2017.</t>
  </si>
  <si>
    <t>Submissions and all queries should be sent to:</t>
  </si>
  <si>
    <t>FinanceAndGovernance@ofwat.gsi.gov.uk</t>
  </si>
  <si>
    <t>Links to additional information / guidance</t>
  </si>
  <si>
    <t>IN 16/09: Regulatory accounting guidelines 2016-17</t>
  </si>
  <si>
    <t>RAG 3.09</t>
  </si>
  <si>
    <t>RAG 4.06</t>
  </si>
  <si>
    <t>Data validation checks</t>
  </si>
  <si>
    <t>For the 12 months ended 31 March 2017</t>
  </si>
  <si>
    <t>Yorkshire Water</t>
  </si>
  <si>
    <t>Select company from drop down list</t>
  </si>
  <si>
    <t>The data tables should only be submitted once all data checks pass the table below identifies where there are outstanding issues, these are shown as red cells below.</t>
  </si>
  <si>
    <t>Section 1 Regulatory financial reporting</t>
  </si>
  <si>
    <t>All expected cells completed?</t>
  </si>
  <si>
    <t>Other validations</t>
  </si>
  <si>
    <t>Line definitions</t>
  </si>
  <si>
    <t>Section 2 Price review and other segmental reporting</t>
  </si>
  <si>
    <t>Section 3 Performance summary</t>
  </si>
  <si>
    <t>3A - Line definitions</t>
  </si>
  <si>
    <t>3B - Line definitions</t>
  </si>
  <si>
    <t>3C - Line definitions</t>
  </si>
  <si>
    <t>3D - Line definitions</t>
  </si>
  <si>
    <t>Section 4 Additional regulatory information</t>
  </si>
  <si>
    <t>Completed</t>
  </si>
  <si>
    <t>1A - Income statement</t>
  </si>
  <si>
    <t>Data validation</t>
  </si>
  <si>
    <t>Line description</t>
  </si>
  <si>
    <t>Units</t>
  </si>
  <si>
    <t>DPs</t>
  </si>
  <si>
    <t>Statutory</t>
  </si>
  <si>
    <t>Adjustments</t>
  </si>
  <si>
    <t>Total appointed activities</t>
  </si>
  <si>
    <t>Completion</t>
  </si>
  <si>
    <t>Differences between statutory and RAG definitions</t>
  </si>
  <si>
    <t>Non-appointed</t>
  </si>
  <si>
    <t>Total adjustments</t>
  </si>
  <si>
    <t>Completion checks</t>
  </si>
  <si>
    <t>Please complete all cells in row</t>
  </si>
  <si>
    <t>Revenue</t>
  </si>
  <si>
    <t>£m</t>
  </si>
  <si>
    <t>Operating costs</t>
  </si>
  <si>
    <t>Other operating income</t>
  </si>
  <si>
    <t>Operating profit</t>
  </si>
  <si>
    <t>Other income</t>
  </si>
  <si>
    <t>Interest income</t>
  </si>
  <si>
    <t>Interest expense</t>
  </si>
  <si>
    <t xml:space="preserve">Other interest expense </t>
  </si>
  <si>
    <t>Profit before tax and fair value movements</t>
  </si>
  <si>
    <t>Fair value gains/(losses) on financial instruments</t>
  </si>
  <si>
    <t>Profit before tax</t>
  </si>
  <si>
    <t>UK Corporation tax</t>
  </si>
  <si>
    <t>Deferred tax</t>
  </si>
  <si>
    <t>Profit for the year</t>
  </si>
  <si>
    <t>Dividends</t>
  </si>
  <si>
    <t xml:space="preserve">Key to cells: </t>
  </si>
  <si>
    <t>Input cell</t>
  </si>
  <si>
    <t>Calculation cell</t>
  </si>
  <si>
    <t>Copied cell</t>
  </si>
  <si>
    <t>Line</t>
  </si>
  <si>
    <t>Definitions</t>
  </si>
  <si>
    <t>line spacing for definitions</t>
  </si>
  <si>
    <t>Appointed – Total business revenue that is within the scope of the price control, together with revenue that is outside of the price control but still forms part of regulated activities.
Non-appointed – Total business revenue from non-appointed activities as defined by the licence. See appendix 1 for further examples.</t>
  </si>
  <si>
    <t>1
2
3</t>
  </si>
  <si>
    <t>Historical cost operating costs.</t>
  </si>
  <si>
    <t>Historical cost operating income includes profits or loss on disposal of fixed assets; income arising from exceptional items should also be included. Normally a positive number, but a loss should be negative.</t>
  </si>
  <si>
    <t>1
2</t>
  </si>
  <si>
    <t>Historical cost operating profit. Equal to the sum of table 1A lines 1 to 3.</t>
  </si>
  <si>
    <t>Includes rental income and income from investments (eg, share income); excludes net interest and profit on disposals on fixed assets.
Companies may recognise grants and contributions in the income statement as revenue under UKGAAP (either as a single transaction or through amortisation). We require that any such income be shown as ‘other income’ rather than revenue. Table 1A should be used to adjust such amounts so that they are recorded in this line.</t>
  </si>
  <si>
    <t>Interest income includes interest received on cash deposits, loans to group companies, etc.</t>
  </si>
  <si>
    <t>Interest expense includes interest paid on loans, leases, debenture, floating rate debt, overdrafts, preference shares and all other borrowings.</t>
  </si>
  <si>
    <t xml:space="preserve">Total net interest expenses which are not directly related to deposits and borrowings as defined in lines 6 &amp; 7 of table 1A.
This will include (but is not limited to):
• Net interest cost of defined benefit pension schemes,
• Dividend income
</t>
  </si>
  <si>
    <t>1
2
3
4</t>
  </si>
  <si>
    <t>Equal to the sum of lines table 1A lines 4 to 8.</t>
  </si>
  <si>
    <t>Any fair value gains/(losses) arising on financial instruments which must be accounted for at fair value on the balance sheet with changes recognised in the income statement.</t>
  </si>
  <si>
    <t>Historical cost profit on ordinary activities before taxation. Equal to the sum of table 1A lines 9 to 10.</t>
  </si>
  <si>
    <t>The current tax charge on profits from ordinary activities. This will include mainstream corporation tax, income and other taxes. It should exclude any deferred tax charge which is to be reported separately. A positive number for tax credit, negative number for tax charge.</t>
  </si>
  <si>
    <t>The movement in the deferred tax provision. A positive number for tax credit, negative number for tax charge.</t>
  </si>
  <si>
    <t xml:space="preserve">Historical cost profit for the year. To be shown after taxation, but before deduction of dividends. Equal to the sum of table 1A lines 11 to 13. </t>
  </si>
  <si>
    <t>1B - Statement of comprehensive income</t>
  </si>
  <si>
    <t>Actuarial gains/(losses) on post employment plans</t>
  </si>
  <si>
    <t>Other comprehensive income</t>
  </si>
  <si>
    <t>Total Comprehensive income for the year</t>
  </si>
  <si>
    <t xml:space="preserve">Historical cost profit for the year. Equal to table 1A line 14. </t>
  </si>
  <si>
    <t xml:space="preserve">Actuarial gains/(losses) on post-employment plans.  </t>
  </si>
  <si>
    <t xml:space="preserve">Other gains and losses.  </t>
  </si>
  <si>
    <t>Total comprehensive income for the year. Equal to the sum of table 1B lines 1 to 3.</t>
  </si>
  <si>
    <t>1C - Statement of financial position</t>
  </si>
  <si>
    <t>A</t>
  </si>
  <si>
    <t>Non-current assets</t>
  </si>
  <si>
    <t>Fixed assets</t>
  </si>
  <si>
    <t>Intangible assets</t>
  </si>
  <si>
    <t>Investments - loans to group companies</t>
  </si>
  <si>
    <t>Investments - other</t>
  </si>
  <si>
    <t>Financial instruments</t>
  </si>
  <si>
    <t>Retirement benefit assets</t>
  </si>
  <si>
    <t>Total non-current assets</t>
  </si>
  <si>
    <t>B</t>
  </si>
  <si>
    <t>Current assets</t>
  </si>
  <si>
    <t>Inventories</t>
  </si>
  <si>
    <t>Trade &amp; other receivables</t>
  </si>
  <si>
    <t>Cash &amp; cash equivalents</t>
  </si>
  <si>
    <t>Total current assets</t>
  </si>
  <si>
    <t>C</t>
  </si>
  <si>
    <t>Current liabilities</t>
  </si>
  <si>
    <t>Trade &amp; other payables</t>
  </si>
  <si>
    <t>Capex creditor</t>
  </si>
  <si>
    <t>Borrowings</t>
  </si>
  <si>
    <t>Current tax liabilities</t>
  </si>
  <si>
    <t>Provisions</t>
  </si>
  <si>
    <t>Total current liabilities</t>
  </si>
  <si>
    <t>Net current assets / (liabilities)</t>
  </si>
  <si>
    <t>D</t>
  </si>
  <si>
    <t>Non-Current liabilities</t>
  </si>
  <si>
    <t>Retirement benefit obligations</t>
  </si>
  <si>
    <t>Deferred income - G&amp;C's</t>
  </si>
  <si>
    <t>Preference share capital</t>
  </si>
  <si>
    <t>Total non-current liabilities</t>
  </si>
  <si>
    <t>Net assets</t>
  </si>
  <si>
    <t>E</t>
  </si>
  <si>
    <t>Equity</t>
  </si>
  <si>
    <t>Called up share capital</t>
  </si>
  <si>
    <t>Retained earnings &amp; other reserves</t>
  </si>
  <si>
    <t>Total Equity</t>
  </si>
  <si>
    <t xml:space="preserve">Historical cost net book value of tangible fixed assets at the end of the financial year. </t>
  </si>
  <si>
    <t>Total value of any intangible assets (not physical in nature) at the end of the financial year.</t>
  </si>
  <si>
    <t>Loans made to other group companies repayable in more than one year.</t>
  </si>
  <si>
    <t>All investments, excluding those in table 1C line 3, eg, shares in other group companies.</t>
  </si>
  <si>
    <t>Difference between book value and fair value of any non-current assets relating to financial instruments, including options, futures, forwards and swaps, which are presented at fair value in the statutory accounts.</t>
  </si>
  <si>
    <t xml:space="preserve">The total amount due to employees in the pension scheme for all of the past service completed up to the balance sheet date, less scheme assets.
Where this calculation results in a net asset it should be shown in this line.
</t>
  </si>
  <si>
    <t>Historical cost total fixed assets. Equal to the sum of table 1C lines 1 to 6.</t>
  </si>
  <si>
    <t>Stocks held at the year end. Stocks consist of consumable stores and work in progress, including chemicals, stationery, petrol, backfill materials, etc.</t>
  </si>
  <si>
    <t>Debtors consist of all amounts owing to the company at the financial year end including trade debtors, prepayments and accrued income. This includes amounts falling due after more than one year. Any assets held for sale should also be included here.</t>
  </si>
  <si>
    <t>Difference between book value and fair value of any current assets relating to financial instruments, including options, futures, forwards and swaps, which are presented at fair value in the statutory accounts.</t>
  </si>
  <si>
    <t>Cash consists of cash in hand and at bank. Overdraft balances should not be netted off as it should be included separately in ‘Trade &amp; other payables’.</t>
  </si>
  <si>
    <t>Equal to the sum of table 1C lines 8 to 11.</t>
  </si>
  <si>
    <t>Trade creditors, accrued interest and any other accruals or creditors due within one year that are not borrowings, tax creditors, capex creditor or  liabilities arising from derivative financial instruments.</t>
  </si>
  <si>
    <t>Capital expenditure creditors due within one year.</t>
  </si>
  <si>
    <t xml:space="preserve">Balances due within one year which comprise:
• obligations under finance leases;
• loans due to other group companies;
• redeemable debentures;
• bonds;
• commercial paper;
• bills of exchange;
• bank loans; and
• any other borrowings.
Accrued interest on borrowings should not be included.
</t>
  </si>
  <si>
    <t>1
2
3
4
5
6
7
8
9
10</t>
  </si>
  <si>
    <t>Difference between book value and fair value of any current liabilities relating to financial instruments, including options, futures, forwards and swaps, which are presented at fair value in the statutory accounts.</t>
  </si>
  <si>
    <t>Corporation tax payable consists of any balances of corporation tax due to HMRC.</t>
  </si>
  <si>
    <t>Total provisions for liabilities and charges due within one year. Includes deferred income – grants and contributions and all other provisions including restructuring or reorganisation provisions.</t>
  </si>
  <si>
    <t>All creditors due to be paid within one year.  Equal to the sum of table 1C lines 13 to 18.</t>
  </si>
  <si>
    <t>Historical cost net current assets. Equal to the sum of table 1C lines 12 and 19.</t>
  </si>
  <si>
    <t>Trade creditors, accrued interest and any other accruals or creditors due after more than one year that are not borrowings, tax creditors, capex creditor or liabilities arising from derivative financial instruments.</t>
  </si>
  <si>
    <t xml:space="preserve">Balances due after more than one year which comprise:
• obligations under finance leases;
• loans due to other group companies;
• redeemable debentures;
• bonds;
• commercial paper;
• bills of exchange;
• bank loans; and
• any other borrowings.
Accrued interest on borrowings should not be included.
</t>
  </si>
  <si>
    <t>Difference between book value and fair value of any non-current liabilities relating to financial instruments, including options, futures, forwards and swaps, which are presented at fair value in the statutory accounts.</t>
  </si>
  <si>
    <t xml:space="preserve">The total amount due to employees in the pension scheme for all of the past service completed up to the balance sheet date, less scheme assets.
Where this calculation results in a net liability it should be shown in this line.
</t>
  </si>
  <si>
    <t>Total provisions for liabilities and charges due after one year not included elsewhere in the table. Includes restructuring or reorganisation provisions.</t>
  </si>
  <si>
    <t xml:space="preserve">Balance of deferred income relating to capitalised grants and contributions received. </t>
  </si>
  <si>
    <t>Nominal value of the preference share capital.</t>
  </si>
  <si>
    <t>Provision for tax liabilities arising from timing differences between the recognition of gains and losses in the financial statements and their recognition in a tax computation. (A deferred tax asset should be entered as a positive number.)</t>
  </si>
  <si>
    <t>Total creditors due after one year. Equal to the sum of table 1C lines 21 and 28.</t>
  </si>
  <si>
    <t>Total assets employed by the business under the historical cost accounting convention. Equal to the sum of table 1C lines 7, 20 and 29.</t>
  </si>
  <si>
    <t>Nominal value of the ordinary shares of the company which are issued and fully paid.</t>
  </si>
  <si>
    <t>Cumulative balance of historical cost profits retained and any other reserves, other than called up share capital.</t>
  </si>
  <si>
    <t>Total of shareholders' funds. The sum of called up share capital, share premium, profit and loss account, and other reserves. This equals table 1C line 30.</t>
  </si>
  <si>
    <t>1D - Statement of cash flows</t>
  </si>
  <si>
    <t>Statement of cashflows</t>
  </si>
  <si>
    <t>Depreciation</t>
  </si>
  <si>
    <t>Amortisation - G&amp;C's</t>
  </si>
  <si>
    <t>Changes in working capital</t>
  </si>
  <si>
    <t>Pension contributions</t>
  </si>
  <si>
    <t>Movement in provisions</t>
  </si>
  <si>
    <t>Profit on sale of fixed assets</t>
  </si>
  <si>
    <t>Cash generated from operations</t>
  </si>
  <si>
    <t>Net interest paid</t>
  </si>
  <si>
    <t>Tax paid</t>
  </si>
  <si>
    <t>Net cash generated from operating activities</t>
  </si>
  <si>
    <t>Investing activities</t>
  </si>
  <si>
    <t>Capital expenditure</t>
  </si>
  <si>
    <t>Grants &amp; Contributions</t>
  </si>
  <si>
    <t>Disposal of fixed assets</t>
  </si>
  <si>
    <t>Other</t>
  </si>
  <si>
    <t>Net cash used in investing activities</t>
  </si>
  <si>
    <t>Net cash generated before financing activities</t>
  </si>
  <si>
    <t>Cashflows from financing activities</t>
  </si>
  <si>
    <t>Equity dividends paid</t>
  </si>
  <si>
    <t>Net loans received</t>
  </si>
  <si>
    <t>Cash inflow from equity financing</t>
  </si>
  <si>
    <t>Net cash generated from financing activities</t>
  </si>
  <si>
    <t>Increase (decrease) in net cash</t>
  </si>
  <si>
    <t>Operating profit before tax and interest. This is equal to table 1A line 4.</t>
  </si>
  <si>
    <t>Includes rental income and income from investments (eg, share income); excludes net interest and profit on disposals on fixed assets.</t>
  </si>
  <si>
    <t>The negative value of depreciation and amortisation of tangible and intangible assets.</t>
  </si>
  <si>
    <t>The negative value of amortisation relating to grants and contributions.</t>
  </si>
  <si>
    <t>The total movement in working capital.</t>
  </si>
  <si>
    <t>Total pension contributions paid in the year.</t>
  </si>
  <si>
    <t>The negative value of any other non-cash profit and loss items which affect operating profit. This will include, but is not restricted to:
• movements in provisions; and
• the difference between pension contributions and the charge (to operating profit).</t>
  </si>
  <si>
    <t xml:space="preserve">The negative value of net current cost profit/loss on disposal of fixed assets. </t>
  </si>
  <si>
    <t>Net cash flow movement from the operating activities of the company. The sum of table 1D lines 1 to 8.</t>
  </si>
  <si>
    <t>Net of interest received, interest paid, interest on finance lease rentals and non-equity dividends paid.</t>
  </si>
  <si>
    <t>All cash flows to or from taxation authorities (or other group companies) in respect of the company's revenue and capital profits including corporation tax paid/received and group taxation payments/receipts by the company in the year.</t>
  </si>
  <si>
    <t>The sum of table 1D lines 9 to 11.</t>
  </si>
  <si>
    <t>Gross purchase price of fixed assets paid before the deduction of any grants and contributions.</t>
  </si>
  <si>
    <t>The total amount of grants and other contributions received for fixed asset purchases in the year.</t>
  </si>
  <si>
    <t>Cash proceeds received in the year on the sale of fixed assets</t>
  </si>
  <si>
    <t>Other movements not already included in table 1D lines 13 to 15.</t>
  </si>
  <si>
    <t>The net cash flow of the company relating to the acquisition or disposal of any asset held as a fixed asset. 
The sum of table 1D lines 13 to 16.</t>
  </si>
  <si>
    <t>The sum of table 1D lines 12 and 17.</t>
  </si>
  <si>
    <t>The total equity dividend paid by the company in the year. This includes any special dividends paid in the year.</t>
  </si>
  <si>
    <t>The receipts from any loans taken out in the year. These include the proceeds of any loans taken out from other group companies.</t>
  </si>
  <si>
    <t>The net proceeds of any share issues received in the year, less the cost of any share buy backs.</t>
  </si>
  <si>
    <t>The net effect on cash flow after repaying the capital element of finance leases, raising/repaying loans and share issues. The sum of table 1D lines 19 to 21.</t>
  </si>
  <si>
    <t>The net cash flow of the company in the year measured by the change in the level of cash. The sum of table 1D lines 18 and 22.</t>
  </si>
  <si>
    <t>1E - Net debt analysis at 31 March 2017</t>
  </si>
  <si>
    <t>Interest rate risk profile</t>
  </si>
  <si>
    <t>Fixed rate</t>
  </si>
  <si>
    <t>Floating rate</t>
  </si>
  <si>
    <t>Index linked</t>
  </si>
  <si>
    <t>Total</t>
  </si>
  <si>
    <t>Borrowings (excluding preference shares)</t>
  </si>
  <si>
    <t>Total borrowings</t>
  </si>
  <si>
    <t>Cash</t>
  </si>
  <si>
    <t>Short term deposits</t>
  </si>
  <si>
    <t>Net Debt</t>
  </si>
  <si>
    <t>Gearing</t>
  </si>
  <si>
    <t>%</t>
  </si>
  <si>
    <t>Adjusted gearing</t>
  </si>
  <si>
    <t>Full year equivalent nominal interest cost</t>
  </si>
  <si>
    <t>Full year equivalent cash interest payment</t>
  </si>
  <si>
    <t>Indicative interest rates</t>
  </si>
  <si>
    <t>Indicative weighted average nominal interest rate</t>
  </si>
  <si>
    <t>Indicative weighted average cash interest rate</t>
  </si>
  <si>
    <t>Weighted average years to maturity</t>
  </si>
  <si>
    <t>nr</t>
  </si>
  <si>
    <t>Borrowings such as:
  • obligations under finance leases;
  • loans due to other group companies;
  • redeemable debentures;
  • bonds;
  • commercial paper;
  • bills of exchange;
  • bank loans; and
  • any other borrowings.  
The following should not be included:
  • accrued interest on borrowings;
  • mains deposits; 
  • fair value accounting adjustments which do not impact on the principal sum outstanding on the debt or the total interest paid. 
    For example when financial instruments, such as interest rate swap agreements are presented at fair value.
This should equal total ‘Borrowings' as reported in column ‘Total appointed activities’ of table 1C (i.e. the sum of lines 1C.15 and 1C.22). Where there is a difference between the figures in Table 1C and table 1E a reconciliation of the differences should be provided.</t>
  </si>
  <si>
    <t>1
2
3
4
5
6
7
8
9
10
11
12
13</t>
  </si>
  <si>
    <t>Nominal value of the preference share capital. This should equal ‘Preference share capital' as reported in column ‘Total appointed activities’ of table 1C (i.e. line 1C.27).</t>
  </si>
  <si>
    <t>The sum of table 1E lines 1 and 2.</t>
  </si>
  <si>
    <t xml:space="preserve">Cash in hand and at bank at the year-end. </t>
  </si>
  <si>
    <t>Investments which are readily convertible into known amounts of cash. This may include deposits made with group companies.</t>
  </si>
  <si>
    <t>The sum of table 1E lines 3 to 5.</t>
  </si>
  <si>
    <t>Regulatory gearing calculated as net debt in table 1E line 6 divided by RCV in table 4C line 1.</t>
  </si>
  <si>
    <t>Some companies may use a different measure of net debt to calculate gearing for the purposes of financial covenants which are of use to the financial community. If a different measure of debt is commonly used by a company, then the restated gearing level should be inserted in this line together with an accompanying commentary.</t>
  </si>
  <si>
    <r>
      <t xml:space="preserve">Full year equivalent nominal interest cost as at 31 March. Calculated as the ‘Nominal interest rate’ multiplied by the ‘Principal sum as at 31 March’.
Nominal interest rate is defined as the coupon associated with nominal debt or equivalent implied by the coupon of index linked debt. 
Rates entered for borrowings in hedging relationships should be stated at the post hedge interest rate. 
Processing rule:
</t>
    </r>
    <r>
      <rPr>
        <b/>
        <sz val="9"/>
        <rFont val="Arial"/>
        <family val="2"/>
      </rPr>
      <t>Fixed rate instruments</t>
    </r>
    <r>
      <rPr>
        <sz val="9"/>
        <rFont val="Arial"/>
        <family val="2"/>
      </rPr>
      <t xml:space="preserve">
The coupon rate as an input.
</t>
    </r>
    <r>
      <rPr>
        <b/>
        <sz val="9"/>
        <rFont val="Arial"/>
        <family val="2"/>
      </rPr>
      <t>Floating rate instruments</t>
    </r>
    <r>
      <rPr>
        <sz val="9"/>
        <rFont val="Arial"/>
        <family val="2"/>
      </rPr>
      <t xml:space="preserve">
The nominal coupon rate at the last pricing of the instrument.
</t>
    </r>
    <r>
      <rPr>
        <b/>
        <sz val="9"/>
        <rFont val="Arial"/>
        <family val="2"/>
      </rPr>
      <t>Index-linked instruments</t>
    </r>
    <r>
      <rPr>
        <sz val="9"/>
        <rFont val="Arial"/>
        <family val="2"/>
      </rPr>
      <t xml:space="preserve">
Nominal interest rate = ((1 + real coupon) x (1 + RPI)) – 1.
The principal sum outstanding should not be adjusted for accounting adjustments such as unamortised issuance costs.
Processing rule:
</t>
    </r>
    <r>
      <rPr>
        <b/>
        <sz val="9"/>
        <rFont val="Arial"/>
        <family val="2"/>
      </rPr>
      <t>Fixed rate and floating rate instruments</t>
    </r>
    <r>
      <rPr>
        <sz val="9"/>
        <rFont val="Arial"/>
        <family val="2"/>
      </rPr>
      <t xml:space="preserve">
In most instances this will be the principal sum at initial recognition of the instrument. For instruments with stepped principal repayments, the principal sum is the sum outstanding as at 31 March.
</t>
    </r>
    <r>
      <rPr>
        <b/>
        <sz val="9"/>
        <rFont val="Arial"/>
        <family val="2"/>
      </rPr>
      <t>Index-linked instruments</t>
    </r>
    <r>
      <rPr>
        <sz val="9"/>
        <rFont val="Arial"/>
        <family val="2"/>
      </rPr>
      <t xml:space="preserve"> 
The principal sum outstanding at 31 March, ie the principal sum at initial recognition plus indexation of the principal.
</t>
    </r>
    <r>
      <rPr>
        <b/>
        <sz val="9"/>
        <rFont val="Arial"/>
        <family val="2"/>
      </rPr>
      <t>Foreign currency instruments</t>
    </r>
    <r>
      <rPr>
        <sz val="9"/>
        <rFont val="Arial"/>
        <family val="2"/>
      </rPr>
      <t xml:space="preserve">
The Sterling equivalent upon which interest is calculated.
</t>
    </r>
    <r>
      <rPr>
        <b/>
        <sz val="9"/>
        <rFont val="Arial"/>
        <family val="2"/>
      </rPr>
      <t>Swaps that are not in designated hedging arrangements</t>
    </r>
    <r>
      <rPr>
        <sz val="9"/>
        <rFont val="Arial"/>
        <family val="2"/>
      </rPr>
      <t xml:space="preserve">
The paid and received legs should be reported separately in the appropriate categories within the table. The notional value of the swap should be reported as the principal sum, with the received leg reported as a negative principal sum.</t>
    </r>
  </si>
  <si>
    <t>1
2
3
4
5
6
7
8
9
10
11
12
13
14 
15
16
17
18
19
20
21
22
23</t>
  </si>
  <si>
    <r>
      <t xml:space="preserve">Full year equivalent cash interest payment at 31 March. 
Processing rule:
</t>
    </r>
    <r>
      <rPr>
        <b/>
        <sz val="9"/>
        <rFont val="Arial"/>
        <family val="2"/>
      </rPr>
      <t>Fixed rate instruments and floating rate instruments</t>
    </r>
    <r>
      <rPr>
        <sz val="9"/>
        <rFont val="Arial"/>
        <family val="2"/>
      </rPr>
      <t xml:space="preserve">
Copied from ‘Full year equivalent nominal interest cost’.
</t>
    </r>
    <r>
      <rPr>
        <b/>
        <sz val="9"/>
        <rFont val="Arial"/>
        <family val="2"/>
      </rPr>
      <t>Index linked instruments</t>
    </r>
    <r>
      <rPr>
        <sz val="9"/>
        <rFont val="Arial"/>
        <family val="2"/>
      </rPr>
      <t xml:space="preserve">
Calculated as the ‘Real coupon’ multiplied by the ‘principal sum as at 31 March’.</t>
    </r>
  </si>
  <si>
    <t>1
2
3
4
5
6</t>
  </si>
  <si>
    <t>Table 1E line 9 divided by the principal sum outstanding as at 31 March for fixed, floating and index linked instruments on which interest payments are calculated.  The nominal interest rate on index linked debt should include inflation accretion.</t>
  </si>
  <si>
    <t>Table 1E line 10 divided by the principal sum outstanding as at 31 March for fixed, floating and index linked instruments on which interest payments are calculated.</t>
  </si>
  <si>
    <t>Calculated as the multiple of the principal sum and years to maturity divided by the principal sum outstanding as at 31 March for fixed, floating and index linked instruments on which interest payments are calculated.
Definition of years to maturity:
Full years to maturity of the instrument from 31 March.
Instruments with no fixed maturity should be reported as follows:
• Instruments that are instantly callable should be classified as loans due in less than one year.
• Inter-company loans should be matched with the instrument at group level at the external borrowing rate.
Instruments with no fixed maturity that are not instantly callable should be reported with a maturity of 25 years.</t>
  </si>
  <si>
    <t>FOUNTAIN_INSTANCE_URL</t>
  </si>
  <si>
    <t>http://fnttest202:8082/Fountain/rest-services_XLSPF</t>
  </si>
  <si>
    <t>2A - Segmental income statement</t>
  </si>
  <si>
    <t>Retail</t>
  </si>
  <si>
    <t>Wholesale</t>
  </si>
  <si>
    <t>Consistency validations</t>
  </si>
  <si>
    <t>Other validations calcs</t>
  </si>
  <si>
    <t>Household</t>
  </si>
  <si>
    <t>Non-Household</t>
  </si>
  <si>
    <t>Water resources</t>
  </si>
  <si>
    <t>Water Network+</t>
  </si>
  <si>
    <t>Water Total</t>
  </si>
  <si>
    <t>Waste water Network+</t>
  </si>
  <si>
    <t>Sludge</t>
  </si>
  <si>
    <t>Wastewater total</t>
  </si>
  <si>
    <t>Revenue - price control</t>
  </si>
  <si>
    <t>The total of table 2A line 1 &amp; line 2 should equal table 1A line 1.</t>
  </si>
  <si>
    <t>Revenue - non price control</t>
  </si>
  <si>
    <t>Operating expenditure</t>
  </si>
  <si>
    <t>The total of table 2A line 3, 4 and 5 should equal table 1A line 2.</t>
  </si>
  <si>
    <t>Depreciation - tangible fixed assets</t>
  </si>
  <si>
    <t>The total of table 2A line 4 should equal table 2D line 8.</t>
  </si>
  <si>
    <t>Amortisation - intangible fixed assets</t>
  </si>
  <si>
    <t>The total of table 2A line 6 should equal table 1A line 3.</t>
  </si>
  <si>
    <t>Operating profit before recharges</t>
  </si>
  <si>
    <t>Recharges from other segments</t>
  </si>
  <si>
    <t>Recharges to other segments</t>
  </si>
  <si>
    <t>Surface water drainage rebates</t>
  </si>
  <si>
    <t xml:space="preserve">Total revenue covered by the price control split over the price controls units. Retail household column should be equal to table 2I line 13 (household column). Retail non-household column should be equal to table 2I line 13 (non-household column). Wholesale Water column should be equal to table 2I line 4. Wholesale Wastewater column should be equal to table 2I line 8.
</t>
  </si>
  <si>
    <t>Other revenue from appointed activities, not covered by the price control recorded under each price control unit (see RAG 4.06 appendix 1). The total of table 2A line 1 and table 2A line 2 should equal table 1A line 1.</t>
  </si>
  <si>
    <t>Operating expenditure split over the price controls units. Will agree to table 2B line 9 and table 2C line 9 [wholesale and retail respectively]. The total of table 2A line 3, table 2A line 4 and table 2A line 5 should reconcile to table 1A line 2.</t>
  </si>
  <si>
    <t>Depreciation of tangible fixed assets. Will agree to table 2D line 8. The total of table 2A line 3, table 2A line 4 and table 2A line 5 should reconcile to table 1A line 2.</t>
  </si>
  <si>
    <t>Amortisation of intangible fixed assets. The total of table 2A line 3, table 2A line 4 and table  2A line 5 should reconcile to table 1A line 2.</t>
  </si>
  <si>
    <t>Other operating income split over the price controls units. Total should reconcile to table 1A line 3.</t>
  </si>
  <si>
    <t>The sum of table 2A lines 1 to 6.</t>
  </si>
  <si>
    <t>Total amount of recharges made from other price controls units. Examples of these would include, but is not restricted to;
 recharges for use of fixed assets,
 recharges for cross unit transactions services such as treatment of sludge from water treatment works.
Input as a negative number.</t>
  </si>
  <si>
    <t>Total amount of recharges made to other price controls units. Examples of these would include, but is not restricted to;
 recharges for use of fixed assets,
 recharges for cross unit transactions services such as treatment of sludge from water treatment works.
Input as a positive number.</t>
  </si>
  <si>
    <t>Sum of table 2A lines 7 to 9.</t>
  </si>
  <si>
    <t>Total value of surface water drainage rebates paid or credited to customers’ accounts in the year where the customer has challenged the proportion of their site that is connected for surface water.</t>
  </si>
  <si>
    <t>2B - Totex analysis - wholesale water and wastewater</t>
  </si>
  <si>
    <t>Water Resources</t>
  </si>
  <si>
    <t>Wastewater Network+</t>
  </si>
  <si>
    <t>Power</t>
  </si>
  <si>
    <t>Income treated as negative expenditure</t>
  </si>
  <si>
    <t>Service charges/ discharge consents</t>
  </si>
  <si>
    <t>Bulk supply/ Bulk discharge</t>
  </si>
  <si>
    <t>Other operating expenditure</t>
  </si>
  <si>
    <t>Local authority and Cumulo rates</t>
  </si>
  <si>
    <t>Total operating expenditure excluding third party services</t>
  </si>
  <si>
    <t>Third party services</t>
  </si>
  <si>
    <t>Total operating expenditure</t>
  </si>
  <si>
    <t>Capital Expenditure</t>
  </si>
  <si>
    <t>Maintaining the long term capability of the assets - infra</t>
  </si>
  <si>
    <t>Maintaining the long term capability of the assets - non- infra</t>
  </si>
  <si>
    <t>Other capital expenditure - infra</t>
  </si>
  <si>
    <t>Other capital expenditure - non-infra</t>
  </si>
  <si>
    <t>Total gross capital expenditure excluding third party services</t>
  </si>
  <si>
    <t>Total gross capital expenditure</t>
  </si>
  <si>
    <t>Grants and contributions</t>
  </si>
  <si>
    <t>The total of table 2B line 17 should be equal to lines 2E.6 for water and 2E.12 for wastewater.</t>
  </si>
  <si>
    <t>Totex</t>
  </si>
  <si>
    <t>Cash Expenditure</t>
  </si>
  <si>
    <t>Pension deficit recovery payments</t>
  </si>
  <si>
    <t>Other cash items</t>
  </si>
  <si>
    <t>Totex including cash items</t>
  </si>
  <si>
    <t>All energy costs, including the climate change levy and the carbon reduction commitment. Any cost savings from power generated internally should be netted off these costs.</t>
  </si>
  <si>
    <t>Income received sales which are external to the appointed business and which directly relate to the water and wastewater processes. It should be input as a negative number. 
This will include;
Electricity sales from sources such as Hydro, PV, wind and CHP to external parties.
Electricity sales from back-up generators under the National Grid ‘STOR’.
Bio-methane gas sales to the National Grid.
Sludge and sludge products such as cake, granules etc. to external parties.</t>
  </si>
  <si>
    <t>1
2
3
4
5
6
7
8</t>
  </si>
  <si>
    <t>Total cost of service charges by the environment agency or canal and river trust for discharge consents.</t>
  </si>
  <si>
    <t>Total payments for bulk imports/exports. Where a company jointly owns a supply, the costs associated with it should not be reported here but in the appropriate cost line.</t>
  </si>
  <si>
    <t>Any other operating costs (ie. excluding interest, taxation and local authority rates).</t>
  </si>
  <si>
    <t>The cost of local authority rates. This should include both the local authority rates, cumulo rates and sewerage site rates (where appropriate).</t>
  </si>
  <si>
    <t>Total operating costs excluding third party services.   The sum of table 2B lines 1 to 6.</t>
  </si>
  <si>
    <t>Operating expenditure for providing third party services. E.g. Bulk supplies, supplies of non-potable water and rechargeable works where the appointee is a monopoly supplier.</t>
  </si>
  <si>
    <t>Total operating expenditure for the wholesale business only within each business category. The sum of table 2B lines 7 and 8. This should reconcile to table 2A line 3.</t>
  </si>
  <si>
    <t>Capital expenditure on infrastructure assets excluding third party capex to maintain the long term capability of assets and to deliver base levels of service.</t>
  </si>
  <si>
    <t>Capital expenditure on non-infrastructure assets excluding third party capex to maintain the long term capability of assets and to deliver base levels of service.</t>
  </si>
  <si>
    <t>Any capital expenditure on infrastructure assets other than defined in table 2B line 10 excluding third party capex.</t>
  </si>
  <si>
    <t>Any capital expenditure on non-infrastructure assets other than defined in table 2B line 11 excluding third party capex.</t>
  </si>
  <si>
    <t>Total gross capital expenditure excluding third party services.  The sum of table 2B lines 10 to 13.</t>
  </si>
  <si>
    <t>Capital expenditure for providing third party services. E.g. Bulk supplies, supplies of non-potable water and rechargeable works where the appointee is a monopoly supplier.</t>
  </si>
  <si>
    <t>The sum of table 2B lines 14 and 15.</t>
  </si>
  <si>
    <t>All capital contributions from connection charges, infrastructure charges, requisitions and other contributions. Adopted assets should not be included. Equal to table 2E line 6 for water and table 2E line 12 for wastewater.</t>
  </si>
  <si>
    <t>The sum of table 2B lines 9 and 16 minus 17.</t>
  </si>
  <si>
    <t>Actual pension deficit recovery payments including costs capitalised and any group recharges for pension deficit costs.</t>
  </si>
  <si>
    <t>Other cash items not including in the accounting charge.</t>
  </si>
  <si>
    <t>The sum of table 2B lines 18 to 20.</t>
  </si>
  <si>
    <t>2C - Operating cost analysis - retail</t>
  </si>
  <si>
    <t>Non-household</t>
  </si>
  <si>
    <t>Customer services</t>
  </si>
  <si>
    <t>Debt management</t>
  </si>
  <si>
    <t>Doubtful debts</t>
  </si>
  <si>
    <t>Meter reading</t>
  </si>
  <si>
    <t>Services to developers</t>
  </si>
  <si>
    <t>Third party services operating expenditure</t>
  </si>
  <si>
    <t>Total operating costs</t>
  </si>
  <si>
    <t>Debt written off</t>
  </si>
  <si>
    <t>The costs associated with providing the following services for the appointee’s household customers (as defined in paragraph 2.5 of RAG 2).
• Billing.
• Payment handling, remittance and cash handling.
• Charitable trust donations.
• Vulnerable customer schemes.
• Non-network customer enquiries and complaints.
• Network customer enquiries and complaints
• Investigatory visits (where the cause of the investigation is not a network issue)
Excludes customer services costs incurred in providing services to a third party’s customers (eg. where a WoC bills and collect payment on behalf of a WaSC).</t>
  </si>
  <si>
    <t xml:space="preserve">The costs associated with providing the following services for non-household customers (as defined in paragraph 2.5 of RAG 2).
• Billing.
• Payment handling, remittance and cash handling.
• Non-network customer enquiries and complaints.
• Network customer enquiries and complaints.
• Investigatory visits (where the cause of the investigation is not a network issue)
Excludes customer services costs incurred in providing services to a third party’s customers (eg. where a WoC bills and collect payment on behalf of a WaSC).
</t>
  </si>
  <si>
    <t xml:space="preserve">1
2
3
4
5
6
7
8
9
10
11
12
13
14 </t>
  </si>
  <si>
    <t>All costs relating to the management of debt recovery for the appointee’s household customers (as defined in paragraph 2.5 of RAG 2) – monitoring of outstanding debt, including issue of reminders and follow up telephone calls, managing and monitoring field recovery of debt, includes costs of customer visits, managing and monitoring external debt collection routes including debt collection agencies and legal.
Excludes costs incurred relating to the management of debt recovery for a third party’s customers (eg. where a WoC manages debt on behalf of a WaSC).</t>
  </si>
  <si>
    <t xml:space="preserve">All costs relating to the management of debt recovery for non-household customers (as defined in paragraph 2.5 of RAG 2) – monitoring of outstanding debt, including issue of reminders and follow up telephone calls, managing and monitoring field recovery of debt, includes costs of customer visits, managing and monitoring external debt collection routes including debt collection agencies and legal, including notification of disconnections to non-household customers.
Excludes costs incurred relating to the management of debt recovery for a third party’s customers (eg. where a WoC manages debt on behalf of a WaSC).
</t>
  </si>
  <si>
    <t>1
2
3
4
5
6
7
8
9
10
11</t>
  </si>
  <si>
    <t xml:space="preserve">The charge for bad and doubtful debts for household customers (as defined in paragraph 2.5 of RAG 2).
This should include only the appointee’s doubtful debts and not doubtful debts relating to a third party. </t>
  </si>
  <si>
    <t xml:space="preserve">The charge for bad and doubtful debts for non-household customers (as defined in paragraph 2.5 of RAG 2).
This should include only the appointee’s doubtful debts and not doubtful debts relating to a third party.
</t>
  </si>
  <si>
    <t>Costs associated with meter reading for household customers (as defined in paragraph 2.5 of RAG 2) – including ad hoc read requests, cyclical reading, scheduling, transport, physical reading, reading queries and read processing costs, managing meter data plus supervision and management of meter readers.
Income from meter reading commission should be netted off these costs.
Excludes costs associated with meter reading for third parties.</t>
  </si>
  <si>
    <t>Costs associated with meter reading for non-household customers (as defined in paragraph 2.5 of RAG 2) – including ad hoc read requests, cyclical reading, scheduling, transport, physical reading, reading queries and read processing costs, managing meter data plus supervision and management of meter readers.
Income from meter reading commission should be netted off these costs.
Excludes costs associated with meter reading for third parties.</t>
  </si>
  <si>
    <t>1
2
3
4
5</t>
  </si>
  <si>
    <t>Not applicable for household.</t>
  </si>
  <si>
    <t>The operating costs of providing services to developers, to include:
• provide developer information – deal with questions from developers where physical aspects of infrastructure are required to change, investigate and advise on implications;
• provide connections for developers –including project management, contracting with third parties; and
• administration for new connections.</t>
  </si>
  <si>
    <t>1
2
3
4
5
6
7</t>
  </si>
  <si>
    <t>Any other operating costs (ie, excluding interest and taxation) incurred serving household customers (as defined in paragraph 2.5 of RAG 2), on an aggregated basis.
Include the costs of (among other costs):
• provision of offices;
• insurance premiums;
• net retail expenditure on demand-side water efficiency initiatives;
• net retail expenditure on customer side leaks;
• other direct costs;
• general and support expenditure;
• local authority rates; and
• other business activities.</t>
  </si>
  <si>
    <t xml:space="preserve">Any other operating costs (ie, excluding interest and taxation) incurred serving non-household customers (as defined in paragraph 2.5 of RAG 2), on an aggregated basis.
Include the costs of (among other costs):
• provision of offices;
• insurance premiums;
• disconnections;
• demand-side water efficiency initiatives;
• customer side leaks;
• other direct costs;
• general and support expenditure;
• local authority rates; and
• other business activities.
</t>
  </si>
  <si>
    <t>1
2
3
4
5
6
7
8
9
10
11
12
13
14</t>
  </si>
  <si>
    <t>The sum of table 2C lines 1 to 6.</t>
  </si>
  <si>
    <t>The operating costs of providing appointed household retail services to third parties.</t>
  </si>
  <si>
    <t>The operating costs of providing appointed non-household retail services to third parties.</t>
  </si>
  <si>
    <t>Total operating expenditure for households within the retail business only.
The sum of table 2C lines 7 and 8.</t>
  </si>
  <si>
    <t xml:space="preserve">Total operating expenditure for non-households within the retail business only.
The sum of table 2C lines 7 and 8.
</t>
  </si>
  <si>
    <t>Depreciation on tangible assets used wholly or principally for the household retail business (as defined in paragraph 2.3 of RAG 2).</t>
  </si>
  <si>
    <t>Depreciation on tangible assets used wholly or principally for the non-household retail business (as defined in paragraph 2.3 of RAG 2).</t>
  </si>
  <si>
    <t>Amortisation of intangible assets used wholly or principally for the household retail business (as defined in paragraph 2.3 of RAG 2).</t>
  </si>
  <si>
    <t>Amortisation of intangible assets used wholly or principally for the non-household retail business (as defined in paragraph 2.3 of RAG 2).</t>
  </si>
  <si>
    <t>Total operating costs in respect of the household retail business. 
The sum of table 2C lines 9 and 11.</t>
  </si>
  <si>
    <t xml:space="preserve">Total operating expenditure in respect of the non-household retail business. 
The sum of table 2C lines 9 and 11.
</t>
  </si>
  <si>
    <t>Water and/ or sewerage outstanding debts that have been written off for the appointee’s household customers in the report year, net of collections of previously written off debt.  
Write-offs in relation to court or other debt recovery costs should not be included.</t>
  </si>
  <si>
    <t xml:space="preserve">Water and/ or sewerage outstanding debts that have been written off for non-household customers in the report year, net of collections of previously written off debt.  
Write-offs in relation to court or other debt recovery costs should not be included.
</t>
  </si>
  <si>
    <t>2D - Historic cost analysis of fixed assets - wholesale &amp; retail</t>
  </si>
  <si>
    <t>Cost</t>
  </si>
  <si>
    <t>At 1 April 2016</t>
  </si>
  <si>
    <t>Disposals</t>
  </si>
  <si>
    <t>Additions</t>
  </si>
  <si>
    <t>Assets adopted at nil cost</t>
  </si>
  <si>
    <t>At 31 March 2017</t>
  </si>
  <si>
    <t>Charge for the year</t>
  </si>
  <si>
    <t>Net book amount at 31 March 2017</t>
  </si>
  <si>
    <t>Net book amount at 1 April 2016</t>
  </si>
  <si>
    <t>Depreciation charge for year</t>
  </si>
  <si>
    <t>Principal services</t>
  </si>
  <si>
    <t>Total depreciation charge which will agree to line 2D.8.</t>
  </si>
  <si>
    <t>The historical cost value of the assets brought forward from the previous year.</t>
  </si>
  <si>
    <t>The reduction in value of assets caused by disposal of assets, by type.</t>
  </si>
  <si>
    <t>Increase in value of assets by type caused by purchase.</t>
  </si>
  <si>
    <t>The fair value of any adopted assets.</t>
  </si>
  <si>
    <t>This is the historical cost value at the end of the year. The sum of table 2D lines 1 to 4.</t>
  </si>
  <si>
    <t>Accumulated depreciation brought forward on assets by type at the beginning of the year. This should be entered as a negative number.</t>
  </si>
  <si>
    <t>The reduction in accumulated depreciation caused by disposal of assets by type. Enter as a positive.</t>
  </si>
  <si>
    <t>Depreciation charge. Enter as a negative.</t>
  </si>
  <si>
    <t>Accumulated depreciation carried forward by asset type at the end of the charging year. The sum of table 2D lines 6 to 8.</t>
  </si>
  <si>
    <t>Net book value by asset type at the year end. The sum of table 2D lines 5 and 9.</t>
  </si>
  <si>
    <t>Net book value by asset type at the beginning of the year. The sum of table 2D lines 1 and 6.</t>
  </si>
  <si>
    <t>Depreciation charge on assets used to deliver ‘principal services’ as set out in appendix 1. Enter as a negative.</t>
  </si>
  <si>
    <t>Depreciation charge on assets used to deliver ‘third party services’ as set out in appendix 1. Enter as a negative.</t>
  </si>
  <si>
    <t>Total depreciation charge which will agree to Table 2D line 8.</t>
  </si>
  <si>
    <t>2E - Analysis of capital contributions and land sales - wholesale</t>
  </si>
  <si>
    <t>Current year</t>
  </si>
  <si>
    <t>Fully recognised in income statement</t>
  </si>
  <si>
    <t>Capitalised and amortised (in income statement)</t>
  </si>
  <si>
    <t>Fully netted off capex</t>
  </si>
  <si>
    <t>Grants and contributions - water</t>
  </si>
  <si>
    <t>Connection charges (s45)</t>
  </si>
  <si>
    <t>Infrastructure charge receipts (s146)</t>
  </si>
  <si>
    <t>Requisitioned mains (s43, s55 &amp; s56)</t>
  </si>
  <si>
    <t>Diversions (s185)</t>
  </si>
  <si>
    <t>Other Contributions</t>
  </si>
  <si>
    <t>Value of adopted assets</t>
  </si>
  <si>
    <t>Grants and contributions - wastewater</t>
  </si>
  <si>
    <t>Requisitioned sewers (s100)</t>
  </si>
  <si>
    <t>Water</t>
  </si>
  <si>
    <t>Wastewater</t>
  </si>
  <si>
    <t>Movements in capitalised grants and contributions</t>
  </si>
  <si>
    <t>Brought forward</t>
  </si>
  <si>
    <t>Capitalised in year</t>
  </si>
  <si>
    <t>Amortisation (in income statement)</t>
  </si>
  <si>
    <t>Carried forward</t>
  </si>
  <si>
    <t>Land sales</t>
  </si>
  <si>
    <t>Proceeds from disposals of protected land</t>
  </si>
  <si>
    <t>Contributions received from developer for service connection charges for installing a new service pipe and meter.  (Water Industry Act s45)</t>
  </si>
  <si>
    <t>Infrastructure charges received in the year for new connections. This reflects a contribution to the costs of enhancing the local water network. (Water Industry Act s146)</t>
  </si>
  <si>
    <t>Contributions received from developers to requisition a new water main. (Water Industry Act s43,55 and 56)</t>
  </si>
  <si>
    <t>Contributions received from local authorities, highway authorities and private companies to divert water mains. (Water Industry Act s185)</t>
  </si>
  <si>
    <t>Other contributions received from organisations towards the construction of specific capital projects, e.g. health authorities for fluoridation or government departments for environmental schemes.</t>
  </si>
  <si>
    <t>The sum of table 2E lines 1 to 5.</t>
  </si>
  <si>
    <t>The fair value of any adopted water assets</t>
  </si>
  <si>
    <t>Infrastructure charges received in the year for new connections. This reflects a contribution to the costs of enhancing the local sewerage network. (Water Industry Act s146)</t>
  </si>
  <si>
    <t>Contributions received from developers to requisition a new sewer. (Water Industry Act s100)</t>
  </si>
  <si>
    <t>Contributions received from local authorities, highway authorities and private companies to divert sewers. (Water Industry Act s185)</t>
  </si>
  <si>
    <t>Other contributions received from organisations towards the construction of specific capital projects, e.g. government departments for environmental schemes. Also should include Inspection and supervision fees (2.5% of construction cost based on WRC ‘Sewers for adoption’).</t>
  </si>
  <si>
    <t>The sum of table 2E lines 8 to 11.</t>
  </si>
  <si>
    <t>The fair value of any adopted wastewater assets.</t>
  </si>
  <si>
    <t>Total value of capitalised grants and contributions brought forward as at 1 April.</t>
  </si>
  <si>
    <t>Total value of grants and contributions capitalised in the year.</t>
  </si>
  <si>
    <t>Total value of amortisation released to the income statement in the year. Input as a negative number.</t>
  </si>
  <si>
    <t>Total value of capitalised grants and contributions carried forward as at 31 March. This should represent the wholesale element of 1C.26. The sum of table 2E lines 14 to 16.</t>
  </si>
  <si>
    <t>The net proceeds, after the deduction of all offsetting costs from disposals of protected land, including those already subject to regulation through Condition K of the licence.</t>
  </si>
  <si>
    <t>2F - Household - revenues by customer type</t>
  </si>
  <si>
    <t>Wholesale charges revenue £m</t>
  </si>
  <si>
    <t>Retail revenue 
£m</t>
  </si>
  <si>
    <t>Total revenue 
£m</t>
  </si>
  <si>
    <t>Number of customers 
(000s)</t>
  </si>
  <si>
    <t>Average household retail revenue per customer 
£</t>
  </si>
  <si>
    <t>Unmeasured water only customer</t>
  </si>
  <si>
    <t>Unmeasured wastewater only customer</t>
  </si>
  <si>
    <t>Unmeasured water and wastewater customer</t>
  </si>
  <si>
    <t>Measured water only customer</t>
  </si>
  <si>
    <t>Measured wastewater only customer</t>
  </si>
  <si>
    <t>Measured water and wastewater customer</t>
  </si>
  <si>
    <t xml:space="preserve">Revenue from all household unmeasured water only customers. </t>
  </si>
  <si>
    <t xml:space="preserve">Revenue from all household unmeasured wastewater only customers. </t>
  </si>
  <si>
    <t>Revenue from all household unmeasured water &amp; wastewater customers only. This line should not include any revenue from WoC’s billing on behalf of WaSC’s.</t>
  </si>
  <si>
    <t xml:space="preserve">Revenue from all household measured water only customers. </t>
  </si>
  <si>
    <t>Revenue from all household measured wastewater only customers</t>
  </si>
  <si>
    <t>Revenue from all household measured water &amp; wastewater customer only This line should not include any revenue from WoC’s billing on behalf of WaSC’s.</t>
  </si>
  <si>
    <t>The sum of table 2F lines 1 to 6.</t>
  </si>
  <si>
    <t>2G - Non-household water - revenues by customer type</t>
  </si>
  <si>
    <t>Wholesale charges revenue 
£m</t>
  </si>
  <si>
    <t>Retail revenue £m</t>
  </si>
  <si>
    <t>Total revenue £m</t>
  </si>
  <si>
    <t>Number of connections (000s)</t>
  </si>
  <si>
    <t>Average non-household retail revenue per connection  £</t>
  </si>
  <si>
    <t>Non-Default tariffs</t>
  </si>
  <si>
    <t>Total non-default tariffs</t>
  </si>
  <si>
    <t>Default tariffs</t>
  </si>
  <si>
    <t>Total default tariffs</t>
  </si>
  <si>
    <t>The total of column 1 should be equal to the sum of table 2I lines 1 and 2.</t>
  </si>
  <si>
    <t>Number of customers (000s)</t>
  </si>
  <si>
    <t>Average non-household retail revenue per customer  £</t>
  </si>
  <si>
    <t>Revenue per customer</t>
  </si>
  <si>
    <t>Total revenue received from all customers on a non-default tariff.</t>
  </si>
  <si>
    <t>2 to 19</t>
  </si>
  <si>
    <t>Total revenue received from each non-household tariff type listed separately.</t>
  </si>
  <si>
    <t>Total revenue received from all non-household customers on a default tariff.</t>
  </si>
  <si>
    <t>Total revenue received from all default and non-default tariffs.</t>
  </si>
  <si>
    <t>2H - Non-household wastewater - revenues by customer type</t>
  </si>
  <si>
    <t>The total of column 1 should be equal to the sum of table 2I lines 5 and 6.</t>
  </si>
  <si>
    <t>2 to 21</t>
  </si>
  <si>
    <t>2I - Revenue analysis &amp; wholesale control reconciliation</t>
  </si>
  <si>
    <t>Wholesale charge - water</t>
  </si>
  <si>
    <t>Unmeasured</t>
  </si>
  <si>
    <t>Measured</t>
  </si>
  <si>
    <t>Third party revenue</t>
  </si>
  <si>
    <t>Wholesale charge - wastewater</t>
  </si>
  <si>
    <t>Wholesale Total</t>
  </si>
  <si>
    <t>Retail revenue</t>
  </si>
  <si>
    <t>Other third party revenue</t>
  </si>
  <si>
    <t>Retail total</t>
  </si>
  <si>
    <t xml:space="preserve">The total of table 2I lines 9 and 13 should equal table 2A line 1 </t>
  </si>
  <si>
    <t>Third party revenue - non-price control</t>
  </si>
  <si>
    <t>Bulk Supplies - water</t>
  </si>
  <si>
    <t>Bulk Supplies - wastewater</t>
  </si>
  <si>
    <t>Principal services - non-price control</t>
  </si>
  <si>
    <t>Other appointed revenue</t>
  </si>
  <si>
    <t>Total appointed revenue</t>
  </si>
  <si>
    <t xml:space="preserve">Table 2I line 18 should equal the sum of table 1A line 1 </t>
  </si>
  <si>
    <t>Wholesale revenue governed by price control</t>
  </si>
  <si>
    <t>Grants &amp; contributions</t>
  </si>
  <si>
    <t>Total revenue governed by wholesale price control</t>
  </si>
  <si>
    <t>Amount assumed in wholesale determination</t>
  </si>
  <si>
    <t>Adjustment for in-period ODI revenue</t>
  </si>
  <si>
    <t>Adjustment for WRFIM</t>
  </si>
  <si>
    <t>Total assumed revenue</t>
  </si>
  <si>
    <t>Difference</t>
  </si>
  <si>
    <t>Total revenue from wholesale water charges, other than on a measured basis. This should be split between household and non-household connections. This should include revenue from large users and special agreements.</t>
  </si>
  <si>
    <t>Total revenue from wholesale water charges, where all or some of the charges are based on measured quantities of volume. This should be split between household and non-household connections. This should include revenue from large users and special agreements.</t>
  </si>
  <si>
    <t>Third party revenue covered by the wholesale water price control, e.g. supplies of non-potable water to customers.</t>
  </si>
  <si>
    <t>Total revenue from wholesale water charges. The sum of table 2I lines 1 to 3.</t>
  </si>
  <si>
    <t>Total revenue from wholesale wastewater charges, other than on a measured basis. This should be split between household and non-household connections. This should include revenue from large users and special agreements.</t>
  </si>
  <si>
    <t>Total revenue from wholesale wastewater charges, where all or some of the charges are based on measured quantities of volume. This should be split between household and non-household connections. This should include revenue from trade effluent, large users and special agreements.</t>
  </si>
  <si>
    <t>Third party revenue covered by the wholesale wastewater price control.</t>
  </si>
  <si>
    <t>Total revenue from wholesale wastewater charges. The sum of table 2I lines 5 to 7.</t>
  </si>
  <si>
    <t>The sum of table 2I lines 4 and 8.</t>
  </si>
  <si>
    <t>Total revenue from retail charges, other than on a measured basis. This should be split between household and non-household connections.</t>
  </si>
  <si>
    <t>Total revenue from retail charges, where all or some of the charges are based on measured quantities of volume. This should be split between household and non-household connections.</t>
  </si>
  <si>
    <t>Any third party revenue relating to retail activities.</t>
  </si>
  <si>
    <t>Total revenue from retail charges. The sum of table 2I lines 10 to 12.</t>
  </si>
  <si>
    <t>All income received for providing a bulk supply (for potable or non-potable supplies) to another water undertaker.</t>
  </si>
  <si>
    <t>All income received for providing wastewater connection agreements with another wastewater undertaker.</t>
  </si>
  <si>
    <t>All other sources of revenue received from third parties for which costs are not covered by the wholesale price control. E.g. rechargeable works where the appointee is a monopoly supplier and Excluded charges.</t>
  </si>
  <si>
    <t>All other sources of revenue that are not reported elsewhere in the table but are classed as appointed business. E.g. recreational use of protected land.</t>
  </si>
  <si>
    <t>The sum of lines 2I.9, 2I.13, 2I.14, 2I.15, 2I.16 and 2I.17. This should equal 1A.1 (appointed business activities column).</t>
  </si>
  <si>
    <t>Wholesale revenue governed by price control. Equal to table 2I line 9.</t>
  </si>
  <si>
    <t>Relevant capital contributions from connection charges and revenue from infrastructure charges, defined in the final determination as covered by the price control. Equal to the sum of table 2E lines 1, 2 and 3 (column 4) for water and 7 and 8 (column 4) for wastewater. Column 4 of table 2E indicates the total of grants and contributions received (as governed by the price control) and so are indifferent to the accounting treatment.</t>
  </si>
  <si>
    <t>Total revenue governed by wholesale price control. Sum of table 2I lines 19 and 20.</t>
  </si>
  <si>
    <t>Amount assumed in wholesale determination for the year.</t>
  </si>
  <si>
    <t>Tbc</t>
  </si>
  <si>
    <t>Total of revenue assumed at the determination and that arising from any in-period ODI revenue reward. Sum of Table 2I lines 22 to 24.</t>
  </si>
  <si>
    <t>Table 2I line 21 minus line 25. Cross reference to a narrative explanation.</t>
  </si>
  <si>
    <t>3A - Outcome performance table</t>
  </si>
  <si>
    <t>Other checks</t>
  </si>
  <si>
    <t>Row</t>
  </si>
  <si>
    <t>Unique ID</t>
  </si>
  <si>
    <t>Performance commitment</t>
  </si>
  <si>
    <t>Unit</t>
  </si>
  <si>
    <t>Unit description</t>
  </si>
  <si>
    <t>Decimal places</t>
  </si>
  <si>
    <t>2015-16 performance level - actual</t>
  </si>
  <si>
    <t>2016-17 performance level - actual</t>
  </si>
  <si>
    <t>2016-17 CPL met?</t>
  </si>
  <si>
    <t>2016-17 reward or penalty
(in-period ODIs)</t>
  </si>
  <si>
    <r>
      <t xml:space="preserve">2016-17 reward or penalty
(in-period ODIs)
</t>
    </r>
    <r>
      <rPr>
        <sz val="9"/>
        <color rgb="FF0078C9"/>
        <rFont val="Arial"/>
        <family val="2"/>
      </rPr>
      <t>£m (4 DPs)</t>
    </r>
  </si>
  <si>
    <t>2016-17 notional reward or penalty accrued</t>
  </si>
  <si>
    <r>
      <t xml:space="preserve">2016-17 notional reward or penalty accrued
</t>
    </r>
    <r>
      <rPr>
        <sz val="9"/>
        <color rgb="FF0078C9"/>
        <rFont val="Arial"/>
        <family val="2"/>
      </rPr>
      <t>£m (4 DPs)</t>
    </r>
  </si>
  <si>
    <t>Total AMP6 reward or penalty 31 March 2020 forecast</t>
  </si>
  <si>
    <r>
      <t xml:space="preserve">Total AMP6 reward or penalty 31 March 2020 forecast
</t>
    </r>
    <r>
      <rPr>
        <sz val="9"/>
        <color rgb="FF0078C9"/>
        <rFont val="Arial"/>
        <family val="2"/>
      </rPr>
      <t>£m (4 DPs)</t>
    </r>
  </si>
  <si>
    <t>Consistency</t>
  </si>
  <si>
    <t>Rewards should be entered as positive numbers.</t>
  </si>
  <si>
    <t>Penalties should be entered as negative numbers.</t>
  </si>
  <si>
    <t>F</t>
  </si>
  <si>
    <t>G</t>
  </si>
  <si>
    <t>H</t>
  </si>
  <si>
    <t>I</t>
  </si>
  <si>
    <t>J</t>
  </si>
  <si>
    <t>K</t>
  </si>
  <si>
    <t>L</t>
  </si>
  <si>
    <t>M</t>
  </si>
  <si>
    <t>N</t>
  </si>
  <si>
    <t>Yes</t>
  </si>
  <si>
    <t>No</t>
  </si>
  <si>
    <t>Penalty deadband</t>
  </si>
  <si>
    <t xml:space="preserve">Stable </t>
  </si>
  <si>
    <t>-</t>
  </si>
  <si>
    <t>Reward deadband</t>
  </si>
  <si>
    <t>Reward</t>
  </si>
  <si>
    <t>Stable</t>
  </si>
  <si>
    <t xml:space="preserve">Published </t>
  </si>
  <si>
    <t xml:space="preserve">93% (Water)
91% (Waste) </t>
  </si>
  <si>
    <t>79% (Water)
82% (Waste)</t>
  </si>
  <si>
    <t>Column</t>
  </si>
  <si>
    <t>Actual performance for the current reporting year in the units the PC is measured in. For example, if the PC is measured in Ml/day and the actual performance level is 124.5 Ml/day, then enter 124.5
This line applies to all PCs, including those with non-financial incentives and those where a committed performance level has not been set for the current reporting year
The value entered will be displayed to the number of decimal places in column G, although the actual amount entered will be uploaded to the Fountain database.</t>
  </si>
  <si>
    <t>If the committed performance level for the current reporting year has been met select “Yes”, where it has not been met select “No”
If a committed performance level has not been set for the current reporting year select "-" (hyphen).</t>
  </si>
  <si>
    <t xml:space="preserve">This column applies only to PCs which have ODIs that are payable within AMP6 rather than at the end of AMP6 (that is, some of the Anglian Water, Severn Trent Water and South West Water PCs)
If a reward has been earned in the current reporting year select “Reward”, if a penalty has been earned select “Penalty”
If the actual performance level is within the reward deadband select “Reward deadband”, if it is within the penalty deadband select “Penalty deadband”’. Otherwise leave blank (empty) or select "-" (hyphen)
Note: this refers to the reward or penalty for the current reporting year, not the cumulative value since 1 April 2015.
</t>
  </si>
  <si>
    <r>
      <rPr>
        <b/>
        <sz val="10"/>
        <color theme="1"/>
        <rFont val="Arial"/>
        <family val="2"/>
      </rPr>
      <t>This column applies only to PCs which have ODIs that are payable within AMP6 rather than at the end of AMP6 (that is, some of the Anglian Water, Severn Trent Water and South West Water PCs)</t>
    </r>
    <r>
      <rPr>
        <sz val="10"/>
        <color theme="1"/>
        <rFont val="Arial"/>
        <family val="2"/>
      </rPr>
      <t xml:space="preserve">
The reward or penalty earned in the current reporting year.
£million to 4 decimal places, rounded.
Rewards must be entered as a positive number, penalties as a negative number.
Where no reward or penalty has been earned, leave blank (empty).
Note: this is the reward or penalty for the current reporting year, not the cumulative value since 1 April 2015.</t>
    </r>
  </si>
  <si>
    <t>This column applies only to PCs which have ODIs that are payable at the end of AMP6
If a reward has accrued in the current reporting year select “Reward”, if a penalty has accrued select “Penalty”
If the actual performance level is within the reward deadband select “Reward deadband”, if it is within the penalty deadband select “Penalty deadband”. Otherwise leave blank (empty) or select "-" (hyphen)
Note: this refers to the reward or penalty for the current reporting year, not the cumulative value since 1 April 2015.</t>
  </si>
  <si>
    <r>
      <rPr>
        <b/>
        <sz val="10"/>
        <color theme="1"/>
        <rFont val="Arial"/>
        <family val="2"/>
      </rPr>
      <t>This column applies only to PCs which have ODIs that are payable at the end of AMP6</t>
    </r>
    <r>
      <rPr>
        <sz val="10"/>
        <color theme="1"/>
        <rFont val="Arial"/>
        <family val="2"/>
      </rPr>
      <t xml:space="preserve">
The reward or penalty accrued in the current reporting year
£million to 4 decimal places, rounded
Rewards must be entered as a positive number, penalties as a negative number
Where no reward or penalty has accrued, leave blank (empty)
Note: this is the reward or penalty for the current reporting year, not the cumulative value since 1 April 2015.</t>
    </r>
  </si>
  <si>
    <t>O</t>
  </si>
  <si>
    <t xml:space="preserve">This column applies to all financial ODIs (that is, ODIs that are payable within AMP6 and ODIs that are payable at the end of AMP6)
A forecast of the overall reward or penalty paid/accrued by the end of AMP6 (31 March 2020) based on your current performance and your current expectation of your future performance.
If an overall reward is forecast select “Reward”, if a penalty is forecast select “Penalty”
If the forecast is within the reward deadband select “Reward deadband”, if it is within the penalty deadband select “Penalty deadband”. Otherwise leave blank (empty) or select "-" (hyphen)
A forecast for the total AMP6 reward or penalty, as at 31 March 2020, should be entered if:
•  a reward or penalty is probable ('more likely than not'); and
•  the amount can be estimated reliably (it should be the best estimate and, in reaching the best estimate, the company should take into account the risks and uncertainties that surround the underlying events).
The forecast should include any penalties and/or rewards already earned (either in previous reporting years or the current reporting year), plus forecasts for the remaining years of the AMP.
</t>
  </si>
  <si>
    <t>P</t>
  </si>
  <si>
    <r>
      <rPr>
        <b/>
        <sz val="10"/>
        <color theme="1"/>
        <rFont val="Arial"/>
        <family val="2"/>
      </rPr>
      <t>This column applies to all financial ODIs (that is, ODIs that are payable within AMP6 and ODIs that are payable at the end of AMP6)</t>
    </r>
    <r>
      <rPr>
        <sz val="10"/>
        <color theme="1"/>
        <rFont val="Arial"/>
        <family val="2"/>
      </rPr>
      <t xml:space="preserve">
A forecast of the overall reward or penalty paid/accrued by the end of AMP6 (31 March 2020) based on your current performance and your current expectation of your future performance. The forecast should include any penalties and/or rewards already earned (either in previous reporting years or the current reporting year), plus forecasts for the remaining years of the AMP
£million to 4 decimal places, rounded
Rewards must be entered as a positive number, penalties as a negative number.</t>
    </r>
  </si>
  <si>
    <t>3A - Table guidance</t>
  </si>
  <si>
    <r>
      <t xml:space="preserve">Within the </t>
    </r>
    <r>
      <rPr>
        <u/>
        <sz val="10"/>
        <color rgb="FF0078C9"/>
        <rFont val="Arial"/>
        <family val="2"/>
      </rPr>
      <t>PR14 final determination company-specific appendices</t>
    </r>
    <r>
      <rPr>
        <sz val="10"/>
        <rFont val="Arial"/>
        <family val="2"/>
      </rPr>
      <t xml:space="preserve"> the PC and ODI monetary values, including incentive rates, are in 2012-13 prices.
For the five year AMP6 period, the PC and ODI monetary values in APR table 3A should also be in 2012-13 prices, not in report year prices. This includes the 31 March 2020 forecasts for total AMP6 reward or penalty. It also includes actual performance levels that are measured in monetary values.
Those companies with in-period ODIs should include a detailed note in their regulatory accounts to reconcile the value of any provision they declare in the financial statements in respect of penalties or rewards that will be payable in the next charging year with the APR table 3A 2012-13 price term values.
</t>
    </r>
  </si>
  <si>
    <t>3B - Sub-measure performance table</t>
  </si>
  <si>
    <t>Consistency check</t>
  </si>
  <si>
    <t>PC/sub-measure
ID</t>
  </si>
  <si>
    <t>PC / sub-measure</t>
  </si>
  <si>
    <t>The value entered in table 3b does not correspond to the value entered in table 3a.</t>
  </si>
  <si>
    <t>Actual performance for the current reporting year in the units of the PC or sub-measure
For example, if the sub-measure is measured as a percentage and the actual performance level is 0.5%, then enter 0.5
The value entered will be displayed to the number of decimal places in column G, although the actual amount entered will be uploaded to the Fountain database.</t>
  </si>
  <si>
    <t>If the reference / performance level for the current reporting year has been met select “Yes”, where it has not been met select “No”.
If a reference / performance level has not been set for the current reporting year select "-" (hyphen).</t>
  </si>
  <si>
    <t>3C - AIM table</t>
  </si>
  <si>
    <t>Consistency checks</t>
  </si>
  <si>
    <t>Abstraction site</t>
  </si>
  <si>
    <r>
      <t xml:space="preserve">2016-17 AIM performance
</t>
    </r>
    <r>
      <rPr>
        <sz val="9"/>
        <color rgb="FF0078C9"/>
        <rFont val="Arial"/>
        <family val="2"/>
      </rPr>
      <t>[Ml]</t>
    </r>
  </si>
  <si>
    <t>2016-17 normalised AIM performance</t>
  </si>
  <si>
    <r>
      <t xml:space="preserve">Cumulative AIM performance 2016-17
</t>
    </r>
    <r>
      <rPr>
        <sz val="9"/>
        <color rgb="FF0078C9"/>
        <rFont val="Arial"/>
        <family val="2"/>
      </rPr>
      <t>[Ml]</t>
    </r>
  </si>
  <si>
    <t>Cumulative normalised AIM performance 2016-17</t>
  </si>
  <si>
    <t>Contextual information relating to AIM performance</t>
  </si>
  <si>
    <t>Please complete rows E to H.</t>
  </si>
  <si>
    <t>Please enter a numeric value in rows E to H.</t>
  </si>
  <si>
    <t>The name of the abstraction sites. These can be anonymised if it is necessary for security reasons.</t>
  </si>
  <si>
    <t>The AIM performance in Ml for the current reporting year is calculated as follows:
AIM performance in Ml = (average daily abstraction during period when flows are at or below the trigger threshold - baseline average daily abstraction during period when flows are at or below the trigger threshold) * length of period when flows are at or below the trigger threshold.</t>
  </si>
  <si>
    <t>The normalised AIM performance for the current reporting year is calculated as follows:
Normalised AIM performance = AIM performance / (baseline average daily abstraction * length of period when river flows are at or below the trigger threshold)</t>
  </si>
  <si>
    <t>Cumulative AIM performance in Ml (see definition E) for the years 2016-17 onwards. This column is equal to column E for the years 2016-17.</t>
  </si>
  <si>
    <t>Cumulative normalised AIM performance in Ml (see definition F) for the years 2016-17 onwards. This column is equal to column F for the years 2016-17.</t>
  </si>
  <si>
    <t>Water companies can provide contextual information around their AIM performance. For example, water companies can explain the environmental challenges that affect their regions, the past, current and future measures they are taking to deal with unsustainable abstraction and other information they consider relevant to put their AIM performance into context.</t>
  </si>
  <si>
    <t>3D - SIM table</t>
  </si>
  <si>
    <t>Incorrect value check</t>
  </si>
  <si>
    <t>Please fill in the cell</t>
  </si>
  <si>
    <t>Please enter a number between 1 and 5</t>
  </si>
  <si>
    <t>Please enter a number between 1 and 75</t>
  </si>
  <si>
    <t>Please enter a positive number</t>
  </si>
  <si>
    <t>Score</t>
  </si>
  <si>
    <t>Incorrect value</t>
  </si>
  <si>
    <t>Qualitative performance</t>
  </si>
  <si>
    <t>Survey</t>
  </si>
  <si>
    <t>Qualitative - SIM</t>
  </si>
  <si>
    <t>Quantitative</t>
  </si>
  <si>
    <t>1st survey score</t>
  </si>
  <si>
    <t>score</t>
  </si>
  <si>
    <t>2nd survey score</t>
  </si>
  <si>
    <t>3rd survey score</t>
  </si>
  <si>
    <t>4th survey score</t>
  </si>
  <si>
    <t>Qualitative SIM score (out of 75)</t>
  </si>
  <si>
    <t>Quantitative performance</t>
  </si>
  <si>
    <t>Quantitative composite score</t>
  </si>
  <si>
    <t>Quantitative SIM score (out of 25)</t>
  </si>
  <si>
    <t>calc</t>
  </si>
  <si>
    <t>SIM score</t>
  </si>
  <si>
    <t>Total annual SIM score (out of 100)</t>
  </si>
  <si>
    <t>Score of the first qualitative survey for the current reporting year.</t>
  </si>
  <si>
    <t>Score of the second qualitative survey for the current reporting year.</t>
  </si>
  <si>
    <t>Score of the third qualitative survey for the current reporting year.</t>
  </si>
  <si>
    <t>Score of the fourth qualitative survey for the current reporting.</t>
  </si>
  <si>
    <t>Companies should use the SIM calculator (or the formula below) to calculate their score and then input this number in line 5.
The qualitative score is calculated as follows:
[(S - LS) / (HS - LS)] * WS
where:
S = qualitative survey annual average score.
LS = minimum survey score possible (set at 1).
HS = maximum survey score possible (set at 5).
WS = survey weighting (set at 75).</t>
  </si>
  <si>
    <t>The quantitative composite score is calculated as follow:
[(unwanted phone contacts x 1) + (written complaints x 5) + (escalated written complaints x 100)
+ (CCWater investigated complaints x 1000)] / (connected household properties /1000)</t>
  </si>
  <si>
    <t>The quantitative score is calculated as follow:
[1 - [(C - CL) / (CH - CL)]] * WC
where:
C = total contact score (see above).
CL = contact score minimum (set at 0).
CH = contact score maximum (set at 500).
WC = contact score weighting (set at 25).</t>
  </si>
  <si>
    <t>The total annual SIM score is the addition of row 5 and row 7.</t>
  </si>
  <si>
    <t>4A - Non-financial information</t>
  </si>
  <si>
    <t>Number of void households</t>
  </si>
  <si>
    <t>000s</t>
  </si>
  <si>
    <t>Per capita consumption (excluding supply pipe leakage) l/h/d</t>
  </si>
  <si>
    <t>l/h/d</t>
  </si>
  <si>
    <t>Volume (Ml/d)</t>
  </si>
  <si>
    <t>Bulk supply export</t>
  </si>
  <si>
    <t>Ml/d</t>
  </si>
  <si>
    <t>Bulk supply import</t>
  </si>
  <si>
    <t>Distribution input</t>
  </si>
  <si>
    <t>Average total number of household properties, within the supply area, which are connected for either a water service only, a wastewater service only or both services but do not receive a charge, as there are no occupants. This should not include properties that do not receive a bill because it would be uneconomical to do so. Note that a property connected for both services that is not occupied, only counts as one void property.</t>
  </si>
  <si>
    <t xml:space="preserve">Estimated per capita consumption of households that are supplied with unmeasured water. This figure applies to billed unmeasured households and excludes underground supply pipe leakage. Underground supply pipe leakage is any loss of water from the underground supply pipe. This definition is the same as that in JR11 T10 L9.
We note that the Water Act 2014 will allow businesses and other non-household customers of providers based mainly or wholly in England to choose their supplier of water and wastewater retail services from April 2017. Our guidance identifies two distinct classes of household property under the retail household price control:
1) mainstream household properties, such as houses, bungalows, and flats; and 
2) other types of property which are ineligible to choose their supplier from April 2017. These would be mixed-use premises where the principal use is as a home.
Most companies will be reporting on per capita consumption relating to an outcome defined for the period 2015-20. This will be measured using the narrower household definition under 1) above and will not include 2). Companies therefore should restrict the definition of households to the narrower property types under 1) for reporting this measure in the APR. 
</t>
  </si>
  <si>
    <t xml:space="preserve">Estimated per capita consumption of measured households. This figure applies to billed measured households and excludes underground supply pipe leakage. This definition is the same as that in JR11 T10 L8.
We note that the Water Act 2014 will allow businesses and other non-household customers of providers based mainly or wholly in England to choose their supplier of water and wastewater retail services from April 2017. Our guidance identifies two distinct classes of household property under the retail household price control:
1) mainstream household properties, such as houses, bungalows, and flats; and 
2) other types of property which are ineligible to choose their supplier from April 2017. 
These would be mixed-use premises where the principal use is as a home.
Most companies will be reporting on per capita consumption relating to an outcome defined for the period 2015-20. This will be measured using the narrower household definition under 1) above and will not include 2). Companies therefore should restrict the definition of households to the narrower property types under 1) for reporting this measure in the APR.
</t>
  </si>
  <si>
    <t>Volume of water (treated and untreated) exported to other companies in bulk supplies by the appointed business.</t>
  </si>
  <si>
    <t>Volume of water (treated and untreated) imported from other companies in bulk supplies by the appointed business. Tankered waste volumes, which is a non-appointed activity, should not be included in this line.</t>
  </si>
  <si>
    <t>Distribution input is the average amount of potable water entering the distribution network and supplied to customers within the company’s area of supply.</t>
  </si>
  <si>
    <t xml:space="preserve">4B - Wholesale totex analysis </t>
  </si>
  <si>
    <t>Cumulative 2015-20</t>
  </si>
  <si>
    <t>Actual totex</t>
  </si>
  <si>
    <t>Items excluded from the menu</t>
  </si>
  <si>
    <t>Third party costs</t>
  </si>
  <si>
    <t>Other 'Rule book' adjustments</t>
  </si>
  <si>
    <t xml:space="preserve">Total items excluded from the menu </t>
  </si>
  <si>
    <t>Transition expenditure</t>
  </si>
  <si>
    <t>Adjusted Actual totex</t>
  </si>
  <si>
    <t>Adjusted Actual totex base year prices</t>
  </si>
  <si>
    <t>Allowed totex</t>
  </si>
  <si>
    <t>Allowed totex based on final menu choice – base year prices</t>
  </si>
  <si>
    <t>Reported total wholesale operating expenditure and capital expenditure including cash items as reported in table 2B line 21.</t>
  </si>
  <si>
    <t>Actual costs relating to third party services.
Equal to third party capex and opex costs included in the inputs in section 3.1 of the inputs to the PR14 reconciliation rulebook wholesale totex spreadsheet.</t>
  </si>
  <si>
    <t>1
2 
3</t>
  </si>
  <si>
    <t>Actual pension deficit recovery payments including costs capitalised and any group recharges for pension deficit costs.
Equal to pension deficit recovery payments included in the inputs in section 3.1 of the inputs to the PR14 reconciliation rulebook wholesale totex spreadsheet.</t>
  </si>
  <si>
    <t>1
2 
3
4</t>
  </si>
  <si>
    <t>Other adjustments to the menu included in the inputs in section 3.1 of the inputs to the PR14 reconciliation rulebook wholesale totex spreadsheet.</t>
  </si>
  <si>
    <t>The sum of table 4B lines 2 to 4.</t>
  </si>
  <si>
    <t>Transition expenditure included in the inputs in section 3.1 of the inputs to the PR14 reconciliation rulebook wholesale totex spreadsheet.</t>
  </si>
  <si>
    <t>Equal to table 4B line 1 minus line 5 plus line 6.</t>
  </si>
  <si>
    <t>Actual totex per 4B.7 deflated to base year (i.e. 2012-13 average year) prices using actual RPI.</t>
  </si>
  <si>
    <t xml:space="preserve">The final menu choice from the 2014 price determination (base year prices). The final menu choice totex for PR14 is set out in line 6 – ‘Allowed expenditure from menu’ of the ‘Wholesale water / wastewater allowed expenditure’ tables in chapters A2 (water) and A3 (wastewater) of ‘Final price control determination notice: company-specific appendix’. Narrative on difference between table 4B line 8 and line 9.
</t>
  </si>
  <si>
    <t>4C - Impact of AMP performance to date on RCV</t>
  </si>
  <si>
    <t>RCV determined at FD at 31 March</t>
  </si>
  <si>
    <t>RCV element of cumulative totex over/underspend so far in the price control period</t>
  </si>
  <si>
    <t>Adjustment for ODI rewards or penalties</t>
  </si>
  <si>
    <t>Projected 'shadow' RCV</t>
  </si>
  <si>
    <t>RCV at 31 March per the 2014 price determination inflated using the March RPI – as published on the OFWAT website annually in April.</t>
  </si>
  <si>
    <t>The difference between the actual cumulative totex for the AMP and the allowed totex (inflated to current year prices using the actual RPI used in the calculation of table 4C line 1), multiplied by (1-determined weighted average PAYG for AMP) %.
The allowed totex for PR14 is set out in line 10 of the ‘Wholesale water / wastewater allowed expenditure’ tables in chapters A2 (water) and A3 (wastewater) of ‘Final price control determination notice: company-specific appendix’.</t>
  </si>
  <si>
    <t>RCV reward from the ODI.</t>
  </si>
  <si>
    <t>The sum of table 4C lines 1 to 3.</t>
  </si>
  <si>
    <t>4D - Wholesale totex analysis - water</t>
  </si>
  <si>
    <t>Network+</t>
  </si>
  <si>
    <t>Abstraction licences</t>
  </si>
  <si>
    <t>Raw water abstraction</t>
  </si>
  <si>
    <t>Raw water transport</t>
  </si>
  <si>
    <t>Raw water storage</t>
  </si>
  <si>
    <t>Water treatment</t>
  </si>
  <si>
    <t>Treated water distribution</t>
  </si>
  <si>
    <t xml:space="preserve">The water total of table 4D line 1 should equal the water total of table 2B line 1 </t>
  </si>
  <si>
    <t>The water total of table 4D line 2 should equal the water total of table 2B line 2</t>
  </si>
  <si>
    <t>Abstraction charges</t>
  </si>
  <si>
    <t>The water total of table 4D line 3 should equal the water total of table 2B line 3</t>
  </si>
  <si>
    <t>Bulk supply</t>
  </si>
  <si>
    <t>The water total of table 4D line 4 should equal the water total of table 2B line 4</t>
  </si>
  <si>
    <t>The water total of table 4D line 5 should equal the water total of table 2B line 5</t>
  </si>
  <si>
    <t>The water total of table 4D line 6 should equal the water total of table 2B line 6</t>
  </si>
  <si>
    <t>The water total of table 4D line 7 should equal the water total of table 2B line 7</t>
  </si>
  <si>
    <t>The water total of table 4D line 8 should equal the water total of table 2B line 8</t>
  </si>
  <si>
    <t>The water total of table 4D line 9 should equal the water total of table 2B line 9</t>
  </si>
  <si>
    <t>The water total of table 4D line 10 should equal the water total of table 2B line 10</t>
  </si>
  <si>
    <t>Maintaining the long term capability of the assets - non-infra</t>
  </si>
  <si>
    <t>The water total of table 4D line 11 should equal the water total of table 2B line 11</t>
  </si>
  <si>
    <t>The water total of table 4D line 12 should equal the water total of table 2B line 12</t>
  </si>
  <si>
    <t>The water total of table 4D line 13 should equal the water total of table 2B line 13</t>
  </si>
  <si>
    <t>Total gross capital expenditure (excluding third party)</t>
  </si>
  <si>
    <t>The water total of table 4D line 14 should equal the water total of table 2B line 14</t>
  </si>
  <si>
    <t>The water total of table 4D line 15 should equal the water total of table 2B line 15</t>
  </si>
  <si>
    <t>The water total of table 4D line 16 should equal the water total of table 2B line 16</t>
  </si>
  <si>
    <t>The water total of table 4D line 17 should equal the water total of table 2B line 17</t>
  </si>
  <si>
    <t>The water total of table 4D line 18 should equal the water total of table 2B line 18</t>
  </si>
  <si>
    <t>The water total of table 4D line 19 should equal the water total of table 2B line 19</t>
  </si>
  <si>
    <t>The water total of table 4D line 20 should equal the water total of table 2B line 20</t>
  </si>
  <si>
    <t>The water total of table 4D line 21 should equal the water total of table 2B line 21</t>
  </si>
  <si>
    <t>Unit cost information (operating expenditure)</t>
  </si>
  <si>
    <t>Licenced volume available</t>
  </si>
  <si>
    <t>Ml</t>
  </si>
  <si>
    <t>Volume abstracted</t>
  </si>
  <si>
    <t>Volume transported</t>
  </si>
  <si>
    <t>Average volume stored</t>
  </si>
  <si>
    <t>Distribution input volume - water treatment</t>
  </si>
  <si>
    <t>Distribution input volume - treated water</t>
  </si>
  <si>
    <t>Unit cost</t>
  </si>
  <si>
    <t>£/Ml</t>
  </si>
  <si>
    <t>Population</t>
  </si>
  <si>
    <t>£/pop</t>
  </si>
  <si>
    <t>Income received sales which are external to the appointed business and which directly relate to the water processes. It should be input as a negative number. This will include;
Electricity sales from sources such as Hydro, PV and wind to external parties.
Electricity sales from back-up generators under the National Grid ‘STOR’.</t>
  </si>
  <si>
    <t>Total cost of abstraction charges by the environment agency or canal &amp; river trust.</t>
  </si>
  <si>
    <t>Total payments for bulk imports. If a supply is a shared supply and is jointly owned, the costs associated with it should not be reported here but in the appropriate cost line.</t>
  </si>
  <si>
    <t>Any other operating costs (ie. excluding interest, taxation and LA rates).</t>
  </si>
  <si>
    <t>The cost of local authority rates. This should include both the local authority rates and cumulo rates.</t>
  </si>
  <si>
    <t>Total operating costs excluding third party services.   The sum of table 4D lines 1 to 6.</t>
  </si>
  <si>
    <t>Operating expenditure for providing third party services. See RAG 4 appendix 1.</t>
  </si>
  <si>
    <t>Total operating expenditure for the wholesale business only within each business category. The sum of table 4D lines 7 and 8. This should reconcile to wholesale operating costs in table 2A net of depreciation.</t>
  </si>
  <si>
    <t>Any capital expenditure on infrastructure assets other than defined in table 4D line 10 excluding third party capex.</t>
  </si>
  <si>
    <t>Any capital expenditure on non-infrastructure assets other than defined in table 4D line 11 excluding third party capex.</t>
  </si>
  <si>
    <t>Total gross capital expenditure excluding third party services -  the sum of table 4D lines 10 to 13.</t>
  </si>
  <si>
    <t>Capital expenditure for providing third party services. See RAG 4 appendix 1.</t>
  </si>
  <si>
    <t>The sum of table 4D lines 14 and 15.</t>
  </si>
  <si>
    <t>Grants and contributions received by the company relating to capital expenditure. This should agree to table 2B line 17. Input as a positive number.</t>
  </si>
  <si>
    <t>The sum of table 4D lines 9 and 16 minus 17.</t>
  </si>
  <si>
    <t>The sum of table 4D lines 18 to 20.</t>
  </si>
  <si>
    <t>22-27</t>
  </si>
  <si>
    <t>Units. See service level guidance in part 2 RAG 4 – ‘Disaggregation of wholesale activities – upstream services’</t>
  </si>
  <si>
    <t>Unit cost. This is equal to total operating expenditure (table 4D line 9) divided by the unit for the column (table 4D line 22 to 29).</t>
  </si>
  <si>
    <t>Resident population in billed households and billed non-households. The population should be obtained from most recent ONS or local authority estimates, or the company's update of these estimates.</t>
  </si>
  <si>
    <t>Unit cost. This is equal to total operating expenditure (table 4D line 9) divided by table 4D line 29.</t>
  </si>
  <si>
    <t>4E - Wholesale totex analysis - wastewater</t>
  </si>
  <si>
    <t>Network+ Sewage collection</t>
  </si>
  <si>
    <t>Network + Sewage treatment</t>
  </si>
  <si>
    <t>Foul</t>
  </si>
  <si>
    <t>Surface water drainage</t>
  </si>
  <si>
    <t>Highway drainage</t>
  </si>
  <si>
    <t>Sewage treatment and disposal</t>
  </si>
  <si>
    <t>Sludge liquor treatment</t>
  </si>
  <si>
    <t>Sludge transport</t>
  </si>
  <si>
    <t>Sludge treatment</t>
  </si>
  <si>
    <t>Sludge disposal</t>
  </si>
  <si>
    <t xml:space="preserve">The wastewater total of table 4E line 1 should equal the wastewater total of table 2B line 1 </t>
  </si>
  <si>
    <t>The wastewater total of table 4E line 2 should equal the wastewater total of table 2B line 2</t>
  </si>
  <si>
    <t>Discharge consents</t>
  </si>
  <si>
    <t>The wastewater total of table 4E line 3 should equal the wastewater total of table 2B line 3</t>
  </si>
  <si>
    <t>Bulk discharge</t>
  </si>
  <si>
    <t>The wastewater total of table 4E line 4 should equal the wastewater total of table 2B line 4</t>
  </si>
  <si>
    <t>The wastewater total of table 4E line 5 should equal the wastewater total of table 2B line 5</t>
  </si>
  <si>
    <t>Local authority rates and Cumulo rates</t>
  </si>
  <si>
    <t>The wastewater total of table 4E line 6 should equal the wastewater total of table 2B line 6</t>
  </si>
  <si>
    <t>The wastewater total of table 4E line 7 should equal the wastewater total of table 2B line 7</t>
  </si>
  <si>
    <t>The wastewater total of table 4E line 8 should equal the wastewater total of table 2B line 8</t>
  </si>
  <si>
    <t>The wastewater total of table 4E line 9 should equal the wastewater total of table 2B line 9</t>
  </si>
  <si>
    <t>The wastewater total of table 4E line 10 should equal the wastewater total of table 2B line 10</t>
  </si>
  <si>
    <t>The wastewater total of table 4E line 11 should equal the wastewater total of table 2B line 11</t>
  </si>
  <si>
    <t>The wastewater total of table 4E line 12 should equal the wastewater total of table 2B line 12</t>
  </si>
  <si>
    <t>The wastewater total of table 4E line 13 should equal the wastewater total of table 2B line 13</t>
  </si>
  <si>
    <t>Total gross capital expenditure (excluding third party services)</t>
  </si>
  <si>
    <t>The wastewater total of table 4E line 14 should equal the wastewater total of table 2B line 14</t>
  </si>
  <si>
    <t>The wastewater total of table 4E line 15 should equal the wastewater total of table 2B line 15</t>
  </si>
  <si>
    <t>The wastewater total of table 4E line 16 should equal the wastewater total of table 2B line 16</t>
  </si>
  <si>
    <t>The wastewater total of table 4E line 17 should equal the wastewater total of table 2B line 17</t>
  </si>
  <si>
    <t>The wastewater total of table 4E line 18 should equal the wastewater total of table 2B line 18</t>
  </si>
  <si>
    <t>The wastewater total of table 4E line 19 should equal the wastewater total of table 2B line 19</t>
  </si>
  <si>
    <t>The wastewater total of table 4E line 20 should equal the wastewater total of table 2B line 20</t>
  </si>
  <si>
    <t>The wastewater total of table 4E line 21 should equal the wastewater total of table 2B line 21</t>
  </si>
  <si>
    <t>Volume collected - foul</t>
  </si>
  <si>
    <t>Volume collected - surface water drainage</t>
  </si>
  <si>
    <t>Volume collected - highway drainage</t>
  </si>
  <si>
    <t>Biochemical Oxygen Demand (BOD) - sewage treatment and disposal</t>
  </si>
  <si>
    <t>Tonnes</t>
  </si>
  <si>
    <t>Biochemical Oxygen Demand (BOD) - sludge liquor treatment</t>
  </si>
  <si>
    <t>Volume transported - sludge transport</t>
  </si>
  <si>
    <t>m3</t>
  </si>
  <si>
    <t xml:space="preserve">Dried solid mass treated - sludge treatment </t>
  </si>
  <si>
    <t>ttds</t>
  </si>
  <si>
    <t xml:space="preserve">Dried solid mass disposed - sludge disposal </t>
  </si>
  <si>
    <t>£/unit</t>
  </si>
  <si>
    <t>Income received sales which are external to the appointed business and which directly relate to the wastewater processes. It should be input as a negative number. This will include;
Electricity sales from sources such as Hydro, PV, wind and CHP to external parties.
Electricity sales from back-up generators under the National Grid ‘STOR’.
Bio-methane gas sales to the National Grid.
Sludge and sludge products such as cake, granules etc. to external parties.</t>
  </si>
  <si>
    <t>Total cost of discharge consents by the environment agency or canal &amp; river trust.</t>
  </si>
  <si>
    <t>Total payments for bulk discharges.</t>
  </si>
  <si>
    <t>Total operating costs excluding third party services.   The sum of table 4E lines 1 to 6.</t>
  </si>
  <si>
    <t>Total operating expenditure for the wholesale business only within each business category. The sum of lines 4E.7 and 4E.8. This should reconcile to table 2A line 3.</t>
  </si>
  <si>
    <t>Any capital expenditure on infrastructure assets other than defined in table 4E line 10 excluding third party capex.</t>
  </si>
  <si>
    <t>Any capital expenditure on non-infrastructure assets other than defined in table 4E line 11 excluding third party capex.</t>
  </si>
  <si>
    <t>Total gross capital expenditure excluding third party services -  the sum of table 4E lines 10 to 13.</t>
  </si>
  <si>
    <t>Capital expenditure for providing third party services. See RAG 4 appendix 1</t>
  </si>
  <si>
    <t>The sum of table 4E lines 14 and 15.</t>
  </si>
  <si>
    <t xml:space="preserve">Grants and contributions received by the company relating to capital expenditure. This should agree to line 2B.17. Input as a positive number. </t>
  </si>
  <si>
    <t>The sum of table 4E lines 9 and 16 minus line 17.</t>
  </si>
  <si>
    <t>The sum of table 4E lines 18 to 20.</t>
  </si>
  <si>
    <t>22-29</t>
  </si>
  <si>
    <t>Unit cost. This is equal to total operating expenditure (table 4E line 9) divided by the unit for the column (table 4E line 22 to 29).</t>
  </si>
  <si>
    <t>Unit cost. This is equal to total operating expenditure (table 4E line 9) divided by table 4E line 31.</t>
  </si>
  <si>
    <t>4F - Operating cost analysis - household retail</t>
  </si>
  <si>
    <t>Household unmeasured</t>
  </si>
  <si>
    <t>Household measured</t>
  </si>
  <si>
    <t>Water only</t>
  </si>
  <si>
    <t>Wastewater only</t>
  </si>
  <si>
    <t>Water and wastewater</t>
  </si>
  <si>
    <t xml:space="preserve">The total of table 4F line 1 should equal the household total of table 2C line 1 </t>
  </si>
  <si>
    <t>The total of table 4F line 2 should equal the household total of table 2C line 2</t>
  </si>
  <si>
    <t>The total of table 4F line 3 should equal the household total of table 2C line 3</t>
  </si>
  <si>
    <t>The total of table 4F line 4 should equal the household total of table 2C line 4</t>
  </si>
  <si>
    <t>The total of table 4F line 5 should equal the household totals of table 2C line 5 and 6</t>
  </si>
  <si>
    <t>The total of table 4F line 6 should equal the household total of table 2C line 7</t>
  </si>
  <si>
    <t>The total of table 4F line 7 should equal the household total of table 2C line 8</t>
  </si>
  <si>
    <t>The total of table 4F line 8 should equal the household total of table 2C line 9</t>
  </si>
  <si>
    <t>The total of table 4F line 9 should equal the household total of table 2C line 10</t>
  </si>
  <si>
    <t>The total of table 4F line 10 should equal the household total of table 2C line 11</t>
  </si>
  <si>
    <t>The total of table 4F line 11 should equal the household total of table 2C line 12</t>
  </si>
  <si>
    <t>Demand-side efficiency and customer-side leaks analysis - Household</t>
  </si>
  <si>
    <t>Demand-side water efficiency - gross expenditure</t>
  </si>
  <si>
    <t>Demand-side water efficiency - expenditure funded by wholesale</t>
  </si>
  <si>
    <t>Demand-side water efficiency - net retail expenditure</t>
  </si>
  <si>
    <t>Customer-side leak repairs - gross expenditure</t>
  </si>
  <si>
    <t>Customer-side leak repairs - expenditure funded by wholesale</t>
  </si>
  <si>
    <t>Customer-side leak repairs - net retail expenditure</t>
  </si>
  <si>
    <t>Households unmeasured</t>
  </si>
  <si>
    <t>Households measured</t>
  </si>
  <si>
    <t>The costs associated with providing: 
• activities/services as defined in table 2C line 1; 
• to household unmeasured customers (as defined in paragraph 3.1 of RAG 2);
• in receipt of water only, sewerage only and combined water and sewerage services respectively from the company</t>
  </si>
  <si>
    <t>The costs associated with providing: 
• activities/services as defined in table 2C table 1; 
• to household measured customers (as defined in paragraph 3.1 of RAG 2);
• in receipt of water only, sewerage only and combined water and sewerage services respectively from the company</t>
  </si>
  <si>
    <t>The costs associated with providing:
• debt management activities/services as defined in table 2C line 2;
• to household unmeasured customers (as defined in paragraph 3.1 of RAG 2);
• in receipt of water only, sewerage only and combined water and sewerage services respectively from the company</t>
  </si>
  <si>
    <t>The costs associated with providing:
•  debt management activities/services as defined in table 2C line 2;
•  to household measured customers (as defined in paragraph 3.1 of RAG 2);
•  in receipt of water only, sewerage only and combined water and sewerage services respectively from the company</t>
  </si>
  <si>
    <t>The charge for bad and doubtful debts for household unmeasured customers (as defined in paragraph 3.1 of RAG 2) in receipt of water only, sewerage only and combined water and sewerage services respectively from the company</t>
  </si>
  <si>
    <t>The charge for bad and doubtful debts for household measured customers (as defined in paragraph 3.1 of RAG 2) in receipt of water only, sewerage only and combined water and sewerage services respectively from the company</t>
  </si>
  <si>
    <t>Not applicable for unmeasured</t>
  </si>
  <si>
    <t>The costs associated with providing meter reading services (as defined in table 2C line 4) for household measured customers (as defined in paragraph 3.1 of RAG 2) in receipt of water only, sewerage only and combined water and sewerage services respectively from the company</t>
  </si>
  <si>
    <t>Any other operating expenditure (as defined in table 2C line 6) incurred in serving household unmeasured customers (as defined in paragraph 3.1 of RAG 2) in receipt of water only, sewerage only and combined water and sewerage services respectively from the company</t>
  </si>
  <si>
    <t>Any other operating costs (as defined in table 2C line 6) incurred in serving household measured customers (as defined in paragraph 3.1 of RAG 2) in receipt of water only, sewerage only and combined water and sewerage services respectively from the company</t>
  </si>
  <si>
    <t>Total retail operating expenditure (excluding third party services) for unmeasured households (as defined in paragraph 3.1 of RAG 2) in receipt of water only, sewerage only and combined water and sewerage services respectively from the company. The sum of table 4F lines 1 to 5.</t>
  </si>
  <si>
    <t>Total retail operating expenditure (excluding third party services) for measured households (as defined in paragraph 3.1 of RAG 2) in receipt of water only, sewerage only and combined water and sewerage services respectively from the company. The sum of table 4F lines 1 to 5.</t>
  </si>
  <si>
    <t>The operating costs of providing appointed household unmeasured retail services to third parties.</t>
  </si>
  <si>
    <t>The operating costs of providing appointed household measured retail services to third parties.</t>
  </si>
  <si>
    <t>Total operating expenditure in respect of the household retail business for unmeasured water only, sewerage only and water and sewerage customers. The sum of table 4F lines 6 and 7.</t>
  </si>
  <si>
    <t>Total operating expenditure in respect of the household retail business for measured water only, sewerage only and water and sewerage customers. The sum of table 4F lines 6 and 7.</t>
  </si>
  <si>
    <t>Depreciation on tangible assets used wholly or principally for the household retail business (as defined in paragraph 2.3 of RAG 2) split between household unmeasured customers (as defined in paragraph 3.1 of RAG 2) in receipt of water only, sewerage only and combined water and sewerage services respectively from the company.</t>
  </si>
  <si>
    <t>Depreciation on tangible assets used wholly or principally for the household retail business (as defined in paragraph 2.3 of RAG 2) split between household measured customers (as defined in paragraph 3.1 of RAG 2) in receipt of water only, sewerage only and combined water and sewerage services respectively from the company.</t>
  </si>
  <si>
    <t>Amortisation of intangible assets used wholly or principally for the household retail business (as defined in paragraph 2.3 of RAG 2) split between household unmeasured customers (as defined in paragraph 3.1 of RAG 2) in receipt of water only, sewerage only and combined water and sewerage services respectively from the company.</t>
  </si>
  <si>
    <t>Amortisation of intangible assets used wholly or principally for the household retail business (as defined in paragraph 2.3 of RAG 2) split between household measured customers (as defined in paragraph 3.1 of RAG 2) in receipt of water only, sewerage only and combined water and sewerage services respectively from the company.</t>
  </si>
  <si>
    <t>Total operating costs in respect of the household retail business for unmeasured water only, sewerage only and water and sewerage customers. The sum of table 4F lines 8 to 10.</t>
  </si>
  <si>
    <t>Total operating costs respect of the household retail business for measured water only, sewerage only and water and sewerage customers. The sum of table 4F lines 8 to 10.</t>
  </si>
  <si>
    <t>The total retail operating costs of providing water efficiency services to household customers, including: 
• Promotion of water saving initiatives - Production of customer literature and customer awareness campaigns; 
• Retro-fitting of water saving devices – Provision of advice and devices to customers; 
• Water efficiency audits – water and energy conservation, optimisation of systems, advice and investigations into usage; 
• Data logging</t>
  </si>
  <si>
    <t>The retail operating costs of providing water efficiency services (as defined in table 4F line 12) to household customers that are funded by the wholesale business</t>
  </si>
  <si>
    <t>The retail operating costs of providing water efficiency services (as defined in table 4F line 12) to household customers net of any operating costs that are funded by the wholesale business table  4F line 12 less line 13.</t>
  </si>
  <si>
    <t>The total retail operating costs associated with household customer side leaks, to include:
• Investigations - Activities from enquiries relating to customer-side leaks, including site visits, the use of pipe locating equipment and any attendance on sites during excavations;
• Resolution – Activities comprising pipe repairs and replacement;
• Free leak repairs</t>
  </si>
  <si>
    <t>The retail operating costs associated with household customer side leaks (as defined in table 4F line 15) that are funded by the wholesale business</t>
  </si>
  <si>
    <t>The retail operating costs associated with household customer side leaks (as defined in table 4F line 15) net of any operating costs that are funded by the wholesale business table 4F line 15 less line 16.</t>
  </si>
  <si>
    <t>4G - Wholesale current cost financial performance</t>
  </si>
  <si>
    <t>Capital maintenance charges</t>
  </si>
  <si>
    <t>Current cost operating profit</t>
  </si>
  <si>
    <t>Total should equal to table 1A line 5 On the assumption that there is no material debt in retail business.</t>
  </si>
  <si>
    <t>Total should equal to table 1A line 6 On the assumption that there is no material debt in retail business.</t>
  </si>
  <si>
    <t>Total should equal to table 1A line 7 On the assumption that there is no material debt in retail business.</t>
  </si>
  <si>
    <t>Other interest expense</t>
  </si>
  <si>
    <t>Total should equal to table 1A line 8 On the assumption that there is no material debt in retail business.</t>
  </si>
  <si>
    <t>Current cost profit before tax and fair value movements</t>
  </si>
  <si>
    <t>Total should equal to table 1A line 10 On the assumption that there is no material debt in retail business.</t>
  </si>
  <si>
    <t>Current cost profit before tax</t>
  </si>
  <si>
    <t>Appointed – Total wholesale revenue that is within the scope of the price control, together with revenue that is outside of the price control.
The totals for water and wastewater will agree to table 2A lines 1 and 2 for each control.</t>
  </si>
  <si>
    <t>Total operating expenditure. This should reconcile to wholesale operating expenditure in table 2B for each control.
The totals for water and wastewater will agree to the respective totals of table 2B line 9.</t>
  </si>
  <si>
    <t>Capital maintenance charge of a similar magnitude to that previously reported for current cost depreciation for above ground assets and infrastructure renewals charges for below ground assets. Please see RAG1 section 2 for more information on how to calculate this.</t>
  </si>
  <si>
    <t>Other operating income split over the four price controls. This should agree to table 2A line 6 for each control.</t>
  </si>
  <si>
    <t>The sum of table 4G lines 1 to 4.</t>
  </si>
  <si>
    <t>Equal to table 1A line 5 On the assumption that there is no material debt in retail business.</t>
  </si>
  <si>
    <t>Equal to table 1A line 6 On the assumption that there is no material debt in retail business.</t>
  </si>
  <si>
    <t>Equal to table 1A line 7 On the assumption that there is no material debt in retail business.</t>
  </si>
  <si>
    <t>Equal to table 1A line 8 On the assumption that there is no material debt in retail business.</t>
  </si>
  <si>
    <t>The sum of table 4G lines 5 to 9</t>
  </si>
  <si>
    <t>Equal to table 1A line 10 On the assumption that there is no material debt in retail business.</t>
  </si>
  <si>
    <t>The sum of table 4G lines 10 to 11</t>
  </si>
  <si>
    <t>4H - Financial metrics</t>
  </si>
  <si>
    <t>Metric</t>
  </si>
  <si>
    <t>Financial indicators</t>
  </si>
  <si>
    <t>Net debt</t>
  </si>
  <si>
    <t>Regulated equity</t>
  </si>
  <si>
    <t>Regulated gearing</t>
  </si>
  <si>
    <t>Post tax return on regulated equity</t>
  </si>
  <si>
    <t>RORE (return on regulated equity)</t>
  </si>
  <si>
    <t>Dividend yield</t>
  </si>
  <si>
    <t>Retail profit margin - Household</t>
  </si>
  <si>
    <t>(The sum of table 2I lines 9 and 13 less table 2C line 9 less table 2I line 4 less table 2I line 9) / (The sum of table 2I lines 9 and 13), expressed as a percentage</t>
  </si>
  <si>
    <t>Retail profit margin - Non household</t>
  </si>
  <si>
    <t>Credit rating</t>
  </si>
  <si>
    <t>n/a</t>
  </si>
  <si>
    <t>Baa2</t>
  </si>
  <si>
    <t>Return on RCV</t>
  </si>
  <si>
    <t>Dividend cover</t>
  </si>
  <si>
    <t>dec</t>
  </si>
  <si>
    <t>Funds from operations (FFO)</t>
  </si>
  <si>
    <t>Interest cover (cash)</t>
  </si>
  <si>
    <t>Adjusted interest cover (cash)</t>
  </si>
  <si>
    <t>FFO/Debt</t>
  </si>
  <si>
    <t>Effective tax rate</t>
  </si>
  <si>
    <t>RCF</t>
  </si>
  <si>
    <t>RCF/capex</t>
  </si>
  <si>
    <t>Revenue and earnings</t>
  </si>
  <si>
    <t>Revenue (actual)</t>
  </si>
  <si>
    <t>EBITDA (actual)</t>
  </si>
  <si>
    <t>Proportion of borrowings which are fixed rate</t>
  </si>
  <si>
    <t>Proportion of borrowings which are floating rate</t>
  </si>
  <si>
    <t>Proportion of borrowings which are index linked</t>
  </si>
  <si>
    <t>The total of table 4H lines 21 to 23 should equal 100%</t>
  </si>
  <si>
    <t>Proportion of borrowings due within 1 year or less</t>
  </si>
  <si>
    <t>Proportion of borrowings due in more than 1 year but no more than 2 years</t>
  </si>
  <si>
    <t>Proportion of borrowings due in more than 2 years but but no more than 5 years</t>
  </si>
  <si>
    <t>Proportion of borrowings due in more than 5 years but no more than 20 years</t>
  </si>
  <si>
    <t>Proportion of borrowings due in more than 20 years</t>
  </si>
  <si>
    <t>The total of table 4H lines 24 to 28 should equal 100%</t>
  </si>
  <si>
    <t xml:space="preserve">The sum of table 1E lines 3 to 5. Equal to table 1E line 6. </t>
  </si>
  <si>
    <t>Regulated equity is calculated as year-end regulated capital value (RCV) less net debt at the period end. Equal to table 4C line 1 less table 1E line 6.</t>
  </si>
  <si>
    <t>Regulatory gearing calculated as net debt in table 1E line 6 divided by RCV in table 4C line 1. Equal to table 1E line 7.</t>
  </si>
  <si>
    <t>Profit after current tax for the appointed business for the year as a % of average regulated equity. Profit after current tax should exclude any fair value gains losses on financial derivatives (table 1A line 9 less line 12). For this metric average regulated equity is a simple average of the regulated equity at the start and end of the year. Regulated equity at each year end is calculated in table 4H line 2. The opening regulated equity at 31 March 2015 should be calculated after the impact of any midnight adjustment to RCV.</t>
  </si>
  <si>
    <t xml:space="preserve">RORE calculates the returns on a regulatory basis by reference to the notional gearing level of 62.5% and average RCV for each year. Where a regulated business ceases to undertake a particular activity (e.g. exiting the non-household retail market), then a note should be included setting out how this has impacted on the RORE compared to the base RORE set at FD.
The base RORE set at the final determination should be adjusted for the following factors net of any tax impact. 1) the company share of totex out or under performance. This should reflect genuine out or underperformance only. Any totex over or underspend which is due to timing (i.e. re-profiling of expenditure within the AMP) should not be recognised as out or under performance for the purpose of the calculation of RORE. 2) The company share of any out or underperformance on retail costs. 3) the impact on the RCV run off of the out or under performance of totex 4) The impact of any ODI or SIM penalties or rewards earned in the year, even if they are not payable/receivable until the following AMP. 5) The difference between the actual average interest rate paid on borrowings (in real terms) and the allowed interest rate (real) on notional debt. This should be calculated based on the notional capital structure i.e difference in actual interest rate and allowed interest rate multiplied by notional net debt. When calculating the actual real interest rate paid from the actual nominal interest rate paid the actual inflation should be used and not the long term inflation assumption which was used by Ofwat in setting the cost of debt.
RORE should be presented on a cumulative basis and should recognise gains and losses made in the period from the start of the AMP to the date of the APR.
</t>
  </si>
  <si>
    <t>1
2
3
4
5
6
7
8
9
10
11
12
13
14
15
16
17
18
19
20</t>
  </si>
  <si>
    <t>Calculated as the total appointee dividend for the year (as would be included in the statement of changes in equity) less any dividends paid to a holding company solely to enable that company to pay interest on an intergroup loan from the appointee/ divided by actual year end regulated equity (table 4H line 2)</t>
  </si>
  <si>
    <t>The retail profit margins should be calculated as earnings before interest and tax (after deducting wholesale charges) divided by total revenue charged to household or non-household customers respectively.</t>
  </si>
  <si>
    <t>Credit rating (corporate family where available) issued by a recognised credit rating agency. This should be the credit rating that is linked to each company's licence where applicable. If companies are rated by more than one credit rating agency then only the lowest rating needs to be included.</t>
  </si>
  <si>
    <t>Calculated as profit before interest less current tax (table 1A line 4 plus table 1A line 5 less table 1A line 12) divided by the average RCV for the year. This can be sourced from the annual OFWAT RCV publication. It should be used in the year average price base for the year as it appears on the website. This is after the impact of any midnight adjustment to RCV from the previous price control period.</t>
  </si>
  <si>
    <t>Profits of the appointed business for the year before dividends (table 1A line 14) divided by total appointee dividend for the year ((as would be included in the statement of changes in equity) less any dividends paid to a holding company solely to enable that company to pay interest on an intergroup loan from the appointee).</t>
  </si>
  <si>
    <t>Funds from operations (FFO) is net cash generated from operating activities adjusted to remove the changes in working capital. We acknowledge that our approach to calculating this differs from some of the methodologies applied by the credit rating agencies.</t>
  </si>
  <si>
    <t>Interest cover (cash) equal to (FFO as calculated above plus interest paid on borrowings)/ interest paid on borrowings. Interest paid on borrowings excludes any accretion of interest linked debt which is a non cash item.</t>
  </si>
  <si>
    <t>Adjusted interest cover (cash) equal to (FFO as calculated above plus interest paid on borrowings less regulatory depreciation)/ interest paid on borrowings. Interest paid on borrowings excludes any accretion of interest linked debt which is a non cash item. Regulatory deprecation is defined in the final determinations and should be adjusted to the year-end price base. The regulatory depreciation figures are published by Ofwat each year.</t>
  </si>
  <si>
    <t>Ratio of FFO to net debt. We acknowledge that our approach to calculating this differs from some of the methodologies applied by the credit rating agencies.</t>
  </si>
  <si>
    <t>Effective tax rate is the current tax charge for the appointed business before any adjustments in respect of prior period, as a % of the profit before taxation for the appointed business.</t>
  </si>
  <si>
    <t>Equal to table 4H line 12 less table 1D line 19.</t>
  </si>
  <si>
    <t>Equal to table 4H line 17 divided by table 1D line 13.</t>
  </si>
  <si>
    <t>Equal to table 2A line 1.</t>
  </si>
  <si>
    <t>EBITDA (earnings before interest, tax, depreciation and amortisation) should be calculated using the price control revenue as set out in table 4H line 19 and the associated costs. It should include only amounts which are relevant to the price control.</t>
  </si>
  <si>
    <t>Equal to table 1E line 1 (fixed rate) plus table 1E line 2 divided by table 1E line 3.</t>
  </si>
  <si>
    <t>Equal to table 1E line 1 (floating rate) divided by table 1E line 3.</t>
  </si>
  <si>
    <t>Equal to table 1E line 1 (index linked) divided by table 1E line 3.</t>
  </si>
  <si>
    <t>24-28</t>
  </si>
  <si>
    <t>In these lines please provide details of the % of borrowings (table 1E line 3) which fall into each category.</t>
  </si>
  <si>
    <t>4H - Table guidance</t>
  </si>
  <si>
    <t>Table 4H requires companies to provide a RORE figure for the period from the start of the AMP to the reporting date.
We previously provided guidance as to the approach that companies should use when calculating an annual RORE figure. 
Consistent with the approach that we used at PR14 companies should calculate an annual RORE figure for each year and the figure that they should then provide in table 4H is an arithmetic average of the annual RORE for each year since the start of the AMP.
In addition, when translating between real and nominal figures companies should be using the Fisher equation.   (1 + nominal) = (1 + real)  x (1 + inflation)</t>
  </si>
  <si>
    <t>1
2
3
4
5
6
7
8
9
10
11
12</t>
  </si>
  <si>
    <t>4I - Financial derivatives</t>
  </si>
  <si>
    <t>Nominal value by maturity (net)</t>
  </si>
  <si>
    <t>Total value</t>
  </si>
  <si>
    <t>Total accretion
£m</t>
  </si>
  <si>
    <t>Interest rate
(weighted average)</t>
  </si>
  <si>
    <t>Completion &amp; consistency</t>
  </si>
  <si>
    <t>1 to 2 years</t>
  </si>
  <si>
    <t>2 to 5 years</t>
  </si>
  <si>
    <t>Over 5 years</t>
  </si>
  <si>
    <t>Nominal value (net)</t>
  </si>
  <si>
    <t>Mark to Market</t>
  </si>
  <si>
    <t>Payable</t>
  </si>
  <si>
    <t>Receivable</t>
  </si>
  <si>
    <t>Derivative type</t>
  </si>
  <si>
    <t>Interest rate swap (sterling)</t>
  </si>
  <si>
    <t>Floating to fixed rate</t>
  </si>
  <si>
    <t>Floating from fixed rate</t>
  </si>
  <si>
    <t>Floating to index linked</t>
  </si>
  <si>
    <t>Floating from index linked</t>
  </si>
  <si>
    <t>Fixed to index-linked</t>
  </si>
  <si>
    <t>Fixed from index-linked</t>
  </si>
  <si>
    <t>Foreign Exchange</t>
  </si>
  <si>
    <t>Cross currency swap USD</t>
  </si>
  <si>
    <t xml:space="preserve">£m </t>
  </si>
  <si>
    <t>Cross currency swap EUR</t>
  </si>
  <si>
    <t>Cross currency swap YEN</t>
  </si>
  <si>
    <t>Cross currency swap Other</t>
  </si>
  <si>
    <t xml:space="preserve">Currency interest rate </t>
  </si>
  <si>
    <t>Currency interest rate swaps USD</t>
  </si>
  <si>
    <t>Currency interest rate swaps EUR</t>
  </si>
  <si>
    <t>Currency interest rate swaps YEN</t>
  </si>
  <si>
    <t>Currency interest rate swaps Other</t>
  </si>
  <si>
    <t>Forward currency contracts</t>
  </si>
  <si>
    <t>Forward currency contracts USD</t>
  </si>
  <si>
    <t>Forward currency contracts EUR</t>
  </si>
  <si>
    <t>Forward currency contracts YEN</t>
  </si>
  <si>
    <t>Forward currency contracts Other</t>
  </si>
  <si>
    <t>Other financial derivatives</t>
  </si>
  <si>
    <t>Total financial derivatives</t>
  </si>
  <si>
    <t>Please provide explanation why 'Nominal value net' does not equal the 'Financial instruments' totals from table 1C.</t>
  </si>
  <si>
    <t xml:space="preserve"> </t>
  </si>
  <si>
    <t>Financial instruments through which floating interest rate liabilities are converted into fixed rate interest rate liabilities. Where the rate payable on an instrument is designated as a margin over a specified reference rate (e.g. 6 Month Libor plus X%), please include an assumption of the reference rate to determine the rate payable. Please provide details of any assumptions that have been made in a note to the table.</t>
  </si>
  <si>
    <t>Financial instruments through which floating interest rate liabilities are converted from fixed rate interest rate liabilities. Where the rate payable on an instrument is designated as a margin over a specified reference rate (e.g. 6 Month Libor plus X%), please include an assumption of the reference rate to determine the rate payable. Please provide details of any assumptions that have been made in a note to the table.</t>
  </si>
  <si>
    <t>Financial instruments through which floating interest rate liabilities are converted into inflation linked interest rate liabilities. Where the rate payable on an instrument is designated as a margin over a specified reference rate (e.g. 6 Month Libor plus X%), please include an assumption of the reference rate to determine the rate payable. Please provide details of any assumptions that have been made in a note to the table.</t>
  </si>
  <si>
    <t>Financial instruments through which floating interest rate liabilities are converted from inflation linked interest rate liabilities. Where the rate payable on an instrument is designated as a margin over a specified reference rate (e.g. 6 Month Libor plus X%), please include an assumption of the reference rate to determine the rate payable. Please provide details of any assumptions that have been made in a note to the table.</t>
  </si>
  <si>
    <t>Financial instruments through which fixed interest rate liabilities are converted into inflation linked interest rate liabilities. Where the rate payable on an instrument is designated as a margin over a specified reference rate (e.g. 6 Month Libor plus X%), please include an assumption of the reference rate to determine the rate payable. Please provide details of any assumptions that have been made in a note to the table.</t>
  </si>
  <si>
    <t>Financial instruments through which fixed interest rate liabilities are converted from inflation linked interest rate liabilities. Where the rate payable on an instrument is designated as a margin over a specified reference rate (e.g. 6 Month Libor plus X%), please include an assumption of the reference rate to determine the rate payable. Please provide details of any assumptions that have been made in a note to the table.</t>
  </si>
  <si>
    <t>The total of the interest rate swaps. The sum of table 4I lines 1 to 6.</t>
  </si>
  <si>
    <t>Financial instruments which convert debt liabilities from US Dollars into Pounds Sterling</t>
  </si>
  <si>
    <t>Financial instruments which convert debt liabilities from Euro into Pounds Sterling</t>
  </si>
  <si>
    <t>Financial instruments which convert debt liabilities from Yen into Pounds Sterling</t>
  </si>
  <si>
    <t>Financial instruments which convert debt liabilities from currencies other than US Dollars, Euro or Yen into Pounds Sterling</t>
  </si>
  <si>
    <t>Total of currency swap financial instruments. The sum of table 4I lines 8 to 11.</t>
  </si>
  <si>
    <t>Financial instruments which convert currency in which interest is paid or payable from US Dollars into Pounds Sterling</t>
  </si>
  <si>
    <t>Financial instruments which convert currency in which interest is paid or payable from Euro into Pounds Sterling</t>
  </si>
  <si>
    <t>Financial instruments which convert currency in which interest is paid or payable from Yen into Pounds Sterling</t>
  </si>
  <si>
    <t>Financial instruments which convert currency in which interest is paid or payable from currencies other than US Dollars, Euro or Yen into Pounds Sterling</t>
  </si>
  <si>
    <t>Total of instruments which convert the currency in which interest is paid between sterling and another currency. The sum of table 4I lines 13 to 16.</t>
  </si>
  <si>
    <t>Forward contracts which convert future debt obligations from US Dollars into Pounds Sterling</t>
  </si>
  <si>
    <t>Forward contracts which convert future debt obligations from Euro into Pounds Sterling</t>
  </si>
  <si>
    <t>Forward contracts which convert future debt obligations from Yen into Pounds Sterling</t>
  </si>
  <si>
    <t>Forward contracts which convert future debt obligations from currencies other than US Dollars, Euro or Yen into Pounds Sterling</t>
  </si>
  <si>
    <t>Total of forward contracts which convert debt between currencies. The sum of table 4I lines 18 to 21.</t>
  </si>
  <si>
    <t>Other financial derivatives (e.g. power) not already included in table 4I lines 1 to 22.</t>
  </si>
  <si>
    <t>The sum of table 4I lines 7, 12, 17, 22 and 23. The 'Nominal value (net)' should equal the 'Financial instruments' totals from table 1C (i.e. the sum of table 1C lines 5, 10, 16 and 23).</t>
  </si>
  <si>
    <t>Lists etc</t>
  </si>
  <si>
    <t>Fountain name</t>
  </si>
  <si>
    <t>Name</t>
  </si>
  <si>
    <t>Acronym</t>
  </si>
  <si>
    <t>WaSC or Woc</t>
  </si>
  <si>
    <t>Table 3A drop down lists</t>
  </si>
  <si>
    <t>Select company</t>
  </si>
  <si>
    <t>WaSC</t>
  </si>
  <si>
    <t>Anglian Water Services</t>
  </si>
  <si>
    <t>Anglian Water</t>
  </si>
  <si>
    <t>ANH</t>
  </si>
  <si>
    <t>Column H</t>
  </si>
  <si>
    <t>Dwr Cymru Cyfyngedig (Welsh)</t>
  </si>
  <si>
    <t>Dŵr Cymru</t>
  </si>
  <si>
    <t>WSH</t>
  </si>
  <si>
    <t>Northumbrian Water Ltd</t>
  </si>
  <si>
    <t>Northumbrian Water</t>
  </si>
  <si>
    <t>NES</t>
  </si>
  <si>
    <t>Severn Trent Water Ltd</t>
  </si>
  <si>
    <t>Severn Trent Water</t>
  </si>
  <si>
    <t>SVT</t>
  </si>
  <si>
    <t>South West Water Ltd</t>
  </si>
  <si>
    <t>South West Water</t>
  </si>
  <si>
    <t>SWT</t>
  </si>
  <si>
    <t>Southern Water Services Ltd</t>
  </si>
  <si>
    <t>Southern Water</t>
  </si>
  <si>
    <t>SRN</t>
  </si>
  <si>
    <t>Column I &amp; K</t>
  </si>
  <si>
    <t>Thames Water Utilities Ltd</t>
  </si>
  <si>
    <t>Thames Water</t>
  </si>
  <si>
    <t>TMS</t>
  </si>
  <si>
    <t>United Utilities Water Plc</t>
  </si>
  <si>
    <t>United Utilities</t>
  </si>
  <si>
    <t>NWT</t>
  </si>
  <si>
    <t>Wessex Water Services Ltd</t>
  </si>
  <si>
    <t>Wessex Water</t>
  </si>
  <si>
    <t>WSX</t>
  </si>
  <si>
    <t>Penalty</t>
  </si>
  <si>
    <t>Yorkshire Water Services Ltd</t>
  </si>
  <si>
    <t>YKY</t>
  </si>
  <si>
    <t>Affinity Water</t>
  </si>
  <si>
    <t>afw</t>
  </si>
  <si>
    <t>WoC</t>
  </si>
  <si>
    <t>Bristol Water plc</t>
  </si>
  <si>
    <t>Bristol Water</t>
  </si>
  <si>
    <t>brl</t>
  </si>
  <si>
    <t>Dee Valley Water Plc</t>
  </si>
  <si>
    <t>Dee Valley Water</t>
  </si>
  <si>
    <t>dvw</t>
  </si>
  <si>
    <t>Portsmouth Water Ltd</t>
  </si>
  <si>
    <t>Portsmouth Water</t>
  </si>
  <si>
    <t>prt</t>
  </si>
  <si>
    <t>Sembcorp Bournemouth Water</t>
  </si>
  <si>
    <t>Bournemouth Water</t>
  </si>
  <si>
    <t>sbw</t>
  </si>
  <si>
    <t>South East Water Ltd</t>
  </si>
  <si>
    <t>South East Water</t>
  </si>
  <si>
    <t>sew</t>
  </si>
  <si>
    <t>South Staffordshire Cambridge</t>
  </si>
  <si>
    <t>South Staffordshire / Cambridge Water</t>
  </si>
  <si>
    <t>ssc</t>
  </si>
  <si>
    <t>Sutton &amp; East Surrey Water Ltd</t>
  </si>
  <si>
    <t>Sutton &amp; East Surrey Water</t>
  </si>
  <si>
    <t>ses</t>
  </si>
  <si>
    <t>Thames Tideway Tunnel</t>
  </si>
  <si>
    <t>Bazalgette Tunnel Ltd (Tideway)</t>
  </si>
  <si>
    <t>TTT</t>
  </si>
  <si>
    <t>See the 'PC category count'
worksheet for totals by company</t>
  </si>
  <si>
    <t>&lt;---------------   AMP6 committed performance levels   -----------------&gt;</t>
  </si>
  <si>
    <t>&lt;-------------  PR14 comparative assessments  -------------&gt;</t>
  </si>
  <si>
    <t>Financial ODI/milestone may accrue or apply</t>
  </si>
  <si>
    <t>Penalty collar</t>
  </si>
  <si>
    <t>Reward cap</t>
  </si>
  <si>
    <t>Penalty 1</t>
  </si>
  <si>
    <t>Penalty 2</t>
  </si>
  <si>
    <t>Penalty 3</t>
  </si>
  <si>
    <t>Penalty 4</t>
  </si>
  <si>
    <t>Reward 1</t>
  </si>
  <si>
    <t>Reward 2</t>
  </si>
  <si>
    <t>2016 APR submission data (monetary amounts in 2012-13 prices)</t>
  </si>
  <si>
    <t>Company</t>
  </si>
  <si>
    <t>Company type</t>
  </si>
  <si>
    <t>Element</t>
  </si>
  <si>
    <t>Element acronym</t>
  </si>
  <si>
    <t>Outcome</t>
  </si>
  <si>
    <t>PC ref.
(company)</t>
  </si>
  <si>
    <t>Annex 4 order</t>
  </si>
  <si>
    <t>ODI type</t>
  </si>
  <si>
    <t>Form of
reward/ penalty</t>
  </si>
  <si>
    <t>In-period ODI</t>
  </si>
  <si>
    <t>Standard ('vanilla') financial ODI</t>
  </si>
  <si>
    <t>Primary category</t>
  </si>
  <si>
    <t>PC unit</t>
  </si>
  <si>
    <t>PC unit description</t>
  </si>
  <si>
    <t>CPL direction when improving</t>
  </si>
  <si>
    <t>2014-15
starting level
(PR14 FD)</t>
  </si>
  <si>
    <t>2015-16
CPL</t>
  </si>
  <si>
    <t>2016-17
CPL</t>
  </si>
  <si>
    <t>2017-18
CPL</t>
  </si>
  <si>
    <t>2018-19
CPL</t>
  </si>
  <si>
    <t>2019-20
CPL</t>
  </si>
  <si>
    <t>Drinking water quality compliance</t>
  </si>
  <si>
    <t>Water quality contacts</t>
  </si>
  <si>
    <t>Supply interruptions (&gt;3 hours)</t>
  </si>
  <si>
    <t>Pollution incidents (cat 3)</t>
  </si>
  <si>
    <t>Internal sewer flooding</t>
  </si>
  <si>
    <t>Scheme specific factors
(all or part)</t>
  </si>
  <si>
    <t>Asset health/ resilience
(all or part)</t>
  </si>
  <si>
    <t>NEP
(all or part)</t>
  </si>
  <si>
    <t>AIM</t>
  </si>
  <si>
    <t>No. of
sub-measures</t>
  </si>
  <si>
    <t>2015-16</t>
  </si>
  <si>
    <t>2016-17</t>
  </si>
  <si>
    <t>2017-18</t>
  </si>
  <si>
    <t>2018-19</t>
  </si>
  <si>
    <t>2019-20</t>
  </si>
  <si>
    <t>incentive rate
(£m)</t>
  </si>
  <si>
    <t>Standard ODI operand</t>
  </si>
  <si>
    <t>Standard ODI operand note</t>
  </si>
  <si>
    <t>2014-15 performance level
- actual</t>
  </si>
  <si>
    <t>2015-16 performance level
- actual</t>
  </si>
  <si>
    <t>2015-16
CPL met?</t>
  </si>
  <si>
    <t>2015-16
reward or penalty
(in-period ODIs)</t>
  </si>
  <si>
    <t>2015-16
reward or penalty
in-period ODIs (£m)</t>
  </si>
  <si>
    <t>Notional reward or penalty accrued at
31 March 2016</t>
  </si>
  <si>
    <t>Notional reward or penalty accrued at
31 March 2016 (£m)</t>
  </si>
  <si>
    <t>Total AMP6
reward or penalty
31 March 2020 forecast</t>
  </si>
  <si>
    <t>Total AMP6
reward or penalty
31 March 2020 forecast (£m)</t>
  </si>
  <si>
    <t>Comparative assessment
(this column will not be loaded onto the Fountain database)</t>
  </si>
  <si>
    <t>For temporary use
(this column will not be loaded onto the Fountain database)</t>
  </si>
  <si>
    <t>AFW</t>
  </si>
  <si>
    <t>PR14AFWWSW_W-A1</t>
  </si>
  <si>
    <t>WSW</t>
  </si>
  <si>
    <t>Making sure our customers have enough water, whilst leaving more water in the environment</t>
  </si>
  <si>
    <t>W-A1</t>
  </si>
  <si>
    <t>AFW-01</t>
  </si>
  <si>
    <t>W-A1: Leakage</t>
  </si>
  <si>
    <t>R&amp;P</t>
  </si>
  <si>
    <t xml:space="preserve">Revenue </t>
  </si>
  <si>
    <t>Leakage</t>
  </si>
  <si>
    <t>Megalitres per day (Ml/d)</t>
  </si>
  <si>
    <t>Down</t>
  </si>
  <si>
    <t>na</t>
  </si>
  <si>
    <t/>
  </si>
  <si>
    <t>AFW W-A1: Leakage</t>
  </si>
  <si>
    <t>PR14AFWWSW_W-A2</t>
  </si>
  <si>
    <t>W-A2</t>
  </si>
  <si>
    <t>AFW-02</t>
  </si>
  <si>
    <t>W-A2: Average water use</t>
  </si>
  <si>
    <t>PO</t>
  </si>
  <si>
    <t>Water consumption</t>
  </si>
  <si>
    <t>Litres per person per day (l/p/d)</t>
  </si>
  <si>
    <t>AFW W-A2: Average water use</t>
  </si>
  <si>
    <t>Penalties will be applied based upon a pass/fail assessment in year 3 (2017-18) and year 5 (2019-20) against PC for that year</t>
  </si>
  <si>
    <t>PR14AFWWSW_W-A3</t>
  </si>
  <si>
    <t>W-A3</t>
  </si>
  <si>
    <t>AFW-03</t>
  </si>
  <si>
    <t>W-A3: Water available for use</t>
  </si>
  <si>
    <t>Security of supply</t>
  </si>
  <si>
    <t>AFW W-A3: Water available for use</t>
  </si>
  <si>
    <t>Penalties will be applied based upon a pass/fail assessment in year 3 (2017-18) and year 5 (2019-20) against the PC for that year</t>
  </si>
  <si>
    <t>PR14AFWWSW_W-A4</t>
  </si>
  <si>
    <t>W-A4</t>
  </si>
  <si>
    <t>AFW-04</t>
  </si>
  <si>
    <t>W-A4: Sustainable abstraction reductions</t>
  </si>
  <si>
    <t>Water resources/ abstraction</t>
  </si>
  <si>
    <t>AFW W-A4: Sustainable abstraction reductions</t>
  </si>
  <si>
    <t>PR14AFWWSW_W-A5</t>
  </si>
  <si>
    <t>W-A5</t>
  </si>
  <si>
    <t>AFW-05</t>
  </si>
  <si>
    <t>W-A5: Abstraction incentive mechanism (AIM)</t>
  </si>
  <si>
    <t>NFI</t>
  </si>
  <si>
    <t>TBC</t>
  </si>
  <si>
    <t>AFW W-A5: Abstraction incentive mechanism (AIM)</t>
  </si>
  <si>
    <t>PR14AFWWSW_W-B1</t>
  </si>
  <si>
    <t>Supplying high quality water you can trust</t>
  </si>
  <si>
    <t>W-B1</t>
  </si>
  <si>
    <t>AFW-06</t>
  </si>
  <si>
    <t>W-B1: Compliance with water quality standards (mean zonal compliance)</t>
  </si>
  <si>
    <t>Water quality compliance</t>
  </si>
  <si>
    <t>Mean zonal compliance (%)</t>
  </si>
  <si>
    <t>Up</t>
  </si>
  <si>
    <t>AFW W-B1: Compliance with water quality standards (mean zonal compliance)</t>
  </si>
  <si>
    <t>This will be a pass/fail annual assessment against the PC</t>
  </si>
  <si>
    <t>PR14AFWWSW_W-B2</t>
  </si>
  <si>
    <t>W-B2</t>
  </si>
  <si>
    <t>AFW-07</t>
  </si>
  <si>
    <t>W-B2: Customer contacts for discolouration</t>
  </si>
  <si>
    <t>No. per 1,000 population</t>
  </si>
  <si>
    <t>AFW W-B2: Customer contacts for discolouration</t>
  </si>
  <si>
    <t>PR14AFWWSW_W-C1</t>
  </si>
  <si>
    <t>Minimising disruption to you and your community</t>
  </si>
  <si>
    <t>W-C1</t>
  </si>
  <si>
    <t>AFW-08</t>
  </si>
  <si>
    <t>W-C1: Unplanned interruptions to supply over 12 hours</t>
  </si>
  <si>
    <t>Supply interruptions</t>
  </si>
  <si>
    <t>No. of properties</t>
  </si>
  <si>
    <t>AFW W-C1: Unplanned interruptions to supply over 12 hours</t>
  </si>
  <si>
    <t>PR14AFWWSW_W-C2</t>
  </si>
  <si>
    <t>W-C2</t>
  </si>
  <si>
    <t>AFW-09</t>
  </si>
  <si>
    <t>W-C2: Number of burst mains</t>
  </si>
  <si>
    <t>Asset health - water</t>
  </si>
  <si>
    <t>No. of burst mains per year</t>
  </si>
  <si>
    <t>AFW W-C2: Number of burst mains</t>
  </si>
  <si>
    <t>PR14AFWWSW_W-C3</t>
  </si>
  <si>
    <t>W-C3</t>
  </si>
  <si>
    <t>AFW-10</t>
  </si>
  <si>
    <t>W-C3: Affected customers not notified of planned interruptions</t>
  </si>
  <si>
    <t>No. of GSS events</t>
  </si>
  <si>
    <t>AFW W-C3: Affected customers not notified of planned interruptions</t>
  </si>
  <si>
    <t>While there is no financial ODI, every domestic property affected will receive an enhanced GSS compensation payment of £50. Entitlement to payment will be assessed in accordance with the regulations and subject to the same limitations and exclusions.</t>
  </si>
  <si>
    <t>PR14AFWWSW_W-C4</t>
  </si>
  <si>
    <t>W-C4</t>
  </si>
  <si>
    <t>AFW-11</t>
  </si>
  <si>
    <t>W-C4: Planned work taking longer to complete than notified</t>
  </si>
  <si>
    <t>AFW W-C4: Planned work taking longer to complete than notified</t>
  </si>
  <si>
    <t>PR14AFWHHR_R-A1</t>
  </si>
  <si>
    <t>Retail (HH)</t>
  </si>
  <si>
    <t>HHR</t>
  </si>
  <si>
    <t>Providing a value for money service</t>
  </si>
  <si>
    <t>R-A1</t>
  </si>
  <si>
    <t>AFW-12</t>
  </si>
  <si>
    <t>R-A1: SIM service score</t>
  </si>
  <si>
    <t>SIM</t>
  </si>
  <si>
    <t>Service incentive mechanism (SIM) score</t>
  </si>
  <si>
    <t>OM</t>
  </si>
  <si>
    <t>AFW R-A1: SIM service score</t>
  </si>
  <si>
    <t>OM = Ofwat methodology (SIM)</t>
  </si>
  <si>
    <t>PR14AFWHHR_R-A2</t>
  </si>
  <si>
    <t>R-A2</t>
  </si>
  <si>
    <t>AFW-13</t>
  </si>
  <si>
    <t>R-A2: Value for money survey</t>
  </si>
  <si>
    <t>Billing, debt, vfm, affordability</t>
  </si>
  <si>
    <t>AFW R-A2: Value for money survey</t>
  </si>
  <si>
    <t>PR14ANHWSW_W-A2</t>
  </si>
  <si>
    <t>Satisfied customers</t>
  </si>
  <si>
    <t>ANH-01</t>
  </si>
  <si>
    <t>W-A2: Water supply interruptions averaged over three years (reduction)</t>
  </si>
  <si>
    <t>time</t>
  </si>
  <si>
    <t>Minutes / property / year</t>
  </si>
  <si>
    <t>ANH W-A2: Water supply interruptions averaged over three years (reduction)</t>
  </si>
  <si>
    <t>PR14ANHWSW_W-A3</t>
  </si>
  <si>
    <t>ANH-02</t>
  </si>
  <si>
    <t>W-A3: Properties at risk of persistent low pressure</t>
  </si>
  <si>
    <t>Water pressure</t>
  </si>
  <si>
    <t>ANH W-A3: Properties at risk of persistent low pressure</t>
  </si>
  <si>
    <t>PR14ANHWSW_W-A4</t>
  </si>
  <si>
    <t>ANH-03</t>
  </si>
  <si>
    <t>W-A4: Water quality contacts</t>
  </si>
  <si>
    <t>ANH W-A4: Water quality contacts</t>
  </si>
  <si>
    <t>PR14ANHWSW_W-B1</t>
  </si>
  <si>
    <t>Fair charges</t>
  </si>
  <si>
    <t>ANH-04</t>
  </si>
  <si>
    <t>W-B1: Value for money perception - variation from baseline against WaSCs (water)</t>
  </si>
  <si>
    <t>% variation from WaSC baseline</t>
  </si>
  <si>
    <t>ANH W-B1: Value for money perception - variation from baseline against WaSCs (water)</t>
  </si>
  <si>
    <t>PR14ANHWSW_W-C1</t>
  </si>
  <si>
    <t>Resilient supplies</t>
  </si>
  <si>
    <t>ANH-05</t>
  </si>
  <si>
    <t>W-C1: Percentage of population supplied by single supply system</t>
  </si>
  <si>
    <t>Resilience</t>
  </si>
  <si>
    <t>% population with single supply system</t>
  </si>
  <si>
    <t>x 5 years</t>
  </si>
  <si>
    <t>ANH W-C1: Percentage of population supplied by single supply system</t>
  </si>
  <si>
    <t>PR14ANHWSW_W-C2</t>
  </si>
  <si>
    <t>ANH-06</t>
  </si>
  <si>
    <t>W-C2: Frequency of service level restrictions (hosepipe bans)</t>
  </si>
  <si>
    <t>Supply restrictions</t>
  </si>
  <si>
    <t>No. (frequency) per 10 years</t>
  </si>
  <si>
    <t>ANH W-C2: Frequency of service level restrictions (hosepipe bans)</t>
  </si>
  <si>
    <t>PR14ANHWSW_W-D1</t>
  </si>
  <si>
    <t>Supply meets demand</t>
  </si>
  <si>
    <t>W-D1</t>
  </si>
  <si>
    <t>ANH-07</t>
  </si>
  <si>
    <t>W-D1: Security of Supply Index (SoSI) - dry year annual average</t>
  </si>
  <si>
    <t>Security of Supply Index (SOSI)</t>
  </si>
  <si>
    <t>ANH W-D1: Security of Supply Index (SoSI) - dry year annual average</t>
  </si>
  <si>
    <t>PR14ANHWSW_W-D2</t>
  </si>
  <si>
    <t>W-D2</t>
  </si>
  <si>
    <t>ANH-08</t>
  </si>
  <si>
    <t>W-D2: Security of Supply Index (SoSI) - critical period (peak) demand</t>
  </si>
  <si>
    <t>ANH W-D2: Security of Supply Index (SoSI) - critical period (peak) demand</t>
  </si>
  <si>
    <t>PR14ANHWSW_W-D3</t>
  </si>
  <si>
    <t>W-D3</t>
  </si>
  <si>
    <t>ANH-09</t>
  </si>
  <si>
    <t>W-D3: Per property consumption (PPC) (litres/household/day reduction)</t>
  </si>
  <si>
    <t>Litres per household per day (l/hh/d)</t>
  </si>
  <si>
    <t>ANH W-D3: Per property consumption (PPC) (litres/household/day reduction)</t>
  </si>
  <si>
    <t>PR14ANHWSW_W-D4</t>
  </si>
  <si>
    <t>W-D4</t>
  </si>
  <si>
    <t>ANH-10</t>
  </si>
  <si>
    <t>W-D4: Leakage - three-year average</t>
  </si>
  <si>
    <t>ANH W-D4: Leakage - three-year average</t>
  </si>
  <si>
    <t>In-period ODI (adjustment to in-period revenue). Assessment of penalties or rewards made annually at time t+1 (t, t-1, t-2 averaged), with in period revenue adjustment at t+2.
If there is a significant change to how this is measured in 2015-20, the absolute targets may need adjusting.
Reward 1 and reward 2 have the same incentive rate. Reward 1 applies for leakage reductions up to the glide-path proposed in Anglian Water’s December 2013 plan. Reward 2 applies if the glide-path can be delivered one year earlier than planned.</t>
  </si>
  <si>
    <t>PR14ANHWSW_W-E1</t>
  </si>
  <si>
    <t>Flourishing environment</t>
  </si>
  <si>
    <t>W-E1</t>
  </si>
  <si>
    <t>ANH-11</t>
  </si>
  <si>
    <t>W-E1: Percentage of SSSIs (by area) with favourable status</t>
  </si>
  <si>
    <t>Biodiversity/SSSIs</t>
  </si>
  <si>
    <t>% SSSIs with favourable status</t>
  </si>
  <si>
    <t>ANH W-E1: Percentage of SSSIs (by area) with favourable status</t>
  </si>
  <si>
    <t>PR14ANHWSW_W-E2</t>
  </si>
  <si>
    <t>W-E2</t>
  </si>
  <si>
    <t>ANH-12</t>
  </si>
  <si>
    <t>W-E2: Environmental compliance (water)</t>
  </si>
  <si>
    <t>Environmental</t>
  </si>
  <si>
    <t>No. of obligations delivered</t>
  </si>
  <si>
    <t>ANH W-E2: Environmental compliance (water)</t>
  </si>
  <si>
    <t>The 16 obligations are defined in Anglian Water’s business case 300.06 for Eel Regulations (13 obligations) and business case 200.04 for RSA sustainability reductions (3 obligations)</t>
  </si>
  <si>
    <t>PR14ANHWSW_W-F1</t>
  </si>
  <si>
    <t>A smaller footprint</t>
  </si>
  <si>
    <t>W-F1</t>
  </si>
  <si>
    <t>ANH-13</t>
  </si>
  <si>
    <t>W-F1: Operational carbon (% reduction from 2015 baseline)</t>
  </si>
  <si>
    <t>Energy/emissions</t>
  </si>
  <si>
    <t>% reduction from 2015 baseline</t>
  </si>
  <si>
    <t>ANH W-F1: Operational carbon (% reduction from 2015 baseline)</t>
  </si>
  <si>
    <t>PR14ANHWSW_W-F2</t>
  </si>
  <si>
    <t>W-F2</t>
  </si>
  <si>
    <t>ANH-14</t>
  </si>
  <si>
    <t>W-F2: Embodied carbon (% reduction from 2010 baseline)</t>
  </si>
  <si>
    <t>% reduction from 2010 baseline</t>
  </si>
  <si>
    <t>ANH W-F2: Embodied carbon (% reduction from 2010 baseline)</t>
  </si>
  <si>
    <t>PR14ANHWSW_W-G1</t>
  </si>
  <si>
    <t>Caring for communities</t>
  </si>
  <si>
    <t>W-G1</t>
  </si>
  <si>
    <t>ANH-15</t>
  </si>
  <si>
    <t>W-G1: Survey of community perception</t>
  </si>
  <si>
    <t>Customer satisfaction (exc. bills)</t>
  </si>
  <si>
    <t>% customer satisfaction</t>
  </si>
  <si>
    <t>Improved</t>
  </si>
  <si>
    <t>not available</t>
  </si>
  <si>
    <t>ANH W-G1: Survey of community perception</t>
  </si>
  <si>
    <t>PR14ANHWSW_W-H1</t>
  </si>
  <si>
    <t>Investing for tomorrow</t>
  </si>
  <si>
    <t>W-H1</t>
  </si>
  <si>
    <t>ANH-16</t>
  </si>
  <si>
    <t>W-H1: Water infrastructure</t>
  </si>
  <si>
    <t>category</t>
  </si>
  <si>
    <t>Asset health indicator (RAG)</t>
  </si>
  <si>
    <t>Green</t>
  </si>
  <si>
    <t>ANH W-H1: Water infrastructure</t>
  </si>
  <si>
    <t>An automatic mechanism for calculating penalties has been designed by the company based on sub-measures, reference levels and upper control limits.
The four sub-services for this performance commitment are:
1. Unplanned interruptions &gt; 12 hours
2. Reactive mains bursts
3. Customer contacts - discolouration
4. Distribution Maintenance Index</t>
  </si>
  <si>
    <t>PR14ANHWSW_W-H2</t>
  </si>
  <si>
    <t>W-H2</t>
  </si>
  <si>
    <t>ANH-17</t>
  </si>
  <si>
    <t>W-H2: Water non-infrastructure</t>
  </si>
  <si>
    <t>ANH W-H2: Water non-infrastructure</t>
  </si>
  <si>
    <t>An automatic mechanism for calculating penalties has been designed by the company based on sub-measures, reference levels and upper control limits.
The three sub-services for this performance commitment are:
1. Water treatment works with coliforms detected
2. Service reservoirs with &gt;5% coliforms
3. Water treatment works turbidity</t>
  </si>
  <si>
    <t>PR14ANHWSW_W-I1</t>
  </si>
  <si>
    <t>Safe, clean water</t>
  </si>
  <si>
    <t>W-I1</t>
  </si>
  <si>
    <t>ANH-18</t>
  </si>
  <si>
    <t>W-I1: Mean zonal compliance (MZC)</t>
  </si>
  <si>
    <t>ANH W-I1: Mean zonal compliance (MZC)</t>
  </si>
  <si>
    <t>PR14ANHWSWW_S-A2</t>
  </si>
  <si>
    <t>WSWW</t>
  </si>
  <si>
    <t>S-A2</t>
  </si>
  <si>
    <t>ANH-19</t>
  </si>
  <si>
    <t>S-A2: Properties flooded internally from sewers - three-year average (reduction)</t>
  </si>
  <si>
    <t>Sewer flooding/collapses etc</t>
  </si>
  <si>
    <t>No. of properties flooded internally (reduction)</t>
  </si>
  <si>
    <t>ANH S-A2: Properties flooded internally from sewers - three-year average (reduction)</t>
  </si>
  <si>
    <t>PR14ANHWSWW_S-A3</t>
  </si>
  <si>
    <t>S-A3</t>
  </si>
  <si>
    <t>ANH-20</t>
  </si>
  <si>
    <t>S-A3: Properties flooded externally from sewers - three-year average (reduction)</t>
  </si>
  <si>
    <t>No. of properties flooded externally (reduction)</t>
  </si>
  <si>
    <t>ANH S-A3: Properties flooded externally from sewers - three-year average (reduction)</t>
  </si>
  <si>
    <t>PR14ANHWSWW_S-A4</t>
  </si>
  <si>
    <t>S-A4</t>
  </si>
  <si>
    <t>ANH-21</t>
  </si>
  <si>
    <t>S-A4: Percentage of sewerage capacity schemes incorporating sustainable solutions</t>
  </si>
  <si>
    <t>Sustainability/innovation</t>
  </si>
  <si>
    <t>% sustainable sewerage capacity schemes</t>
  </si>
  <si>
    <t>ANH S-A4: Percentage of sewerage capacity schemes incorporating sustainable solutions</t>
  </si>
  <si>
    <t>PR14ANHWSWW_S-B1</t>
  </si>
  <si>
    <t>S-B1</t>
  </si>
  <si>
    <t>ANH-22</t>
  </si>
  <si>
    <t>S-B1: Value for money perception variation from baseline against WaSCs (wastewater)</t>
  </si>
  <si>
    <t>ANH S-B1: Value for money perception variation from baseline against WaSCs (wastewater)</t>
  </si>
  <si>
    <t>PR14ANHWSWW_S-C1</t>
  </si>
  <si>
    <t>S-C1</t>
  </si>
  <si>
    <t>ANH-23</t>
  </si>
  <si>
    <t>S-C1: Percentage of bathing waters attaining excellent status</t>
  </si>
  <si>
    <t>% bathing waters - excellent status</t>
  </si>
  <si>
    <t>ANH S-C1: Percentage of bathing waters attaining excellent status</t>
  </si>
  <si>
    <t>PR14ANHWSWW_S-C2</t>
  </si>
  <si>
    <t>S-C2</t>
  </si>
  <si>
    <t>ANH-24</t>
  </si>
  <si>
    <t>S-C2: Percentage of SSSIs (by area) with favourable status</t>
  </si>
  <si>
    <t>ANH S-C2: Percentage of SSSIs (by area) with favourable status</t>
  </si>
  <si>
    <t>PR14ANHWSWW_S-C3</t>
  </si>
  <si>
    <t>S-C3</t>
  </si>
  <si>
    <t>ANH-25</t>
  </si>
  <si>
    <t>S-C3: Pollution incidents (category 3)</t>
  </si>
  <si>
    <t>Pollution incidents</t>
  </si>
  <si>
    <t>No. of pollution incidents (cat 3)</t>
  </si>
  <si>
    <t>ANH S-C3: Pollution incidents (category 3)</t>
  </si>
  <si>
    <t>PR14ANHWSWW_S-C4</t>
  </si>
  <si>
    <t>S-C4</t>
  </si>
  <si>
    <t>ANH-26</t>
  </si>
  <si>
    <t>S-C4: Environmental compliance (wastewater)</t>
  </si>
  <si>
    <t>ANH S-C4: Environmental compliance (wastewater)</t>
  </si>
  <si>
    <t>PR14ANHWSWW_S-D1</t>
  </si>
  <si>
    <t>S-D1</t>
  </si>
  <si>
    <t>ANH-27</t>
  </si>
  <si>
    <t>S-D1: Operational carbon (% reduction from 2015 baseline)</t>
  </si>
  <si>
    <t>ANH S-D1: Operational carbon (% reduction from 2015 baseline)</t>
  </si>
  <si>
    <t>PR14ANHWSWW_S-D2</t>
  </si>
  <si>
    <t>S-D2</t>
  </si>
  <si>
    <t>ANH-28</t>
  </si>
  <si>
    <t>S-D2: Embodied carbon (% reduction from 2010 baseline)</t>
  </si>
  <si>
    <t>ANH S-D2: Embodied carbon (% reduction from 2010 baseline)</t>
  </si>
  <si>
    <t>PR14ANHWSWW_S-E1</t>
  </si>
  <si>
    <t>S-E1</t>
  </si>
  <si>
    <t>ANH-29</t>
  </si>
  <si>
    <t>S-E1: Survey of community perception</t>
  </si>
  <si>
    <t>ANH S-E1: Survey of community perception</t>
  </si>
  <si>
    <t>PR14ANHWSWW_S-F1</t>
  </si>
  <si>
    <t>S-F1</t>
  </si>
  <si>
    <t>ANH-30</t>
  </si>
  <si>
    <t>S-F1: Sewerage infrastructure</t>
  </si>
  <si>
    <t>Asset health - wastewater</t>
  </si>
  <si>
    <t>ANH S-F1: Sewerage infrastructure</t>
  </si>
  <si>
    <t>An automatic mechanism for calculating penalties has been designed by the company based on sub-measures, reference levels and upper control limits. The four sub-services for this performance commitment are:
1. Pollution incidents
2. Sewer collapses
3. Internal flooding (overloaded and other causes)
4. Sewer blockages.</t>
  </si>
  <si>
    <t>PR14ANHWSWW_S-F2</t>
  </si>
  <si>
    <t>S-F2</t>
  </si>
  <si>
    <t>ANH-31</t>
  </si>
  <si>
    <t>S-F2: Sewerage non-infrastructure</t>
  </si>
  <si>
    <t>ANH S-F2: Sewerage non-infrastructure</t>
  </si>
  <si>
    <t>An automatic mechanism for calculating penalties has been designed by the company based on sub-measures, reference levels and upper control limits. The two sub-services for this performance commitment are:
1. Population equivalent (PE) sewerage treatment works (STW) in breach of consent
2. Sewerage treatment works (STW) failing numeric standards.</t>
  </si>
  <si>
    <t>PR14ANHHHR_R-A1</t>
  </si>
  <si>
    <t>ANH-32</t>
  </si>
  <si>
    <t>R-A1: Qualitative service incentive mechanism (SIM) score</t>
  </si>
  <si>
    <t>text</t>
  </si>
  <si>
    <t>Service incentive mechanism (SIM) score ranking (WaSCs)</t>
  </si>
  <si>
    <t>3rd+</t>
  </si>
  <si>
    <t>3rd among the 10 WaSCs</t>
  </si>
  <si>
    <t>ANH R-A1: Qualitative service incentive mechanism (SIM) score</t>
  </si>
  <si>
    <t>PR14ANHHHR_R-A2</t>
  </si>
  <si>
    <t>ANH-33</t>
  </si>
  <si>
    <t>R-A2: Service incentive mechanism (SIM)</t>
  </si>
  <si>
    <t>ANH R-A2: Service incentive mechanism (SIM)</t>
  </si>
  <si>
    <t>PR14ANHHHR_R-A3</t>
  </si>
  <si>
    <t>R-A3</t>
  </si>
  <si>
    <t>ANH-34</t>
  </si>
  <si>
    <t>R-A3: Customer Satisfaction Index prepared by UK Institute of Customer Service</t>
  </si>
  <si>
    <t>UK ICS Customer Satisfaction Index score ranking among utility companies</t>
  </si>
  <si>
    <t>UQ utility</t>
  </si>
  <si>
    <t>9/19</t>
  </si>
  <si>
    <t>9/15</t>
  </si>
  <si>
    <t>ANH R-A3: Customer Satisfaction Index prepared by UK Institute of Customer Service</t>
  </si>
  <si>
    <t>PR14ANHHHR_R-B1</t>
  </si>
  <si>
    <t>R-B1</t>
  </si>
  <si>
    <t>ANH-35</t>
  </si>
  <si>
    <t>R-B1: Fairness of bills perception - variation from baseline against WaSCs</t>
  </si>
  <si>
    <t>ANH R-B1: Fairness of bills perception - variation from baseline against WaSCs</t>
  </si>
  <si>
    <t>PR14ANHHHR_R-B2</t>
  </si>
  <si>
    <t>R-B2</t>
  </si>
  <si>
    <t>ANH-36</t>
  </si>
  <si>
    <t>R-B2: Affordability perception - variation from baseline against WaSCs</t>
  </si>
  <si>
    <t>ANH R-B2: Affordability perception - variation from baseline against WaSCs</t>
  </si>
  <si>
    <t>PR14ANHHHR_R-C1</t>
  </si>
  <si>
    <t>R-C1</t>
  </si>
  <si>
    <t>ANH-37</t>
  </si>
  <si>
    <t>R-C1: Operational carbon (% reduction from 2015 baseline)</t>
  </si>
  <si>
    <t>ANH R-C1: Operational carbon (% reduction from 2015 baseline)</t>
  </si>
  <si>
    <t>PR14ANHHHR_R-C2</t>
  </si>
  <si>
    <t>R-C2</t>
  </si>
  <si>
    <t>ANH-38</t>
  </si>
  <si>
    <t>R-C2: Embodied carbon (% reduction from 2010 baseline)</t>
  </si>
  <si>
    <t>ANH R-C2: Embodied carbon (% reduction from 2010 baseline)</t>
  </si>
  <si>
    <t>PR14ANHHHR_R-D1</t>
  </si>
  <si>
    <t>R-D1</t>
  </si>
  <si>
    <t>ANH-39</t>
  </si>
  <si>
    <t>R-D1: Survey of community perception</t>
  </si>
  <si>
    <t>TBC?</t>
  </si>
  <si>
    <t>ANH R-D1: Survey of community perception</t>
  </si>
  <si>
    <t>BRL</t>
  </si>
  <si>
    <t>PR14BRLWSW_A1</t>
  </si>
  <si>
    <t>Reliable supply</t>
  </si>
  <si>
    <t>A1</t>
  </si>
  <si>
    <t>BRL-01</t>
  </si>
  <si>
    <t>A1: Unplanned customer minutes lost</t>
  </si>
  <si>
    <t>BRL A1: Unplanned customer minutes lost</t>
  </si>
  <si>
    <t>CMA Bristol Water price determination
The measure is calculated by dividing the total duration of all unplanned water supply interruptions by the number of properties the company supply to give an average interruption time in minutes per year.</t>
  </si>
  <si>
    <t>PR14BRLWSW_A2</t>
  </si>
  <si>
    <t>A2</t>
  </si>
  <si>
    <t>BRL-02</t>
  </si>
  <si>
    <t>A2: Asset reliability - infrastructure</t>
  </si>
  <si>
    <t>RCV</t>
  </si>
  <si>
    <t>Asset health indicator</t>
  </si>
  <si>
    <t>Deteriorating</t>
  </si>
  <si>
    <t>Marginal</t>
  </si>
  <si>
    <t>BRL A2: Asset reliability - infrastructure</t>
  </si>
  <si>
    <t>PR14BRLWSW_A3</t>
  </si>
  <si>
    <t>A3</t>
  </si>
  <si>
    <t>BRL-03</t>
  </si>
  <si>
    <t>A3: Asset reliability - non-infrastructure</t>
  </si>
  <si>
    <t>BRL A3: Asset reliability - non-infrastructure</t>
  </si>
  <si>
    <t>PR14BRLWSW_B1</t>
  </si>
  <si>
    <t>Resilient supply</t>
  </si>
  <si>
    <t>B1</t>
  </si>
  <si>
    <t>BRL-04</t>
  </si>
  <si>
    <t>B1: Population in centres &gt;25,000 at risk from asset failure</t>
  </si>
  <si>
    <t>No. of people (population)</t>
  </si>
  <si>
    <t>BRL B1: Population in centres &gt;25,000 at risk from asset failure</t>
  </si>
  <si>
    <t>PR14BRLWSW_C1</t>
  </si>
  <si>
    <t>Sufficient supply</t>
  </si>
  <si>
    <t>C1</t>
  </si>
  <si>
    <t>BRL-05</t>
  </si>
  <si>
    <t>C1: Security of supply index (SOSI)</t>
  </si>
  <si>
    <t>BRL C1: Security of supply index (SOSI)</t>
  </si>
  <si>
    <t>PR14BRLWSW_C2</t>
  </si>
  <si>
    <t>C2</t>
  </si>
  <si>
    <t>BRL-06</t>
  </si>
  <si>
    <t>C2: Hosepipe ban frequency</t>
  </si>
  <si>
    <t>No. of expected days that water restrictions are placed</t>
  </si>
  <si>
    <t>BRL C2: Hosepipe ban frequency</t>
  </si>
  <si>
    <t>The number of expected days in the report year that water restrictions are placed based on the likelihood in any one year that restrictions on the use of hosepipes will be implemented. This is usually expressed as 1 in X years.</t>
  </si>
  <si>
    <t>PR14BRLWSW_D1</t>
  </si>
  <si>
    <t>Safe drinking water</t>
  </si>
  <si>
    <t>D1</t>
  </si>
  <si>
    <t>BRL-07</t>
  </si>
  <si>
    <t>D1: Mean zonal compliance (MZC)</t>
  </si>
  <si>
    <t>0.01%</t>
  </si>
  <si>
    <t>BRL D1: Mean zonal compliance (MZC)</t>
  </si>
  <si>
    <t>CMA Bristol Water price determination</t>
  </si>
  <si>
    <t>PR14BRLWSW_E1</t>
  </si>
  <si>
    <t>Water is good to drink</t>
  </si>
  <si>
    <t>E1</t>
  </si>
  <si>
    <t>BRL-09</t>
  </si>
  <si>
    <t>E1: Negative water quality contacts</t>
  </si>
  <si>
    <t>No. of contacts per year</t>
  </si>
  <si>
    <t>BRL E1: Negative water quality contacts</t>
  </si>
  <si>
    <t>PR14BRLWSW_F1</t>
  </si>
  <si>
    <t>Efficient use of resources by company</t>
  </si>
  <si>
    <t>F1</t>
  </si>
  <si>
    <t>BRL-10</t>
  </si>
  <si>
    <t>F1: Leakage</t>
  </si>
  <si>
    <t>BRL F1: Leakage</t>
  </si>
  <si>
    <t>PR14BRLWSW_G1</t>
  </si>
  <si>
    <t>Efficient use of resources by customers</t>
  </si>
  <si>
    <t>G1</t>
  </si>
  <si>
    <t>BRL-11</t>
  </si>
  <si>
    <t>G1: Meter penetration</t>
  </si>
  <si>
    <t>Metering</t>
  </si>
  <si>
    <t xml:space="preserve">% metered supplies </t>
  </si>
  <si>
    <t>BRL G1: Meter penetration</t>
  </si>
  <si>
    <t>PR14BRLWSW_H1</t>
  </si>
  <si>
    <t>Sustainable environmental impact</t>
  </si>
  <si>
    <t>H1</t>
  </si>
  <si>
    <t>BRL-12</t>
  </si>
  <si>
    <t>H1: Total carbon emissions</t>
  </si>
  <si>
    <t>kgCO2e per person</t>
  </si>
  <si>
    <t>BRL H1: Total carbon emissions</t>
  </si>
  <si>
    <t>PR14BRLWSW_H2</t>
  </si>
  <si>
    <t>H2</t>
  </si>
  <si>
    <t>BRL-13</t>
  </si>
  <si>
    <t>H2: Raw water quality of sources</t>
  </si>
  <si>
    <t>Raw water quality indicator</t>
  </si>
  <si>
    <t>BRL H2: Raw water quality of sources</t>
  </si>
  <si>
    <t>PR14BRLWSW_H3</t>
  </si>
  <si>
    <t>H3</t>
  </si>
  <si>
    <t>BRL-14</t>
  </si>
  <si>
    <t>H3: Biodiversity index</t>
  </si>
  <si>
    <t>Biodiversity index</t>
  </si>
  <si>
    <t>TBC (under development)</t>
  </si>
  <si>
    <t>TBC (improving)</t>
  </si>
  <si>
    <t>Improving</t>
  </si>
  <si>
    <t>BRL H3: Biodiversity index</t>
  </si>
  <si>
    <t>PR14BRLWSW_H4</t>
  </si>
  <si>
    <t>H4</t>
  </si>
  <si>
    <t>BRL-15</t>
  </si>
  <si>
    <t>H4: Waste disposal compliance</t>
  </si>
  <si>
    <t>Waste disposal</t>
  </si>
  <si>
    <t>% waste disposal compliance</t>
  </si>
  <si>
    <t>BRL H4: Waste disposal compliance</t>
  </si>
  <si>
    <t>PR14BRLHHR_G2</t>
  </si>
  <si>
    <t>G2</t>
  </si>
  <si>
    <t>BRL-16</t>
  </si>
  <si>
    <t>G2: Per capita consumption (PCC), measured as litres per head per day (l/h/d)</t>
  </si>
  <si>
    <t>Litres per head per day (l/h/d)</t>
  </si>
  <si>
    <t>BRL G2: Per capita consumption (PCC), measured as litres per head per day (l/h/d)</t>
  </si>
  <si>
    <t>PR14BRLHHR_I1</t>
  </si>
  <si>
    <t>Affordable bills</t>
  </si>
  <si>
    <t>I1</t>
  </si>
  <si>
    <t>BRL-17</t>
  </si>
  <si>
    <t>I1: Percentage of customers in water poverty</t>
  </si>
  <si>
    <t>% customers in water poverty</t>
  </si>
  <si>
    <t>BRL I1: Percentage of customers in water poverty</t>
  </si>
  <si>
    <t>PR14BRLHHR_J1</t>
  </si>
  <si>
    <t>J1</t>
  </si>
  <si>
    <t>BRL-18</t>
  </si>
  <si>
    <t>J1: Service incentive mechanism (SIM)</t>
  </si>
  <si>
    <t>Service incentive mechanism (SIM) score ranking</t>
  </si>
  <si>
    <t>Top 5</t>
  </si>
  <si>
    <t>BRL J1: Service incentive mechanism (SIM)</t>
  </si>
  <si>
    <t>PR14BRLHHR_J2</t>
  </si>
  <si>
    <t>J2</t>
  </si>
  <si>
    <t>BRL-19</t>
  </si>
  <si>
    <t>J2: General satisfaction from surveys</t>
  </si>
  <si>
    <t>&gt;93</t>
  </si>
  <si>
    <t>BRL J2: General satisfaction from surveys</t>
  </si>
  <si>
    <t>PR14BRLHHR_J3</t>
  </si>
  <si>
    <t>J3</t>
  </si>
  <si>
    <t>BRL-20</t>
  </si>
  <si>
    <t>J3: Value for money</t>
  </si>
  <si>
    <t>BRL J3: Value for money</t>
  </si>
  <si>
    <t>PR14BRLHHR_K1</t>
  </si>
  <si>
    <t>Easy to contact</t>
  </si>
  <si>
    <t>K1</t>
  </si>
  <si>
    <t>BRL-21</t>
  </si>
  <si>
    <t>K1: Ease of contact from surveys</t>
  </si>
  <si>
    <t>&gt;96.5</t>
  </si>
  <si>
    <t>BRL K1: Ease of contact from surveys</t>
  </si>
  <si>
    <t>PR14BRLHHR_L1</t>
  </si>
  <si>
    <t>Bills are accurate and easy to understand</t>
  </si>
  <si>
    <t>L1</t>
  </si>
  <si>
    <t>BRL-22</t>
  </si>
  <si>
    <t>L1: Negative billing contacts</t>
  </si>
  <si>
    <t>BRL L1: Negative billing contacts</t>
  </si>
  <si>
    <t>DVW</t>
  </si>
  <si>
    <t>PR14DVWWSW_A1</t>
  </si>
  <si>
    <t>Provide excellent water quality</t>
  </si>
  <si>
    <t>DVW-01</t>
  </si>
  <si>
    <t>A1: Discoloured water contacts</t>
  </si>
  <si>
    <t>DVW A1: Discoloured water contacts</t>
  </si>
  <si>
    <t>PR14DVWWSW_A2</t>
  </si>
  <si>
    <t>DVW-02</t>
  </si>
  <si>
    <t>A2: Mean zonal compliance (MZC)</t>
  </si>
  <si>
    <t>DVW A2: Mean zonal compliance (MZC)</t>
  </si>
  <si>
    <t>PR14DVWWSW_A3</t>
  </si>
  <si>
    <t>DVW-03</t>
  </si>
  <si>
    <t>A3: Delivery of the outcomes of the Legacy water treatment works (south west Wrexham) major scheme</t>
  </si>
  <si>
    <t>Pass/fail (until completion)</t>
  </si>
  <si>
    <t>Complete</t>
  </si>
  <si>
    <t>N/A</t>
  </si>
  <si>
    <t>Pass</t>
  </si>
  <si>
    <t>DVW A3: Delivery of the outcomes of the Legacy water treatment works (south west Wrexham) major scheme</t>
  </si>
  <si>
    <t>Performance to be measured as pass/fail in each year until completion. Progress to be reported annually with project completion to be assessed annually from the end of 2017-18. Incentives to be determined at PR19 based on the extent of completion and, if relevant, expected date of completion. If improvements not delivered at this point timing delay penalties will apply for each year’s delay until expected completion. If substantive progress towards delivery cannot be demonstrated at this point the full non-delivery penalty will apply. Any incentives incurred through performance commitment A1 (discoloured water contacts) due to delay in the delivery of Legacy treatment works should be netted off this incentive.
Penalty 1: timing delays
Penalty 2: non-delivery</t>
  </si>
  <si>
    <t>PR14DVWWSW_A4</t>
  </si>
  <si>
    <t>A4</t>
  </si>
  <si>
    <t>DVW-04</t>
  </si>
  <si>
    <t>A4: Delivery of the outcomes of the service reservoir water quality risk management schemes</t>
  </si>
  <si>
    <t>Pass/fail (for each scheme)</t>
  </si>
  <si>
    <t>Milestone</t>
  </si>
  <si>
    <t>4 schemes complete</t>
  </si>
  <si>
    <t>DVW A4: Delivery of the outcomes of the service reservoir water quality risk management schemes</t>
  </si>
  <si>
    <t>Performance to be measured as pass/fail for each scheme. Progress to be reported annually with project completion to be assessed at PR19 and where relevant at the end of 2019-20. Incentives to be determined at the PR19 milestone based on the extent of completion of each scheme and, if relevant, expected date of completion of each. If substantive progress towards delivery cannot be demonstrated at this point, such that any scheme is not expected to be completed by the end of 2019-20 the full non-delivery penalty will apply for each relevant scheme. This is a pass/fail incentive type. If any scheme is not complete by the end of 2019-20 the full incentive will apply for that scheme.
Penalty 1: Membranes
Penalty 2: Berwyn
Penalty 3: Llwyn Onn
Penalty 4: Sugn-y-Pwll</t>
  </si>
  <si>
    <t>PR14DVWWSW_B1</t>
  </si>
  <si>
    <t>Provide reliable and high quality customer service</t>
  </si>
  <si>
    <t>DVW-05</t>
  </si>
  <si>
    <t>B1: Average duration of interruptions - 3 hours or longer (planned and unplanned interruptions)</t>
  </si>
  <si>
    <t>Hours / property / year</t>
  </si>
  <si>
    <t>0.01 hours</t>
  </si>
  <si>
    <t>DVW B1: Average duration of interruptions - 3 hours or longer (planned and unplanned interruptions)</t>
  </si>
  <si>
    <t>PR14DVWWSW_B2</t>
  </si>
  <si>
    <t>B2</t>
  </si>
  <si>
    <t>DVW-06</t>
  </si>
  <si>
    <t>B2: Sustainable economic level of leakage target</t>
  </si>
  <si>
    <t>Litres per property per day (l/prop/day)</t>
  </si>
  <si>
    <t>DVW B2: Sustainable economic level of leakage target</t>
  </si>
  <si>
    <t>PR14DVWWSW_B3</t>
  </si>
  <si>
    <t>B3</t>
  </si>
  <si>
    <t>DVW-07</t>
  </si>
  <si>
    <t>B3: Security of supply index (SOSI)</t>
  </si>
  <si>
    <t>DVW B3: Security of supply index (SOSI)</t>
  </si>
  <si>
    <t>PR14DVWWSW_B4</t>
  </si>
  <si>
    <t>B4</t>
  </si>
  <si>
    <t>DVW-08</t>
  </si>
  <si>
    <t>B4: Number of bursts</t>
  </si>
  <si>
    <t>DVW B4: Number of bursts</t>
  </si>
  <si>
    <t>PR14DVWWSW_C1</t>
  </si>
  <si>
    <t>Minimise the environmental impact</t>
  </si>
  <si>
    <t>DVW-09</t>
  </si>
  <si>
    <t>C1: Gross operational greenhouse gas emissions</t>
  </si>
  <si>
    <t>tCO2e</t>
  </si>
  <si>
    <t>DVW C1: Gross operational greenhouse gas emissions</t>
  </si>
  <si>
    <t>PR14DVWWSW_D1</t>
  </si>
  <si>
    <t>Provide a value for money service</t>
  </si>
  <si>
    <t>DVW-10</t>
  </si>
  <si>
    <t>D1: Customers’ perception based on market research</t>
  </si>
  <si>
    <t>DVW D1: Customers’ perception based on market research</t>
  </si>
  <si>
    <t>PR14DVWNHHR_F1</t>
  </si>
  <si>
    <t>Retail (NH)</t>
  </si>
  <si>
    <t>NHHR</t>
  </si>
  <si>
    <t>Provide reliable and high quality customer service (non-household customers)</t>
  </si>
  <si>
    <t>DVW-13</t>
  </si>
  <si>
    <t>F1: Non-household Service incentive mechanism (SIM)</t>
  </si>
  <si>
    <t>DVW F1: Non-household Service incentive mechanism (SIM)</t>
  </si>
  <si>
    <t>PR14DVWHHR_E1</t>
  </si>
  <si>
    <t>Provide reliable and high quality customer service (household customers)</t>
  </si>
  <si>
    <t>DVW-11</t>
  </si>
  <si>
    <t>E1: Per capita consumption and water efficiency</t>
  </si>
  <si>
    <t>Litres per capita per day</t>
  </si>
  <si>
    <t>DVW E1: Per capita consumption and water efficiency</t>
  </si>
  <si>
    <t>PR14DVWHHR_E2</t>
  </si>
  <si>
    <t>E2</t>
  </si>
  <si>
    <t>DVW-12</t>
  </si>
  <si>
    <t>E2: Service incentive mechanism (SIM)</t>
  </si>
  <si>
    <t>DVW E2: Service incentive mechanism (SIM)</t>
  </si>
  <si>
    <t>PR14NESWSW_W-A1</t>
  </si>
  <si>
    <t>We deliver water and sewerage services that meet the needs of current and future generations in a changing world</t>
  </si>
  <si>
    <t>NES-01</t>
  </si>
  <si>
    <t>W-A1: Asset health measures - water</t>
  </si>
  <si>
    <t>N/A (measured in separate PCs)</t>
  </si>
  <si>
    <t>NES W-A1: Asset health measures - water</t>
  </si>
  <si>
    <t>The company’s asset health approach replaces the serviceability approach. The asset health measures enable the company to monitor, protect and provide incentives for the long-term sustainable stewardship of its assets. The company’s asset health measures of success (MoS) for the water service are:
• drinking water compliance (W-B2)
• discoloured water complaints (W-B3)
• poor water pressure (W-C2)
• mains bursts (W-C3)
The asset health MoS (W-A1) does not attract any financial penalty/reward in its own right, but sets out the rules of the approach as they apply to the four water asset health MoS.
All four measures in asset health are separately subject to penalties. Two measures are subject to reward (discoloured water complaints and poor water pressure), but only if a penalty has not been triggered in another water asset health measure when the assessment is being made.</t>
  </si>
  <si>
    <t>PR14NESWSW_W-B1</t>
  </si>
  <si>
    <t>We supply clean, clear drinking water that tastes good</t>
  </si>
  <si>
    <t>NES-02</t>
  </si>
  <si>
    <t>W-B1: Satisfaction with taste and odour of tap water</t>
  </si>
  <si>
    <t>No. of complaints per year</t>
  </si>
  <si>
    <t>&gt;1534</t>
  </si>
  <si>
    <t>&gt;1032</t>
  </si>
  <si>
    <t>&gt;1405</t>
  </si>
  <si>
    <t>&gt;903</t>
  </si>
  <si>
    <t>&lt;903</t>
  </si>
  <si>
    <t>&lt;645</t>
  </si>
  <si>
    <t xml:space="preserve"> &lt;645</t>
  </si>
  <si>
    <t>NES W-B1: Satisfaction with taste and odour of tap water</t>
  </si>
  <si>
    <t>PR14NESWSW_W-B2</t>
  </si>
  <si>
    <t>NES-03</t>
  </si>
  <si>
    <t>W-B2: Overall drinking water compliance</t>
  </si>
  <si>
    <t>&gt;99.94</t>
  </si>
  <si>
    <t>&lt;99.910</t>
  </si>
  <si>
    <t>&lt;99.913</t>
  </si>
  <si>
    <t>&lt;99.917</t>
  </si>
  <si>
    <t>&lt;99.920</t>
  </si>
  <si>
    <t>&lt;99.940</t>
  </si>
  <si>
    <t>&lt;99.943</t>
  </si>
  <si>
    <t>&lt;99.947</t>
  </si>
  <si>
    <t>&lt;99.950</t>
  </si>
  <si>
    <t>NES W-B2: Overall drinking water compliance</t>
  </si>
  <si>
    <t>The company’s asset health approach replaces the serviceability approach. The asset health measures enable the company to monitor, protect and provide incentives for the long-term sustainable stewardship of its assets. The company’s asset health measures of success (MoS) for the water service are:
• drinking water compliance (W-B2)
• discoloured water complaints (W-B3)
• poor water pressure (W-C2)
• mains bursts (W-C3)
The asset health MoS (W-A1) does not attract any financial penalty/reward in its own right, but sets out the rules of the approach as they apply to the four water asset health MoS.
All four measures in asset health are separately subject to penalties. Two measures are subject to reward (discoloured water complaints and poor water pressure), but only if a penalty has not been triggered in another water asset health measure when the assessment is being made.
Penalty 1: £3,984,750 lump sum at each assessment point
Penalty 2: an additional £3,984,750 lump sum over and above penalty 1 at each assessment point.</t>
  </si>
  <si>
    <t>PR14NESWSW_W-B3</t>
  </si>
  <si>
    <t>W-B3</t>
  </si>
  <si>
    <t>NES-04</t>
  </si>
  <si>
    <t>W-B3: Discoloured water complaints</t>
  </si>
  <si>
    <t>&gt;5544</t>
  </si>
  <si>
    <t>&gt;4998</t>
  </si>
  <si>
    <t>&gt;4452</t>
  </si>
  <si>
    <t>&gt;3906</t>
  </si>
  <si>
    <t>&gt;4600</t>
  </si>
  <si>
    <t>&gt;4054</t>
  </si>
  <si>
    <t>&gt;3508</t>
  </si>
  <si>
    <t>&gt;2962</t>
  </si>
  <si>
    <t>&lt;2962</t>
  </si>
  <si>
    <t>&lt;2759</t>
  </si>
  <si>
    <t>NES W-B3: Discoloured water complaints</t>
  </si>
  <si>
    <t>PR14NESWSW_W-C1</t>
  </si>
  <si>
    <t>We provide a reliable and sufficient supply of water</t>
  </si>
  <si>
    <t>NES-05</t>
  </si>
  <si>
    <t>W-C1: Interruptions to water supply for more than 3 hours (average time per property per year)</t>
  </si>
  <si>
    <t>Mins:secs per property per year</t>
  </si>
  <si>
    <t>mins:secs</t>
  </si>
  <si>
    <t>&gt;12:17</t>
  </si>
  <si>
    <t>&gt;11:45</t>
  </si>
  <si>
    <t>&gt;11:14</t>
  </si>
  <si>
    <t>&gt;10:42</t>
  </si>
  <si>
    <t>&gt;10:08</t>
  </si>
  <si>
    <t>&gt;11:38</t>
  </si>
  <si>
    <t>&gt;11:11</t>
  </si>
  <si>
    <t>&gt;10:44</t>
  </si>
  <si>
    <t>&gt;10:17</t>
  </si>
  <si>
    <t>&gt;09:48</t>
  </si>
  <si>
    <t>&lt;06:50</t>
  </si>
  <si>
    <t>&lt;06:23</t>
  </si>
  <si>
    <t>&lt;05:56</t>
  </si>
  <si>
    <t>&lt;05:29</t>
  </si>
  <si>
    <t>&lt;05:00</t>
  </si>
  <si>
    <t>&lt;03:05</t>
  </si>
  <si>
    <t>NES W-C1: Interruptions to water supply for more than 3 hours (average time per property per year)</t>
  </si>
  <si>
    <t>PR14NESWSW_W-C2</t>
  </si>
  <si>
    <t>NES-06</t>
  </si>
  <si>
    <t>W-C2: Properties experiencing poor water pressure</t>
  </si>
  <si>
    <t>&gt;257</t>
  </si>
  <si>
    <t>&gt;236</t>
  </si>
  <si>
    <t>&lt;175</t>
  </si>
  <si>
    <t>NES W-C2: Properties experiencing poor water pressure</t>
  </si>
  <si>
    <t>PR14NESWSW_W-C3</t>
  </si>
  <si>
    <t>NES-07</t>
  </si>
  <si>
    <t>W-C3: Water mains bursts</t>
  </si>
  <si>
    <t>&gt;5366</t>
  </si>
  <si>
    <t>&gt;4976</t>
  </si>
  <si>
    <t>NES W-C3: Water mains bursts</t>
  </si>
  <si>
    <t>PR14NESWSW_W-C4</t>
  </si>
  <si>
    <t>NES-08</t>
  </si>
  <si>
    <t>W-C4: Leakage (Ml/d) Northumbrian area</t>
  </si>
  <si>
    <t>&gt;162</t>
  </si>
  <si>
    <t>&gt;160</t>
  </si>
  <si>
    <t>&gt;142</t>
  </si>
  <si>
    <t>&gt;140</t>
  </si>
  <si>
    <t>&lt;131</t>
  </si>
  <si>
    <t>&lt;111</t>
  </si>
  <si>
    <t>NES W-C4: Leakage (Ml/d) Northumbrian area</t>
  </si>
  <si>
    <t>PR14NESWSW_W-C5</t>
  </si>
  <si>
    <t>W-C5</t>
  </si>
  <si>
    <t>NES-09</t>
  </si>
  <si>
    <t>W-C5: Leakage (Ml/d) Essex &amp; Suffolk area</t>
  </si>
  <si>
    <t>&gt;77</t>
  </si>
  <si>
    <t>&gt;67</t>
  </si>
  <si>
    <t>&lt;56</t>
  </si>
  <si>
    <t>&lt;46</t>
  </si>
  <si>
    <t>NES W-C5: Leakage (Ml/d) Essex &amp; Suffolk area</t>
  </si>
  <si>
    <t>PR14NESWSW_W-D1</t>
  </si>
  <si>
    <t>We provide excellent service and impress our customers</t>
  </si>
  <si>
    <t>NES-10</t>
  </si>
  <si>
    <t>W-D1: NWL independent overall customer satisfaction score</t>
  </si>
  <si>
    <t>Score between 0 and 10</t>
  </si>
  <si>
    <t>NES W-D1: NWL independent overall customer satisfaction score</t>
  </si>
  <si>
    <t>PR14NESWSW_W-D2</t>
  </si>
  <si>
    <t>NES-11</t>
  </si>
  <si>
    <t>W-D2: Service incentive mechanism (SIM)</t>
  </si>
  <si>
    <t>NES W-D2: Service incentive mechanism (SIM)</t>
  </si>
  <si>
    <t>PR14NESWSW_W-D3</t>
  </si>
  <si>
    <t>NES-12</t>
  </si>
  <si>
    <t>W-D3: Domestic customer satisfaction, net promoter score</t>
  </si>
  <si>
    <t>NES W-D3: Domestic customer satisfaction, net promoter score</t>
  </si>
  <si>
    <t>PR14NESWSW_W-E1</t>
  </si>
  <si>
    <t>Our customers are well informed about the services they receive and the value of water</t>
  </si>
  <si>
    <t>NES-13</t>
  </si>
  <si>
    <t>W-E1: NWL independent survey on keeping customers informed</t>
  </si>
  <si>
    <t>New measure</t>
  </si>
  <si>
    <t>TBC 2017</t>
  </si>
  <si>
    <t>NES W-E1: NWL independent survey on keeping customers informed</t>
  </si>
  <si>
    <t>PR14NESWSW_W-F1</t>
  </si>
  <si>
    <t>We protect and enhance the environment in delivering services, leading by example</t>
  </si>
  <si>
    <t>NES-14</t>
  </si>
  <si>
    <t>W-F1: Greenhouse gas emissions</t>
  </si>
  <si>
    <t>ktCO2e</t>
  </si>
  <si>
    <t>NES W-F1: Greenhouse gas emissions</t>
  </si>
  <si>
    <t>PR14NESWSW_W-F2</t>
  </si>
  <si>
    <t>NES-15</t>
  </si>
  <si>
    <t>W-F2: Annual environmental performance report</t>
  </si>
  <si>
    <t>CRAG report publication</t>
  </si>
  <si>
    <t>Report publication</t>
  </si>
  <si>
    <t xml:space="preserve">Report published </t>
  </si>
  <si>
    <t>NES W-F2: Annual environmental performance report</t>
  </si>
  <si>
    <t>PR14NESWSWW_S-A1</t>
  </si>
  <si>
    <t>S-A1</t>
  </si>
  <si>
    <t>NES-16</t>
  </si>
  <si>
    <t>S-A1: Asset health measures - wastewater</t>
  </si>
  <si>
    <t>NES S-A1: Asset health measures - wastewater</t>
  </si>
  <si>
    <t>The asset health MoS (S-A1) does not attract any financial penalty/reward in its own right, but sets out the rules of the approach as they apply to the four wastewater asset health MoS.
The company’s asset health approach replaces the serviceability approach. The asset health measures enable the company to monitor, protect and provide incentives for the long-term sustainable stewardship of its assets. The company’s asset health measures of success (MoS) for the wastewater service are:
• repeat sewer flooding (S-B3)
• sewer collapses (S-B4)
• sewage treatment works discharge compliance (S-C1)
• pollution incidents (S-C2)
All four measures in asset health are separately subject to penalties. Two measures are subject to reward (repeat sewer flooding and pollution incidents), but only if a penalty has not been triggered in another wastewater asset health measure when the assessment is being made.
Penalty 1: £2,228,625 lump sum at each assessment point
Penalty 2: an additional £2,228,625 lump sum over and above penalty 1 at each assessment point.</t>
  </si>
  <si>
    <t>PR14NESWSWW_S-B1</t>
  </si>
  <si>
    <t>We provide a sewerage service that deals effectively with sewage and heavy rainfall</t>
  </si>
  <si>
    <t>NES-17</t>
  </si>
  <si>
    <t>S-B1: Properties flooded externally</t>
  </si>
  <si>
    <t>No. of properties per year</t>
  </si>
  <si>
    <t>&gt;1,664</t>
  </si>
  <si>
    <t>&gt;1,497</t>
  </si>
  <si>
    <t>&lt;1,139</t>
  </si>
  <si>
    <t>&lt;639</t>
  </si>
  <si>
    <t>NES S-B1: Properties flooded externally</t>
  </si>
  <si>
    <t>PR14NESWSWW_S-B2</t>
  </si>
  <si>
    <t>S-B2</t>
  </si>
  <si>
    <t>NES-18</t>
  </si>
  <si>
    <t>S-B2: Properties flooded internally</t>
  </si>
  <si>
    <t>No. of properties flooded internally per year</t>
  </si>
  <si>
    <t>NES S-B2: Properties flooded internally</t>
  </si>
  <si>
    <t>PR14NESWSWW_S-B3</t>
  </si>
  <si>
    <t>S-B3</t>
  </si>
  <si>
    <t>NES-19</t>
  </si>
  <si>
    <t>S-B3: Repeat sewer flooding</t>
  </si>
  <si>
    <t>&gt;761</t>
  </si>
  <si>
    <t>&gt;620</t>
  </si>
  <si>
    <t>&lt;237</t>
  </si>
  <si>
    <t>&lt;140</t>
  </si>
  <si>
    <t>NES S-B3: Repeat sewer flooding</t>
  </si>
  <si>
    <t>The company’s asset health approach replaces the serviceability approach. The asset health measures enable the company to monitor, protect and provide incentives for the long-term sustainable stewardship of its assets. The company’s asset health measures of success (MoS) for the wastewater service are:
• repeat sewer flooding (S-B3)
• sewer collapses (S-B4)
• sewage treatment works discharge compliance (S-C1)
• pollution incidents (S-C2)
All four measures in asset health are separately subject to penalties. Two measures are subject to reward (repeat sewer flooding and pollution incidents), but only if a penalty has not been triggered in another wastewater asset health measure when the assessment is being made.
Penalty 1: £2,228,625 lump sum at each assessment point
Penalty 2: an additional £2,228,625 lump sum over and above penalty 1 at each assessment point.</t>
  </si>
  <si>
    <t>PR14NESWSWW_S-B4</t>
  </si>
  <si>
    <t>S-B4</t>
  </si>
  <si>
    <t>NES-20</t>
  </si>
  <si>
    <t>S-B4: Sewer collapses</t>
  </si>
  <si>
    <t>No. of sewer collapses per year - excluding TDSs</t>
  </si>
  <si>
    <t>&gt;80</t>
  </si>
  <si>
    <t>&gt;70</t>
  </si>
  <si>
    <t>NES S-B4: Sewer collapses</t>
  </si>
  <si>
    <t>PR14NESWSWW_S-B5</t>
  </si>
  <si>
    <t>S-B5</t>
  </si>
  <si>
    <t>NES-21</t>
  </si>
  <si>
    <t>S-B5: Transferred drains and sewers - internal sewer flooding</t>
  </si>
  <si>
    <t>&gt;381</t>
  </si>
  <si>
    <t>&gt;298</t>
  </si>
  <si>
    <t>&lt;158</t>
  </si>
  <si>
    <t>&lt;61</t>
  </si>
  <si>
    <t>NES S-B5: Transferred drains and sewers - internal sewer flooding</t>
  </si>
  <si>
    <t>PR14NESWSWW_S-B6</t>
  </si>
  <si>
    <t>S-B6</t>
  </si>
  <si>
    <t>NES-22</t>
  </si>
  <si>
    <t>S-B6: Transferred drains and sewers - external sewer flooding</t>
  </si>
  <si>
    <t>&gt;3548</t>
  </si>
  <si>
    <t>&gt;3381</t>
  </si>
  <si>
    <t>&lt;2481</t>
  </si>
  <si>
    <t>&lt;1981</t>
  </si>
  <si>
    <t>NES S-B6: Transferred drains and sewers - external sewer flooding</t>
  </si>
  <si>
    <t>PR14NESWSWW_S-B7</t>
  </si>
  <si>
    <t>S-B7</t>
  </si>
  <si>
    <t>NES-23</t>
  </si>
  <si>
    <t>S-B7: Transferred drains and sewers - sewer collapses</t>
  </si>
  <si>
    <t>No. of sewer collapses per year - TDSs</t>
  </si>
  <si>
    <t>NES S-B7: Transferred drains and sewers - sewer collapses</t>
  </si>
  <si>
    <t>PR14NESWSWW_S-C1</t>
  </si>
  <si>
    <t>We help to improve the quality of rivers and coastal waters for the benefit of people, the environment and wildlife</t>
  </si>
  <si>
    <t>NES-24</t>
  </si>
  <si>
    <t>S-C1: Sewage treatment works discharge compliance</t>
  </si>
  <si>
    <t>No. discharge permit condition failures per year</t>
  </si>
  <si>
    <t>&gt;2</t>
  </si>
  <si>
    <t>&gt;1</t>
  </si>
  <si>
    <t>NES S-C1: Sewage treatment works discharge compliance</t>
  </si>
  <si>
    <t>PR14NESWSWW_S-C2</t>
  </si>
  <si>
    <t>NES-25</t>
  </si>
  <si>
    <t>S-C2: Pollution incidents (category 3)</t>
  </si>
  <si>
    <t>&gt;191</t>
  </si>
  <si>
    <t>&gt;181</t>
  </si>
  <si>
    <t>&gt;170</t>
  </si>
  <si>
    <t>&gt;153</t>
  </si>
  <si>
    <t>&gt;143</t>
  </si>
  <si>
    <t>&gt;132</t>
  </si>
  <si>
    <t>&gt;122</t>
  </si>
  <si>
    <t>&lt;77</t>
  </si>
  <si>
    <t>&lt;57</t>
  </si>
  <si>
    <t>NES S-C2: Pollution incidents (category 3)</t>
  </si>
  <si>
    <t>PR14NESWSWW_S-C3</t>
  </si>
  <si>
    <t>NES-26</t>
  </si>
  <si>
    <t>S-C3: Bathing water compliance</t>
  </si>
  <si>
    <t>No. of bathing waters per year</t>
  </si>
  <si>
    <t>&lt;31</t>
  </si>
  <si>
    <t>&lt;32</t>
  </si>
  <si>
    <t>&lt;33</t>
  </si>
  <si>
    <t>NES S-C3: Bathing water compliance</t>
  </si>
  <si>
    <t>PR14NESWSWW_S-C4</t>
  </si>
  <si>
    <t>NES-27</t>
  </si>
  <si>
    <t>S-C4: Whitburn combined sewer overflow (CSO) scheme</t>
  </si>
  <si>
    <t>Delivery / non-delivery</t>
  </si>
  <si>
    <t>Non-delivery</t>
  </si>
  <si>
    <t>Delivery</t>
  </si>
  <si>
    <t>NES S-C4: Whitburn combined sewer overflow (CSO) scheme</t>
  </si>
  <si>
    <t>Delivery is measured by whether Northumbrian Water has delivered the scheme it has been funded for through price limits and that the completed scheme is operating. 
Penalties to be determined at PR19 milestone based on the extent of completion of the scheme and, if relevant, the expected date of completion of the scheme. If substantive progress toward delivery cannot be demonstrated at PR19, such that the scheme is not expected to be completed by the end of 2019-20 the full non-delivery penalty will apply.
This is a pass/fail incentive type. If the scheme is not expected to complete by the end of 2019-20 the full penalty will apply (but not the late delivery penalties).
The late delivery penalty applies to 2018-19 and 2019-20 and pro rata to delivery which is a fraction of a year late. It also applies pro-rata to January to March 2018 (that is, a £0.05m penalty for non-delivery for those 3 months).
Penalty 1 - late delivery (per year from 2018-19): £0.2m 
Penalty 2 - non-delivery: £4m</t>
  </si>
  <si>
    <t>PR14NESWSWW_S-D1</t>
  </si>
  <si>
    <t>NES-28</t>
  </si>
  <si>
    <t>S-D1: NWL independent overall customer satisfaction score</t>
  </si>
  <si>
    <t>Customer satisfaction score out of 10</t>
  </si>
  <si>
    <t>NES S-D1: NWL independent overall customer satisfaction score</t>
  </si>
  <si>
    <t>PR14NESWSWW_S-D2</t>
  </si>
  <si>
    <t>NES-29</t>
  </si>
  <si>
    <t>S-D2: Service incentive mechanism (SIM)</t>
  </si>
  <si>
    <t>NES S-D2: Service incentive mechanism (SIM)</t>
  </si>
  <si>
    <t>PR14NESWSWW_S-D3</t>
  </si>
  <si>
    <t>S-D3</t>
  </si>
  <si>
    <t>NES-30</t>
  </si>
  <si>
    <t>S-D3: Domestic customer satisfaction, net promoter score</t>
  </si>
  <si>
    <t>NES S-D3: Domestic customer satisfaction, net promoter score</t>
  </si>
  <si>
    <t>To calculate the NPS, the company will take the % of customers who are promoters and subtract the % who are detractors. The range of scores will be between -100% and +100%.</t>
  </si>
  <si>
    <t>PR14NESWSWW_S-E1</t>
  </si>
  <si>
    <t>NES-31</t>
  </si>
  <si>
    <t>S-E1: NWL independent survey on keeping customers informed</t>
  </si>
  <si>
    <t>NES S-E1: NWL independent survey on keeping customers informed</t>
  </si>
  <si>
    <t>PR14NESWSWW_S-F1</t>
  </si>
  <si>
    <t>We protect and enhance the environment in delivering our services, leading by example</t>
  </si>
  <si>
    <t>NES-32</t>
  </si>
  <si>
    <t>S-F1: Greenhouse gas emissions</t>
  </si>
  <si>
    <t>NES S-F1: Greenhouse gas emissions</t>
  </si>
  <si>
    <t>PR14NESWSWW_S-F2</t>
  </si>
  <si>
    <t>NES-33</t>
  </si>
  <si>
    <t>S-F2: Annual environmental performance report</t>
  </si>
  <si>
    <t>Report published</t>
  </si>
  <si>
    <t>NES S-F2: Annual environmental performance report</t>
  </si>
  <si>
    <t>PR14NESHHR_R-B1</t>
  </si>
  <si>
    <t>NES-34</t>
  </si>
  <si>
    <t>R-B1: NWL independent overall customer satisfaction score</t>
  </si>
  <si>
    <t>NES R-B1: NWL independent overall customer satisfaction score</t>
  </si>
  <si>
    <t>PR14NESHHR_R-B2</t>
  </si>
  <si>
    <t>NES-35</t>
  </si>
  <si>
    <t>R-B2: Service incentive mechanism (SIM)</t>
  </si>
  <si>
    <t>NES R-B2: Service incentive mechanism (SIM)</t>
  </si>
  <si>
    <t>PR14NESHHR_R-B3</t>
  </si>
  <si>
    <t>R-B3</t>
  </si>
  <si>
    <t>NES-36</t>
  </si>
  <si>
    <t>R-B3: Domestic customer satisfaction, net promoter score</t>
  </si>
  <si>
    <t>NES R-B3: Domestic customer satisfaction, net promoter score</t>
  </si>
  <si>
    <t>PR14NESHHR_R-C1</t>
  </si>
  <si>
    <t>Our customers consider the services they receive to be value for money</t>
  </si>
  <si>
    <t>NES-37</t>
  </si>
  <si>
    <t>R-C1: NWL independent value for money survey</t>
  </si>
  <si>
    <t>NES R-C1: NWL independent value for money survey</t>
  </si>
  <si>
    <t>PR14NESHHR_R-C2</t>
  </si>
  <si>
    <t>NES-38</t>
  </si>
  <si>
    <t>R-C2: Satisfied with value for money of water services - Northumbrian region (CCWater research)</t>
  </si>
  <si>
    <t>NES R-C2: Satisfied with value for money of water services - Northumbrian region (CCWater research)</t>
  </si>
  <si>
    <t>PR14NESHHR_R-C3</t>
  </si>
  <si>
    <t>R-C3</t>
  </si>
  <si>
    <t>NES-39</t>
  </si>
  <si>
    <t>R-C3: Satisfied with value for money of sewerage services - Northumbrian region (CCWater research)</t>
  </si>
  <si>
    <t>NES R-C3: Satisfied with value for money of sewerage services - Northumbrian region (CCWater research)</t>
  </si>
  <si>
    <t>PR14NESHHR_R-C4</t>
  </si>
  <si>
    <t>R-C4</t>
  </si>
  <si>
    <t>NES-40</t>
  </si>
  <si>
    <t>R-C4: Satisfied with value for money of water services - Essex &amp; Suffolk region (CCWater research)</t>
  </si>
  <si>
    <t>NES R-C4: Satisfied with value for money of water services - Essex &amp; Suffolk region (CCWater research)</t>
  </si>
  <si>
    <t>PR14NESHHR_R-D1</t>
  </si>
  <si>
    <t>NES-41</t>
  </si>
  <si>
    <t>R-D1: NWL independent survey on keeping customers informed</t>
  </si>
  <si>
    <t>NES R-D1: NWL independent survey on keeping customers informed</t>
  </si>
  <si>
    <t>PR14NESHHR_R-E1</t>
  </si>
  <si>
    <t>R-E1</t>
  </si>
  <si>
    <t>NES-42</t>
  </si>
  <si>
    <t>R-E1: Greenhouse gas emissions</t>
  </si>
  <si>
    <t>NES R-E1: Greenhouse gas emissions</t>
  </si>
  <si>
    <t>PR14NESHHR_R-E2</t>
  </si>
  <si>
    <t>R-E2</t>
  </si>
  <si>
    <t>NES-43</t>
  </si>
  <si>
    <t>R-E2: Annual environmental performance report</t>
  </si>
  <si>
    <t>NES R-E2: Annual environmental performance report</t>
  </si>
  <si>
    <t>PR14NESHHR_R-F1</t>
  </si>
  <si>
    <t>We are an efficient and innovative company</t>
  </si>
  <si>
    <t>R-F1</t>
  </si>
  <si>
    <t>NES-44</t>
  </si>
  <si>
    <t>R-F1: Delivering a consolidated Customer Information and Billing (CIB) system</t>
  </si>
  <si>
    <t>£ million cumulative depreciation</t>
  </si>
  <si>
    <t>See comment</t>
  </si>
  <si>
    <t>NES R-F1: Delivering a consolidated Customer Information and Billing (CIB) system</t>
  </si>
  <si>
    <t>The calculation of the performance measure is the cumulative depreciation charge allowed for in price limits for the delivery of the new Customer Information and Billing (CIB) system.
Delivery is measured by 80% of Northumbrian Water’s directly billed customers being handled through the new consolidated CIB system. Performance will be monitored through Northumbrian Water’s standard approach for PC/ODI reporting to the CCG. Should the delivery programme fall materially behind programme, this will be disclosed in the company’s annual regulatory report.
The measure will be assessed annually on the company’s regulatory year performance.
The company’s first assessment will be made for 2015-16. Penalty 1 will only apply in 2019-20. Penalty 2 will only apply from 2017-18 onwards.
Penalty rate 1 applies at the end of 2019-20. Penalty rate 1 returns half of any funding for the CIB system (via payments for depreciation) back to customers if the outturn costs of the programme are lower than assumed in Northumbrian Water’s business plan.
Penalty rate 2 applies cumulatively that is, if the CIB system is not delivered until 1 June 2019 a penalty of £1.25m applies once for non-delivery in 2018-19 and pro rata for non-delivery between 1 April 2019 and 1 June 2019.
Both Penalty rate 1 and Penalty rate 2 can apply at the same time. For example, if Northumbrian Water did not spend anything on the new CIB system in 2015-16 to 2019-20 the company would be required to pay half of all the cumulative deprecation funded in price limits back to customers (Penalty 1) and the company would be required to pay 2 times Penalty rate 2 to customers.
Penalty 1: £0.5 per £1 of cumulative depreciation
Penalty 2: £1.25 million per year of non-delivery (calculated pro rata according to the number of days of non-delivery)</t>
  </si>
  <si>
    <t>PRT</t>
  </si>
  <si>
    <t>PR14PRTWSW_A1</t>
  </si>
  <si>
    <t>Safe, secure and reliable drinking water</t>
  </si>
  <si>
    <t>PRT-01</t>
  </si>
  <si>
    <t>A1: Bursts</t>
  </si>
  <si>
    <t>PRT A1: Bursts</t>
  </si>
  <si>
    <t>PR14PRTWSW_A2</t>
  </si>
  <si>
    <t>PRT-02</t>
  </si>
  <si>
    <t>A2: Water quality standards</t>
  </si>
  <si>
    <t>PRT A2: Water quality standards</t>
  </si>
  <si>
    <t>PR14PRTWSW_A3</t>
  </si>
  <si>
    <t>PRT-03</t>
  </si>
  <si>
    <t>A3: Water quality contacts</t>
  </si>
  <si>
    <t>No. contacts per 1,000 population served</t>
  </si>
  <si>
    <t>0.01 contacts</t>
  </si>
  <si>
    <t>PRT A3: Water quality contacts</t>
  </si>
  <si>
    <t>PR14PRTWSW_A4</t>
  </si>
  <si>
    <t>PRT-04</t>
  </si>
  <si>
    <t>A4: Temporary usage bans</t>
  </si>
  <si>
    <t>No. of temporary usage bans per year</t>
  </si>
  <si>
    <t>PRT A4: Temporary usage bans</t>
  </si>
  <si>
    <t>PR14PRTWSW_B1</t>
  </si>
  <si>
    <t>Less water lost through leakage</t>
  </si>
  <si>
    <t>PRT-05</t>
  </si>
  <si>
    <t>B1: Leakage</t>
  </si>
  <si>
    <t>PRT B1: Leakage</t>
  </si>
  <si>
    <t>PR14PRTWSW_C1</t>
  </si>
  <si>
    <t>High quality service</t>
  </si>
  <si>
    <t>PRT-06</t>
  </si>
  <si>
    <t>C1: Interruptions to supply</t>
  </si>
  <si>
    <t>8 min 44 secs</t>
  </si>
  <si>
    <t>3 min 30 secs</t>
  </si>
  <si>
    <t>PRT C1: Interruptions to supply</t>
  </si>
  <si>
    <t>PR14PRTWSW_D1</t>
  </si>
  <si>
    <t>An improved environment supporting biodiversity</t>
  </si>
  <si>
    <t>PRT-07</t>
  </si>
  <si>
    <t>D1: Biodiversity</t>
  </si>
  <si>
    <t>% (completion of agreed actions)</t>
  </si>
  <si>
    <t>10%</t>
  </si>
  <si>
    <t>Not applicable</t>
  </si>
  <si>
    <t>PRT D1: Biodiversity</t>
  </si>
  <si>
    <t>Penalty rate is per 10%</t>
  </si>
  <si>
    <t>PR14PRTWSW_D2</t>
  </si>
  <si>
    <t>D2</t>
  </si>
  <si>
    <t>PRT-08</t>
  </si>
  <si>
    <t>D2: Water Framework Directive (WFD)</t>
  </si>
  <si>
    <t>Programme completion</t>
  </si>
  <si>
    <t>Target date</t>
  </si>
  <si>
    <t>Delivered</t>
  </si>
  <si>
    <t>Progress as planned</t>
  </si>
  <si>
    <t>PRT D2: Water Framework Directive (WFD)</t>
  </si>
  <si>
    <t>Penalty £9,838 per year later than CPL, reward £7,152 per year earlier than CPL</t>
  </si>
  <si>
    <t>PR14PRTWSW_D3</t>
  </si>
  <si>
    <t>D3</t>
  </si>
  <si>
    <t>PRT-09</t>
  </si>
  <si>
    <t>D3: Carbon</t>
  </si>
  <si>
    <t>Energy sourced from renewables (% increase)</t>
  </si>
  <si>
    <t>&gt; 95%</t>
  </si>
  <si>
    <t>PRT D3: Carbon</t>
  </si>
  <si>
    <t>PR14PRTWSW_E1</t>
  </si>
  <si>
    <t>Health and safety culture</t>
  </si>
  <si>
    <t>PRT-10</t>
  </si>
  <si>
    <t>E1: RoSPA Health and Safety accreditation</t>
  </si>
  <si>
    <t>Health &amp; safety</t>
  </si>
  <si>
    <t>RoSPA Gold award</t>
  </si>
  <si>
    <t>Awarded</t>
  </si>
  <si>
    <t>PRT E1: RoSPA Health and Safety accreditation</t>
  </si>
  <si>
    <t>PR14PRTHHR_A1</t>
  </si>
  <si>
    <t>PRT-11</t>
  </si>
  <si>
    <t>A1: Service incentive mechanism (SIM)</t>
  </si>
  <si>
    <t>UQ</t>
  </si>
  <si>
    <t>Unknown</t>
  </si>
  <si>
    <t>PRT A1: Service incentive mechanism (SIM)</t>
  </si>
  <si>
    <t>PR14PRTHHR_B1</t>
  </si>
  <si>
    <t>PRT-12</t>
  </si>
  <si>
    <t>B1: Reducing per capita consumption (PCC)</t>
  </si>
  <si>
    <t>PRT B1: Reducing per capita consumption (PCC)</t>
  </si>
  <si>
    <t>PR14PRTHHR_C1</t>
  </si>
  <si>
    <t>Supporting the community</t>
  </si>
  <si>
    <t>PRT-13</t>
  </si>
  <si>
    <t>C1: Survey of developers</t>
  </si>
  <si>
    <t>Satisfaction rate (%)</t>
  </si>
  <si>
    <t>PRT C1: Survey of developers</t>
  </si>
  <si>
    <t>SBW</t>
  </si>
  <si>
    <t>PR14SBWWSW_A1</t>
  </si>
  <si>
    <t>Safe and wholesome water</t>
  </si>
  <si>
    <t>SBW-01</t>
  </si>
  <si>
    <t>A1: Customer contacts: taste and appearance (water quality contacts)</t>
  </si>
  <si>
    <t>SBW A1: Customer contacts: taste and appearance (water quality contacts)</t>
  </si>
  <si>
    <t>PR14SBWWSW_A2</t>
  </si>
  <si>
    <t>SBW-02</t>
  </si>
  <si>
    <t>A2: WS (WQ) regulation compliance - mean zonal compliance (compliance with DWI regulations)</t>
  </si>
  <si>
    <t>SBW A2: WS (WQ) regulation compliance - mean zonal compliance (compliance with DWI regulations)</t>
  </si>
  <si>
    <t>PR14SBWWSW_B1</t>
  </si>
  <si>
    <t>Reliable water supply</t>
  </si>
  <si>
    <t>SBW-03</t>
  </si>
  <si>
    <t>B1: Reduce leakage (to less than or equal to 20.00 Ml/d by 2020)</t>
  </si>
  <si>
    <t>0.1Ml/d</t>
  </si>
  <si>
    <t>SBW B1: Reduce leakage (to less than or equal to 20.00 Ml/d by 2020)</t>
  </si>
  <si>
    <t>PR14SBWWSW_B2</t>
  </si>
  <si>
    <t>SBW-04</t>
  </si>
  <si>
    <t>B2: Large scale interruptions (minimise risk of large scale interruption to 12,000 properties)</t>
  </si>
  <si>
    <t>1,000 properties</t>
  </si>
  <si>
    <t>SBW B2: Large scale interruptions (minimise risk of large scale interruption to 12,000 properties)</t>
  </si>
  <si>
    <t>PR14SBWWSW_B3</t>
  </si>
  <si>
    <t>SBW-05</t>
  </si>
  <si>
    <t>B3: Decreasing average interruptions &gt;3 hours</t>
  </si>
  <si>
    <t>SBW B3: Decreasing average interruptions &gt;3 hours</t>
  </si>
  <si>
    <t>PR14SBWWSW_B4</t>
  </si>
  <si>
    <t>SBW-06</t>
  </si>
  <si>
    <t>B4: Maintain serviceable assets</t>
  </si>
  <si>
    <t>SBW B4: Maintain serviceable assets</t>
  </si>
  <si>
    <t>PR14SBWWSW_B5</t>
  </si>
  <si>
    <t>B5</t>
  </si>
  <si>
    <t>SBW-07</t>
  </si>
  <si>
    <t>B5: Metering - continue current strategy</t>
  </si>
  <si>
    <t>No. of additional meters installed</t>
  </si>
  <si>
    <t>SBW B5: Metering - continue current strategy</t>
  </si>
  <si>
    <t>PR14SBWWSW_B6</t>
  </si>
  <si>
    <t>B6</t>
  </si>
  <si>
    <t>SBW-08</t>
  </si>
  <si>
    <t>B6: Reduce per capita consumption (PCC) to 136 litres/head/day by March 2020</t>
  </si>
  <si>
    <t>SBW B6: Reduce per capita consumption (PCC) to 136 litres/head/day by March 2020</t>
  </si>
  <si>
    <t>PR14SBWWSW_C1</t>
  </si>
  <si>
    <t>Providing an excellent customer experience</t>
  </si>
  <si>
    <t>SBW-09</t>
  </si>
  <si>
    <t>C1: Repair visible leaks</t>
  </si>
  <si>
    <t>% visible leaks repaired within 7 days</t>
  </si>
  <si>
    <t>SBW C1: Repair visible leaks</t>
  </si>
  <si>
    <t>PR14SBWWSW_D1</t>
  </si>
  <si>
    <t>Environmentally sustainable operations</t>
  </si>
  <si>
    <t>SBW-10</t>
  </si>
  <si>
    <t>D1: Reduce energy used in water delivery</t>
  </si>
  <si>
    <t>kWh/Ml (kilowatt hours per megalitre)</t>
  </si>
  <si>
    <t>SBW D1: Reduce energy used in water delivery</t>
  </si>
  <si>
    <t>PR14SBWWSW_D2</t>
  </si>
  <si>
    <t>SBW-11</t>
  </si>
  <si>
    <t>D2: Help support a natural healthy water environment (in addition to NEP statutory obligation work)</t>
  </si>
  <si>
    <t>Annual review of environmental work</t>
  </si>
  <si>
    <t>Annual review</t>
  </si>
  <si>
    <t>Ann review</t>
  </si>
  <si>
    <t>Annual report</t>
  </si>
  <si>
    <t>SBW D2: Help support a natural healthy water environment (in addition to NEP statutory obligation work)</t>
  </si>
  <si>
    <t>PR14SBWWSW_E1</t>
  </si>
  <si>
    <t>Engage well with our community and customers</t>
  </si>
  <si>
    <t>SBW-12</t>
  </si>
  <si>
    <t>E1: Contribute to our community (increase educational visits to schools, and working days for volunteer and charity work)</t>
  </si>
  <si>
    <t>Community/partnerships</t>
  </si>
  <si>
    <t>No. of working days</t>
  </si>
  <si>
    <t>SBW E1: Contribute to our community (increase educational visits to schools, and working days for volunteer and charity work)</t>
  </si>
  <si>
    <t>PR14SBWHHR_A1</t>
  </si>
  <si>
    <t>SBW-13</t>
  </si>
  <si>
    <t>Service incentive mechanism (SIM) score (average)</t>
  </si>
  <si>
    <t>SBW A1: Service incentive mechanism (SIM)</t>
  </si>
  <si>
    <t>PR14SBWHHR_A2</t>
  </si>
  <si>
    <t>SBW-14</t>
  </si>
  <si>
    <t>A2: New customer relationship management (CRM) system</t>
  </si>
  <si>
    <t>SBW A2: New customer relationship management (CRM) system</t>
  </si>
  <si>
    <t>Penalty 1: new customer relationship management (CRM) system - cost differences
Incentive rate = £0.50 per £1 of cumulative depreciation
Assessment of penalty 1 made on 2019-20 performance
Penalty 2: new customer relationship management (CRM) system - late or non-delivery differences
Incentive rate = £0.17 per year of non-delivery
Assessment of penalty 2 will be made annually from 2015-16 onwards</t>
  </si>
  <si>
    <t>PR14SBWHHR_B1</t>
  </si>
  <si>
    <t>A financially stable business</t>
  </si>
  <si>
    <t>SBW-15</t>
  </si>
  <si>
    <t>B1: Fair customer bills (efficient debt management: % of average bill)</t>
  </si>
  <si>
    <t>% of average bill</t>
  </si>
  <si>
    <t>3.00 - 3.75</t>
  </si>
  <si>
    <t>SBW B1: Fair customer bills (efficient debt management: % of average bill)</t>
  </si>
  <si>
    <t>SES</t>
  </si>
  <si>
    <t>PR14SESWSW_A1</t>
  </si>
  <si>
    <t>Provide a reliable and sufficient supply of safe, high quality drinking water</t>
  </si>
  <si>
    <t>SES-01</t>
  </si>
  <si>
    <t>A1: Security of supply index (SoSI) dry year average</t>
  </si>
  <si>
    <t>1 breach/AMP</t>
  </si>
  <si>
    <t>SES A1: Security of supply index (SoSI) dry year average</t>
  </si>
  <si>
    <t>The penalty is capped at one failure over the deadband for the five-year period.
The incentive rate is based on the capital expenditure for enhancements to the supply demand balance (dry year average annual conditions) for the period, calibrated for the totex incentive.
The company operates within the levels of service set out in its Water Resources Management Plan (WRMP). These are:
• a ban on the use of hosepipes and unattended watering devices (temporary use restrictions) occurs no more than once every ten years on average;
• the company will implement a drought order to restrict the non-essential use of water no more than once every 20 years on average; and
• Emergency Drought Order measures (for example, rota cuts, use of standpipes and phased pressure management) will only be required in the most extreme droughts or emergency situations.</t>
  </si>
  <si>
    <t>PR14SESWSW_A2</t>
  </si>
  <si>
    <t>SES-02</t>
  </si>
  <si>
    <t>A2: Security of supply index (SoSI) critical period</t>
  </si>
  <si>
    <t>SES A2: Security of supply index (SoSI) critical period</t>
  </si>
  <si>
    <t>PR14SESWSW_A3</t>
  </si>
  <si>
    <t>SES-03</t>
  </si>
  <si>
    <t>A3: Supply interruptions &gt;3 hours</t>
  </si>
  <si>
    <t>SES A3: Supply interruptions &gt;3 hours</t>
  </si>
  <si>
    <t>PR14SESWSW_A4</t>
  </si>
  <si>
    <t>SES-04</t>
  </si>
  <si>
    <t>A4: Condition and reliability of the mains network - number of burst pipes a year</t>
  </si>
  <si>
    <t>SES A4: Condition and reliability of the mains network - number of burst pipes a year</t>
  </si>
  <si>
    <t>PR14SESWSW_A5</t>
  </si>
  <si>
    <t>A5</t>
  </si>
  <si>
    <t>SES-05</t>
  </si>
  <si>
    <t>A5: Drinking Water Inspectorate’s (DWI) index of water quality</t>
  </si>
  <si>
    <t>SES A5: Drinking Water Inspectorate’s (DWI) index of water quality</t>
  </si>
  <si>
    <t>PR14SESWSW_A6</t>
  </si>
  <si>
    <t>A6</t>
  </si>
  <si>
    <t>SES-06</t>
  </si>
  <si>
    <t>A6: Taste, odour and discolouration (number of contacts received)</t>
  </si>
  <si>
    <t>SES A6: Taste, odour and discolouration (number of contacts received)</t>
  </si>
  <si>
    <t>PR14SESWSW_A7</t>
  </si>
  <si>
    <t>A7</t>
  </si>
  <si>
    <t>SES-07</t>
  </si>
  <si>
    <t>A7: Water softening programme</t>
  </si>
  <si>
    <t>Programme delivery</t>
  </si>
  <si>
    <t>SES A7: Water softening programme</t>
  </si>
  <si>
    <t>Sutton &amp; East Surrey Water has a statutory obligation to soften the majority of water it delivers to customers.
In the event that, through the annual reporting process, Sutton &amp; East Surrey Water confirm that it has failed to meet its statutory obligation to soften its water, the annual penalty will apply.</t>
  </si>
  <si>
    <t>PR14SESWSW_C1</t>
  </si>
  <si>
    <t>Increasing the resilience of our network to drought, flooding and equipment failure</t>
  </si>
  <si>
    <t>SES-08</t>
  </si>
  <si>
    <t>C1: The number of times on average the Company has to impose restrictions on the use of water</t>
  </si>
  <si>
    <t>No. of restrictions in last 10 years</t>
  </si>
  <si>
    <t>SES C1: The number of times on average the Company has to impose restrictions on the use of water</t>
  </si>
  <si>
    <t>PR14SESWSW_C2</t>
  </si>
  <si>
    <t>SES-09</t>
  </si>
  <si>
    <t>C2: Percentage of properties that are connected to more than one treatment works (resilience measure)</t>
  </si>
  <si>
    <t>% props can be supplied from &gt;1 WTW</t>
  </si>
  <si>
    <t>SES C2: Percentage of properties that are connected to more than one treatment works (resilience measure)</t>
  </si>
  <si>
    <t>PR14SESWSW_E1</t>
  </si>
  <si>
    <t>Reducing our impact on the environment while seeking to make a positive contribution to its quality</t>
  </si>
  <si>
    <t>SES-10</t>
  </si>
  <si>
    <t>E1: Level of leakage measured in megalitres per day (including customer supply pipe leakage)</t>
  </si>
  <si>
    <t>SES E1: Level of leakage measured in megalitres per day (including customer supply pipe leakage)</t>
  </si>
  <si>
    <t>PR14SESWSW_E2</t>
  </si>
  <si>
    <t>SES-11</t>
  </si>
  <si>
    <t>E2: Per capita consumption (PCC), measured in litres per head per day (l/h/d)</t>
  </si>
  <si>
    <t>SES E2: Per capita consumption (PCC), measured in litres per head per day (l/h/d)</t>
  </si>
  <si>
    <t>PR14SESWSW_E3</t>
  </si>
  <si>
    <t>E3</t>
  </si>
  <si>
    <t>SES-12</t>
  </si>
  <si>
    <t>E3: The number of children and adults engaged in environmental education activities</t>
  </si>
  <si>
    <t>Customer education/awareness</t>
  </si>
  <si>
    <t>No. people the company engages with</t>
  </si>
  <si>
    <t>&gt;10,000</t>
  </si>
  <si>
    <t>SES E3: The number of children and adults engaged in environmental education activities</t>
  </si>
  <si>
    <t>PR14SESWSW_E4</t>
  </si>
  <si>
    <t>E4</t>
  </si>
  <si>
    <t>SES-13</t>
  </si>
  <si>
    <t>E4: Greenhouse gas emissions per million litres of water supplied</t>
  </si>
  <si>
    <t>kgCO2e/Ml</t>
  </si>
  <si>
    <t>SES E4: Greenhouse gas emissions per million litres of water supplied</t>
  </si>
  <si>
    <t>PR14SESWSW_E5</t>
  </si>
  <si>
    <t>E5</t>
  </si>
  <si>
    <t>SES-14</t>
  </si>
  <si>
    <t>E5: Number of severe pollution incidents (category 3 or worse, as reported by the Environment Agency)</t>
  </si>
  <si>
    <t>No. of pollution incidents (cats 1, 2 and 3)</t>
  </si>
  <si>
    <t>SES E5: Number of severe pollution incidents (category 3 or worse, as reported by the Environment Agency)</t>
  </si>
  <si>
    <t>PR14SESWSW_E6</t>
  </si>
  <si>
    <t>E6</t>
  </si>
  <si>
    <t>SES-15</t>
  </si>
  <si>
    <t>E6: Environmental investigations or catchment management schemes carried out as part of the NEP</t>
  </si>
  <si>
    <t>No. of NEP schemes</t>
  </si>
  <si>
    <t>SES E6: Environmental investigations or catchment management schemes carried out as part of the NEP</t>
  </si>
  <si>
    <t>PR14SESHHR_B1</t>
  </si>
  <si>
    <t>Offering good value for money and keeping bills at a fair and reasonable level</t>
  </si>
  <si>
    <t>SES-16</t>
  </si>
  <si>
    <t>B1: Number of customers that are in water poverty and receiving assistance</t>
  </si>
  <si>
    <t>No. of customers</t>
  </si>
  <si>
    <t>SES B1: Number of customers that are in water poverty and receiving assistance</t>
  </si>
  <si>
    <t>PR14SESHHR_B2</t>
  </si>
  <si>
    <t>SES-17</t>
  </si>
  <si>
    <t>B2: Effectiveness of bad debt recovery (bad debt expressed as a percentage of turnover)</t>
  </si>
  <si>
    <t>Bad debt as % of total turnover</t>
  </si>
  <si>
    <t>&lt;1.00</t>
  </si>
  <si>
    <t>SES B2: Effectiveness of bad debt recovery (bad debt expressed as a percentage of turnover)</t>
  </si>
  <si>
    <t>PR14SESHHR_B3</t>
  </si>
  <si>
    <t>SES-18</t>
  </si>
  <si>
    <t>B3: Customer perception of value for money</t>
  </si>
  <si>
    <t>&lt;15</t>
  </si>
  <si>
    <t>SES B3: Customer perception of value for money</t>
  </si>
  <si>
    <t>The PC unit is the % who consider bills unaffordable</t>
  </si>
  <si>
    <t>PR14SESHHR_D1</t>
  </si>
  <si>
    <t>Delivering consistently high levels of service</t>
  </si>
  <si>
    <t>SES-19</t>
  </si>
  <si>
    <t>D1: Customer satisfaction (level of satisfaction in response to the tracker survey (overall quality score))</t>
  </si>
  <si>
    <t>SES D1: Customer satisfaction (level of satisfaction in response to the tracker survey (overall quality score))</t>
  </si>
  <si>
    <t>PR14SESHHR_D2</t>
  </si>
  <si>
    <t>SES-20</t>
  </si>
  <si>
    <t>D2: Service incentive mechanism (SIM)</t>
  </si>
  <si>
    <t>SES D2: Service incentive mechanism (SIM)</t>
  </si>
  <si>
    <t>PR14SESHHR_D3</t>
  </si>
  <si>
    <t>SES-21</t>
  </si>
  <si>
    <t>D3: Total number of complaints</t>
  </si>
  <si>
    <t>No. per 1,000 billed properties</t>
  </si>
  <si>
    <t>SES D3: Total number of complaints</t>
  </si>
  <si>
    <t>SEW</t>
  </si>
  <si>
    <t>PR14SEWWSW_A1</t>
  </si>
  <si>
    <t>Customers consider the appearance of their water to be acceptable</t>
  </si>
  <si>
    <t>SEW-01</t>
  </si>
  <si>
    <t>A1: Customer satisfaction - appearance of water</t>
  </si>
  <si>
    <t>Customer satisfaction score out of 5</t>
  </si>
  <si>
    <t>0.1 index point</t>
  </si>
  <si>
    <t>SEW A1: Customer satisfaction - appearance of water</t>
  </si>
  <si>
    <t>PR14SEWWSW_B1</t>
  </si>
  <si>
    <t>Customers consider the taste and odour of their water to be acceptable</t>
  </si>
  <si>
    <t>SEW-02</t>
  </si>
  <si>
    <t>B1: Customer satisfaction - taste and odour of water</t>
  </si>
  <si>
    <t>SEW B1: Customer satisfaction - taste and odour of water</t>
  </si>
  <si>
    <t>PR14SEWWSW_C1</t>
  </si>
  <si>
    <t>Customers consider the level of leakage to be acceptable</t>
  </si>
  <si>
    <t>SEW-03</t>
  </si>
  <si>
    <t>C1: Customer satisfaction - level of leakage</t>
  </si>
  <si>
    <t>SEW C1: Customer satisfaction - level of leakage</t>
  </si>
  <si>
    <t>PR14SEWWSW_C2</t>
  </si>
  <si>
    <t>SEW-04</t>
  </si>
  <si>
    <t>C2: Leakage (actual reported leakage per Ml/d per year)</t>
  </si>
  <si>
    <t>SEW C2: Leakage (actual reported leakage per Ml/d per year)</t>
  </si>
  <si>
    <t>PR14SEWWSW_D1</t>
  </si>
  <si>
    <t>Customers consider their direct interaction experience to be positive</t>
  </si>
  <si>
    <t>SEW-05</t>
  </si>
  <si>
    <t>D1: Customer satisfaction - direct interaction experience</t>
  </si>
  <si>
    <t>SEW D1: Customer satisfaction - direct interaction experience</t>
  </si>
  <si>
    <t>PR14SEWWSW_D2</t>
  </si>
  <si>
    <t>SEW-06</t>
  </si>
  <si>
    <t>D2: Service Incentive Mechanism (SIM)</t>
  </si>
  <si>
    <t>SEW D2: Service Incentive Mechanism (SIM)</t>
  </si>
  <si>
    <t>PR14SEWWSW_E1</t>
  </si>
  <si>
    <t>Customers consider their bills to be value for money and affordable</t>
  </si>
  <si>
    <t>SEW-07</t>
  </si>
  <si>
    <t>E1: Customer satisfaction - bills are value for money and affordable</t>
  </si>
  <si>
    <t>SEW E1: Customer satisfaction - bills are value for money and affordable</t>
  </si>
  <si>
    <t>PR14SEWWSW_F1</t>
  </si>
  <si>
    <t>Customers consider the water supply is of sufficient pressure</t>
  </si>
  <si>
    <t>SEW-08</t>
  </si>
  <si>
    <t>F1: Customer satisfaction - water supply is of sufficient pressure</t>
  </si>
  <si>
    <t>SEW F1: Customer satisfaction - water supply is of sufficient pressure</t>
  </si>
  <si>
    <t>PR14SEWWSW_F2</t>
  </si>
  <si>
    <t>F2</t>
  </si>
  <si>
    <t>SEW-09</t>
  </si>
  <si>
    <t>F2: Number of properties at risk of low pressure, as recorded on the DG2 register</t>
  </si>
  <si>
    <t>No. of properties on DG2 register</t>
  </si>
  <si>
    <t>SEW F2: Number of properties at risk of low pressure, as recorded on the DG2 register</t>
  </si>
  <si>
    <t>PR14SEWWSW_G1</t>
  </si>
  <si>
    <t>Customers consider the frequency and duration of supply interruptions is acceptable</t>
  </si>
  <si>
    <t>SEW-10</t>
  </si>
  <si>
    <t>G1: Customer satisfaction - frequency and duration of supply interruptions</t>
  </si>
  <si>
    <t>SEW G1: Customer satisfaction - frequency and duration of supply interruptions</t>
  </si>
  <si>
    <t>PR14SEWWSW_G2</t>
  </si>
  <si>
    <t>SEW-11</t>
  </si>
  <si>
    <t>G2: Average time lost per property (measured in minutes, per property served)</t>
  </si>
  <si>
    <t>SEW G2: Average time lost per property (measured in minutes, per property served)</t>
  </si>
  <si>
    <t>PR14SEWWSW_H1</t>
  </si>
  <si>
    <t>Customers consider the frequency of water use restrictions to be acceptable</t>
  </si>
  <si>
    <t>SEW-12</t>
  </si>
  <si>
    <t>H1: Customer satisfaction - frequency of water use restrictions</t>
  </si>
  <si>
    <t>SEW H1: Customer satisfaction - frequency of water use restrictions</t>
  </si>
  <si>
    <t>PR14SEWWSW_H2</t>
  </si>
  <si>
    <t>SEW-13</t>
  </si>
  <si>
    <t>H2: Meeting the water resource deficit</t>
  </si>
  <si>
    <t>Pass/fail</t>
  </si>
  <si>
    <t>SEW H2: Meeting the water resource deficit</t>
  </si>
  <si>
    <t>Zero company level deficit measured by the security of supply assessment calculation.
Incentive calculated annually and accrued to the end of the period and applied in the 2019 price setting process.
Calculation and accrual of incentive reviewed by the Customer Panel.
Measured as a pass or fail.</t>
  </si>
  <si>
    <t>PR14SEWWSW_I1</t>
  </si>
  <si>
    <t>We are compliant with water quality regulations</t>
  </si>
  <si>
    <t>SEW-14</t>
  </si>
  <si>
    <t>I1: Mean zonal compliance (MZC)</t>
  </si>
  <si>
    <t>SEW I1: Mean zonal compliance (MZC)</t>
  </si>
  <si>
    <t>PR14SEWWSW_J1</t>
  </si>
  <si>
    <t>We are compliant with environmental obligations</t>
  </si>
  <si>
    <t>SEW-15</t>
  </si>
  <si>
    <t>J1: Number of breaches of abstraction licences, discharge consents and environmental permits</t>
  </si>
  <si>
    <t>No. of breaches</t>
  </si>
  <si>
    <t>SEW J1: Number of breaches of abstraction licences, discharge consents and environmental permits</t>
  </si>
  <si>
    <t>PR14SEWWSW_J2</t>
  </si>
  <si>
    <t>SEW-16</t>
  </si>
  <si>
    <t>J2: Number of pollution incidents (category 1-2)</t>
  </si>
  <si>
    <t>No. of pollution incidents (cat 1 and 2)</t>
  </si>
  <si>
    <t>SEW J2: Number of pollution incidents (category 1-2)</t>
  </si>
  <si>
    <t>PR14SEWWSW_K1</t>
  </si>
  <si>
    <t>We are compliant with health and safety regulations</t>
  </si>
  <si>
    <t>SEW-17</t>
  </si>
  <si>
    <t>K1: Number of breaches of health and safety regulations, as defined by the Health and Safety Executive</t>
  </si>
  <si>
    <t>No. of H&amp;S regulation breaches</t>
  </si>
  <si>
    <t>SEW K1: Number of breaches of health and safety regulations, as defined by the Health and Safety Executive</t>
  </si>
  <si>
    <t>PR14SEWWSW_L1</t>
  </si>
  <si>
    <t>We are compliant with National Security obligations</t>
  </si>
  <si>
    <t>SEW-18</t>
  </si>
  <si>
    <t>L1: Number of breaches of National Security obligations (Security and Emergency Measures Direction)</t>
  </si>
  <si>
    <t>SEMD</t>
  </si>
  <si>
    <t>No. of SEMD compliance breaches</t>
  </si>
  <si>
    <t>SEW L1: Number of breaches of National Security obligations (Security and Emergency Measures Direction)</t>
  </si>
  <si>
    <t>PR14SEWWSW_M1</t>
  </si>
  <si>
    <t>We are compliant with other statutory obligations and licence conditions</t>
  </si>
  <si>
    <t>M1</t>
  </si>
  <si>
    <t>SEW-19</t>
  </si>
  <si>
    <t>M1: Number of compliance breaches with statutory obligations and licence conditions, not already reported in performance on outcomes I through to K</t>
  </si>
  <si>
    <t>No. of other compliance breaches</t>
  </si>
  <si>
    <t>SEW M1: Number of compliance breaches with statutory obligations and licence conditions, not already reported in performance on outcomes I through to K</t>
  </si>
  <si>
    <t>PR14SEWWSW_N1</t>
  </si>
  <si>
    <t>Our assets are capable of delivering outcomes in the future</t>
  </si>
  <si>
    <t>N1</t>
  </si>
  <si>
    <t>SEW-20</t>
  </si>
  <si>
    <t>N1: Discolouration contacts</t>
  </si>
  <si>
    <t>SEW N1: Discolouration contacts</t>
  </si>
  <si>
    <t>PR14SEWWSW_N2</t>
  </si>
  <si>
    <t>N2</t>
  </si>
  <si>
    <t>SEW-21</t>
  </si>
  <si>
    <t>N2: Above ground asset performance assessment</t>
  </si>
  <si>
    <t>See FD appendix</t>
  </si>
  <si>
    <t>SEW N2: Above ground asset performance assessment</t>
  </si>
  <si>
    <t>See South East Water PR14 FD company-specific appendix for detail (pages 141 to 143).
The penalty applies when marginal is reported in three consecutive years, and each consecutive marginal year thereafter, until at least two consecutive stable years.
The first stable year following 3 or more marginal years will attract a penalty of 50% of the total penalty.
Only after two consecutive stable years would the cumulative marginal assessment be re-set.
Reporting frequency to Customer Panel increased to quarterly when one indicator is above the upper limit for two consecutive years or when two indicators are above the upper limit in any year.
Reporting frequency to Ofwat increased to every six months when two indicators are above the upper limit and quarterly when more than two are above the upper limit in any year.</t>
  </si>
  <si>
    <t>PR14SEWWSW_N3</t>
  </si>
  <si>
    <t>N3</t>
  </si>
  <si>
    <t>SEW-22</t>
  </si>
  <si>
    <t>N3: Number of company sites at risk of flooding</t>
  </si>
  <si>
    <t>No. of SEW sites at risk of flooding</t>
  </si>
  <si>
    <t>SEW N3: Number of company sites at risk of flooding</t>
  </si>
  <si>
    <t>PR14SEWWSW_N4</t>
  </si>
  <si>
    <t>N4</t>
  </si>
  <si>
    <t>SEW-23</t>
  </si>
  <si>
    <t>N4: Water mains bursts</t>
  </si>
  <si>
    <t>SEW N4: Water mains bursts</t>
  </si>
  <si>
    <t>PR14SEWWSW_O1</t>
  </si>
  <si>
    <t>We will reduce our impact on the environment</t>
  </si>
  <si>
    <t>O1</t>
  </si>
  <si>
    <t>SEW-24</t>
  </si>
  <si>
    <t>O1: Kg of carbon emissions per customer per year</t>
  </si>
  <si>
    <t>Kg of carbon emissions per customer per year</t>
  </si>
  <si>
    <t>SEW O1: Kg of carbon emissions per customer per year</t>
  </si>
  <si>
    <t>PR14SEWWSW_O2</t>
  </si>
  <si>
    <t>O2</t>
  </si>
  <si>
    <t>SEW-25</t>
  </si>
  <si>
    <t>O2: We will monitor our abstractions at low flows at environmentally sensitive sites (in line with AIM)</t>
  </si>
  <si>
    <t>TBC (in line with AIM)</t>
  </si>
  <si>
    <t>SEW O2: We will monitor our abstractions at low flows at environmentally sensitive sites (in line with AIM)</t>
  </si>
  <si>
    <t>PR14SEWHHR_A1</t>
  </si>
  <si>
    <t>SEW-26</t>
  </si>
  <si>
    <t>PR14SEWHHR_B1</t>
  </si>
  <si>
    <t>SEW-27</t>
  </si>
  <si>
    <t>PR14SEWHHR_C1</t>
  </si>
  <si>
    <t>SEW-28</t>
  </si>
  <si>
    <t>PR14SEWHHR_D1</t>
  </si>
  <si>
    <t>SEW-29</t>
  </si>
  <si>
    <t>PR14SEWHHR_D2</t>
  </si>
  <si>
    <t>SEW-30</t>
  </si>
  <si>
    <t>PR14SEWHHR_E1</t>
  </si>
  <si>
    <t>SEW-31</t>
  </si>
  <si>
    <t>PR14SEWHHR_F1</t>
  </si>
  <si>
    <t>SEW-32</t>
  </si>
  <si>
    <t>PR14SEWHHR_G1</t>
  </si>
  <si>
    <t>SEW-33</t>
  </si>
  <si>
    <t>PR14SEWHHR_H1</t>
  </si>
  <si>
    <t>SEW-34</t>
  </si>
  <si>
    <t>PR14SRNWSW_1</t>
  </si>
  <si>
    <t>A constant supply of high quality drinking water</t>
  </si>
  <si>
    <t>SRN-01</t>
  </si>
  <si>
    <t>1: Water asset health (mains bursts, TIM, WSW &amp; WSR coliform compliance, turbidity compliance)</t>
  </si>
  <si>
    <t>SRN 1: Water asset health (mains bursts, TIM, WSW &amp; WSR coliform compliance, turbidity compliance)</t>
  </si>
  <si>
    <t>Composite measure consisting of the following components:
• Number of mains bursts per year (incentive rate: £4,066 per burst per year)
• TIM distribution index (incentive rate: £112,978 per 0.01% per year)
• Coliform compliance at water supply works (WSW) (incentive rate: £95,063 per 0.01% per year)
• Coliform compliance at water supply reservoir (WSR) (incentive rate: £243,750 per % per year)
• Turbidity compliance (incentive rate: £190,125 per site per year)
The components of this performance measure will be assessed individually. An overall penalty will then be imposed against the water asset health measure based on the combined performance against these individual commitments.</t>
  </si>
  <si>
    <t>PR14SRNWSW_2</t>
  </si>
  <si>
    <t>SRN-02</t>
  </si>
  <si>
    <t>2: Water use restrictions</t>
  </si>
  <si>
    <t>No. of properties affected per ban</t>
  </si>
  <si>
    <t>SRN 2: Water use restrictions</t>
  </si>
  <si>
    <t>ODI penalty is per restriction rather than per year; any restrictions will only be recorded in the year they are imposed, even if they are in place for more than one reporting year</t>
  </si>
  <si>
    <t>PR14SRNWSW_3</t>
  </si>
  <si>
    <t>SRN-03</t>
  </si>
  <si>
    <t>3: Leakage (including customer supply-pipe leakage) - five-year average target</t>
  </si>
  <si>
    <t>SRN 3: Leakage (including customer supply-pipe leakage) - five-year average target</t>
  </si>
  <si>
    <t>PR14SRNWSW_4</t>
  </si>
  <si>
    <t>SRN-04</t>
  </si>
  <si>
    <t>4: Interruptions to supply</t>
  </si>
  <si>
    <t>SRN 4: Interruptions to supply</t>
  </si>
  <si>
    <t>PR14SRNWSW_5</t>
  </si>
  <si>
    <t>SRN-05</t>
  </si>
  <si>
    <t>5: Mean Zonal Compliance (MZC)</t>
  </si>
  <si>
    <t>SRN 5: Mean Zonal Compliance (MZC)</t>
  </si>
  <si>
    <t>PR14SRNWSW_5a</t>
  </si>
  <si>
    <t>5a</t>
  </si>
  <si>
    <t>SRN-06</t>
  </si>
  <si>
    <t>5a: Drinking water quality - discolouration contacts</t>
  </si>
  <si>
    <t>SRN 5a: Drinking water quality - discolouration contacts</t>
  </si>
  <si>
    <t>PR14SRNWSW_6</t>
  </si>
  <si>
    <t>SRN-07</t>
  </si>
  <si>
    <t>6: Water pressure (number of properties on the DG2 low water pressure register)</t>
  </si>
  <si>
    <t>SRN 6: Water pressure (number of properties on the DG2 low water pressure register)</t>
  </si>
  <si>
    <t>PR14SRNWSW_7</t>
  </si>
  <si>
    <t>Looking after the environment</t>
  </si>
  <si>
    <t>SRN-08</t>
  </si>
  <si>
    <t>7: Distribution input</t>
  </si>
  <si>
    <t>SRN 7: Distribution input</t>
  </si>
  <si>
    <t>PR14SRNWSW_8</t>
  </si>
  <si>
    <t>Better information and advice</t>
  </si>
  <si>
    <t>SRN-09</t>
  </si>
  <si>
    <t>8: Per capita consumption (PCC) - five-year average target</t>
  </si>
  <si>
    <t>SRN 8: Per capita consumption (PCC) - five-year average target</t>
  </si>
  <si>
    <t>PR14SRNWSWW_1</t>
  </si>
  <si>
    <t>A reliable wastewater service</t>
  </si>
  <si>
    <t>SRN-10</t>
  </si>
  <si>
    <t>1: Wastewater asset health (sewer collapses, WwTW PE compliance, external flooding - other causes)</t>
  </si>
  <si>
    <t>SRN 1: Wastewater asset health (sewer collapses, WwTW PE compliance, external flooding - other causes)</t>
  </si>
  <si>
    <t>Composite measure, consisting of the following components:
• Sewer collapses (incentive rate: £56,250 per collapse)
• Wastewater treatment works population equivalent (WwTW PE) compliance (incentive rate: £14.95m per 0.1%)
• External flooding - other causes (incentive rate: £296 per incident)
The components of this performance measure will be assessed individually. An overall penalty will then be imposed against the wastewater asset health measure based on the combined performance against these individual commitments.</t>
  </si>
  <si>
    <t>PR14SRNWSWW_1a</t>
  </si>
  <si>
    <t>1a</t>
  </si>
  <si>
    <t>SRN-11</t>
  </si>
  <si>
    <t>1a: Category 3 pollution incidents (including transferred assets and excluding private pumping stations)</t>
  </si>
  <si>
    <t>SRN 1a: Category 3 pollution incidents (including transferred assets and excluding private pumping stations)</t>
  </si>
  <si>
    <t>PR14SRNWSWW_2</t>
  </si>
  <si>
    <t>SRN-12</t>
  </si>
  <si>
    <t>2: Internal flooding incidents</t>
  </si>
  <si>
    <t>No. of internal sewer flooding incidents</t>
  </si>
  <si>
    <t>SRN 2: Internal flooding incidents</t>
  </si>
  <si>
    <t>The total number of internal flooding incidents (all causes, including private sewers) between 2015-16 and 2019-20. Performance to be measured and reported annually and at the end of the AMP as a five year total.
PC (five year total) = 2,070 (446+436+414+392+382)</t>
  </si>
  <si>
    <t>PR14SRNWSWW_3</t>
  </si>
  <si>
    <t>SRN-13</t>
  </si>
  <si>
    <t>3: External flooding incidents</t>
  </si>
  <si>
    <t>No. of external sewer flooding incidents</t>
  </si>
  <si>
    <t>SRN 3: External flooding incidents</t>
  </si>
  <si>
    <t>PR14SRNWSWW_4</t>
  </si>
  <si>
    <t>SRN-14</t>
  </si>
  <si>
    <t>4: Sewer blockages</t>
  </si>
  <si>
    <t>No. of sewer blockages per km</t>
  </si>
  <si>
    <t>SRN 4: Sewer blockages</t>
  </si>
  <si>
    <t>The number of blockages per km of sewer length, annually, between 2015-16 and 2019-20.</t>
  </si>
  <si>
    <t>PR14SRNWSWW_5</t>
  </si>
  <si>
    <t>SRN-15</t>
  </si>
  <si>
    <t>5: Odour complaints (Portswood and Tonbridge treatment works)</t>
  </si>
  <si>
    <t>WwTW odour</t>
  </si>
  <si>
    <t>No. of odour complaints</t>
  </si>
  <si>
    <t>SRN 5: Odour complaints (Portswood and Tonbridge treatment works)</t>
  </si>
  <si>
    <t>The number of customer complaints relating to odour from Portswood and Tonbridge treatment works, annually, between 2015-16 and 2019-20.</t>
  </si>
  <si>
    <t>PR14SRNWSWW_6</t>
  </si>
  <si>
    <t>SRN-16</t>
  </si>
  <si>
    <t>6: Wastewater treatment works numeric compliance</t>
  </si>
  <si>
    <t>% compliance with WwTW regulations</t>
  </si>
  <si>
    <t>0.1%</t>
  </si>
  <si>
    <t>SRN 6: Wastewater treatment works numeric compliance</t>
  </si>
  <si>
    <t>PR14SRNWSWW_7</t>
  </si>
  <si>
    <t>SRN-17</t>
  </si>
  <si>
    <t>7: Proportion of energy from renewable sources</t>
  </si>
  <si>
    <t>% energy from renewable sources</t>
  </si>
  <si>
    <t>SRN 7: Proportion of energy from renewable sources</t>
  </si>
  <si>
    <t>PR14SRNWSWW_8</t>
  </si>
  <si>
    <t>SRN-18</t>
  </si>
  <si>
    <t>8: Bathing waters with ‘excellent’ water quality (part 1)</t>
  </si>
  <si>
    <t>No. of bathing waters</t>
  </si>
  <si>
    <t>SRN 8: Bathing waters with ‘excellent’ water quality (part 1)</t>
  </si>
  <si>
    <t>Ofwat to confirm PCs, deadbands, caps and collars in 2014-15 once the bathing water quality results are published by Defra</t>
  </si>
  <si>
    <t>PR14SRNWSWW_9</t>
  </si>
  <si>
    <t>SRN-19</t>
  </si>
  <si>
    <t>9: Bathing waters with ‘excellent’ water quality (part 2)</t>
  </si>
  <si>
    <t>SRN 9: Bathing waters with ‘excellent’ water quality (part 2)</t>
  </si>
  <si>
    <t>This ODI protects customers from the non-delivery of Southern Water’s programme to improve seven bathing waters to ‘excellent’ standard in line with Southern Water’s published selection criteria by 2019-20 (see Annex 2 of the company’s business plan for details of the selection criteria).
Penalties will apply for failure to complete the seven targeted beaches to ‘excellent’ standard by 2019-20 based on the unweighted application of Southern Water’s independently assured selection criteria as described in Southern Water’s draft determination representation.
Furthermore, the planned bathing waters will be reviewed by the independent Customer Advisory Panel which will confirm whether Southern Water has appropriately applied the bathing water selection criteria.
Rewards will apply for the early delivery of the seven targeted bathing waters to ‘excellent’ standard.</t>
  </si>
  <si>
    <t>PR14SRNWSWW_10</t>
  </si>
  <si>
    <t>SRN-20</t>
  </si>
  <si>
    <t>10: Bathing waters with ‘excellent’ water quality (part 3)</t>
  </si>
  <si>
    <t>£ million estimated scheme costs</t>
  </si>
  <si>
    <t>SRN 10: Bathing waters with ‘excellent’ water quality (part 3)</t>
  </si>
  <si>
    <t>The estimated cost of delivering the bathing water programme is £31.5m (as at PR14 FD in December 2014). Once Southern Water has carried out the full scheme investigations, these costs will be re-estimated to determine whether they are materially different from the current expected cost.
The estimated costs will be compared once the investigations have been completed during the AMP period.
Penalties will apply in 2019-20.</t>
  </si>
  <si>
    <t>PR14SRNWSWW_11</t>
  </si>
  <si>
    <t>SRN-21</t>
  </si>
  <si>
    <t>11: Serious pollution incidents (category 1 and 2 pollution incidents, as reported by the EA on MD109)</t>
  </si>
  <si>
    <t>No. of pollution incidents (cats 1 and 2)</t>
  </si>
  <si>
    <t>SRN 11: Serious pollution incidents (category 1 and 2 pollution incidents, as reported by the EA on MD109)</t>
  </si>
  <si>
    <t>PR14SRNWSWW_12</t>
  </si>
  <si>
    <t>SRN-22</t>
  </si>
  <si>
    <t>12: Avoiding blocked drains</t>
  </si>
  <si>
    <t>% customers aware of avoidance measures</t>
  </si>
  <si>
    <t>SRN 12: Avoiding blocked drains</t>
  </si>
  <si>
    <t>PR14SRNWSWW_13</t>
  </si>
  <si>
    <t>Scheme ODIs</t>
  </si>
  <si>
    <t>SRN-23</t>
  </si>
  <si>
    <t>13: Thanet sewers</t>
  </si>
  <si>
    <t>Scheme delivery</t>
  </si>
  <si>
    <t>Not delivered</t>
  </si>
  <si>
    <t>SRN 13: Thanet sewers</t>
  </si>
  <si>
    <t>Performance to be measured as pass/fail in each year until completion.
Performance will be measured following the expected scheme completion date on 31 March 2020 with a progress milestone at PR19.
Incentives to be determined at PR19 based on the extent of completion and, if relevant, expected date of completion. If improvements not expected to be delivered by 31 March 2020 the timing delay penalties will apply for each year’s delay until expected completion. If substantive progress towards delivery cannot be demonstrated at this point the full non-delivery penalty will apply.
Penalties to be confirmed following the expected scheme completion date on 31 March 2020.
Penalty for non-delivery: £31.208 million.
Penalty for delay: £0.95 million.</t>
  </si>
  <si>
    <t>PR14SRNWSWW_14</t>
  </si>
  <si>
    <t>SRN-24</t>
  </si>
  <si>
    <t>14: Woolston STW</t>
  </si>
  <si>
    <t>SRN 14: Woolston STW</t>
  </si>
  <si>
    <t>Performance to be measured as pass/fail in each year until completion.
Performance will be measured following the expected scheme completion date on 31 March 2020 with a progress milestone at PR19.
Incentives to be determined at PR19 based on the extent of completion and, if relevant, expected date of completion. If improvements not expected to be delivered by 31 March 2020 the timing delay penalties will apply for each year’s delay until expected completion. If substantive progress towards delivery cannot be demonstrated at this point the full non-delivery penalty will apply.
Penalties to be confirmed following the expected scheme completion date on 31 March 2020.
Penalty for non-delivery: £21.696 million
Penalty for delay: £0.90 million</t>
  </si>
  <si>
    <t>PR14SRNWSWW_15</t>
  </si>
  <si>
    <t>SRN-25</t>
  </si>
  <si>
    <t>15: Millbrook sludge</t>
  </si>
  <si>
    <t>Tonnes of dry solids removed</t>
  </si>
  <si>
    <t>SRN 15: Millbrook sludge</t>
  </si>
  <si>
    <t>Failure to deliver the scheme by 31 March 2020 will result in a financial penalty of £1,889 per tonne.
Penalties will apply following the expected scheme completion date on 31 March 2020, or earlier if substantive progress toward delivery cannot be demonstrated at PR19.</t>
  </si>
  <si>
    <t>PR14SRNHHR_1</t>
  </si>
  <si>
    <t>Responsive customer service</t>
  </si>
  <si>
    <t>SRN-26</t>
  </si>
  <si>
    <t>1: First time resolution of customer contacts</t>
  </si>
  <si>
    <t>% customer contacts resolved 1st time</t>
  </si>
  <si>
    <t>Improve</t>
  </si>
  <si>
    <t>SRN 1: First time resolution of customer contacts</t>
  </si>
  <si>
    <t>PR14SRNHHR_2</t>
  </si>
  <si>
    <t>SRN-27</t>
  </si>
  <si>
    <t>2: Dealing with customers’ individual needs</t>
  </si>
  <si>
    <t>% customers agreeing with survey statement</t>
  </si>
  <si>
    <t>SRN 2: Dealing with customers’ individual needs</t>
  </si>
  <si>
    <t>PR14SRNHHR_3</t>
  </si>
  <si>
    <t>SRN-28</t>
  </si>
  <si>
    <t>3: Awareness of water hardness measures</t>
  </si>
  <si>
    <t>% customers aware of water hardness measures</t>
  </si>
  <si>
    <t>SRN 3: Awareness of water hardness measures</t>
  </si>
  <si>
    <t>PR14SRNHHR_4</t>
  </si>
  <si>
    <t>SRN-29</t>
  </si>
  <si>
    <t>4: Where your money goes</t>
  </si>
  <si>
    <t>% customers aware of where money goes</t>
  </si>
  <si>
    <t>SRN 4: Where your money goes</t>
  </si>
  <si>
    <t>PR14SRNHHR_5</t>
  </si>
  <si>
    <t>SRN-30</t>
  </si>
  <si>
    <t>5: Billing queries</t>
  </si>
  <si>
    <t>No. of billing queries</t>
  </si>
  <si>
    <t>Decrease</t>
  </si>
  <si>
    <t>SRN 5: Billing queries</t>
  </si>
  <si>
    <t>Measurement will follow the guidelines from the June Return reporting requirements and definitions manual. Target is to decrease the number of queries from the 2013-14 level of around 49,000 to 25,000 by 2019-20.</t>
  </si>
  <si>
    <t>PR14SRNHHR_6</t>
  </si>
  <si>
    <t>SRN-31</t>
  </si>
  <si>
    <t>6: Take up of assistance schemes (number of customers who are receiving support through one of our financial assistance schemes)</t>
  </si>
  <si>
    <t>No. of assistance scheme customers</t>
  </si>
  <si>
    <t>SRN 6: Take up of assistance schemes (number of customers who are receiving support through one of our financial assistance schemes)</t>
  </si>
  <si>
    <t>PR14SRNHHR_7</t>
  </si>
  <si>
    <t>SRN-32</t>
  </si>
  <si>
    <t>7: Value-for-money</t>
  </si>
  <si>
    <t>% of customers who feel they get vfm</t>
  </si>
  <si>
    <t>SRN 7: Value-for-money</t>
  </si>
  <si>
    <t>PR14SRNHHR_8</t>
  </si>
  <si>
    <t>SRN-33</t>
  </si>
  <si>
    <t>8: Service Incentive Mechanism (SIM)</t>
  </si>
  <si>
    <t>SRN 8: Service Incentive Mechanism (SIM)</t>
  </si>
  <si>
    <t>SSC</t>
  </si>
  <si>
    <t>PR14SSCWSW_1.1</t>
  </si>
  <si>
    <t>Excellent water quality now and in the future</t>
  </si>
  <si>
    <t>SSC-01</t>
  </si>
  <si>
    <t>1.1: Mean zonal compliance (MZC, combined company)</t>
  </si>
  <si>
    <t>SSC 1.1: Mean zonal compliance (MZC, combined company)</t>
  </si>
  <si>
    <t>PR14SSCWSW_1.2</t>
  </si>
  <si>
    <t>SSC-02</t>
  </si>
  <si>
    <t>1.2: Acceptability of water to customers (combined company)</t>
  </si>
  <si>
    <t>0.1 nr</t>
  </si>
  <si>
    <t>SSC 1.2: Acceptability of water to customers (combined company)</t>
  </si>
  <si>
    <t>PR14SSCWSW_2.1</t>
  </si>
  <si>
    <t>Secure and reliable supplies now and in the future</t>
  </si>
  <si>
    <t>SSC-03</t>
  </si>
  <si>
    <t>2.1: Interruptions to supply (combined company)</t>
  </si>
  <si>
    <t>SSC 2.1: Interruptions to supply (combined company)</t>
  </si>
  <si>
    <t>PR14SSCWSW_2.2</t>
  </si>
  <si>
    <t>SSC-04</t>
  </si>
  <si>
    <t>2.2: Serviceability infrastructure (combined company)</t>
  </si>
  <si>
    <t>SSC 2.2: Serviceability infrastructure (combined company)</t>
  </si>
  <si>
    <t>Categorisation (stable, marginal, deteriorating). Measurement based on serviceability indicators, reference levels, and upper and lower control limits.
South Staffordshire Water will apply the annual value in penalty rate 1 for each year that its serviceability is marginal. If however South Staffordshire Water’s serviceability becomes deteriorating at any point in the AMP then penalty rate 2 supersedes penalty rate 1 and applies once only.
The stable, marginal or deteriorating category is determined by a points system relating to the sub-measures. The total points incurred for the basket of sub-measures will be calculated as a 3 year rolling average and will generate the annual assessment.
Penalty rate 1: £0.076m per year
Penalty rate 2: £0.379 per AMP</t>
  </si>
  <si>
    <t>PR14SSCWSW_2.3</t>
  </si>
  <si>
    <t>SSC-05</t>
  </si>
  <si>
    <t>2.3: Serviceability non-infrastructure (combined company)</t>
  </si>
  <si>
    <t>SSC 2.3: Serviceability non-infrastructure (combined company)</t>
  </si>
  <si>
    <t>Categorisation (stable, marginal, deteriorating). Measurement based on serviceability indicators, reference levels, and upper and lower control limits.
South Staffordshire Water will apply the annual value in penalty rate 1 for each year that its serviceability is marginal. If however South Staffordshire Water’s serviceability becomes deteriorating at any point in the AMP then penalty rate 2 supersedes penalty rate 1 and applies once only.
The stable, marginal or deteriorating category is determined by a points system relating to the sub-measures. The total points incurred for the basket of sub-measures will be calculated as a 3 year rolling average and will generate the annual assessment.
Penalty rate 1: £0.097m per year
Penalty rate 2: £0.487 per AMP</t>
  </si>
  <si>
    <t>PR14SSCWSW_4.1</t>
  </si>
  <si>
    <t>Operations which are environmentally sustainable</t>
  </si>
  <si>
    <t>SSC-09</t>
  </si>
  <si>
    <t>4.1: Leakage (South Staffordshire operating region)</t>
  </si>
  <si>
    <t>SSC 4.1: Leakage (South Staffordshire operating region)</t>
  </si>
  <si>
    <t>PR14SSCWSW_4.2</t>
  </si>
  <si>
    <t>SSC-10</t>
  </si>
  <si>
    <t>4.2: Leakage (Cambridge operating region)</t>
  </si>
  <si>
    <t>SSC 4.2: Leakage (Cambridge operating region)</t>
  </si>
  <si>
    <t>PR14SSCWSW_4.3</t>
  </si>
  <si>
    <t>SSC-11</t>
  </si>
  <si>
    <t>4.3: Water efficiency (household per capita consumption (PCC) reported annually, combined company)</t>
  </si>
  <si>
    <t>SSC 4.3: Water efficiency (household per capita consumption (PCC) reported annually, combined company)</t>
  </si>
  <si>
    <t>PR14SSCWSW_4.4</t>
  </si>
  <si>
    <t>SSC-12</t>
  </si>
  <si>
    <t>4.4: Biodiversity (cumulative total hectares of land under management per year, combined company)</t>
  </si>
  <si>
    <t>Cumulative total hectares of land</t>
  </si>
  <si>
    <t>SSC 4.4: Biodiversity (cumulative total hectares of land under management per year, combined company)</t>
  </si>
  <si>
    <t>PR14SSCWSW_4.5</t>
  </si>
  <si>
    <t>SSC-13</t>
  </si>
  <si>
    <t>4.5: Carbon emissions from power consumption (tonnes, combined company)</t>
  </si>
  <si>
    <t>tCO2e (tonnes CO2e) in real savings</t>
  </si>
  <si>
    <t>Baseline year = 0</t>
  </si>
  <si>
    <t>SSC 4.5: Carbon emissions from power consumption (tonnes, combined company)</t>
  </si>
  <si>
    <t>PR14SSCWSW_5.1</t>
  </si>
  <si>
    <t>Fair customer bills and fair investor returns</t>
  </si>
  <si>
    <t>SSC-14</t>
  </si>
  <si>
    <t>5.1: Independent customer surveys of value for money and affordability (combined company)</t>
  </si>
  <si>
    <t>% customers satisfied with vfm &amp; affordability</t>
  </si>
  <si>
    <t>Not reported</t>
  </si>
  <si>
    <t>SSC 5.1: Independent customer surveys of value for money and affordability (combined company)</t>
  </si>
  <si>
    <t>PR14SSCWSW_5.2</t>
  </si>
  <si>
    <t>SSC-15</t>
  </si>
  <si>
    <t>5.2: Support for customers in debt (combined company)</t>
  </si>
  <si>
    <t>No. of customers engaged with on debt</t>
  </si>
  <si>
    <t>SSC 5.2: Support for customers in debt (combined company)</t>
  </si>
  <si>
    <t>PR14SSCHHR_3.1</t>
  </si>
  <si>
    <t>An excellent customer experience to customers and the community</t>
  </si>
  <si>
    <t>SSC-06</t>
  </si>
  <si>
    <t>3.1: Service incentive mechanism (SIM, combined company)</t>
  </si>
  <si>
    <t>SSC 3.1: Service incentive mechanism (SIM, combined company)</t>
  </si>
  <si>
    <t>PR14SSCHHR_3.2</t>
  </si>
  <si>
    <t>SSC-07</t>
  </si>
  <si>
    <t>3.2: Customer satisfaction surveys (combined company)</t>
  </si>
  <si>
    <t>SSC 3.2: Customer satisfaction surveys (combined company)</t>
  </si>
  <si>
    <t>PR14SSCHHR_3.3</t>
  </si>
  <si>
    <t>SSC-08</t>
  </si>
  <si>
    <t>3.3: Community engagement (combined company)</t>
  </si>
  <si>
    <t>No. of employee days per year</t>
  </si>
  <si>
    <t>SSC 3.3: Community engagement (combined company)</t>
  </si>
  <si>
    <t>PR14SVTWSW_W-A1</t>
  </si>
  <si>
    <t>We provide water that is good to drink</t>
  </si>
  <si>
    <t>SVT-01</t>
  </si>
  <si>
    <t>W-A1: Number of complaints about drinking water quality</t>
  </si>
  <si>
    <t>No. of water quality complaints</t>
  </si>
  <si>
    <t>SVT W-A1: Number of complaints about drinking water quality</t>
  </si>
  <si>
    <t>In-period ODI (adjustment to in-period revenue)</t>
  </si>
  <si>
    <t>PR14SVTWSW_W-A2</t>
  </si>
  <si>
    <t>SVT-02</t>
  </si>
  <si>
    <t>W-A2: Compliance with drinking water quality standards</t>
  </si>
  <si>
    <t>SVT W-A2: Compliance with drinking water quality standards</t>
  </si>
  <si>
    <t>PR14SVTWSW_W-A3</t>
  </si>
  <si>
    <t>SVT-03</t>
  </si>
  <si>
    <t>W-A3: Asset stewardship - number of sites with coliform failures (WTWs)</t>
  </si>
  <si>
    <t>No. of sites with coliform failures per year</t>
  </si>
  <si>
    <t>&lt;8</t>
  </si>
  <si>
    <t>&lt;6</t>
  </si>
  <si>
    <t>SVT W-A3: Asset stewardship - number of sites with coliform failures (WTWs)</t>
  </si>
  <si>
    <t>PR14SVTWSW_W-A4</t>
  </si>
  <si>
    <t>SVT-04</t>
  </si>
  <si>
    <t>W-A4: Number of successful catchment management schemes</t>
  </si>
  <si>
    <t>Catchment management</t>
  </si>
  <si>
    <t>No. catchment management schemes</t>
  </si>
  <si>
    <t>SVT W-A4: Number of successful catchment management schemes</t>
  </si>
  <si>
    <t>Reward or penalty to be applied after assessment of performance to 2018-19. Payment may be made earlier if the total number of schemes shown to be successful is above the target at an earlier date.</t>
  </si>
  <si>
    <t>PR14SVTWSW_W-B1</t>
  </si>
  <si>
    <t>We will ensure water is always there when you need it</t>
  </si>
  <si>
    <t>SVT-05</t>
  </si>
  <si>
    <t>W-B1: Resource efficiency (distribution input per customer) - amount of water taken out of the environment</t>
  </si>
  <si>
    <t>SVT W-B1: Resource efficiency (distribution input per customer) - amount of water taken out of the environment</t>
  </si>
  <si>
    <t>PR14SVTWSW_W-B2</t>
  </si>
  <si>
    <t>SVT-06</t>
  </si>
  <si>
    <t>W-B2: Leakage levels</t>
  </si>
  <si>
    <t>SVT W-B2: Leakage levels</t>
  </si>
  <si>
    <t>In-period ODI (adjustment to in-period revenue)
Reward or penalty applied annually for each financial year.
The higher penalty rate (penalty 2) only applies if the average for the four years to 2018-19 exceeds 450 Ml/d.
If any methodology changes have a material impact on the calculation, outturn figures will be adjusted so that the incentive applies to the underlying change in leakage.</t>
  </si>
  <si>
    <t>PR14SVTWSW_W-B3</t>
  </si>
  <si>
    <t>SVT-07</t>
  </si>
  <si>
    <t>W-B3: Speed of response in repairing leaks (% fixed within 24 hours)</t>
  </si>
  <si>
    <t>% visible leaks fixed within 24 hours</t>
  </si>
  <si>
    <t>SVT W-B3: Speed of response in repairing leaks (% fixed within 24 hours)</t>
  </si>
  <si>
    <t>PR14SVTWSW_W-B4</t>
  </si>
  <si>
    <t>W-B4</t>
  </si>
  <si>
    <t>SVT-08</t>
  </si>
  <si>
    <t>W-B4: Number of minutes customers go without supply each year (interruptions to supply &gt; 3 hours)</t>
  </si>
  <si>
    <t>SVT W-B4: Number of minutes customers go without supply each year (interruptions to supply &gt; 3 hours)</t>
  </si>
  <si>
    <t>PR14SVTWSW_W-B5</t>
  </si>
  <si>
    <t>W-B5</t>
  </si>
  <si>
    <t>SVT-09</t>
  </si>
  <si>
    <t>W-B5: % of customers with resilient supplies (those that benefit from a second source of supply)</t>
  </si>
  <si>
    <t>% customers with 2nd supply source</t>
  </si>
  <si>
    <t>SVT W-B5: % of customers with resilient supplies (those that benefit from a second source of supply)</t>
  </si>
  <si>
    <t>Performance delivery will be assessed against the change in this measure on a consistent basis – the effect of any methodology changes will not be included.
Five-year reward or penalty to be applied after assessment of performance to 2018-19, based on expected delivery to 2019-20. Incentive rate is a one-off figure at the end of the period.
Second supplies delivered through the Birmingham resilience scheme will not count towards this performance commitment.</t>
  </si>
  <si>
    <t>PR14SVTWSW_W-B6</t>
  </si>
  <si>
    <t>W-B6</t>
  </si>
  <si>
    <t>SVT-10</t>
  </si>
  <si>
    <t>W-B6: Asset stewardship - mains bursts</t>
  </si>
  <si>
    <t>&lt;7,758</t>
  </si>
  <si>
    <t>SVT W-B6: Asset stewardship - mains bursts</t>
  </si>
  <si>
    <t>PR14SVTWSW_W-B7</t>
  </si>
  <si>
    <t>W-B7</t>
  </si>
  <si>
    <t>SVT-11</t>
  </si>
  <si>
    <t>W-B7: Customers at risk of low pressure</t>
  </si>
  <si>
    <t>No. customers at risk of low pressure</t>
  </si>
  <si>
    <t>SVT W-B7: Customers at risk of low pressure</t>
  </si>
  <si>
    <t>PR14SVTWSW_W-B8</t>
  </si>
  <si>
    <t>W-B8</t>
  </si>
  <si>
    <t>SVT-12</t>
  </si>
  <si>
    <t>W-B8: Restrictions on water use</t>
  </si>
  <si>
    <t>No. water restrictions in five-year period</t>
  </si>
  <si>
    <t>SVT W-B8: Restrictions on water use</t>
  </si>
  <si>
    <t>The number of Temporary Use Bans, as defined in the Flood and Water Management Act 2010 and the Water Use (Temporary Use Ban) Order 2010, imposed in a five-year period.
Five-year penalty applied in full in the year after a water restriction is applied. Five-year reward to be applied after assessment of performance to 2018-19, based on expected delivery to 2019-20. Incentive rate is 5 year total.
If restrictions on use are imposed in a part of Severn Trent Water’s area in the five-year period:
• no reward will be earned 
• the penalty will be scaled by the population of the affected area as a proportion of the total population in the Severn Trent Water area.</t>
  </si>
  <si>
    <t>PR14SVTWSW_W-B9</t>
  </si>
  <si>
    <t>W-B9</t>
  </si>
  <si>
    <t>SVT-13</t>
  </si>
  <si>
    <t>W-B9: Timing delays on Birmingham resilience scheme</t>
  </si>
  <si>
    <t>Scheme delivery (3 components)</t>
  </si>
  <si>
    <t>3 milestones</t>
  </si>
  <si>
    <t>3 complete</t>
  </si>
  <si>
    <t>NA</t>
  </si>
  <si>
    <t>SVT W-B9: Timing delays on Birmingham resilience scheme</t>
  </si>
  <si>
    <t>Progress will be assessed annually, with key milestones at 31 March 2019. Delivery will be assessed at 31 March 2020 and annually thereafter until completion.
Penalty 1 (pumping station): milestone = completion of project, incentive rate = £1.84m
Penalty 2 (pipeline): milestone = completion of project, incentive rate = £5.01m
Penalty 3a (treatment works - clarification units): milestone = 4 Actiflow units at 30 Ml/d per unit, incentive rate = £3.13m (£0.78m per unit)
Penalty 3b (treatment works - sludge upgrades): milestone = 8 thickeners at 15 Ml/d per unit, incentive rate = £1.04m (£0.13m per unit)
Penalty 3c (treatment works - RGF): milestone = 20 filters at 6 Ml/d per unit, incentive rate = £1.44m (£0.07m per unit)
Penalty 3d (treatment works - dual streaming/ return pumping station): milestone = completion of project, incentive rate = £3.28m</t>
  </si>
  <si>
    <t>PR14SVTWSW_W-B10</t>
  </si>
  <si>
    <t>W-B10</t>
  </si>
  <si>
    <t>SVT-14</t>
  </si>
  <si>
    <t>W-B10: Non-delivery of the outcome of the Birmingham resilience scheme</t>
  </si>
  <si>
    <t>SVT W-B10: Non-delivery of the outcome of the Birmingham resilience scheme</t>
  </si>
  <si>
    <t>Delivery will be assessed on completion of the scheme. Progress will be assessed at 31 March 2018.
Penalty 1 (pumping station): additional capacity (Ml/d) = 117, incentive rate = £0.35m
Penalty 2 (pipeline): additional capacity (Ml/d) = 117, incentive rate = £0.96m
Penalty 3a (treatment works - clarification units): additional capacity (Ml/d) = 120, incentive rate = £0.59m
Penalty 3b (treatment works - sludge upgrades): additional capacity (Ml/d) = 120, incentive rate = £0.20m
Penalty 3c (treatment works - RGF): additional capacity (Ml/d) = 120), incentive rate = £0.27m
Penalty 3d (treatment works - dual streaming/ return pumping station): additional capacity (Ml/d) = 237, incentive rate = £0.31m</t>
  </si>
  <si>
    <t>PR14SVTWSW_W-B11</t>
  </si>
  <si>
    <t>W-B11</t>
  </si>
  <si>
    <t>SVT-15</t>
  </si>
  <si>
    <t>W-B11: Timing delays on community risk schemes</t>
  </si>
  <si>
    <t>2 complete</t>
  </si>
  <si>
    <t>1 complete</t>
  </si>
  <si>
    <t>SVT W-B11: Timing delays on community risk schemes</t>
  </si>
  <si>
    <t>Delivery of the community risk schemes will be measured in terms of completion of the three projects set out in the company’s business plan. There are separate incentive rates for each scheme:
Penalty 1 (scheme 1): incentive rate = £2.63m
Penalty 2 (scheme 2): incentive rate = £0.86m
Penalty 3 (scheme 3): incentive rate = £0.34m
Penalty rates will apply for each year delivery is delayed by.</t>
  </si>
  <si>
    <t>PR14SVTWSW_W-B12</t>
  </si>
  <si>
    <t>W-B12</t>
  </si>
  <si>
    <t>SVT-16</t>
  </si>
  <si>
    <t>W-B12: Non-delivery of the community risk schemes</t>
  </si>
  <si>
    <t>SVT W-B12: Non-delivery of the community risk schemes</t>
  </si>
  <si>
    <t>The removal of risk will be assessed in terms of delivery of the community risk schemes specified in the company’s business plan against the targeted change in risk reduction that they deliver.
Penalty 1 (scheme 1): incentive rate = £0.497m
Penalty 2 (scheme 2): incentive rate = £0.163m
Penalty 3 (scheme 3): incentive rate = £0.064m
After the schemes have been completed, any proportion of substantive non-delivery will be assessed and included in either PR19 or PR24.
If under-delivery is identified as being likely before scheme completion, for example through the 2017-18 progress milestone, an earlier adjustment may be made at PR19.
For each of the scheme components, the penalty as set out in the incentive rates table above, will be based on the proportion of the output not delivered.</t>
  </si>
  <si>
    <t>PR14SVTWSW_W-B13</t>
  </si>
  <si>
    <t>W-B13</t>
  </si>
  <si>
    <t>SVT-17</t>
  </si>
  <si>
    <t xml:space="preserve">W-B13: Timing delays on Elan Valley Aqueduct (EVA) maintenance </t>
  </si>
  <si>
    <t xml:space="preserve">SVT W-B13: Timing delays on Elan Valley Aqueduct (EVA) maintenance </t>
  </si>
  <si>
    <t>Delivery of the EVA maintenance will be measured in terms of completion of the project set out in the company’s business plan. 
Delivery will be assessed at April 2017 and annually thereafter until completion.
The penalty rate will apply for each year delivery is delayed by.</t>
  </si>
  <si>
    <t>PR14SVTWSW_W-B14</t>
  </si>
  <si>
    <t>W-B14</t>
  </si>
  <si>
    <t>SVT-18</t>
  </si>
  <si>
    <t>W-B14: Non-delivery of the Elan Valley Aqueduct (EVA) maintenance</t>
  </si>
  <si>
    <t>SVT W-B14: Non-delivery of the Elan Valley Aqueduct (EVA) maintenance</t>
  </si>
  <si>
    <t>The removal of risk will be assessed in terms of completion of duplication of the section of EVA maintenance identified in the company’s business plan.
Delivery will be assessed in terms of completion of duplication of the section of EVA maintenance identified in the company’s business plan.
Delivery will be assessed on completion of the scheme. After the scheme has been completed, any proportion of substantive non-delivery will be assessed and included in either PR19 or PR24.</t>
  </si>
  <si>
    <t>PR14SVTWSW_W-C1</t>
  </si>
  <si>
    <t>We will have the lowest possible charges</t>
  </si>
  <si>
    <t>SVT-19</t>
  </si>
  <si>
    <t>W-C1: Customers rating our services as good value for money (based on tracker survey)</t>
  </si>
  <si>
    <t>SVT W-C1: Customers rating our services as good value for money (based on tracker survey)</t>
  </si>
  <si>
    <t>PR14SVTWSW_W-D1</t>
  </si>
  <si>
    <t>We will protect our local environment</t>
  </si>
  <si>
    <t>SVT-20</t>
  </si>
  <si>
    <t>W-D1: Improvements in river water quality against WFD criteria</t>
  </si>
  <si>
    <t>No. WFD classification improvements</t>
  </si>
  <si>
    <t>SVT W-D1: Improvements in river water quality against WFD criteria</t>
  </si>
  <si>
    <t>PR14SVTWSW_W-D2</t>
  </si>
  <si>
    <t>SVT-21</t>
  </si>
  <si>
    <t>W-D2: Asset stewardship - environmental compliance</t>
  </si>
  <si>
    <t>% environmental compliance</t>
  </si>
  <si>
    <t>SVT W-D2: Asset stewardship - environmental compliance</t>
  </si>
  <si>
    <t>PR14SVTWSW_W-D3</t>
  </si>
  <si>
    <t>SVT-22</t>
  </si>
  <si>
    <t>W-D3: Biodiversity</t>
  </si>
  <si>
    <t>No. of hectares improved</t>
  </si>
  <si>
    <t>SVT W-D3: Biodiversity</t>
  </si>
  <si>
    <t>PR14SVTWSW_W-D4</t>
  </si>
  <si>
    <t>SVT-23</t>
  </si>
  <si>
    <t>W-D4: Sites with eel protection at intakes</t>
  </si>
  <si>
    <t>No. sites with eel protection at intakes</t>
  </si>
  <si>
    <t>SVT W-D4: Sites with eel protection at intakes</t>
  </si>
  <si>
    <t>PR14SVTWSW_W-E1</t>
  </si>
  <si>
    <t>We will protect the wider environment</t>
  </si>
  <si>
    <t>SVT-24</t>
  </si>
  <si>
    <t>W-E1: Size of our carbon footprint</t>
  </si>
  <si>
    <t>SVT W-E1: Size of our carbon footprint</t>
  </si>
  <si>
    <t>PR14SVTWSW_W-F1</t>
  </si>
  <si>
    <t>We will make a positive difference in the community</t>
  </si>
  <si>
    <t>SVT-25</t>
  </si>
  <si>
    <t>W-F1: Improved understanding of our services through education</t>
  </si>
  <si>
    <t>No. of people - education programme</t>
  </si>
  <si>
    <t>SVT W-F1: Improved understanding of our services through education</t>
  </si>
  <si>
    <t>PR14SVTWSWW_S-A1</t>
  </si>
  <si>
    <t>We will safely take your waste away</t>
  </si>
  <si>
    <t>SVT-26</t>
  </si>
  <si>
    <t>S-A1: Number of internal sewer flooding incidents</t>
  </si>
  <si>
    <t>SVT S-A1: Number of internal sewer flooding incidents</t>
  </si>
  <si>
    <t>PR14SVTWSWW_S-A2</t>
  </si>
  <si>
    <t>SVT-27</t>
  </si>
  <si>
    <t>S-A2: Number of external sewer flooding incidents</t>
  </si>
  <si>
    <t>SVT S-A2: Number of external sewer flooding incidents</t>
  </si>
  <si>
    <t>PR14SVTWSWW_S-A3</t>
  </si>
  <si>
    <t>SVT-28</t>
  </si>
  <si>
    <t>S-A3: Partnership working</t>
  </si>
  <si>
    <t>No. of partnership working projects</t>
  </si>
  <si>
    <t>SVT S-A3: Partnership working</t>
  </si>
  <si>
    <t>PR14SVTWSWW_S-A4</t>
  </si>
  <si>
    <t>SVT-29</t>
  </si>
  <si>
    <t>S-A4: Asset stewardship - blockages</t>
  </si>
  <si>
    <t>No. of sewer blockages per year</t>
  </si>
  <si>
    <t>&lt;50,470</t>
  </si>
  <si>
    <t>&lt;50,078</t>
  </si>
  <si>
    <t>&lt;49,685</t>
  </si>
  <si>
    <t>&lt;49,293</t>
  </si>
  <si>
    <t>&lt;48,900</t>
  </si>
  <si>
    <t>SVT S-A4: Asset stewardship - blockages</t>
  </si>
  <si>
    <t>PR14SVTWSWW_S-A5</t>
  </si>
  <si>
    <t>S-A5</t>
  </si>
  <si>
    <t>SVT-30</t>
  </si>
  <si>
    <t>S-A5: Statutory obligations (Section 101A schemes)</t>
  </si>
  <si>
    <t>No. of connectable properties, identified as polluting or likely to pollute, associated with new Section 101A schemes</t>
  </si>
  <si>
    <t>SVT S-A5: Statutory obligations (Section 101A schemes)</t>
  </si>
  <si>
    <t>PR14SVTWSWW_S-B1</t>
  </si>
  <si>
    <t>SVT-31</t>
  </si>
  <si>
    <t>S-B1: Customers rating our services as good value for money (based on tracker survey)</t>
  </si>
  <si>
    <t>SVT S-B1: Customers rating our services as good value for money (based on tracker survey)</t>
  </si>
  <si>
    <t>PR14SVTWSWW_S-C1</t>
  </si>
  <si>
    <t>SVT-32</t>
  </si>
  <si>
    <t>S-C1: Improvements in river water quality against WFD criteria</t>
  </si>
  <si>
    <t>No. of WFD classification improvements</t>
  </si>
  <si>
    <t>SVT S-C1: Improvements in river water quality against WFD criteria</t>
  </si>
  <si>
    <t>PR14SVTWSWW_S-C2</t>
  </si>
  <si>
    <t>SVT-33</t>
  </si>
  <si>
    <t>S-C2: The number of category 3 pollution incidents</t>
  </si>
  <si>
    <t>SVT S-C2: The number of category 3 pollution incidents</t>
  </si>
  <si>
    <t>PR14SVTWSWW_S-C3</t>
  </si>
  <si>
    <t>SVT-34</t>
  </si>
  <si>
    <t>S-C3: Asset stewardship - environmental compliance (basket of measures)</t>
  </si>
  <si>
    <t>SVT S-C3: Asset stewardship - environmental compliance (basket of measures)</t>
  </si>
  <si>
    <t>PR14SVTWSWW_S-C4</t>
  </si>
  <si>
    <t>SVT-35</t>
  </si>
  <si>
    <t>S-C4: Biodiversity</t>
  </si>
  <si>
    <t>SVT S-C4: Biodiversity</t>
  </si>
  <si>
    <t>PR14SVTWSWW_S-C5</t>
  </si>
  <si>
    <t>S-C5</t>
  </si>
  <si>
    <t>SVT-36</t>
  </si>
  <si>
    <t>S-C5: Sustainable sewage treatment</t>
  </si>
  <si>
    <t>RO</t>
  </si>
  <si>
    <t>No. of WwTWs avoiding investment</t>
  </si>
  <si>
    <t>SVT S-C5: Sustainable sewage treatment</t>
  </si>
  <si>
    <t>PR14SVTWSWW_S-C6</t>
  </si>
  <si>
    <t>S-C6</t>
  </si>
  <si>
    <t>SVT-37</t>
  </si>
  <si>
    <t>S-C6: Serious pollution incidents</t>
  </si>
  <si>
    <t>SVT S-C6: Serious pollution incidents</t>
  </si>
  <si>
    <t>PR14SVTWSWW_S-C7</t>
  </si>
  <si>
    <t>S-C7</t>
  </si>
  <si>
    <t>SVT-38</t>
  </si>
  <si>
    <t>S-C7: Overall environmental performance (basket of environmental measures)</t>
  </si>
  <si>
    <t>No. of environmental targets met</t>
  </si>
  <si>
    <t>Calculated in 2018/19</t>
  </si>
  <si>
    <t>SVT S-C7: Overall environmental performance (basket of environmental measures)</t>
  </si>
  <si>
    <t>This is a basket of environmental measures to assess overall performance, and includes the following measures in the basket:
• improvements in river water quality against WFD criteria
• asset stewardship - environmental compliance 
• total number of category 1, 2 and 3 pollution incidents
• biodiversity improvements
Measurement is number of measures on or above target (except ‘asset stewardship - environmental compliance’ which is assessed against the penalty deadband). Pollution incidents and environmental compliance are measured on a calendar year basis in line with reporting to the Environment Agency. The pollution incidents measure is the combined performance on categories 1, 2 and 3 incidents.
Performance will be assessed in 2018-19, on average performance over the period, including expected performance in 2019-20 for biodiversity and WFD improvements. Pollution incidents and environmental compliance will be assessed to 2018.</t>
  </si>
  <si>
    <t>PR14SVTWSWW_S-C8</t>
  </si>
  <si>
    <t>S-C8</t>
  </si>
  <si>
    <t>SVT-39</t>
  </si>
  <si>
    <t>S-C8: The number of category 4 pollution incidents</t>
  </si>
  <si>
    <t>No. of pollution incidents (cat 4)</t>
  </si>
  <si>
    <t>SVT S-C8: The number of category 4 pollution incidents</t>
  </si>
  <si>
    <t>PR14SVTWSWW_S-D1</t>
  </si>
  <si>
    <t>SVT-40</t>
  </si>
  <si>
    <t>S-D1: Size of our carbon footprint</t>
  </si>
  <si>
    <t>SVT S-D1: Size of our carbon footprint</t>
  </si>
  <si>
    <t>PR14SVTWSWW_S-E1</t>
  </si>
  <si>
    <t>SVT-41</t>
  </si>
  <si>
    <t>S-E1: Improved understanding of our services through education</t>
  </si>
  <si>
    <t>SVT S-E1: Improved understanding of our services through education</t>
  </si>
  <si>
    <t>PR14SVTHHR_R-A1</t>
  </si>
  <si>
    <t>We will provide you with excellent customer service</t>
  </si>
  <si>
    <t>SVT-42</t>
  </si>
  <si>
    <t>R-A1: Customer satisfaction with their service (based on a survey)</t>
  </si>
  <si>
    <t>Customer satisfaction ranking</t>
  </si>
  <si>
    <t>Median</t>
  </si>
  <si>
    <t>SVT R-A1: Customer satisfaction with their service (based on a survey)</t>
  </si>
  <si>
    <t>PR14SVTHHR_R-A2</t>
  </si>
  <si>
    <t>SVT-43</t>
  </si>
  <si>
    <t>R-A2: Customers' experience of dealing with us (based on Ofwat's SIM)</t>
  </si>
  <si>
    <t>SVT R-A2: Customers' experience of dealing with us (based on Ofwat's SIM)</t>
  </si>
  <si>
    <t>PR14SVTHHR_R-B1</t>
  </si>
  <si>
    <t>We will help you if you struggle</t>
  </si>
  <si>
    <t>SVT-44</t>
  </si>
  <si>
    <t>R-B1: Customers helped by a review of their tariff &amp; water usage &amp;/or supported by SVT social fund</t>
  </si>
  <si>
    <t>SVT R-B1: Customers helped by a review of their tariff &amp; water usage &amp;/or supported by SVT social fund</t>
  </si>
  <si>
    <t>PR14SVTHHR_R-B2</t>
  </si>
  <si>
    <t>SVT-45</t>
  </si>
  <si>
    <t>R-B2: Percentage of customers who do not pay (household bad debt divided by total household revenue)</t>
  </si>
  <si>
    <t>% of customers who do not pay</t>
  </si>
  <si>
    <t>SVT R-B2: Percentage of customers who do not pay (household bad debt divided by total household revenue)</t>
  </si>
  <si>
    <t>PR14SWTWSW_W-A1</t>
  </si>
  <si>
    <t>Clean, safe and reliable supply of drinking water</t>
  </si>
  <si>
    <t>SWT-01</t>
  </si>
  <si>
    <t>W-A1: Compliance with water quality standard</t>
  </si>
  <si>
    <t>SWT W-A1: Compliance with water quality standard</t>
  </si>
  <si>
    <t>PR14SWTWSW_W-A2</t>
  </si>
  <si>
    <t>SWT-02</t>
  </si>
  <si>
    <t>W-A2: Taste, smell and colour contacts</t>
  </si>
  <si>
    <t>No. of contacts per 1,000 population</t>
  </si>
  <si>
    <t>SWT W-A2: Taste, smell and colour contacts</t>
  </si>
  <si>
    <t>In-period ODI (adjustment to in-period revenue). Penalty 2 incentive rate applies from 4.5 to the penalty deadband within each year. An average value of the deadband has been used.</t>
  </si>
  <si>
    <t>PR14SWTWSW_W-A3</t>
  </si>
  <si>
    <t>SWT-03</t>
  </si>
  <si>
    <t>W-A3: Asset reliability (pipes)</t>
  </si>
  <si>
    <t>stable</t>
  </si>
  <si>
    <t>SWT W-A3: Asset reliability (pipes)</t>
  </si>
  <si>
    <t>Basket of measures comprising:
• total bursts
• interruptions &gt; 12 hours
• iron non-compliance (as 100-Mean Zonal Compliance)
• DG2 pressure
• customer contacts - discolouration
• Distribution Index TIM (as 100-Mean Zonal Compliance).
South West Water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</si>
  <si>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PR14SWTWSW_W-A4</t>
  </si>
  <si>
    <t>SWT-04</t>
  </si>
  <si>
    <t>W-A4: Asset reliability (process)</t>
  </si>
  <si>
    <t>SWT W-A4: Asset reliability (process)</t>
  </si>
  <si>
    <t>Basket of measures comprising:
• WTW coliforms non-compliance
• service reservoir coliforms non-compliance
• turbidity non-compliance
• enforcement incidents
• unplanned maintenance.
South West Water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</si>
  <si>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PR14SWTWSW_W-A5</t>
  </si>
  <si>
    <t>SWT-05</t>
  </si>
  <si>
    <t>W-A5: Duration of interruptions in supply (hours/property)</t>
  </si>
  <si>
    <t>SWT W-A5: Duration of interruptions in supply (hours/property)</t>
  </si>
  <si>
    <t>Due to the phasing of the plan, average target is 0.23 hours per property. As the company is using an average, the neutral deadbands are set equal to the committed performance level (CPL) in each year.</t>
  </si>
  <si>
    <t>PR14SWTWSW_W-B1</t>
  </si>
  <si>
    <t>Available and sufficient water resources</t>
  </si>
  <si>
    <t>SWT-06</t>
  </si>
  <si>
    <t>W-B1: Water restrictions placed on customers (number)</t>
  </si>
  <si>
    <t>No. of water restrictions</t>
  </si>
  <si>
    <t>SWT W-B1: Water restrictions placed on customers (number)</t>
  </si>
  <si>
    <t>In-period ODI (adjustment to in-period revenue) - penalties only.
Reward will be accrued on an annual basis and applied at the end of period if there has been no water restriction within the price review period. Any penalty would apply annually based on the cumulative number of restrictions occurring within 2015-20.
While the reward will accrue on an annual basis if there are no water restrictions placed on customers, it will not apply if any water restriction has been imposed within the price review period. The penalty incentive is event based and will only apply to the second water restriction in 2015-20. Any reward that is accrued by performance to date would be reversed in full in the year of the first water restriction being applied.</t>
  </si>
  <si>
    <t>PR14SWTWSW_W-B2</t>
  </si>
  <si>
    <t>SWT-07</t>
  </si>
  <si>
    <t>W-B2: Ability to move water around the network</t>
  </si>
  <si>
    <t>Limited / partial / increased / substantial</t>
  </si>
  <si>
    <t>Partial</t>
  </si>
  <si>
    <t>Increased</t>
  </si>
  <si>
    <t>partial</t>
  </si>
  <si>
    <t>SWT W-B2: Ability to move water around the network</t>
  </si>
  <si>
    <t>Future incentive post-2020. South West Water considers the definition of ability to move water around the network requires further work at an industry level in order to define potential future financial outcomes.</t>
  </si>
  <si>
    <t>PR14SWTWSW_W-B3</t>
  </si>
  <si>
    <t>SWT-08</t>
  </si>
  <si>
    <t>W-B3: Leakage levels (megalitres a day, Ml/d)</t>
  </si>
  <si>
    <t>SWT W-B3: Leakage levels (megalitres a day, Ml/d)</t>
  </si>
  <si>
    <t>In-period ODI (adjustment to in-period revenue). The incentive applies to performance based on leakage performance calculated from the previous calendar year. Rounding the volume of leakage to the nearest Ml/d creates an effective deadband of 1Ml/d.</t>
  </si>
  <si>
    <t>PR14SWTWSW_W-B4</t>
  </si>
  <si>
    <t>SWT-09</t>
  </si>
  <si>
    <t>W-B4: Time taken to fix significant leaks (days)</t>
  </si>
  <si>
    <t>No. of days taken to fix significant leaks</t>
  </si>
  <si>
    <t>&lt;3</t>
  </si>
  <si>
    <t>&lt;2</t>
  </si>
  <si>
    <t>SWT W-B4: Time taken to fix significant leaks (days)</t>
  </si>
  <si>
    <t>PR14SWTWSW_W-B5</t>
  </si>
  <si>
    <t>SWT-10</t>
  </si>
  <si>
    <t>W-B5: Security of supply index (SoSI)</t>
  </si>
  <si>
    <t>SWT W-B5: Security of supply index (SoSI)</t>
  </si>
  <si>
    <t>PR14SWTWSW_W-C1</t>
  </si>
  <si>
    <t>Resilience in extreme conditions</t>
  </si>
  <si>
    <t>SWT-11</t>
  </si>
  <si>
    <t>W-C1: Supplies interrupted due to flooded South West Water sites</t>
  </si>
  <si>
    <t>No. of events over AMP6</t>
  </si>
  <si>
    <t>SWT W-C1: Supplies interrupted due to flooded South West Water sites</t>
  </si>
  <si>
    <t>The committed performance level measurement unit is based on the number of incidents where supplies are interrupted for greater than 24 hours due to flooded South West Water sites, but the penalty collar, deadband and reward cap and deadband are based on the number of properties affected by the incidents of supply interruption.
The incentive will only apply if a South West Water site actually floods and will depend on the scale of the impact. A reward or penalty will be applied at the end of the period.
The reward/penalty is therefore based on a contingent event of a flooding occurring, with the number of properties subsequently interrupted determining whether any reward or penalty applies. The 38,607 penalty/reward boundary is based on the 1 in 20 year probability of sites affecting 193,035 customers being flooded, with a 20% probability modelled estimate for the probability that individual customers would be interrupted for more than 24 hours if the site floods. A reward applies if the resilience output is more successful than this design standard, and a penalty applies if flooding interrupts more customer supplies and resilience at this performance level is not achieved.</t>
  </si>
  <si>
    <t>PR14SWTWSW_W-D1</t>
  </si>
  <si>
    <t>Responsive to customers</t>
  </si>
  <si>
    <t>SWT-12</t>
  </si>
  <si>
    <t>W-D1: Operational customer contacts resolved first time (%)</t>
  </si>
  <si>
    <t>SWT W-D1: Operational customer contacts resolved first time (%)</t>
  </si>
  <si>
    <t>PR14SWTWSW_W-E1</t>
  </si>
  <si>
    <t>Protecting the environment</t>
  </si>
  <si>
    <t>SWT-13</t>
  </si>
  <si>
    <t>W-E1: Sustainable abstractions (EA/WFD classification)</t>
  </si>
  <si>
    <t>No. sites where improvement required</t>
  </si>
  <si>
    <t>SWT W-E1: Sustainable abstractions (EA/WFD classification)</t>
  </si>
  <si>
    <t>PR14SWTWSW_W-E2</t>
  </si>
  <si>
    <t>SWT-14</t>
  </si>
  <si>
    <t>W-E2: Sustainable abstractions (Environment Agency water stress status)</t>
  </si>
  <si>
    <t>Water scarcity status (defined by EA)</t>
  </si>
  <si>
    <t>Moderate</t>
  </si>
  <si>
    <t>Severe</t>
  </si>
  <si>
    <t>not serious</t>
  </si>
  <si>
    <t>SWT W-E2: Sustainable abstractions (Environment Agency water stress status)</t>
  </si>
  <si>
    <t>Measurement unit follows the Environment Agency’s (EA) water scarcity status definition. Unsustainable abstractions are any sites where the EA has informed South West Water that abstraction reductions are required.
South West Water will adopt any new water scarcity definitions the EA introduces for this performance commitment or will provide a reconciliation between the definition used for the incentive and any subsequent definitions the EA introduces.
This incentive will apply in 2020 from the point that the company is notified by the EA. A penalty will only be applicable if the abstraction is still classified as unsustainable in 2020.</t>
  </si>
  <si>
    <t>PR14SWTWSW_W-E3a</t>
  </si>
  <si>
    <t>W-E3a</t>
  </si>
  <si>
    <t>SWT-15a</t>
  </si>
  <si>
    <t>W-E3a: Catchment management (number of acres)</t>
  </si>
  <si>
    <t>No. of acres (cumulative)</t>
  </si>
  <si>
    <t>SWT W-E3a: Catchment management (number of acres)</t>
  </si>
  <si>
    <t>PR14SWTWSW_W-E3b</t>
  </si>
  <si>
    <t>W-E3b</t>
  </si>
  <si>
    <t>SWT-15b</t>
  </si>
  <si>
    <t>W-E3b: Catchment management (number of farms)</t>
  </si>
  <si>
    <t>No. of farms (cumulative)</t>
  </si>
  <si>
    <t>SWT W-E3b: Catchment management (number of farms)</t>
  </si>
  <si>
    <t>PR14SWTWSW_W-E4</t>
  </si>
  <si>
    <t>W-E4</t>
  </si>
  <si>
    <t>SWT-16</t>
  </si>
  <si>
    <t>W-E4: Pollution incidents (category 1 and 2)</t>
  </si>
  <si>
    <t>SWT W-E4: Pollution incidents (category 1 and 2)</t>
  </si>
  <si>
    <t>PR14SWTWSW_W-E5</t>
  </si>
  <si>
    <t>W-E5</t>
  </si>
  <si>
    <t>SWT-17</t>
  </si>
  <si>
    <t>W-E5: Pollution incidents (category 3 and 4)</t>
  </si>
  <si>
    <t>No. of pollution incidents (cats 3 and 4)</t>
  </si>
  <si>
    <t>SWT W-E5: Pollution incidents (category 3 and 4)</t>
  </si>
  <si>
    <t>PR14SWTWSW_W-E6</t>
  </si>
  <si>
    <t>W-E6</t>
  </si>
  <si>
    <t>SWT-18</t>
  </si>
  <si>
    <t>W-E6: Operational carbon emissions (ktCO2e)</t>
  </si>
  <si>
    <t>SWT W-E6: Operational carbon emissions (ktCO2e)</t>
  </si>
  <si>
    <t>PR14SWTWSW_W-E7</t>
  </si>
  <si>
    <t>W-E7</t>
  </si>
  <si>
    <t>SWT-19</t>
  </si>
  <si>
    <t>W-E7: Energy from renewable sources (%)</t>
  </si>
  <si>
    <t>SWT W-E7: Energy from renewable sources (%)</t>
  </si>
  <si>
    <t>PR14SWTWSW_W-F1</t>
  </si>
  <si>
    <t>Fair charging</t>
  </si>
  <si>
    <t>SWT-20</t>
  </si>
  <si>
    <t>W-F1: Customers paying a metered bill</t>
  </si>
  <si>
    <t>% domestic customers with metered bill</t>
  </si>
  <si>
    <t>SWT W-F1: Customers paying a metered bill</t>
  </si>
  <si>
    <t>The percentage of water service billed on a measured basis of charging as a percentage of billed customers (at the end of each financial year).
The measure will be assessed on an annual basis and increases over the period due to the phasing of new meter optants and new connections.
Penalty deadband reflects variation in timing of customer demand and installation.
The average performance level for the deadband has been used to complete the incentive rates table and reflects that the rate of increase in the percentage of customers metered is expected to be higher towards the beginning of the AMP.</t>
  </si>
  <si>
    <t>PR14SWTWSWW_S-A1</t>
  </si>
  <si>
    <t>Reliable wastewater service</t>
  </si>
  <si>
    <t>SWT-21</t>
  </si>
  <si>
    <t>S-A1: Internal sewer flooding incidents</t>
  </si>
  <si>
    <t>SWT S-A1: Internal sewer flooding incidents</t>
  </si>
  <si>
    <t>PR14SWTWSWW_S-A2</t>
  </si>
  <si>
    <t>SWT-22</t>
  </si>
  <si>
    <t>S-A2: External sewer flooding incidents</t>
  </si>
  <si>
    <t>SWT S-A2: External sewer flooding incidents</t>
  </si>
  <si>
    <t>PR14SWTWSWW_S-A3</t>
  </si>
  <si>
    <t>SWT-23</t>
  </si>
  <si>
    <t>S-A3: Odour contacts (wastewater treatment works)</t>
  </si>
  <si>
    <t>No. of odour contacts (WwTWs)</t>
  </si>
  <si>
    <t>SWT S-A3: Odour contacts (wastewater treatment works)</t>
  </si>
  <si>
    <t>PR14SWTWSWW_S-A4</t>
  </si>
  <si>
    <t>SWT-24</t>
  </si>
  <si>
    <t>S-A4: Asset reliability (pipes)</t>
  </si>
  <si>
    <t>SWT S-A4: Asset reliability (pipes)</t>
  </si>
  <si>
    <t>Basket of measures comprising:
• sewer collapses
• pollution incidents (CSO+RM+FS)
• properties flooded due to other causes
• properties flooded due to overloaded sewers excluding severe weather
• sewer blockages
• equipment failures.
The company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</si>
  <si>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PR14SWTWSWW_S-A5</t>
  </si>
  <si>
    <t>SWT-25</t>
  </si>
  <si>
    <t>S-A5: Asset reliability (process)</t>
  </si>
  <si>
    <t>SWT S-A5: Asset reliability (process)</t>
  </si>
  <si>
    <t>Basket of measures comprising:
• % of WwTW discharges failing numeric consents
• % of total p.e. served by WwTWs in breach of WRA or UWWTD consent
• unplanned non-infrastructure maintenance.
The company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</si>
  <si>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PR14SWTWSWW_S-A6</t>
  </si>
  <si>
    <t>S-A6</t>
  </si>
  <si>
    <t>SWT-26</t>
  </si>
  <si>
    <t>S-A6: Compliance with sludge standard (%)</t>
  </si>
  <si>
    <t>% satisfactory sludge disposal compliance</t>
  </si>
  <si>
    <t>SWT S-A6: Compliance with sludge standard (%)</t>
  </si>
  <si>
    <t>PR14SWTWSWW_S-B1</t>
  </si>
  <si>
    <t>SWT-27</t>
  </si>
  <si>
    <t>S-B1: Operational customer contacts resolved first time (%)</t>
  </si>
  <si>
    <t>SWT S-B1: Operational customer contacts resolved first time (%)</t>
  </si>
  <si>
    <t>PR14SWTWSWW_S-C1</t>
  </si>
  <si>
    <t>SWT-28</t>
  </si>
  <si>
    <t>S-C1: Wastewater treatment numeric compliance (%)</t>
  </si>
  <si>
    <t>% wastewater treatment numeric compliance</t>
  </si>
  <si>
    <t>SWT S-C1: Wastewater treatment numeric compliance (%)</t>
  </si>
  <si>
    <t>Measure applies to performance at the end of the 2019 calendar year. The incentive is applied once to performance in 2020. The interim performance commitments in 2015-16 and 2017-18 are non-financial and do not attract a financial penalty if they are not met.</t>
  </si>
  <si>
    <t>PR14SWTWSWW_S-C2</t>
  </si>
  <si>
    <t>SWT-29</t>
  </si>
  <si>
    <t>S-C2: Wastewater population equivalent sanitary compliance (%)</t>
  </si>
  <si>
    <t>% wastewater p.e. sanitary compliance</t>
  </si>
  <si>
    <t>SWT S-C2: Wastewater population equivalent sanitary compliance (%)</t>
  </si>
  <si>
    <t>PR14SWTWSWW_S-C3</t>
  </si>
  <si>
    <t>SWT-30</t>
  </si>
  <si>
    <t>S-C3: Wastewater descriptive works permit compliance (%)</t>
  </si>
  <si>
    <t>% wastewater desc works permit compliance</t>
  </si>
  <si>
    <t>&lt;95</t>
  </si>
  <si>
    <t>SWT S-C3: Wastewater descriptive works permit compliance (%)</t>
  </si>
  <si>
    <t>PR14SWTWSWW_S-C4</t>
  </si>
  <si>
    <t>SWT-31</t>
  </si>
  <si>
    <t>S-C4: Pollution incidents (category 1 and 2)</t>
  </si>
  <si>
    <t>SWT S-C4: Pollution incidents (category 1 and 2)</t>
  </si>
  <si>
    <t>PR14SWTWSWW_S-C5</t>
  </si>
  <si>
    <t>SWT-32</t>
  </si>
  <si>
    <t>S-C5: Pollution incidents (category 3 and 4)</t>
  </si>
  <si>
    <t>SWT S-C5: Pollution incidents (category 3 and 4)</t>
  </si>
  <si>
    <t>PR14SWTWSWW_S-C6</t>
  </si>
  <si>
    <t>SWT-33</t>
  </si>
  <si>
    <t>S-C6: Operational carbon emissions (ktCO2e)</t>
  </si>
  <si>
    <t>SWT S-C6: Operational carbon emissions (ktCO2e)</t>
  </si>
  <si>
    <t>PR14SWTWSWW_S-C7</t>
  </si>
  <si>
    <t>SWT-34</t>
  </si>
  <si>
    <t>S-C7: Energy from renewable sources (%)</t>
  </si>
  <si>
    <t>SWT S-C7: Energy from renewable sources (%)</t>
  </si>
  <si>
    <t>PR14SWTWSWW_S-D1</t>
  </si>
  <si>
    <t>Benefiting the community</t>
  </si>
  <si>
    <t>SWT-35</t>
  </si>
  <si>
    <t>S-D1: Bathing water quality</t>
  </si>
  <si>
    <t>No. of bathing waters meeting or exceeding agreed standard</t>
  </si>
  <si>
    <t>SWT S-D1: Bathing water quality</t>
  </si>
  <si>
    <t>PR14SWTWSWW_S-D2</t>
  </si>
  <si>
    <t>SWT-36</t>
  </si>
  <si>
    <t>S-D2: Combined sewer overflow spills (number)</t>
  </si>
  <si>
    <t>No. of combined sewer overflow (CSO) spills per year</t>
  </si>
  <si>
    <t>Post 2020 incentive</t>
  </si>
  <si>
    <t>Post 2020</t>
  </si>
  <si>
    <t>SWT S-D2: Combined sewer overflow spills (number)</t>
  </si>
  <si>
    <t>PR14SWTWSWW_S-D3</t>
  </si>
  <si>
    <t>SWT-37</t>
  </si>
  <si>
    <t>S-D3: River water quality improved (km)</t>
  </si>
  <si>
    <t>Kilometres (km) of river water quality improved</t>
  </si>
  <si>
    <t>SWT S-D3: River water quality improved (km)</t>
  </si>
  <si>
    <t>PR14SWTHHR_R-A1</t>
  </si>
  <si>
    <t>SWT-38</t>
  </si>
  <si>
    <t>R-A1: Customer overall satisfaction (%)</t>
  </si>
  <si>
    <t>SWT R-A1: Customer overall satisfaction (%)</t>
  </si>
  <si>
    <t>PR14SWTHHR_R-A2</t>
  </si>
  <si>
    <t>SWT-39</t>
  </si>
  <si>
    <t>SWT R-A2: Service incentive mechanism (SIM)</t>
  </si>
  <si>
    <t>PR14SWTHHR_R-A3</t>
  </si>
  <si>
    <t>SWT-40</t>
  </si>
  <si>
    <t>R-A3: Customer satisfaction with value for money</t>
  </si>
  <si>
    <t>SWT R-A3: Customer satisfaction with value for money</t>
  </si>
  <si>
    <t>PR14SWTHHR_R-B1</t>
  </si>
  <si>
    <t>SWT-41</t>
  </si>
  <si>
    <t>R-B1: Customers assisted by water poverty initiatives</t>
  </si>
  <si>
    <t>No. of customers assisted by water poverty initiatives</t>
  </si>
  <si>
    <t>SWT R-B1: Customers assisted by water poverty initiatives</t>
  </si>
  <si>
    <t>PR14TMSWSW_WA1</t>
  </si>
  <si>
    <t>Demonstrate to our customers and stakeholders that they can trust us, that we are easy to do business with and that we care</t>
  </si>
  <si>
    <t>WA1</t>
  </si>
  <si>
    <t>TMS-01</t>
  </si>
  <si>
    <t>WA1: Improve handling of written complaints by increasing 1st time resolution</t>
  </si>
  <si>
    <t>% written complaints resolved 1st time</t>
  </si>
  <si>
    <t>TMS WA1: Improve handling of written complaints by increasing 1st time resolution</t>
  </si>
  <si>
    <t>PR14TMSWSW_WA2</t>
  </si>
  <si>
    <t>WA2</t>
  </si>
  <si>
    <t>TMS-02</t>
  </si>
  <si>
    <t>WA2: Number of written complaints per 10,000 connected properties</t>
  </si>
  <si>
    <t>No. written complaints / 10,000 properties</t>
  </si>
  <si>
    <t>TMS WA2: Number of written complaints per 10,000 connected properties</t>
  </si>
  <si>
    <t>PR14TMSWSW_WA3</t>
  </si>
  <si>
    <t>WA3</t>
  </si>
  <si>
    <t>TMS-03</t>
  </si>
  <si>
    <t>WA3: Customer satisfaction surveys (internal CSAT monitor)</t>
  </si>
  <si>
    <t>TW internal Customer satisfaction score (mean score out of 5)</t>
  </si>
  <si>
    <t>TMS WA3: Customer satisfaction surveys (internal CSAT monitor)</t>
  </si>
  <si>
    <t>PR14TMSWSW_WA4</t>
  </si>
  <si>
    <t>WA4</t>
  </si>
  <si>
    <t>TMS-04</t>
  </si>
  <si>
    <t>WA4: Reduced water consumption from issuing water efficiency devices to customers</t>
  </si>
  <si>
    <t>Ml/d reduced water consumption (cumulative)</t>
  </si>
  <si>
    <t>Not available</t>
  </si>
  <si>
    <t>TMS WA4: Reduced water consumption from issuing water efficiency devices to customers</t>
  </si>
  <si>
    <t>The penalty applies to performance at the end of 2015-20. This will be calculated at PR19 based on actuals for years 1-4 and forecasts for year 5 of 2015-20. Performance against the commitment will be measured annually.
Penalties will be calculated at PR19, to be applied in 2020-25.</t>
  </si>
  <si>
    <t>PR14TMSWSW_WA5</t>
  </si>
  <si>
    <t>WA5</t>
  </si>
  <si>
    <t>TMS-05</t>
  </si>
  <si>
    <t>WA5: Provide a free repair service for customers with a customer side leak outside of the property</t>
  </si>
  <si>
    <t>Number against target above annual baseline no.</t>
  </si>
  <si>
    <t>?</t>
  </si>
  <si>
    <t>10,000 baseline</t>
  </si>
  <si>
    <t>TMS WA5: Provide a free repair service for customers with a customer side leak outside of the property</t>
  </si>
  <si>
    <t>PR14TMSWSW_WB1</t>
  </si>
  <si>
    <t>We will provide a safe and reliable water service that complies with all necessary standards and is available when our customers require it</t>
  </si>
  <si>
    <t>WB1</t>
  </si>
  <si>
    <t>TMS-06</t>
  </si>
  <si>
    <t>WB1: Asset health water infrastructure</t>
  </si>
  <si>
    <t>TMS WB1: Asset health water infrastructure</t>
  </si>
  <si>
    <t>The Asset Health status in each year of 2015-20, based on independently assessed performance against a basket of key indicators that represent the health of the infrastructure assets.
The Asset Health measure for water infrastructure is made on the basis of indicators of bursts, unplanned interruptions to supply, iron mean zonal non-compliance, inadequate pressure (DG2), planned network rehabilitation and customer complaints of discolouration and white water.</t>
  </si>
  <si>
    <t>PR14TMSWSW_WB2</t>
  </si>
  <si>
    <t>WB2</t>
  </si>
  <si>
    <t>TMS-07</t>
  </si>
  <si>
    <t>WB2: Asset health water non-infrastructure</t>
  </si>
  <si>
    <t>TMS WB2: Asset health water non-infrastructure</t>
  </si>
  <si>
    <t>The Asset Health status in each year of 2015-20, based on performance against a basket of key indicators that represent the health of the non-infrastructure assets.
The Asset Health measure for water non-infrastructure is made on the basis of indicators of Disinfection Index, Reservoir Integrity Index, Drinking Water Quality Compliance Measures - Turbidity, Drinking Water Quality Compliance Measures - Enforcement actions, Process Control Index, and Water Quality Customer Complaints for chlorine and hardness.</t>
  </si>
  <si>
    <t>PR14TMSWSW_WB3</t>
  </si>
  <si>
    <t>WB3</t>
  </si>
  <si>
    <t>TMS-08</t>
  </si>
  <si>
    <t>WB3: Compliance with drinking water quality standards (MZC) - Ofwat/ DWI KPI</t>
  </si>
  <si>
    <t>TMS WB3: Compliance with drinking water quality standards (MZC) - Ofwat/ DWI KPI</t>
  </si>
  <si>
    <t>PR14TMSWSW_WB4</t>
  </si>
  <si>
    <t>WB4</t>
  </si>
  <si>
    <t>TMS-09</t>
  </si>
  <si>
    <t>WB4: Properties experiencing chronic low pressure (DG2)</t>
  </si>
  <si>
    <t>No. of properties with low pressure (DG2) at the end of the reporting year</t>
  </si>
  <si>
    <t>TMS WB4: Properties experiencing chronic low pressure (DG2)</t>
  </si>
  <si>
    <t>PR14TMSWSW_WB5</t>
  </si>
  <si>
    <t>WB5</t>
  </si>
  <si>
    <t>TMS-10</t>
  </si>
  <si>
    <t>WB5: Average hours lost supply per property served, due to interruptions &gt; 4 hours</t>
  </si>
  <si>
    <t>Hours lost supply per property served</t>
  </si>
  <si>
    <t>TMS WB5: Average hours lost supply per property served, due to interruptions &gt; 4 hours</t>
  </si>
  <si>
    <t>PR14TMSWSW_WB6</t>
  </si>
  <si>
    <t>WB6</t>
  </si>
  <si>
    <t>TMS-11</t>
  </si>
  <si>
    <t>WB6: Security of Supply Index - Ofwat KPI</t>
  </si>
  <si>
    <t>TMS WB6: Security of Supply Index - Ofwat KPI</t>
  </si>
  <si>
    <t>PR14TMSWSW_WB7</t>
  </si>
  <si>
    <t>WB7</t>
  </si>
  <si>
    <t>TMS-12</t>
  </si>
  <si>
    <t>WB7: Compliance with SEMD advice notes (with or without derogation)</t>
  </si>
  <si>
    <t>% compliance with SEMD advice notes</t>
  </si>
  <si>
    <t>TMS WB7: Compliance with SEMD advice notes (with or without derogation)</t>
  </si>
  <si>
    <t>Incentive rate = 40.94% of annualised costs saved through scope reduction.
The penalty applies to performance at the end of 2015-20. This will be calculated at PR19 based on actuals for years 1-4 and forecasts for year 5 of 2015-20. Performance against the commitment will be measured annually.</t>
  </si>
  <si>
    <t>PR14TMSWSW_WB8</t>
  </si>
  <si>
    <t>WB8</t>
  </si>
  <si>
    <t>TMS-13</t>
  </si>
  <si>
    <t>WB8: Ml/d of sites made resilient to future extreme rainfall events</t>
  </si>
  <si>
    <t>Ml/d of WTWs made resilient</t>
  </si>
  <si>
    <t>TMS WB8: Ml/d of sites made resilient to future extreme rainfall events</t>
  </si>
  <si>
    <t>PR14TMSWSW_WC1</t>
  </si>
  <si>
    <t>We will limit our impact on the environment and achieve a socially responsible, sustainable business for future generations, including reducing levels of leakage</t>
  </si>
  <si>
    <t>WC1</t>
  </si>
  <si>
    <t>TMS-14</t>
  </si>
  <si>
    <t>WC1: Greenhouse gas emissions from water operations</t>
  </si>
  <si>
    <t>TMS WC1: Greenhouse gas emissions from water operations</t>
  </si>
  <si>
    <t>PR14TMSWSW_WC2</t>
  </si>
  <si>
    <t>WC2</t>
  </si>
  <si>
    <t>TMS-15</t>
  </si>
  <si>
    <t>WC2: Leakage</t>
  </si>
  <si>
    <t>Megalitres per day (Ml/d) (annual average)</t>
  </si>
  <si>
    <t>TMS WC2: Leakage</t>
  </si>
  <si>
    <t>PR14TMSWSW_WC3</t>
  </si>
  <si>
    <t>WC3</t>
  </si>
  <si>
    <t>TMS-16</t>
  </si>
  <si>
    <t xml:space="preserve">WC3: Abstraction Incentive Mechanism (AIM) </t>
  </si>
  <si>
    <t>AIM score</t>
  </si>
  <si>
    <t xml:space="preserve">TMS WC3: Abstraction Incentive Mechanism (AIM) </t>
  </si>
  <si>
    <t>PR14TMSWSW_WC4</t>
  </si>
  <si>
    <t>WC4</t>
  </si>
  <si>
    <t>TMS-17</t>
  </si>
  <si>
    <t>WC4: We will educate our existing and future customers</t>
  </si>
  <si>
    <t>No. of children directly engaged</t>
  </si>
  <si>
    <t>TMS WC4: We will educate our existing and future customers</t>
  </si>
  <si>
    <t>PR14TMSWSW_WC5</t>
  </si>
  <si>
    <t>WC5</t>
  </si>
  <si>
    <t>TMS-18</t>
  </si>
  <si>
    <t>WC5: Deliver 100% of agreed measures to meet new environmental regulations</t>
  </si>
  <si>
    <t>% of agreed schemes completed</t>
  </si>
  <si>
    <t>TMS WC5: Deliver 100% of agreed measures to meet new environmental regulations</t>
  </si>
  <si>
    <t>Incentive rate = 40.94% of 2015-20 costs reduced through scope reductions.
The penalty applies to performance at the end of 2015-20. This will be calculated at PR19 based on actuals for years 1-4 and forecasts for year 5 of 2015-20. Performance against the commitment will be measured annually.</t>
  </si>
  <si>
    <t>PR14TMSWSW_WD1</t>
  </si>
  <si>
    <t>We will provide the level of customer service our customers require, in the most economic and efficient manner, to ensure that bills are no more than necessary</t>
  </si>
  <si>
    <t>WD1</t>
  </si>
  <si>
    <t>TMS-19</t>
  </si>
  <si>
    <t>WD1: Energy imported less energy exported</t>
  </si>
  <si>
    <t>GWh (gigawatt-hours)</t>
  </si>
  <si>
    <t>TMS WD1: Energy imported less energy exported</t>
  </si>
  <si>
    <t>PR14TMSWSWW_SA1</t>
  </si>
  <si>
    <t>SA1</t>
  </si>
  <si>
    <t>TMS-20</t>
  </si>
  <si>
    <t>SA1: Improve handling of written complaints by increasing first time resolution</t>
  </si>
  <si>
    <t>TMS SA1: Improve handling of written complaints by increasing first time resolution</t>
  </si>
  <si>
    <t>PR14TMSWSWW_SA2</t>
  </si>
  <si>
    <t>SA2</t>
  </si>
  <si>
    <t>TMS-21</t>
  </si>
  <si>
    <t>SA2: Number of written complaints per 10,000 connected properties</t>
  </si>
  <si>
    <t>TMS SA2: Number of written complaints per 10,000 connected properties</t>
  </si>
  <si>
    <t>PR14TMSWSWW_SA3</t>
  </si>
  <si>
    <t>SA3</t>
  </si>
  <si>
    <t>TMS-22</t>
  </si>
  <si>
    <t>SA3: Customer satisfaction surveys (internal CSAT monitor)</t>
  </si>
  <si>
    <t>TMS SA3: Customer satisfaction surveys (internal CSAT monitor)</t>
  </si>
  <si>
    <t>PR14TMSWSWW_SB1</t>
  </si>
  <si>
    <t>We will provide a safe and reliable wastewater service that complies with all necessary standards and is available when our customers require it</t>
  </si>
  <si>
    <t>SB1</t>
  </si>
  <si>
    <t>TMS-23</t>
  </si>
  <si>
    <t>SB1: Asset health wastewater non-infrastructure</t>
  </si>
  <si>
    <t>TMS SB1: Asset health wastewater non-infrastructure</t>
  </si>
  <si>
    <t>The Asset Health status in each year of 2015-20, based on independently assessed performance against a basket of key indicators that represent the health of the non-infrastructure assets.
The Asset Health measure for wastewater non-infrastructure is made on the basis of indicators of unconsented pollution incidents, the percentage of sewage treatment works discharges failing numeric consents, and the total population equivalent served by sewage treatment works failing look-up table consents.</t>
  </si>
  <si>
    <t>PR14TMSWSWW_SB2</t>
  </si>
  <si>
    <t>SB2</t>
  </si>
  <si>
    <t>TMS-24</t>
  </si>
  <si>
    <t>SB2: Asset health wastewater infrastructure</t>
  </si>
  <si>
    <t>TMS SB2: Asset health wastewater infrastructure</t>
  </si>
  <si>
    <t>The Asset Health status in each year of 2015-20, based on independently assessed performance against a basket of key indicators that represent the health of the infrastructure assets. The Asset Health measure for wastewater infrastructure is made on the basis of indicators of number of sewer collapses, number of sewer blockages, unconsented category 1 to 3 pollution incidents and properties internally flooded due to other causes. This includes assets transferred under section 105A of the Water Industry Act.</t>
  </si>
  <si>
    <t>PR14TMSWSWW_SB3</t>
  </si>
  <si>
    <t>SB3</t>
  </si>
  <si>
    <t>TMS-25</t>
  </si>
  <si>
    <t>SB3: Properties protected from flooding due to rainfall (including Counters Creek project)</t>
  </si>
  <si>
    <t>No. properties protected from flooding due to rainfall</t>
  </si>
  <si>
    <t>TMS SB3: Properties protected from flooding due to rainfall (including Counters Creek project)</t>
  </si>
  <si>
    <t>The penalty and reward incentive rates are determined by reference to actual costs and benefits matrix.
The penalty and reward apply to performance at the end of 2015-20. This will be calculated as the cumulative number of properties protected based on actuals for years 1-4 and forecasts for year 5 of 2015-20. Performance against the commitment will be measured at the end of the AMP period.
See the Thames Water PR14 final determination company-specific appendix (pages 223-226) for penalty and reward calculation details. And further details on the operation of the PC and ODI (including worked examples) are provided in PCR SB3 (Thames Water, 27 June 2014).</t>
  </si>
  <si>
    <t>PR14TMSWSWW_SB4</t>
  </si>
  <si>
    <t>SB4</t>
  </si>
  <si>
    <t>TMS-26</t>
  </si>
  <si>
    <t>SB4: Number of internal flooding incidents, excluding those due to overloaded sewers (SFOC)</t>
  </si>
  <si>
    <t>No. of internal sewer flooding (other causes) incidents</t>
  </si>
  <si>
    <t>TMS SB4: Number of internal flooding incidents, excluding those due to overloaded sewers (SFOC)</t>
  </si>
  <si>
    <t>PR14TMSWSWW_SB5</t>
  </si>
  <si>
    <t>SB5</t>
  </si>
  <si>
    <t>TMS-27</t>
  </si>
  <si>
    <t>SB5: Contributing area disconnected from combined sewers by retrofitting sustainable drainage</t>
  </si>
  <si>
    <t>No. of hectares (cumulative)</t>
  </si>
  <si>
    <t>TMS SB5: Contributing area disconnected from combined sewers by retrofitting sustainable drainage</t>
  </si>
  <si>
    <t>PR14TMSWSWW_SB6</t>
  </si>
  <si>
    <t>SB6</t>
  </si>
  <si>
    <t>TMS-28</t>
  </si>
  <si>
    <t>SB6: Compliance with SEMD advice notes (with or without derogation)</t>
  </si>
  <si>
    <t>TMS SB6: Compliance with SEMD advice notes (with or without derogation)</t>
  </si>
  <si>
    <t>PC will be calculated as the cumulative percentage compliance based on actuals for years 1-4 and forecasts for year 5 of 2015-20. Performance against the commitment will be measured at the end of the AMP period.
This incentive will return 40.4% of any 2015-20 revenue as a result of reductions in scope used to estimate the SEMD cost for Thames Water’s 27 June 2014 submission. This will be in addition to the 50% of costs returned after the totex menu reward. For the avoidance of doubt, this does not apply to cost increases or to cost reductions as a result of efficiencies. Incentives will be applied in 2020-25 on an NPV-neutral basis.</t>
  </si>
  <si>
    <t>PR14TMSWSWW_SB7</t>
  </si>
  <si>
    <t>SB7</t>
  </si>
  <si>
    <t>TMS-29</t>
  </si>
  <si>
    <t>SB7: Population equivalent of sites made resilient to future extreme rainfall events</t>
  </si>
  <si>
    <t>Population equivalent (cumulative)</t>
  </si>
  <si>
    <t>TMS SB7: Population equivalent of sites made resilient to future extreme rainfall events</t>
  </si>
  <si>
    <t>The measurement unit is the cumulative capacity (in population equivalent) of wastewater treatment works made resilient to flooding by the end of 2015-20.
This will be calculated as the cumulative population equivalent made resilient based on actuals for years 1-4 and forecasts for year 5 of 2015-20. Performance against the commitment will be measured at the end of the AMP period.</t>
  </si>
  <si>
    <t>PR14TMSWSWW_SB8</t>
  </si>
  <si>
    <t>SB8</t>
  </si>
  <si>
    <t>TMS-30</t>
  </si>
  <si>
    <t>SB8: Lee Tunnel including Shaft G</t>
  </si>
  <si>
    <t>Non delivery</t>
  </si>
  <si>
    <t>Scheme delivered</t>
  </si>
  <si>
    <t>TMS SB8: Lee Tunnel including Shaft G</t>
  </si>
  <si>
    <t>In line with the special cost claim, the Lee Tunnel is due for delivery on 31 December 2015. In the event that the scheme is not completed within the 2015-16 financial year a penalty will apply in that year, and in each subsequent year, that the scheme is not delivered.</t>
  </si>
  <si>
    <t>PR14TMSWSWW_SB9</t>
  </si>
  <si>
    <t>SB9</t>
  </si>
  <si>
    <t>TMS-31</t>
  </si>
  <si>
    <t>SB9: Deephams Wastewater Treatment Works</t>
  </si>
  <si>
    <t>TMS SB9: Deephams Wastewater Treatment Works</t>
  </si>
  <si>
    <t>In line with the special cost claim, the investment at Deephams wastewater treatment works is due for delivery during 2016-17. In the event that the scheme does not proceed, Thames Water will return, through the ODI, half of the allowed costs plus the benefits foregone. The remaining costs will be recovered through the cost incentive mechanism.</t>
  </si>
  <si>
    <t>PR14TMSWSWW_SC1</t>
  </si>
  <si>
    <t>SC1</t>
  </si>
  <si>
    <t>TMS-32</t>
  </si>
  <si>
    <t>SC1: Greenhouse gas emissions from wastewater operations</t>
  </si>
  <si>
    <t>TMS SC1: Greenhouse gas emissions from wastewater operations</t>
  </si>
  <si>
    <t>PR14TMSWSWW_SC2</t>
  </si>
  <si>
    <t>SC2</t>
  </si>
  <si>
    <t>TMS-33</t>
  </si>
  <si>
    <t>SC2: Total category 1-3 pollution incidents from sewage related premises</t>
  </si>
  <si>
    <t>TMS SC2: Total category 1-3 pollution incidents from sewage related premises</t>
  </si>
  <si>
    <t>The penalty applies to annual performance in all years of 2015-20. This will be calculated at PR19 based on actuals for years 1-4 and forecast for year 5. Performance against the commitment will be measured annually.
Rewards in each year over which the ODI applies will be subject to the attainment of zero serious pollution incidents that year. If a category 1 or 2 pollution incident occurs in a given year of 2015-20, a reward may not be earned for performance in the same year. This ‘gateway’ to rewards is applicable on a year-by-year basis and the occurrence of a category 1 or 2 pollution incident in a given year of 2015-20 will not limit the ability to earn rewards in future years.</t>
  </si>
  <si>
    <t>PR14TMSWSWW_SC3</t>
  </si>
  <si>
    <t>SC3</t>
  </si>
  <si>
    <t>TMS-34</t>
  </si>
  <si>
    <t>SC3: Sewage treatment works discharge compliance</t>
  </si>
  <si>
    <t>% WwTW discharge compliance</t>
  </si>
  <si>
    <t>TMS SC3: Sewage treatment works discharge compliance</t>
  </si>
  <si>
    <t>PR14TMSWSWW_SC4</t>
  </si>
  <si>
    <t>SC4</t>
  </si>
  <si>
    <t>TMS-35</t>
  </si>
  <si>
    <t>SC4: Water bodies improved or protected from deterioration as a result of Thames Water's activities</t>
  </si>
  <si>
    <t>No. of water bodies improved or protected by catchment management</t>
  </si>
  <si>
    <t>TMS SC4: Water bodies improved or protected from deterioration as a result of Thames Water's activities</t>
  </si>
  <si>
    <t>PR14TMSWSWW_SC5</t>
  </si>
  <si>
    <t>SC5</t>
  </si>
  <si>
    <t>TMS-36</t>
  </si>
  <si>
    <t>SC5: Satisfactory sludge disposal compliance</t>
  </si>
  <si>
    <t>TMS SC5: Satisfactory sludge disposal compliance</t>
  </si>
  <si>
    <t>PR14TMSWSWW_SC6</t>
  </si>
  <si>
    <t>SC6</t>
  </si>
  <si>
    <t>TMS-37</t>
  </si>
  <si>
    <t>SC6: We will educate our existing and future customers</t>
  </si>
  <si>
    <t>TMS SC6: We will educate our existing and future customers</t>
  </si>
  <si>
    <t>PR14TMSWSWW_SC7</t>
  </si>
  <si>
    <t>SC7</t>
  </si>
  <si>
    <t>TMS-38</t>
  </si>
  <si>
    <t>SC7: Modelled reduction in properties affected by odour</t>
  </si>
  <si>
    <t>No. of properties (modelled cumulative reduction)</t>
  </si>
  <si>
    <t>TMS SC7: Modelled reduction in properties affected by odour</t>
  </si>
  <si>
    <t>This is a new measure showing the reduction in the number of properties affected by odour. This is measured using a confirmation of point and area sources via odour dispersion modelling. The ODI is applied annually to the cumulative performance in each year. So, for example, a one year delay in reducing the incidence of odour by one modelled property would incur the annual penalty rate.
The penalty collar and reward caps represent an indicative level of performance associated with the total financial value of the penalty and reward over 2015-20. The penalty collar and reward cap are binding as a total financial magnitude of £3m and £6.66m respectively, over 2015-20 rather than as annual levels of performance. In practice, the collar and cap may be reached through a number of profiles of performance over the AMP.</t>
  </si>
  <si>
    <t>PR14TMSWSWW_SC8</t>
  </si>
  <si>
    <t>SC8</t>
  </si>
  <si>
    <t>TMS-39</t>
  </si>
  <si>
    <t>SC8: Deliver 100% of agreed measures to meet new environmental regulations</t>
  </si>
  <si>
    <t>Non delivery of NEP5</t>
  </si>
  <si>
    <t>TMS SC8: Deliver 100% of agreed measures to meet new environmental regulations</t>
  </si>
  <si>
    <t>The penalty applies to performance at the end of 2015-20. This will be calculated at PR19 based on actuals for years 1-4 and forecasts for year 5 of 2015-20. Performance against the commitment will be measured annually.
This incentive will return 40.4% of the NEP5 2015-20 cost as a result of reductions in scope used to estimate the 27 June 2014 submission. This will be in addition to the 50% of costs returned after the totex menu reward. For the avoidance of doubt, this does not apply to cost increases or to cost reductions as a result of efficiencies.
For further details see the Thames Water PR14 FD final determination company-specific appendix (pages 245-247).</t>
  </si>
  <si>
    <t>PR14TMSWSWW_SC9</t>
  </si>
  <si>
    <t>SC9</t>
  </si>
  <si>
    <t>TMS-40</t>
  </si>
  <si>
    <t>SC9: Reduce the amount of phosphorus entering rivers to help improve aquatic plant and wildlife</t>
  </si>
  <si>
    <t>Kilograms of phosphorus removed per day</t>
  </si>
  <si>
    <t>TMS SC9: Reduce the amount of phosphorus entering rivers to help improve aquatic plant and wildlife</t>
  </si>
  <si>
    <t>Penalty rate to be determined by reference to actual costs and benefits using reliable projections as soon as available (and to be included in annual report on outcomes performance no later than 2016-17)
Reward rate to be determined by reference to actual costs and benefits using reliable projections as soon as available (and to be included in annual report on outcomes performance no later than 2016-17)</t>
  </si>
  <si>
    <t>PR14TMSWSWW_SD1</t>
  </si>
  <si>
    <t>SD1</t>
  </si>
  <si>
    <t>TMS-41</t>
  </si>
  <si>
    <t>SD1: Energy imported less energy exported</t>
  </si>
  <si>
    <t>TMS SD1: Energy imported less energy exported</t>
  </si>
  <si>
    <t>PR14TMSTTT_T1A</t>
  </si>
  <si>
    <t>Thames Tideway</t>
  </si>
  <si>
    <t>Thames Water is committed to improving outcomes for customers and the environment, notably by intercepting significant sewage discharges into the tidal river Thames, working with the IP to ensure the timely and cost efficient delivery of the TTT project</t>
  </si>
  <si>
    <t>T1A</t>
  </si>
  <si>
    <t>TMS-42</t>
  </si>
  <si>
    <t>T1A: Successful procurement of the Infrastructure Provider (IP)</t>
  </si>
  <si>
    <t>Infrastructure Provider (IP) procurement</t>
  </si>
  <si>
    <t>IP award</t>
  </si>
  <si>
    <t>TMS T1A: Successful procurement of the Infrastructure Provider (IP)</t>
  </si>
  <si>
    <t>PR14TMSTTT_T1B</t>
  </si>
  <si>
    <t>T1B</t>
  </si>
  <si>
    <t>TMS-43</t>
  </si>
  <si>
    <t>T1B: Thames Water will fulfil its land related commitments in line with the TTT programme requirements</t>
  </si>
  <si>
    <t>Land related commitments</t>
  </si>
  <si>
    <t>Fulfil</t>
  </si>
  <si>
    <t>TMS T1B: Thames Water will fulfil its land related commitments in line with the TTT programme requirements</t>
  </si>
  <si>
    <t>PR14TMSTTT_T1C</t>
  </si>
  <si>
    <t>T1C</t>
  </si>
  <si>
    <t>TMS-44</t>
  </si>
  <si>
    <t>T1C: Completion of category 2 and 3 construction works and timely availability of sites to the IP</t>
  </si>
  <si>
    <t>No. of sites (cumulative)</t>
  </si>
  <si>
    <t>TMS T1C: Completion of category 2 and 3 construction works and timely availability of sites to the IP</t>
  </si>
  <si>
    <t>The final delivery profile to be agreed after the award of the Main Works contracts, once Thames Water has completed the process to optimise the programme.
For further details see the Thames Water PR14 FD final determination company-specific appendix (pages 252-255).</t>
  </si>
  <si>
    <t>PR14TMSTTT_T2</t>
  </si>
  <si>
    <t>T2</t>
  </si>
  <si>
    <t>TMS-45</t>
  </si>
  <si>
    <t>T2: Thames Water will engage effectively with the IP, and other stakeholders, both in terms of integration and assurance</t>
  </si>
  <si>
    <t>Effective engagement with IP and stakeholders</t>
  </si>
  <si>
    <t>Engage</t>
  </si>
  <si>
    <t>TMS T2: Thames Water will engage effectively with the IP, and other stakeholders, both in terms of integration and assurance</t>
  </si>
  <si>
    <t>PR14TMSTTT_T3</t>
  </si>
  <si>
    <t>T3</t>
  </si>
  <si>
    <t>TMS-46</t>
  </si>
  <si>
    <t>T3: Thames Water will engage with its customers to build understanding of the TTT project. Thames Water will liaise with the IP on its surveys of local communities impacted by construction</t>
  </si>
  <si>
    <t>Engagement to build TTT understanding</t>
  </si>
  <si>
    <t xml:space="preserve">Household customers % aware of TTT = 42 % understand project = 35
Non-household customers
No data available
</t>
  </si>
  <si>
    <t xml:space="preserve">Household customers % aware of TTT = 43 % understand project = 35
Non-household customers
% aware of TTT = 36
% understand project = 28
</t>
  </si>
  <si>
    <t>TMS T3: Thames Water will engage with its customers to build understanding of the TTT project. Thames Water will liaise with the IP on its surveys of local communities impacted by construction</t>
  </si>
  <si>
    <t>PR14TMSHHR_RA1</t>
  </si>
  <si>
    <t>Improving customer service by doing the basics excellently and by getting things 'right first time'</t>
  </si>
  <si>
    <t>RA1</t>
  </si>
  <si>
    <t>TMS-47</t>
  </si>
  <si>
    <t>RA1: Minimise the number of written complaints received from customers (relating to charging and billing)</t>
  </si>
  <si>
    <t>TMS RA1: Minimise the number of written complaints received from customers (relating to charging and billing)</t>
  </si>
  <si>
    <t>PR14TMSHHR_RA2</t>
  </si>
  <si>
    <t>RA2</t>
  </si>
  <si>
    <t>TMS-48</t>
  </si>
  <si>
    <t>RA2: Improve handling of written complaints by increasing first time resolution - charging and billing</t>
  </si>
  <si>
    <t>TMS RA2: Improve handling of written complaints by increasing first time resolution - charging and billing</t>
  </si>
  <si>
    <t>PR14TMSHHR_RA3</t>
  </si>
  <si>
    <t>RA3</t>
  </si>
  <si>
    <t>TMS-49</t>
  </si>
  <si>
    <t>RA3: Improve customer satisfaction of retail customers - charging and billing service</t>
  </si>
  <si>
    <t>TMS RA3: Improve customer satisfaction of retail customers - charging and billing service</t>
  </si>
  <si>
    <t>PR14TMSHHR_RA4</t>
  </si>
  <si>
    <t>RA4</t>
  </si>
  <si>
    <t>TMS-50</t>
  </si>
  <si>
    <t>RA4: Improve customer satisfaction of retail customers - operations contact centre</t>
  </si>
  <si>
    <t>TMS RA4: Improve customer satisfaction of retail customers - operations contact centre</t>
  </si>
  <si>
    <t>PR14TMSHHR_RA5</t>
  </si>
  <si>
    <t>RA5</t>
  </si>
  <si>
    <t>TMS-51</t>
  </si>
  <si>
    <t>RA5: Increase the number of bills based on actual meter reads (in cycle)</t>
  </si>
  <si>
    <t>% bills based on actual meter reads</t>
  </si>
  <si>
    <t>TMS RA5: Increase the number of bills based on actual meter reads (in cycle)</t>
  </si>
  <si>
    <t>PR14TMSHHR_RA6</t>
  </si>
  <si>
    <t>RA6</t>
  </si>
  <si>
    <t>TMS-52</t>
  </si>
  <si>
    <t>RA6: Service incentive mechanism (SIM)</t>
  </si>
  <si>
    <t>TMS RA6: Service incentive mechanism (SIM)</t>
  </si>
  <si>
    <t>PR14TMSHHR_RB1</t>
  </si>
  <si>
    <t>Offer a choice of easy to use contact options</t>
  </si>
  <si>
    <t>RB1</t>
  </si>
  <si>
    <t>TMS-53</t>
  </si>
  <si>
    <t>RB1: Implement new online account management for customers supported by web-chat</t>
  </si>
  <si>
    <t>Delivery status</t>
  </si>
  <si>
    <t>Limited online</t>
  </si>
  <si>
    <t>Not live</t>
  </si>
  <si>
    <t>TMS RB1: Implement new online account management for customers supported by web-chat</t>
  </si>
  <si>
    <t xml:space="preserve">Penalty 1: £6.5m in each of years 4 and 5.
Penalty 2: additional £20.5m applicable in year 5 (total 2015-20 allowed cost in ACTS adjustment plus premium).
For further details see the Thames Water PR14 FD final determination company-specific appendix (pages 264-267).
</t>
  </si>
  <si>
    <t>PR14TMSHHR_RC1</t>
  </si>
  <si>
    <t>Improving cash collection from those that can pay and helping those that are struggling to pay</t>
  </si>
  <si>
    <t>RC1</t>
  </si>
  <si>
    <t>TMS-54</t>
  </si>
  <si>
    <t>RC1: Increase the number of customers on payment plans (excluding Thames Tideway Tunnel)</t>
  </si>
  <si>
    <t>% of customers on DD payment plans</t>
  </si>
  <si>
    <t>TMS RC1: Increase the number of customers on payment plans (excluding Thames Tideway Tunnel)</t>
  </si>
  <si>
    <t>PR14TMSHHR_RC2</t>
  </si>
  <si>
    <t>RC2</t>
  </si>
  <si>
    <t>TMS-55</t>
  </si>
  <si>
    <t>RC2: Increase cash collection rates (excluding Thames Tideway Tunnel)</t>
  </si>
  <si>
    <t>% of cash collected from billing in the year</t>
  </si>
  <si>
    <t>TMS RC2: Increase cash collection rates (excluding Thames Tideway Tunnel)</t>
  </si>
  <si>
    <t>UU</t>
  </si>
  <si>
    <t>PR14UUWSW_A1</t>
  </si>
  <si>
    <t>Your drinking water is safe and clean</t>
  </si>
  <si>
    <t>UU-01</t>
  </si>
  <si>
    <t>A1: Drinking Water Safety Plan risk score</t>
  </si>
  <si>
    <t>Drinking Water Safety Plan (DWSP) risk score</t>
  </si>
  <si>
    <t>UU A1: Drinking Water Safety Plan risk score</t>
  </si>
  <si>
    <t>PR14UUWSW_A2</t>
  </si>
  <si>
    <t>UU-02</t>
  </si>
  <si>
    <t>A2: Water quality events DWI category 3 or above</t>
  </si>
  <si>
    <t>RCV or Revenue</t>
  </si>
  <si>
    <t>No. water quality events DWI cat 3 or above</t>
  </si>
  <si>
    <t>UU A2: Water quality events DWI category 3 or above</t>
  </si>
  <si>
    <t>PR14UUWSW_A3</t>
  </si>
  <si>
    <t>UU-03</t>
  </si>
  <si>
    <t>A3: Water Quality Service Index</t>
  </si>
  <si>
    <t>Water Quality Service Index (UU bespoke)</t>
  </si>
  <si>
    <t>UU A3: Water Quality Service Index</t>
  </si>
  <si>
    <t>The five compliance sub-measures do not contribute to the reward on this index. It is only the number of unwanted customer contacts for water quality that contributes to the reward.
In 2017-18, 2018-19 and 2019-20 United Utilities will incur a penalty if its performance on mean zonal compliance is 99.95% or below regardless of the overall level of the index.
Incentive rates - water quality service index
Penalty: 0.770
Reward: 0.417
Incentive rates - mean zonal compliance sub-measure
Penalty: 0.770
Reward: not applicable
For further details see the United Utilities PR14 FD final determination company-specific appendix (pages 149-153).</t>
  </si>
  <si>
    <t>PR14UUWSW_B1</t>
  </si>
  <si>
    <t>You have a reliable supply of water now and in the future</t>
  </si>
  <si>
    <t>UU-04</t>
  </si>
  <si>
    <t>B1: Average minutes supply lost per property (a year)</t>
  </si>
  <si>
    <t>Mins:secs supply lost per property per year</t>
  </si>
  <si>
    <t>13:25</t>
  </si>
  <si>
    <t>16:42</t>
  </si>
  <si>
    <t>UU B1: Average minutes supply lost per property (a year)</t>
  </si>
  <si>
    <t>Unit of measure: number of minutes and seconds - for example, mm:ss. In the wholesale water delivery plan, where the historic performance and targets are shown, the measure is reported as whole minutes and seconds, that is 17:55 is equivalent to 17 minutes and 55 seconds. In the business plan tables, such as W1, W2 and W2a that are reported in Excel format, the numbers are reported to three decimal places, so 17:55 becomes 17.917.
For further details see the United Utilities PR14 FD final determination company-specific appendix (pages 154-156).</t>
  </si>
  <si>
    <t>PR14UUWSW_B2</t>
  </si>
  <si>
    <t>UU-05</t>
  </si>
  <si>
    <t>B2: Reliable water service index</t>
  </si>
  <si>
    <t>Reliable water service index (UU bespoke)</t>
  </si>
  <si>
    <t>UU B2: Reliable water service index</t>
  </si>
  <si>
    <t>For further details see United Utilities PR14 FD final determination company-specific appendix (pages 156-160)</t>
  </si>
  <si>
    <t>PR14UUWSW_B3</t>
  </si>
  <si>
    <t>UU-06</t>
  </si>
  <si>
    <t>B3: Security of supply index (SoSI)</t>
  </si>
  <si>
    <t>UU B3: Security of supply index (SoSI)</t>
  </si>
  <si>
    <t>The Ofwat SoSI KPI rounds to the nearest whole number, United Utilities has used the index to three decimal places for the measure to ensure the incentive is scalable.
For further details see the United Utilities PR14 FD final determination company-specific appendix (pages 160-162).</t>
  </si>
  <si>
    <t>PR14UUWSW_B4</t>
  </si>
  <si>
    <t>UU-07</t>
  </si>
  <si>
    <t>B4: Total leakage at or below target</t>
  </si>
  <si>
    <t>Megalitres per day (Ml/d) variance from target</t>
  </si>
  <si>
    <t>UU B4: Total leakage at or below target</t>
  </si>
  <si>
    <t>For further details see United Utilities PR14 FD final determination company-specific appendix (pages 163-164).</t>
  </si>
  <si>
    <t>PR14UUWSW_B5</t>
  </si>
  <si>
    <t>UU-08</t>
  </si>
  <si>
    <t>B5: Resilience of impounding reservoirs</t>
  </si>
  <si>
    <t>Aggregate (cumulative) reduction in risk</t>
  </si>
  <si>
    <t>UU B5: Resilience of impounding reservoirs</t>
  </si>
  <si>
    <t>For further details see United Utilities PR14 FD final determination company-specific appendix (pages 165-166).</t>
  </si>
  <si>
    <t>PR14UUWSW_B6</t>
  </si>
  <si>
    <t>UU-09</t>
  </si>
  <si>
    <t>B6: Thirlmere transfer into West Cumbria</t>
  </si>
  <si>
    <t>% project complete based on earned value tied to milestones</t>
  </si>
  <si>
    <t>UU B6: Thirlmere transfer into West Cumbria</t>
  </si>
  <si>
    <t>The unit of measure is percentage progress to completion, measured to zero decimal places. The PC targets have been developed based on the latest available project delivery plan. This gives a project in use date of 31 March 2022 (FY22).
For further details see the United Utilities PR14 FD final determination company-specific appendix (pages 167-170).</t>
  </si>
  <si>
    <t>PR14UUWSW_C1</t>
  </si>
  <si>
    <t>The natural environment is protected and improved in the way we deliver our services</t>
  </si>
  <si>
    <t>UU-10</t>
  </si>
  <si>
    <t>C1: Contribution to rivers improved - water programme (NEP schemes and abstraction changes at 4 AIM sites)</t>
  </si>
  <si>
    <t>Kilometres (km) of river improved (cumulative)</t>
  </si>
  <si>
    <t>UU C1: Contribution to rivers improved - water programme (NEP schemes and abstraction changes at 4 AIM sites)</t>
  </si>
  <si>
    <t>For further details see United Utilities PR14 FD final determination company-specific appendix (pages 171-175).</t>
  </si>
  <si>
    <t>PR14UUWSW_D1</t>
  </si>
  <si>
    <t>You're highly satisfied with our service and find it easy to do business with us</t>
  </si>
  <si>
    <t>UU-11</t>
  </si>
  <si>
    <t>D1: Delivering our commitments to developers, local authorities and highway authorities</t>
  </si>
  <si>
    <t>% of jobs completed within response times</t>
  </si>
  <si>
    <t>UU D1: Delivering our commitments to developers, local authorities and highway authorities</t>
  </si>
  <si>
    <t>PR14UUWSW_E1</t>
  </si>
  <si>
    <t>Bills for you and future customers are fair</t>
  </si>
  <si>
    <t>UU-12</t>
  </si>
  <si>
    <t>E1: Number of free water meters installed</t>
  </si>
  <si>
    <t>No. of free water meters installed per year</t>
  </si>
  <si>
    <t>UU E1: Number of free water meters installed</t>
  </si>
  <si>
    <t>PR14UUWSWW_S-A1</t>
  </si>
  <si>
    <t>Your wastewater is removed and treated without you ever noticing</t>
  </si>
  <si>
    <t>UU-13</t>
  </si>
  <si>
    <t>S-A1: Private sewers service index</t>
  </si>
  <si>
    <t>Private sewers service index (UU bespoke)</t>
  </si>
  <si>
    <t>UU S-A1: Private sewers service index</t>
  </si>
  <si>
    <t>For further details see United Utilities PR14 FD final determination company-specific appendix (pages 180-182).</t>
  </si>
  <si>
    <t>PR14UUWSWW_S-A2</t>
  </si>
  <si>
    <t>UU-14</t>
  </si>
  <si>
    <t>S-A2: Wastewater network performance index</t>
  </si>
  <si>
    <t>Wastewater network performance index (UU bespoke)</t>
  </si>
  <si>
    <t>UU S-A2: Wastewater network performance index</t>
  </si>
  <si>
    <t>For further details see United Utilities PR14 FD final determination company-specific appendix (pages 182-184).</t>
  </si>
  <si>
    <t>PR14UUWSWW_S-B1</t>
  </si>
  <si>
    <t>The risk of sewer flooding for homes and businesses is reduced</t>
  </si>
  <si>
    <t>UU-15</t>
  </si>
  <si>
    <t>S-B1: Future flood risk</t>
  </si>
  <si>
    <t>No. of properties at risk</t>
  </si>
  <si>
    <t>UU S-B1: Future flood risk</t>
  </si>
  <si>
    <t>PR14UUWSWW_S-B2</t>
  </si>
  <si>
    <t>UU-16</t>
  </si>
  <si>
    <t>S-B2: Sewer flooding index</t>
  </si>
  <si>
    <t>Sewer flooding index (UU bespoke)</t>
  </si>
  <si>
    <t>UU S-B2: Sewer flooding index</t>
  </si>
  <si>
    <t>For further details see United Utilities PR14 FD final determination company-specific appendix (pages 186-187).</t>
  </si>
  <si>
    <t>PR14UUWSWW_S-C1</t>
  </si>
  <si>
    <t>The North West's bathing and shellfish waters are cleaner though our work and that of others</t>
  </si>
  <si>
    <t>UU-17</t>
  </si>
  <si>
    <t>S-C1: Contribution to bathing waters improved (includes NEP phase 3&amp;4 bathing water intermittent discharge projects)</t>
  </si>
  <si>
    <t>Bathing water equivalent (BWE)</t>
  </si>
  <si>
    <t>UU S-C1: Contribution to bathing waters improved (includes NEP phase 3&amp;4 bathing water intermittent discharge projects)</t>
  </si>
  <si>
    <t>To ensure the penalties are proportionate to any delay which has incurred, a sliding scale will be applied to the annual penalty as follows:
• 25% for 1-90 days
• 50% for 91-180 days
• 75% for 181-270 days
• 100% for 271-365 days.
For further details see United Utilities PR14 FD final determination company-specific appendix (pages 188-190).</t>
  </si>
  <si>
    <t>PR14UUWSWW_S-D1</t>
  </si>
  <si>
    <t>UU-18</t>
  </si>
  <si>
    <t>S-D1: Protecting rivers from deterioration due to population growth (includes Davyhulme non-delivery penalty)</t>
  </si>
  <si>
    <t>Kilometers (km) rivers protected from deterioration</t>
  </si>
  <si>
    <t>UU S-D1: Protecting rivers from deterioration due to population growth (includes Davyhulme non-delivery penalty)</t>
  </si>
  <si>
    <t>For further details see United Utilities PR14 FD final determination company-specific appendix (pages 191-192).</t>
  </si>
  <si>
    <t>PR14UUWSWW_S-D2</t>
  </si>
  <si>
    <t>UU-19</t>
  </si>
  <si>
    <t>S-D2: Maintaining our wastewater treatment works (includes Oldham and Royton WwTWs special cost factor claims)</t>
  </si>
  <si>
    <t>Maintaining WwTWs index (UU bespoke)</t>
  </si>
  <si>
    <t>UU S-D2: Maintaining our wastewater treatment works (includes Oldham and Royton WwTWs special cost factor claims)</t>
  </si>
  <si>
    <t>For further details see United Utilities PR14 FD final determination company-specific appendix (pages 193-195).</t>
  </si>
  <si>
    <t>PR14UUWSWW_S-D3</t>
  </si>
  <si>
    <t>UU-20</t>
  </si>
  <si>
    <t>S-D3: Contribution to rivers improved - wastewater programme (includes Oldham, Royton and Windermere)</t>
  </si>
  <si>
    <t>UU S-D3: Contribution to rivers improved - wastewater programme (includes Oldham, Royton and Windermere)</t>
  </si>
  <si>
    <t>To ensure the penalties are proportionate to any delay that has incurred, a sliding scale will be applied to the annual penalty as follows:
• 25% for 1-90 days
• 50% for 91-180 days
• 75% for 181-270 days
• 100% for 271-365 days.
For further details see United Utilities PR14 FD final determination company-specific appendix (pages 195-197).</t>
  </si>
  <si>
    <t>PR14UUWSWW_S-D4a</t>
  </si>
  <si>
    <t>S-D4a</t>
  </si>
  <si>
    <t>UU-21</t>
  </si>
  <si>
    <t>S-D4a: Wastewater serious (category 1 and 2) pollution incidents</t>
  </si>
  <si>
    <t>UU S-D4a: Wastewater serious (category 1 and 2) pollution incidents</t>
  </si>
  <si>
    <t>For further details see United Utilities PR14 FD final determination company-specific appendix (pages 197-199).</t>
  </si>
  <si>
    <t>PR14UUWSWW_S-D4b</t>
  </si>
  <si>
    <t>S-D4b</t>
  </si>
  <si>
    <t>UU-22</t>
  </si>
  <si>
    <t>S-D4b: Wastewater category 3 pollution incidents</t>
  </si>
  <si>
    <t>UU S-D4b: Wastewater category 3 pollution incidents</t>
  </si>
  <si>
    <t>For further details see United Utilities PR14 FD final determination company-specific appendix (pages 199-201).</t>
  </si>
  <si>
    <t>PR14UUWSWW_S-D5</t>
  </si>
  <si>
    <t>S-D5</t>
  </si>
  <si>
    <t>UU-23</t>
  </si>
  <si>
    <t>S-D5: Satisfactory sludge disposal</t>
  </si>
  <si>
    <t>UU S-D5: Satisfactory sludge disposal</t>
  </si>
  <si>
    <t>For further details see United Utilities PR14 FD final determination company-specific appendix (pages 201-203).</t>
  </si>
  <si>
    <t>PR14UUHHR_A-1</t>
  </si>
  <si>
    <t>You’re highly satisfied with our service and find it easy to do business with us</t>
  </si>
  <si>
    <t>A-1</t>
  </si>
  <si>
    <t>UU-24</t>
  </si>
  <si>
    <t>A-1: Service incentive mechanism (SIM)</t>
  </si>
  <si>
    <t>Upper quartile</t>
  </si>
  <si>
    <t>UU A-1: Service incentive mechanism (SIM)</t>
  </si>
  <si>
    <t>PR14UUHHR_R-A2</t>
  </si>
  <si>
    <t>UU-25</t>
  </si>
  <si>
    <t>R-A2: Customer experience programme</t>
  </si>
  <si>
    <t>UU R-A2: Customer experience programme</t>
  </si>
  <si>
    <t>For further details see United Utilities PR14 FD final determination company-specific appendix (pages 205-208).</t>
  </si>
  <si>
    <t>PR14UUHHR_B1</t>
  </si>
  <si>
    <t>UU-26</t>
  </si>
  <si>
    <t>B1: Customers saying that we offer value for money</t>
  </si>
  <si>
    <t>UU B1: Customers saying that we offer value for money</t>
  </si>
  <si>
    <t>PR14UUHHR_B2</t>
  </si>
  <si>
    <t>UU-27</t>
  </si>
  <si>
    <t>B2: Per household consumption</t>
  </si>
  <si>
    <t>UU B2: Per household consumption</t>
  </si>
  <si>
    <t>PR14WSHWSW_A1</t>
  </si>
  <si>
    <t>WSH-01</t>
  </si>
  <si>
    <t>A1: Safety of drinking water</t>
  </si>
  <si>
    <t>WSH A1: Safety of drinking water</t>
  </si>
  <si>
    <t>PR14WSHWSW_A2</t>
  </si>
  <si>
    <t>WSH-02</t>
  </si>
  <si>
    <t>A2: Customer acceptability (drinking water) - contacts per 1,000 population</t>
  </si>
  <si>
    <t>WSH A2: Customer acceptability (drinking water) - contacts per 1,000 population</t>
  </si>
  <si>
    <t>PR14WSHWSW_A3</t>
  </si>
  <si>
    <t>WSH-03</t>
  </si>
  <si>
    <t>A3: Reliability of supply - minutes lost per property per year</t>
  </si>
  <si>
    <t>Minutes of supply interruption per property per year</t>
  </si>
  <si>
    <t>WSH A3: Reliability of supply - minutes lost per property per year</t>
  </si>
  <si>
    <t>PR14WSHWSW_B1</t>
  </si>
  <si>
    <t>Protecting our environment</t>
  </si>
  <si>
    <t>WSH-04</t>
  </si>
  <si>
    <t>B1: Abstraction for water for use - % compliance with abstraction licences, as regulated by NRW</t>
  </si>
  <si>
    <t>% compliance with abstraction licences (NRW regulated)</t>
  </si>
  <si>
    <t>WSH B1: Abstraction for water for use - % compliance with abstraction licences, as regulated by NRW</t>
  </si>
  <si>
    <t>PR14WSHWSW_C2</t>
  </si>
  <si>
    <t>Responding to climate change</t>
  </si>
  <si>
    <t>WSH-05</t>
  </si>
  <si>
    <t>C2: Carbon footprint - gigawatt-hours (GWh) of renewable energy generated</t>
  </si>
  <si>
    <t>WSH C2: Carbon footprint - gigawatt-hours (GWh) of renewable energy generated</t>
  </si>
  <si>
    <t>PR14WSHWSW_D1</t>
  </si>
  <si>
    <t>Excellent customer service</t>
  </si>
  <si>
    <t>WSH-06</t>
  </si>
  <si>
    <t>D1: Service incentive mechanism (SIM)</t>
  </si>
  <si>
    <t>upper quartile</t>
  </si>
  <si>
    <t>WSH D1: Service incentive mechanism (SIM)</t>
  </si>
  <si>
    <t>PR14WSHWSW_D2</t>
  </si>
  <si>
    <t>WSH-07</t>
  </si>
  <si>
    <t>D2: ‘At risk’ customer services - number of customers who have experienced poor service</t>
  </si>
  <si>
    <t>No. of properties/ incidents on the internal 'at risk' register</t>
  </si>
  <si>
    <t>WSH D2: ‘At risk’ customer services - number of customers who have experienced poor service</t>
  </si>
  <si>
    <t>PR14WSHWSW_D5</t>
  </si>
  <si>
    <t>D5</t>
  </si>
  <si>
    <t>WSH-08</t>
  </si>
  <si>
    <t>D5: Earning the trust of customers - % of customers surveyed that say they trust the company</t>
  </si>
  <si>
    <t>WSH D5: Earning the trust of customers - % of customers surveyed that say they trust the company</t>
  </si>
  <si>
    <t>PR14WSHWSW_E1</t>
  </si>
  <si>
    <t>Affordable prices</t>
  </si>
  <si>
    <t>WSH-09</t>
  </si>
  <si>
    <t>E1: Affordable bills - annual increase</t>
  </si>
  <si>
    <t>% above or below inflation (affordability of bills)</t>
  </si>
  <si>
    <t>Below inflation</t>
  </si>
  <si>
    <t>1% below</t>
  </si>
  <si>
    <t>WSH E1: Affordable bills - annual increase</t>
  </si>
  <si>
    <t>PR14WSHWSW_F1</t>
  </si>
  <si>
    <t>Asset stewardship</t>
  </si>
  <si>
    <t>WSH-10</t>
  </si>
  <si>
    <t>F1: Asset serviceability</t>
  </si>
  <si>
    <t>WSH F1: Asset serviceability</t>
  </si>
  <si>
    <t>For further details see Dŵr Cymru PR14 FD final determination company-specific appendix (pages 145-148).</t>
  </si>
  <si>
    <t>PR14WSHWSW_F2</t>
  </si>
  <si>
    <t>WSH-11</t>
  </si>
  <si>
    <t>F2: Leakage</t>
  </si>
  <si>
    <t>WSH F2: Leakage</t>
  </si>
  <si>
    <t>Warning: reward deadband and cap values printed in the wrong order on page 149 of the Dŵr Cymru PR14 FD final determination company-specific appendix.
For further details pages 149-150.</t>
  </si>
  <si>
    <t>PR14WSHWSW_F3</t>
  </si>
  <si>
    <t>F3</t>
  </si>
  <si>
    <t>WSH-12</t>
  </si>
  <si>
    <t>F3: Asset resilience - % of critical assets that are resilient against a set of criteria</t>
  </si>
  <si>
    <t>% critical assets that are resilient against a set of criteria</t>
  </si>
  <si>
    <t>WSH F3: Asset resilience - % of critical assets that are resilient against a set of criteria</t>
  </si>
  <si>
    <t>For further details see Dŵr Cymru PR14 FD final determination company-specific appendix (pages 150-151).</t>
  </si>
  <si>
    <t>PR14WSHWSWW_B2</t>
  </si>
  <si>
    <t>WSH-13</t>
  </si>
  <si>
    <t>B2: Treating used water - % compliance of WwTW</t>
  </si>
  <si>
    <t>% compliance against WwTW discharge permits</t>
  </si>
  <si>
    <t>WSH B2: Treating used water - % compliance of WwTW</t>
  </si>
  <si>
    <t>PR14WSHWSWW_B3</t>
  </si>
  <si>
    <t>WSH-14</t>
  </si>
  <si>
    <t>B3: Preventing pollution - number of category 3 pollution incidents</t>
  </si>
  <si>
    <t>WSH B3: Preventing pollution - number of category 3 pollution incidents</t>
  </si>
  <si>
    <t>PR14WSHWSWW_C1</t>
  </si>
  <si>
    <t>WSH-15</t>
  </si>
  <si>
    <t>C1: Adapting to climate change - the volume of surface water removed from the system, expressed in number of properties equivalent</t>
  </si>
  <si>
    <t>Surface water removed expressed in no. props equivalent</t>
  </si>
  <si>
    <t>WSH C1: Adapting to climate change - the volume of surface water removed from the system, expressed in number of properties equivalent</t>
  </si>
  <si>
    <t>PR14WSHWSWW_C2</t>
  </si>
  <si>
    <t>WSH-16</t>
  </si>
  <si>
    <t>PR14WSHWSWW_D1</t>
  </si>
  <si>
    <t>Best in class customer service</t>
  </si>
  <si>
    <t>WSH-17</t>
  </si>
  <si>
    <t>D1: Service incentive mechanism</t>
  </si>
  <si>
    <t>WSH D1: Service incentive mechanism</t>
  </si>
  <si>
    <t>PR14WSHWSWW_D2</t>
  </si>
  <si>
    <t>WSH-18</t>
  </si>
  <si>
    <t>PR14WSHWSWW_D3</t>
  </si>
  <si>
    <t>WSH-19</t>
  </si>
  <si>
    <t>D3: Internal sewer flooding - properties flooded in the year</t>
  </si>
  <si>
    <t>No. of properties subjected to internal sewer flooding</t>
  </si>
  <si>
    <t>WSH D3: Internal sewer flooding - properties flooded in the year</t>
  </si>
  <si>
    <t>PR14WSHWSWW_D5</t>
  </si>
  <si>
    <t>WSH-20</t>
  </si>
  <si>
    <t>D5: Earning the trust of customers  - % of customers surveyed that say they trust the company</t>
  </si>
  <si>
    <t>WSH D5: Earning the trust of customers  - % of customers surveyed that say they trust the company</t>
  </si>
  <si>
    <t>PR14WSHWSWW_E1</t>
  </si>
  <si>
    <t>WSH-21</t>
  </si>
  <si>
    <t>PR14WSHWSWW_F1</t>
  </si>
  <si>
    <t>WSH-22</t>
  </si>
  <si>
    <t>For further details see Dŵr Cymru PR14 FD final determination company-specific appendix (pages 165-168).</t>
  </si>
  <si>
    <t>PR14WSHWSWW_F3</t>
  </si>
  <si>
    <t>WSH-23</t>
  </si>
  <si>
    <t>Welsh Water is not receiving any penalties until the end of the period.
The maximum penalty is £11m.</t>
  </si>
  <si>
    <t>PR14WSHNHHR_D1</t>
  </si>
  <si>
    <t>Best in class customer service (business customers)</t>
  </si>
  <si>
    <t>WSH-28</t>
  </si>
  <si>
    <t>PR14WSHNHHR_D4</t>
  </si>
  <si>
    <t>D4</t>
  </si>
  <si>
    <t>WSH-29</t>
  </si>
  <si>
    <t>D4: Business customer satisfaction</t>
  </si>
  <si>
    <t>WSH D4: Business customer satisfaction</t>
  </si>
  <si>
    <t>PR14WSHNHHR_D5</t>
  </si>
  <si>
    <t>WSH-30</t>
  </si>
  <si>
    <t>PR14WSHNHHR_E1</t>
  </si>
  <si>
    <t>WSH-31</t>
  </si>
  <si>
    <t>PR14WSHHHR_D1</t>
  </si>
  <si>
    <t>WSH-24</t>
  </si>
  <si>
    <t>PR14WSHHHR_D5</t>
  </si>
  <si>
    <t>WSH-25</t>
  </si>
  <si>
    <t>PR14WSHHHR_E1</t>
  </si>
  <si>
    <t>WSH-26</t>
  </si>
  <si>
    <t>PR14WSHHHR_E2</t>
  </si>
  <si>
    <t>WSH-27</t>
  </si>
  <si>
    <t>E2: Help for disadvantaged customers (customers benefiting from social tariffs)</t>
  </si>
  <si>
    <t>No. of customers benefiting from social tariffs</t>
  </si>
  <si>
    <t>WSH E2: Help for disadvantaged customers (customers benefiting from social tariffs)</t>
  </si>
  <si>
    <t>PR14WSXWSW_B4</t>
  </si>
  <si>
    <t>Rivers, lakes and estuaries</t>
  </si>
  <si>
    <t>WSX-01</t>
  </si>
  <si>
    <t>B4: Compliance with abstraction licences</t>
  </si>
  <si>
    <t>% compliance with EA abstraction licences</t>
  </si>
  <si>
    <t>WSX B4: Compliance with abstraction licences</t>
  </si>
  <si>
    <t>PR14WSXWSW_B5</t>
  </si>
  <si>
    <t>WSX-02</t>
  </si>
  <si>
    <t>B5: Abstractions at Mere exported (follows principles of the AIM methodology)</t>
  </si>
  <si>
    <t>Megalitres per annum (Ml/a)</t>
  </si>
  <si>
    <t>WSX B5: Abstractions at Mere exported (follows principles of the AIM methodology)</t>
  </si>
  <si>
    <t>To be based on the flows recorded in the meter that measures the transfer from Mere to Whitesheet (DF034). Only transfers that occur when the groundwater level at the Burton observation borehole is below 103.75m AOD will be counted in the incentive.
Unlike other ODIs, the purpose of this incentive is not as such to discourage or penalise poor performance but instead, following the principles of the Abstraction Incentive Mechanism methodology, to recognise the environmental significance (externalities) of exporting water from the Mere area.</t>
  </si>
  <si>
    <t>PR14WSXWSW_B6</t>
  </si>
  <si>
    <t>WSX-03</t>
  </si>
  <si>
    <t>B6: BAP landholding assessed and managed for biodiversity</t>
  </si>
  <si>
    <t>% WSX landholding assessed &amp; managed for biodiversity</t>
  </si>
  <si>
    <t>WSX B6: BAP landholding assessed and managed for biodiversity</t>
  </si>
  <si>
    <t>PR14WSXWSW_B7</t>
  </si>
  <si>
    <t>B7</t>
  </si>
  <si>
    <t>WSX-04</t>
  </si>
  <si>
    <t>B7: Length of rivers with improved flows</t>
  </si>
  <si>
    <t>Kilometres (km) of river with improved flows (cumulative)</t>
  </si>
  <si>
    <t>WSX B7: Length of rivers with improved flows</t>
  </si>
  <si>
    <t>PR14WSXWSW_D2</t>
  </si>
  <si>
    <t>Resilient services</t>
  </si>
  <si>
    <t>WSX-05</t>
  </si>
  <si>
    <t>D2: Restrictions on water use (hosepipe bans)</t>
  </si>
  <si>
    <t>No. of hosepipe bans (temporary use ban)</t>
  </si>
  <si>
    <t>WSX D2: Restrictions on water use (hosepipe bans)</t>
  </si>
  <si>
    <t>Cap of 1 ban per AMP period. Not applicable if the weather is drier than that experienced in 1975/76 as this is the design standard for the reliability of supplies (see final WRMP - June 2014).</t>
  </si>
  <si>
    <t>PR14WSXWSW_D3</t>
  </si>
  <si>
    <t>WSX-06</t>
  </si>
  <si>
    <t>D3: Water supply interruptions (&gt; 3 hours including planned, unplanned and third party interruptions)</t>
  </si>
  <si>
    <t>WSX D3: Water supply interruptions (&gt; 3 hours including planned, unplanned and third party interruptions)</t>
  </si>
  <si>
    <t>PR14WSXWSW_D4</t>
  </si>
  <si>
    <t>WSX-07</t>
  </si>
  <si>
    <t>D4: Properties supplied by a single source (including the integrated supply grid)</t>
  </si>
  <si>
    <t>No. of properties supplied by a single source</t>
  </si>
  <si>
    <t>WSX D4: Properties supplied by a single source (including the integrated supply grid)</t>
  </si>
  <si>
    <t>Penalty 1 (timing delays): £76.60 number of properties/year
Penalty 2 (non-delivery): £2,445 number of properties/year
Incentives to be determined at PR19 based on the extent of completion of the integrated supply grid and, if relevant, expected date of completion. If improvements not delivered at this point timing delay penalties will apply for each year’s delay until expected completion.
If substantive progress toward delivery cannot be demonstrated with a plan to deliver the original committed performance level at this point the non-delivery penalty will apply pro-rata for the scale of non-delivery.</t>
  </si>
  <si>
    <t>PR14WSXWSW_D5</t>
  </si>
  <si>
    <t>WSX-08</t>
  </si>
  <si>
    <t>D5: Water main bursts</t>
  </si>
  <si>
    <t>No. of water main bursts per year</t>
  </si>
  <si>
    <t>&lt;1,876</t>
  </si>
  <si>
    <t>&lt;1,993</t>
  </si>
  <si>
    <t>WSX D5: Water main bursts</t>
  </si>
  <si>
    <t>PR14WSXWSW_F1</t>
  </si>
  <si>
    <t>WSX-09</t>
  </si>
  <si>
    <t>F1: Volume of water leaked</t>
  </si>
  <si>
    <t>WSX F1: Volume of water leaked</t>
  </si>
  <si>
    <t>Note: the penalty collar values have been taken from the corrigendum to the company specific appendix that accompanied the Notification by the Water Services Regulation Authority of its determination of Price Controls for Retail Activities and for Wholesale Activities for Wessex Water Services Limited (published 13 February 2015)</t>
  </si>
  <si>
    <t>PR14WSXWSW_F2</t>
  </si>
  <si>
    <t>WSX-10</t>
  </si>
  <si>
    <t>F2: Customer reported leaks fixed within a day</t>
  </si>
  <si>
    <t>% customer reported leaks fixed within a day</t>
  </si>
  <si>
    <t>WSX F2: Customer reported leaks fixed within a day</t>
  </si>
  <si>
    <t>PR14WSXWSW_G1</t>
  </si>
  <si>
    <t>Highest quality drinking water</t>
  </si>
  <si>
    <t>WSX-11</t>
  </si>
  <si>
    <t>G1: Customer contacts about drinking water quality</t>
  </si>
  <si>
    <t>No. contacts in the year about drinking water quality</t>
  </si>
  <si>
    <t>WSX G1: Customer contacts about drinking water quality</t>
  </si>
  <si>
    <t>PR14WSXWSW_G2</t>
  </si>
  <si>
    <t>WSX-12</t>
  </si>
  <si>
    <t>G2: Compliance with drinking water standards (MZC)</t>
  </si>
  <si>
    <t>&lt;99.95</t>
  </si>
  <si>
    <t>WSX G2: Compliance with drinking water standards (MZC)</t>
  </si>
  <si>
    <t>A binary annual penalty is applied if performance falls under 99.95%.</t>
  </si>
  <si>
    <t>PR14WSXWSWW_A1</t>
  </si>
  <si>
    <t>Improved bathing waters</t>
  </si>
  <si>
    <t>WSX-13</t>
  </si>
  <si>
    <t>A1: Agreed schemes delivered (named outputs with bathing water drivers in the NEP)</t>
  </si>
  <si>
    <t>% of agreed schemes delivered (NEP bathing water)</t>
  </si>
  <si>
    <t>WSX A1: Agreed schemes delivered (named outputs with bathing water drivers in the NEP)</t>
  </si>
  <si>
    <t>Cumulative target. Schemes listed in the NEP Phase 4.</t>
  </si>
  <si>
    <t>PR14WSXWSWW_A2</t>
  </si>
  <si>
    <t>WSX-14</t>
  </si>
  <si>
    <t>A2: Beaches passing EU standards</t>
  </si>
  <si>
    <t>% bathing waters meeting the revised BWD standards</t>
  </si>
  <si>
    <t>WSX A2: Beaches passing EU standards</t>
  </si>
  <si>
    <t>PR14WSXWSWW_B1</t>
  </si>
  <si>
    <t>WSX-15</t>
  </si>
  <si>
    <t>B1: The EA’s Environmental Performance Assessment (reward mechanism based on pollution incidents)</t>
  </si>
  <si>
    <t>EA’s Environmental Performance Assessment standing</t>
  </si>
  <si>
    <t>Industry leading</t>
  </si>
  <si>
    <t>Ind leading</t>
  </si>
  <si>
    <t>Below average</t>
  </si>
  <si>
    <t>Above average</t>
  </si>
  <si>
    <t>0/67</t>
  </si>
  <si>
    <t>0/0</t>
  </si>
  <si>
    <t>Above Average</t>
  </si>
  <si>
    <t>WSX B1: The EA’s Environmental Performance Assessment (reward mechanism based on pollution incidents)</t>
  </si>
  <si>
    <t>The penalty will be capped to a maximum of three applications during the AMP.
Environment Agency’s ratings are ‘industry leading’; ‘above average’; ‘below average’ and ‘poor performing’.
The assessment includes sewage treatment work compliance with discharge permits. In line with the expectations of the Environment Agency, Wessex Water must target 100% compliance with numeric discharge permits from 2015-16.
Reward mechanism applicable if performance is 0 (zero) Category 1 and 2 pollution incidents and less than 67 Category 3 pollution incidents (0/67) from wastewater assets as measured in MD109.</t>
  </si>
  <si>
    <t>PR14WSXWSWW_B2</t>
  </si>
  <si>
    <t>WSX-16</t>
  </si>
  <si>
    <t>B2: Monitoring CSOs</t>
  </si>
  <si>
    <t>% CSOs presenting environmental risk with EDM installed</t>
  </si>
  <si>
    <t>WSX B2: Monitoring CSOs</t>
  </si>
  <si>
    <t>Measurement on a cumulative basis. List of individual CSOs will be in the NEP Phase 5 to be published in January 2016.
Current number of CSOs monitored is 359 (33%). End of AMP target is to monitor 1073 (100%) CSOs which present a risk to the environment.</t>
  </si>
  <si>
    <t>PR14WSXWSWW_B3</t>
  </si>
  <si>
    <t>WSX-17</t>
  </si>
  <si>
    <t>B3: River water quality improved</t>
  </si>
  <si>
    <t>No. water bodies improved through WwTW investments</t>
  </si>
  <si>
    <t>WSX B3: River water quality improved</t>
  </si>
  <si>
    <t>PC for number of water bodies improved is cumulative.
Customer Advisory Panel will review performance during years 3 and 4 for adjustments (penalties or rewards).</t>
  </si>
  <si>
    <t>PR14WSXWSWW_C1</t>
  </si>
  <si>
    <t>Sewer flooding</t>
  </si>
  <si>
    <t>WSX-18</t>
  </si>
  <si>
    <t>C1: Internal flooding incidents</t>
  </si>
  <si>
    <t>No. of internal sewer flooding incidents / 10,000 properties</t>
  </si>
  <si>
    <t>0.01 nr</t>
  </si>
  <si>
    <t>WSX C1: Internal flooding incidents</t>
  </si>
  <si>
    <t>PC includes all incidents arising from assets transferred under S105A of the Water Industry Act.</t>
  </si>
  <si>
    <t>PR14WSXWSWW_C2</t>
  </si>
  <si>
    <t>WSX-19</t>
  </si>
  <si>
    <t>C2: Risk of flooding from public sewers due to hydraulic inadequacy</t>
  </si>
  <si>
    <t>Flooding risk as measured by sewer flooding risk grid</t>
  </si>
  <si>
    <t>&gt;60,781</t>
  </si>
  <si>
    <t>WSX C2: Risk of flooding from public sewers due to hydraulic inadequacy</t>
  </si>
  <si>
    <t>This is a new measure. PC to be rebased at 2014-15 actual end of year position.
Deadbands set at +/- 20% of starting risk score.
Binary penalty for failing to keep below +20% of starting risk score. Per point reward for each point below -20% of starting risk score.
Penalty: £10,400,000
Reward: £7,400 per risk score</t>
  </si>
  <si>
    <t>PR14WSXWSWW_C3a</t>
  </si>
  <si>
    <t>C3a</t>
  </si>
  <si>
    <t>WSX-20a</t>
  </si>
  <si>
    <t>C3a: North Bristol Sewer Scheme - Frome catchment</t>
  </si>
  <si>
    <t>Scheme delivery - Frome catchment</t>
  </si>
  <si>
    <t>WSX C3a: North Bristol Sewer Scheme - Frome catchment</t>
  </si>
  <si>
    <t xml:space="preserve">In line with the Bristol sewerage strategy, additional capacity will be created in the Frome and Trym catchments. The Frome catchment scheme will be delivered within AMP6 and the Trym catchment scheme in 2022-23.
In the event that the Frome scheme is not delivered within the period, the annual penalty will apply from 2019-20 and for each year until the scheme has been delivered. If substantive progress towards delivery cannot be demonstrated at this point the full non-delivery penalty will apply instead of the penalty for delay.
Penalty for delay - Frome: £1.86m/year
Penalty for non-delivery - Frome: £24.917m
</t>
  </si>
  <si>
    <t>PR14WSXWSWW_C3b</t>
  </si>
  <si>
    <t>C3b</t>
  </si>
  <si>
    <t>WSX-20b</t>
  </si>
  <si>
    <t>C3b: North Bristol Sewer Scheme - Trym catchment</t>
  </si>
  <si>
    <t>Scheme delivery - Trym catchment</t>
  </si>
  <si>
    <t>WSX C3b: North Bristol Sewer Scheme - Trym catchment</t>
  </si>
  <si>
    <t>In line with the Bristol sewerage strategy, additional capacity will be created in the Frome and Trym catchments. A milestone for the Trym catchment has been introduced in 2017-18 which requires the company to demonstrate, in line with its delivery plan, that the design, consultation and construction of the Trym scheme has been progressed.
If the Trym scheme is not on-track for delivery in line with the milestone, an annual penalty as outlined in the table above will be applied for each year of delay. If the milestone is not reached by the end of the AMP period then the penalty for non-delivery will be applied.
Penalty for delay - Trym: £0.97m/year
Penalty for non-delivery - Trym: £14.083m</t>
  </si>
  <si>
    <t>PR14WSXWSWW_D1</t>
  </si>
  <si>
    <t>WSX-21</t>
  </si>
  <si>
    <t>D1: Collapses and bursts on sewer network</t>
  </si>
  <si>
    <t>No. of sewer collapses and rising main bursts</t>
  </si>
  <si>
    <t>&lt;300</t>
  </si>
  <si>
    <t>WSX D1: Collapses and bursts on sewer network</t>
  </si>
  <si>
    <t>Rolling 5-year average. PC excludes transferred S105A sewers and rising mains.</t>
  </si>
  <si>
    <t>PR14WSXWSWW_E1</t>
  </si>
  <si>
    <t>Carbon footprint</t>
  </si>
  <si>
    <t>WSX-22</t>
  </si>
  <si>
    <t>E1: Greenhouse gas emissions (annual greenhouse gas emissions from operational services)</t>
  </si>
  <si>
    <t>WSX E1: Greenhouse gas emissions (annual greenhouse gas emissions from operational services)</t>
  </si>
  <si>
    <t>PR14WSXWSWW_E2</t>
  </si>
  <si>
    <t>WSX-23</t>
  </si>
  <si>
    <t>E2: Proportion of energy self-generated</t>
  </si>
  <si>
    <t>% of energy (electricty and gas) self-generated</t>
  </si>
  <si>
    <t>WSX E2: Proportion of energy self-generated</t>
  </si>
  <si>
    <t>Includes self-supplied renewable energy generation and exported energy generation.</t>
  </si>
  <si>
    <t>PR14WSXHHR_A1</t>
  </si>
  <si>
    <t>Excellent service for customers</t>
  </si>
  <si>
    <t>WSX-24</t>
  </si>
  <si>
    <t>A1: SIM service score</t>
  </si>
  <si>
    <t>&gt;86</t>
  </si>
  <si>
    <t>WSX A1: SIM service score</t>
  </si>
  <si>
    <t>PR14WSXHHR_A2</t>
  </si>
  <si>
    <t>WSX-25</t>
  </si>
  <si>
    <t>A2: Percentage rating service good/very good</t>
  </si>
  <si>
    <t>&gt;95</t>
  </si>
  <si>
    <t>WSX A2: Percentage rating service good/very good</t>
  </si>
  <si>
    <t>PR14WSXHHR_A3</t>
  </si>
  <si>
    <t>WSX-26</t>
  </si>
  <si>
    <t>A3: Percentage rating good value for money</t>
  </si>
  <si>
    <t>WSX A3: Percentage rating good value for money</t>
  </si>
  <si>
    <t>PR14WSXHHR_A4</t>
  </si>
  <si>
    <t>WSX-27</t>
  </si>
  <si>
    <t>A4: Percentage rating ease of resolution</t>
  </si>
  <si>
    <t>Improving trend</t>
  </si>
  <si>
    <t>WSX A4: Percentage rating ease of resolution</t>
  </si>
  <si>
    <t>PR14WSXHHR_A5</t>
  </si>
  <si>
    <t>WSX-28</t>
  </si>
  <si>
    <t>A5: Accessible communications</t>
  </si>
  <si>
    <t>Meet best practice</t>
  </si>
  <si>
    <t>Best practice met</t>
  </si>
  <si>
    <t>BS18477 &amp; Customer Service Excellence Award</t>
  </si>
  <si>
    <t>WSX A5: Accessible communications</t>
  </si>
  <si>
    <t>PR14WSXHHR_B1a</t>
  </si>
  <si>
    <t>B1a</t>
  </si>
  <si>
    <t>WSX-29a</t>
  </si>
  <si>
    <t>B1a: Volume of water used per person</t>
  </si>
  <si>
    <t>WSX B1a: Volume of water used per person</t>
  </si>
  <si>
    <t>PR14WSXHHR_B1b</t>
  </si>
  <si>
    <t>B1b</t>
  </si>
  <si>
    <t>WSX-29b</t>
  </si>
  <si>
    <t>B1b: Volume of water saved by water efficiency promotion</t>
  </si>
  <si>
    <t>WSX B1b: Volume of water saved by water efficiency promotion</t>
  </si>
  <si>
    <t>PR14WSXHHR_B2</t>
  </si>
  <si>
    <t>WSX-30</t>
  </si>
  <si>
    <t>B2: Bill as a proportion of disposable income</t>
  </si>
  <si>
    <t>Bill as a proportion (%) of disposable income</t>
  </si>
  <si>
    <t>Reducing trend</t>
  </si>
  <si>
    <t>WSX B2: Bill as a proportion of disposable income</t>
  </si>
  <si>
    <t>PR14YKYWSW_WA1</t>
  </si>
  <si>
    <t>We provide you with water that is clean and safe to drink</t>
  </si>
  <si>
    <t>YKY-01</t>
  </si>
  <si>
    <t>WA1: Drinking water quality</t>
  </si>
  <si>
    <t>SHLDER</t>
  </si>
  <si>
    <t>YKY WA1: Drinking water quality</t>
  </si>
  <si>
    <t>PR14YKYWSW_WA2</t>
  </si>
  <si>
    <t>YKY-02</t>
  </si>
  <si>
    <t>WA2: Significant drinking water events which require corrective action</t>
  </si>
  <si>
    <t>No. of corrective actions required by DWI with respect to potentially significant events notified</t>
  </si>
  <si>
    <t>YKY WA2: Significant drinking water events which require corrective action</t>
  </si>
  <si>
    <t>PR14YKYWSW_WA3</t>
  </si>
  <si>
    <t>YKY-03</t>
  </si>
  <si>
    <t>WA3: Drinking water contacts</t>
  </si>
  <si>
    <t>Revenue or SHLDER</t>
  </si>
  <si>
    <t>No. of contacts (discolouration, taste &amp; odour and illness) in line with DWI reporting</t>
  </si>
  <si>
    <t>YKY WA3: Drinking water contacts</t>
  </si>
  <si>
    <t>PR14YKYWSW_WA4</t>
  </si>
  <si>
    <t>YKY-04</t>
  </si>
  <si>
    <t>WA4: Water quality stability and reliability factor</t>
  </si>
  <si>
    <t>Up to 10% totex for outcome</t>
  </si>
  <si>
    <t>YKY WA4: Water quality stability and reliability factor</t>
  </si>
  <si>
    <t>PR14YKYWSW_WB1</t>
  </si>
  <si>
    <t>We make sure that you always have enough water</t>
  </si>
  <si>
    <t>YKY-05</t>
  </si>
  <si>
    <t>WB1: Leakage</t>
  </si>
  <si>
    <t>YKY WB1: Leakage</t>
  </si>
  <si>
    <t>PR14YKYWSW_WB2</t>
  </si>
  <si>
    <t>YKY-06</t>
  </si>
  <si>
    <t>WB2: Water supply interruptions</t>
  </si>
  <si>
    <t>Minutes lost per property per year</t>
  </si>
  <si>
    <t>YKY WB2: Water supply interruptions</t>
  </si>
  <si>
    <t>PR14YKYWSW_WB3</t>
  </si>
  <si>
    <t>YKY-07</t>
  </si>
  <si>
    <t>WB3: Water use</t>
  </si>
  <si>
    <t>YKY WB3: Water use</t>
  </si>
  <si>
    <t>PR14YKYWSW_WB4</t>
  </si>
  <si>
    <t>YKY-08</t>
  </si>
  <si>
    <t>WB4: Water network stability and reliability factor</t>
  </si>
  <si>
    <t>YKY WB4: Water network stability and reliability factor</t>
  </si>
  <si>
    <t>PR14YKYWSW_WC1</t>
  </si>
  <si>
    <t>We protect and improve the water environment</t>
  </si>
  <si>
    <t>YKY-09</t>
  </si>
  <si>
    <t>WC1: Length of river improved (note: PC is part of a total commitment at Appointee level - see also SB4)</t>
  </si>
  <si>
    <t>Kilometres (km) of river improved (modelled length)</t>
  </si>
  <si>
    <t>YKY WC1: Length of river improved (note: PC is part of a total commitment at Appointee level - see also SB4)</t>
  </si>
  <si>
    <t>PR14YKYWSW_WC2</t>
  </si>
  <si>
    <t>YKY-10</t>
  </si>
  <si>
    <t>WC2: Solutions delivered by working with others (note: PC is part of a total commitment at Appointee level - see also SB3)</t>
  </si>
  <si>
    <t>No. of solutions delivered by working with others</t>
  </si>
  <si>
    <t>5% of totex cost of YW cost for each eligible intervention</t>
  </si>
  <si>
    <t>YKY WC2: Solutions delivered by working with others (note: PC is part of a total commitment at Appointee level - see also SB3)</t>
  </si>
  <si>
    <t>Reward (incentive rate): 5% of totex for each eligible intervention</t>
  </si>
  <si>
    <t>PR14YKYWSW_WC3</t>
  </si>
  <si>
    <t>YKY-11</t>
  </si>
  <si>
    <t>WC3: Amount of land conserved and enhanced (note: PC is part of a total commitment at Appointee level - see also SB5)</t>
  </si>
  <si>
    <t>No. of hectares of land conserved &amp; enhanced (cumulative)</t>
  </si>
  <si>
    <t>YKY WC3: Amount of land conserved and enhanced (note: PC is part of a total commitment at Appointee level - see also SB5)</t>
  </si>
  <si>
    <t>PR14YKYWSW_WC4</t>
  </si>
  <si>
    <t>YKY-12</t>
  </si>
  <si>
    <t>WC4: Recreational visitor satisfaction</t>
  </si>
  <si>
    <t>Asessment of customer satisfaction (qualitative survey)</t>
  </si>
  <si>
    <t>Assessment</t>
  </si>
  <si>
    <t>YKY WC4: Recreational visitor satisfaction</t>
  </si>
  <si>
    <t>PR14YKYWSW_WD1</t>
  </si>
  <si>
    <t>We understand our impact on the wider environment and act responsibly</t>
  </si>
  <si>
    <t>YKY-13</t>
  </si>
  <si>
    <t>WD1: Proportion of energy use generated by renewable technology (note: PC is part of a total commitment at Appointee level - see also SC1 and RC1)</t>
  </si>
  <si>
    <t>% of energy use generated by renewable technology</t>
  </si>
  <si>
    <t>YKY WD1: Proportion of energy use generated by renewable technology (note: PC is part of a total commitment at Appointee level - see also SC1 and RC1)</t>
  </si>
  <si>
    <t>PR14YKYWSW_WD2</t>
  </si>
  <si>
    <t>WD2</t>
  </si>
  <si>
    <t>YKY-14</t>
  </si>
  <si>
    <t>WD2: Proportion of waste diverted from landfill (note: PC is part of a total commitment at Appointee level - see also SC2 and RC2)</t>
  </si>
  <si>
    <t>% of waste diverted from landfill (re-used and recycled)</t>
  </si>
  <si>
    <t>YKY WD2: Proportion of waste diverted from landfill (note: PC is part of a total commitment at Appointee level - see also SC2 and RC2)</t>
  </si>
  <si>
    <t>PR14YKYWSWW_SA1</t>
  </si>
  <si>
    <t>We take care of your wastewater and protect you and the environment from sewer flooding</t>
  </si>
  <si>
    <t>YKY-15</t>
  </si>
  <si>
    <t>SA1: Internal sewer flooding incidents</t>
  </si>
  <si>
    <t>YKY SA1: Internal sewer flooding incidents</t>
  </si>
  <si>
    <t>PR14YKYWSWW_SA2</t>
  </si>
  <si>
    <t>YKY-16</t>
  </si>
  <si>
    <t>SA2: External sewer flooding incidents</t>
  </si>
  <si>
    <t>YKY SA2: External sewer flooding incidents</t>
  </si>
  <si>
    <t>PR14YKYWSWW_SA3a</t>
  </si>
  <si>
    <t>SA3a</t>
  </si>
  <si>
    <t>YKY-17a</t>
  </si>
  <si>
    <t>SA3a: Pollution incidents - category 1 and 2</t>
  </si>
  <si>
    <t>YKY SA3a: Pollution incidents - category 1 and 2</t>
  </si>
  <si>
    <t>PR14YKYWSWW_SA3b</t>
  </si>
  <si>
    <t>SA3b</t>
  </si>
  <si>
    <t>YKY-17b</t>
  </si>
  <si>
    <t>SA3b: Pollution incidents - category 3</t>
  </si>
  <si>
    <t>YKY SA3b: Pollution incidents - category 3</t>
  </si>
  <si>
    <t>PR14YKYWSWW_SA4</t>
  </si>
  <si>
    <t>SA4</t>
  </si>
  <si>
    <t>YKY-18</t>
  </si>
  <si>
    <t>SA4: Sewer network stability and reliability factor</t>
  </si>
  <si>
    <t>YKY SA4: Sewer network stability and reliability factor</t>
  </si>
  <si>
    <t>PR14YKYWSWW_SB1</t>
  </si>
  <si>
    <t>YKY-19</t>
  </si>
  <si>
    <t>SB1: Number of Yorkshire's designated bathing waters that exceed the required quality standard</t>
  </si>
  <si>
    <t>No. of bathing waters exceeding required standard</t>
  </si>
  <si>
    <t>YKY SB1: Number of Yorkshire's designated bathing waters that exceed the required quality standard</t>
  </si>
  <si>
    <t>PR14YKYWSWW_SB2</t>
  </si>
  <si>
    <t>YKY-20</t>
  </si>
  <si>
    <t>SB2: Wastewater quality stability and reliability factor</t>
  </si>
  <si>
    <t>YKY SB2: Wastewater quality stability and reliability factor</t>
  </si>
  <si>
    <t>PR14YKYWSWW_SB3</t>
  </si>
  <si>
    <t>YKY-21</t>
  </si>
  <si>
    <t>SB3: Solutions delivered by working with others (note: PC is part of a total commitment at Appointee level - see also WC2)</t>
  </si>
  <si>
    <t>YKY SB3: Solutions delivered by working with others (note: PC is part of a total commitment at Appointee level - see also WC2)</t>
  </si>
  <si>
    <t>PR14YKYWSWW_SB4</t>
  </si>
  <si>
    <t>YKY-22</t>
  </si>
  <si>
    <t>SB4: Length of river improved (against WFD component measures) (note: PC is part of a total commitment at Appointee level - see also WC1)</t>
  </si>
  <si>
    <t>YKY SB4: Length of river improved (against WFD component measures) (note: PC is part of a total commitment at Appointee level - see also WC1)</t>
  </si>
  <si>
    <t>PR14YKYWSWW_SB5</t>
  </si>
  <si>
    <t>YKY-23</t>
  </si>
  <si>
    <t>SB5: Amount of land conserved and enhanced (total cumulative area) (note: PC is part of a total commitment at Appointee level - see also WC3)</t>
  </si>
  <si>
    <t>YKY SB5: Amount of land conserved and enhanced (total cumulative area) (note: PC is part of a total commitment at Appointee level - see also WC3)</t>
  </si>
  <si>
    <t>PR14YKYWSWW_SC1</t>
  </si>
  <si>
    <t>YKY-24</t>
  </si>
  <si>
    <t>SC1: Proportion of energy use generated by renewable technology (note: PC is part of a total commitment at Appointee level - see also WD1 and RC1)</t>
  </si>
  <si>
    <t>YKY SC1: Proportion of energy use generated by renewable technology (note: PC is part of a total commitment at Appointee level - see also WD1 and RC1)</t>
  </si>
  <si>
    <t>PR14YKYWSWW_SC2</t>
  </si>
  <si>
    <t>YKY-25</t>
  </si>
  <si>
    <t>SC2: Proportion of waste diverted from landfill (re-used and recycled) (note: PC is part of a total commitment at Appointee level - see also WD2 and RC2)</t>
  </si>
  <si>
    <t>YKY SC2: Proportion of waste diverted from landfill (re-used and recycled) (note: PC is part of a total commitment at Appointee level - see also WD2 and RC2)</t>
  </si>
  <si>
    <t>PR14YKYHHR_RA1</t>
  </si>
  <si>
    <t>We provide the level of customer service you expect and value</t>
  </si>
  <si>
    <t>YKY-26</t>
  </si>
  <si>
    <t>RA1: Service incentive mechanism (SIM)</t>
  </si>
  <si>
    <t>&gt;2014-15</t>
  </si>
  <si>
    <t>&gt;2015-16</t>
  </si>
  <si>
    <t>&gt;2016-17</t>
  </si>
  <si>
    <t>&gt;2017-18</t>
  </si>
  <si>
    <t>&gt;2018-19</t>
  </si>
  <si>
    <t>YKY RA1: Service incentive mechanism (SIM)</t>
  </si>
  <si>
    <t>PR14YKYHHR_RA2</t>
  </si>
  <si>
    <t>YKY-27</t>
  </si>
  <si>
    <t>RA2: Service commitment failures</t>
  </si>
  <si>
    <t>No. of GSS (Guaranteed Standards of Service) events</t>
  </si>
  <si>
    <t>Average of 2015-20 performance to be less than average of last 3 years of 2010-15 performance</t>
  </si>
  <si>
    <t>YKY RA2: Service commitment failures</t>
  </si>
  <si>
    <t>PR14YKYHHR_RA3</t>
  </si>
  <si>
    <t>YKY-28</t>
  </si>
  <si>
    <t>RA3: Overall customer satisfaction (CCWater annual tracking survey)</t>
  </si>
  <si>
    <t>% overall customer satisfaction (CCWater tracking survey)</t>
  </si>
  <si>
    <t>Average of 2015-20 performance to be better than average of 2010-15 performance</t>
  </si>
  <si>
    <t>94% (water)
89% (waste)</t>
  </si>
  <si>
    <t xml:space="preserve">95% (Water)
92% (Waste) </t>
  </si>
  <si>
    <t>YKY RA3: Overall customer satisfaction (CCWater annual tracking survey)</t>
  </si>
  <si>
    <t>PR14YKYHHR_RB1</t>
  </si>
  <si>
    <t>We keep your bills as low as possible</t>
  </si>
  <si>
    <t>YKY-29</t>
  </si>
  <si>
    <t>RB1: Cost of bad debt to customers (expressed as proportion of bill)</t>
  </si>
  <si>
    <t>Cost of bad debt as % of average annual bill</t>
  </si>
  <si>
    <t>YKY RB1: Cost of bad debt to customers (expressed as proportion of bill)</t>
  </si>
  <si>
    <t>PR14YKYHHR_RB2</t>
  </si>
  <si>
    <t>RB2</t>
  </si>
  <si>
    <t>YKY-30</t>
  </si>
  <si>
    <t>RB2: Number of people who we help to pay their bill</t>
  </si>
  <si>
    <t>No. of customers who are assisted to pay their bill</t>
  </si>
  <si>
    <t>Publish data annually on the number of people who have been helped</t>
  </si>
  <si>
    <t>YKY RB2: Number of people who we help to pay their bill</t>
  </si>
  <si>
    <t>PR14YKYHHR_RB3</t>
  </si>
  <si>
    <t>RB3</t>
  </si>
  <si>
    <t>YKY-31</t>
  </si>
  <si>
    <t>RB3: Value for money (CCWater annual tracking survey)</t>
  </si>
  <si>
    <t>% customer satisfaction (CCWater tracking survey)</t>
  </si>
  <si>
    <t>Average of 2015-20 performance to better than average of 2010-15 performance</t>
  </si>
  <si>
    <t>76% (water)
77 (waste)</t>
  </si>
  <si>
    <t xml:space="preserve">82% (Water)
83% (Waste) </t>
  </si>
  <si>
    <t>YKY RB3: Value for money (CCWater annual tracking survey)</t>
  </si>
  <si>
    <t>PR14YKYHHR_RC1</t>
  </si>
  <si>
    <t>YKY-32</t>
  </si>
  <si>
    <t>RC1: Proportion of energy use generated by renewable technology (note: PC is part of a total commitment at Appointee level - see also WD1 and SC1)</t>
  </si>
  <si>
    <t>YKY RC1: Proportion of energy use generated by renewable technology (note: PC is part of a total commitment at Appointee level - see also WD1 and SC1)</t>
  </si>
  <si>
    <t>PR14YKYHHR_RC2</t>
  </si>
  <si>
    <t>YKY-33</t>
  </si>
  <si>
    <t>RC2: Proportion of waste diverted from landfill (re-used and recycled) (note: PC is part of a total commitment at Appointee level - see also WD2 and SC2)</t>
  </si>
  <si>
    <t>YKY RC2: Proportion of waste diverted from landfill (re-used and recycled) (note: PC is part of a total commitment at Appointee level - see also WD2 and SC2)</t>
  </si>
  <si>
    <t>AFWDP</t>
  </si>
  <si>
    <t>ANHDP</t>
  </si>
  <si>
    <t>BRLDP</t>
  </si>
  <si>
    <t>DVWDP</t>
  </si>
  <si>
    <t>NESDP</t>
  </si>
  <si>
    <t>PRTDP</t>
  </si>
  <si>
    <t>SBWDP</t>
  </si>
  <si>
    <t>SESDP</t>
  </si>
  <si>
    <t>SEWDP</t>
  </si>
  <si>
    <t>SRNDP</t>
  </si>
  <si>
    <t>SVTDP</t>
  </si>
  <si>
    <t>SWTDP</t>
  </si>
  <si>
    <t>TMSDP</t>
  </si>
  <si>
    <t>NWTDP</t>
  </si>
  <si>
    <t>WSHDP</t>
  </si>
  <si>
    <t>WSXPC</t>
  </si>
  <si>
    <t>WSXDP</t>
  </si>
  <si>
    <t>YKYDP</t>
  </si>
  <si>
    <t>&lt;-----------   AMP6 committed performance levels   ------------&gt;
(for the main PC)</t>
  </si>
  <si>
    <t>Reference / performance level
(sub-measures)</t>
  </si>
  <si>
    <t>High
(sub-measures)</t>
  </si>
  <si>
    <t>Low
(sub-measures)</t>
  </si>
  <si>
    <t>Actual performance levels
(PCs and sub-measures)</t>
  </si>
  <si>
    <t>PC
ODI type</t>
  </si>
  <si>
    <t>PC primary category</t>
  </si>
  <si>
    <t xml:space="preserve">PC /
sub-measure
ID </t>
  </si>
  <si>
    <t>Sub-measure category</t>
  </si>
  <si>
    <t>Sub-measure weighting</t>
  </si>
  <si>
    <t>Regulatory output during 2010-15
(where applicable)</t>
  </si>
  <si>
    <t>Expected performance
by 2014-15
(where applicable)</t>
  </si>
  <si>
    <t>Failure threshold for AMP6</t>
  </si>
  <si>
    <t>2014-15
performance level
- actual</t>
  </si>
  <si>
    <t>2015-16
performance level
- actual</t>
  </si>
  <si>
    <t>2015-16
performance level met?</t>
  </si>
  <si>
    <t>00</t>
  </si>
  <si>
    <t>01</t>
  </si>
  <si>
    <t>Unplanned interruptions &gt;12 hours</t>
  </si>
  <si>
    <t>Supply interruptions &gt; 12 hours</t>
  </si>
  <si>
    <t>02</t>
  </si>
  <si>
    <t>Reactive mains bursts</t>
  </si>
  <si>
    <t>Burst mains</t>
  </si>
  <si>
    <t>+1.8%</t>
  </si>
  <si>
    <t>-10.0%</t>
  </si>
  <si>
    <t>03</t>
  </si>
  <si>
    <t>Customer contacts - discolouration</t>
  </si>
  <si>
    <t>Customer contacts (discolouration)</t>
  </si>
  <si>
    <t>04</t>
  </si>
  <si>
    <t>Distribution maintenance index</t>
  </si>
  <si>
    <t>Distribution index TIM</t>
  </si>
  <si>
    <t>WTW with coliforms detected</t>
  </si>
  <si>
    <t>WTW integrity (eg coliform samples)</t>
  </si>
  <si>
    <t>Percentage (%) service reservoirs with &gt;5% coliforms</t>
  </si>
  <si>
    <t>SR integrity (eg coliform samples)</t>
  </si>
  <si>
    <t>WTW turbidity</t>
  </si>
  <si>
    <t>Pollution incidents (ww infra)</t>
  </si>
  <si>
    <t>Sewer collapses</t>
  </si>
  <si>
    <t>Sewer collapses / rising main bursts</t>
  </si>
  <si>
    <t>Internal flooding (overloaded + other causes)</t>
  </si>
  <si>
    <t>Sewer flooding (internal)</t>
  </si>
  <si>
    <t>Sewer blockages</t>
  </si>
  <si>
    <t>Population equivalent (PE) WwTW in breach of consent</t>
  </si>
  <si>
    <t>WwTW p.e. (WRA or UWWTD breaches)</t>
  </si>
  <si>
    <t>WwTW failing numeric consent</t>
  </si>
  <si>
    <t>WwTW numeric consents</t>
  </si>
  <si>
    <t>Total bursts (number)</t>
  </si>
  <si>
    <t>DG2: low pressure (number of properties)</t>
  </si>
  <si>
    <t>Low pressure</t>
  </si>
  <si>
    <t>Turbidity performance at treatment works (number)</t>
  </si>
  <si>
    <t>Unplanned maintenance events (number)</t>
  </si>
  <si>
    <t>Unplanned maintenance (w non-infra)</t>
  </si>
  <si>
    <t>Total bursts</t>
  </si>
  <si>
    <t>Interruptions &gt; 12 hours</t>
  </si>
  <si>
    <t>Iron non-compliance (as 100-Mean Zonal Compliance)</t>
  </si>
  <si>
    <t>Iron</t>
  </si>
  <si>
    <t>DG2 pressure</t>
  </si>
  <si>
    <t>05</t>
  </si>
  <si>
    <t>Customer contacts - discolouration (number / 1,000 population)</t>
  </si>
  <si>
    <t>06</t>
  </si>
  <si>
    <t>Water treatment works coliforms non-compliance (%)</t>
  </si>
  <si>
    <t>07</t>
  </si>
  <si>
    <t>Service reservoir coliforms non-compliance (%)</t>
  </si>
  <si>
    <t>08</t>
  </si>
  <si>
    <t>Turbidity (number)</t>
  </si>
  <si>
    <t>09</t>
  </si>
  <si>
    <t>Enforcement (incident number)</t>
  </si>
  <si>
    <t>Enforcement</t>
  </si>
  <si>
    <t>10</t>
  </si>
  <si>
    <t>Unplanned maintenance (number)</t>
  </si>
  <si>
    <t>WTW coliforms non-compliance</t>
  </si>
  <si>
    <t>Service reservoir coliforms non-compliance</t>
  </si>
  <si>
    <t>Turbidity non-compliance</t>
  </si>
  <si>
    <t>Enforcement incidents</t>
  </si>
  <si>
    <t>1: Water asset health</t>
  </si>
  <si>
    <t>Number of mains bursts per year</t>
  </si>
  <si>
    <t>TIM distribution index</t>
  </si>
  <si>
    <t>Coliform compliance at WSW</t>
  </si>
  <si>
    <t>Coliform compliance at WSR</t>
  </si>
  <si>
    <t>Turbidity compliance</t>
  </si>
  <si>
    <t>1: Wastewater asset health</t>
  </si>
  <si>
    <t>WwTW population equivalent compliance</t>
  </si>
  <si>
    <t>External flooding - other causes</t>
  </si>
  <si>
    <t>Sewer flooding (external)</t>
  </si>
  <si>
    <t>Mains bursts</t>
  </si>
  <si>
    <t>Properties with persistent low pressure</t>
  </si>
  <si>
    <t>Discolouration contacts per 1,000 customers</t>
  </si>
  <si>
    <t>TIM index non-compliance</t>
  </si>
  <si>
    <t>WTW coliform non-compliance</t>
  </si>
  <si>
    <t>Service reservoir coliform non-compliance</t>
  </si>
  <si>
    <t>WTW turbidity non-compliance</t>
  </si>
  <si>
    <t>DWI enforcement actions</t>
  </si>
  <si>
    <t>Unplanned maintenance work orders</t>
  </si>
  <si>
    <t>% of sewage treatment works passing their numeric consents</t>
  </si>
  <si>
    <t>% of actions raised from EA regulatory site audits (actions raised as a % of total site visits)</t>
  </si>
  <si>
    <t>Audits</t>
  </si>
  <si>
    <t>% of sites that do not exceed their 90%ile flow on sewage treatment works or maximum daily flow on water treatment works</t>
  </si>
  <si>
    <t>Flows</t>
  </si>
  <si>
    <t>% of sites compliant with their abstraction permits</t>
  </si>
  <si>
    <t>Abstraction</t>
  </si>
  <si>
    <t>Calculated in 2018-19</t>
  </si>
  <si>
    <t>Improvements in river water quality against WFD criteria</t>
  </si>
  <si>
    <t>River improvements</t>
  </si>
  <si>
    <t>Asset stewardship - environmental compliance</t>
  </si>
  <si>
    <t>Environmental compliance</t>
  </si>
  <si>
    <t>Total number of category 1, 2, and 3 pollution incidents</t>
  </si>
  <si>
    <t>Biodiversity improvements</t>
  </si>
  <si>
    <t>Biodiversity</t>
  </si>
  <si>
    <t>W-A3 Asset reliability (pipes)</t>
  </si>
  <si>
    <t>Distribution Index TIM (as 100-Mean Zonal Compliance)</t>
  </si>
  <si>
    <t>W-A4 Asset reliability (process)</t>
  </si>
  <si>
    <t>Unplanned maintenance</t>
  </si>
  <si>
    <t>S-A4 Asset reliability (pipes)</t>
  </si>
  <si>
    <t>Pollution incidents (CSO + RM + FS)</t>
  </si>
  <si>
    <t>Properties flooded due to other causes</t>
  </si>
  <si>
    <t>Properties flooded due to overloaded sewers excluding severe weather</t>
  </si>
  <si>
    <t>Equipment failures</t>
  </si>
  <si>
    <t>Equipment failures (ww infra)</t>
  </si>
  <si>
    <t>S-A5 Asset reliability (process)</t>
  </si>
  <si>
    <t>Sewage treatment works (STW) non-compliance</t>
  </si>
  <si>
    <t>Population equivalent (PE) non-compliance</t>
  </si>
  <si>
    <t>Unplanned maintenance (ww non-infra)</t>
  </si>
  <si>
    <t>Unplanned interruptions to customer &gt;12 hours (DG3)</t>
  </si>
  <si>
    <t>Iron mean zonal non-compliance</t>
  </si>
  <si>
    <t>Inadequate pressure (DG2)</t>
  </si>
  <si>
    <t>Planned network rehabilitation (kilometres)</t>
  </si>
  <si>
    <t>Planned network rehabilitation (w)</t>
  </si>
  <si>
    <t>Customer complaints discolouration white water (nr per 1,000 population)</t>
  </si>
  <si>
    <t>Disinfection index (DWI)</t>
  </si>
  <si>
    <t>Reservoir integrity index</t>
  </si>
  <si>
    <t>DWQ compliance measures - turbidity (number of sites)</t>
  </si>
  <si>
    <t>Process control index</t>
  </si>
  <si>
    <t>WTW process control (company specific)</t>
  </si>
  <si>
    <t>DWQ compliance measures - enforcement actions</t>
  </si>
  <si>
    <t>Water quality complaints for chlorine (nr per 1,000 population)</t>
  </si>
  <si>
    <t>Water quality complaints</t>
  </si>
  <si>
    <t>Water quality complaints for hardness (nr per 1,000 population)</t>
  </si>
  <si>
    <t>Monitored only</t>
  </si>
  <si>
    <t>Unconsented pollution incidents (cat 1, 2 and 3) STWs, storm tanks, pumping stations and other</t>
  </si>
  <si>
    <t>Pollution incidents (ww non-infra)</t>
  </si>
  <si>
    <t>Sewage treatment works discharges failing numeric consents %</t>
  </si>
  <si>
    <t>Total population equivalent served by sewage treatment works failing look-up table consents</t>
  </si>
  <si>
    <t>Number of sewer collapses</t>
  </si>
  <si>
    <t>N/A (legacy assets)</t>
  </si>
  <si>
    <t>Number of sewer blockages</t>
  </si>
  <si>
    <t>Pollution incidents (cat 1-3)</t>
  </si>
  <si>
    <t>Properties internally flooded</t>
  </si>
  <si>
    <t>WTW coliform non-compliance (%)</t>
  </si>
  <si>
    <t>SR integrity index</t>
  </si>
  <si>
    <t>No. of WTW turbidity fails</t>
  </si>
  <si>
    <t>Mean Zonal Compliance (MZC)</t>
  </si>
  <si>
    <t>Distribution Maintenance Index (%)</t>
  </si>
  <si>
    <t>No. unwanted customer contacts for water quality (per year)</t>
  </si>
  <si>
    <t>Customer contacts (other)</t>
  </si>
  <si>
    <t>Total bursts (nr/annum)</t>
  </si>
  <si>
    <t>Interruptions &gt;12hours (nr of properties/total nr of properties)</t>
  </si>
  <si>
    <t>Pressure (nr of properties on DG2 register/ total number of properties)</t>
  </si>
  <si>
    <t>Customer contacts for water availability (contacts/annum)</t>
  </si>
  <si>
    <t>sum / 1315538 * 100</t>
  </si>
  <si>
    <t>Blockages</t>
  </si>
  <si>
    <t>Collapses</t>
  </si>
  <si>
    <t>Properties flooded internally</t>
  </si>
  <si>
    <t>Area flooded externally</t>
  </si>
  <si>
    <t>sum / 288266 * 100</t>
  </si>
  <si>
    <t>Rising main bursts</t>
  </si>
  <si>
    <t>sum / 258753 * 100</t>
  </si>
  <si>
    <t>Properties flooded due to hydraulic overload</t>
  </si>
  <si>
    <t>Areas flooded due to other causes</t>
  </si>
  <si>
    <t>Areas flooded due to hydraulic overload</t>
  </si>
  <si>
    <t>Incidents of repeat flooding</t>
  </si>
  <si>
    <t>Sewer flooding (repeat)</t>
  </si>
  <si>
    <t>S-D2: Maintaining our wastewater treatment works</t>
  </si>
  <si>
    <t>WwTWs failing EA permit - small (size band 1-4)</t>
  </si>
  <si>
    <t>WwTWs at risk or failing EA permit</t>
  </si>
  <si>
    <t>WwTWs failing EA permit - medium (size band 5)</t>
  </si>
  <si>
    <t>WwTWs failing EA permit - large (size band 6a)</t>
  </si>
  <si>
    <t>WwTWs failing EA permit - large (size band 6b)</t>
  </si>
  <si>
    <t>WwTWs at high risk of failing EA permit - small (size band 1-4)</t>
  </si>
  <si>
    <t>WwTWs at high risk of failing EA permit - medium (size band 5)</t>
  </si>
  <si>
    <t>WwTWs at high risk of failing EA permit - large (size band 6)</t>
  </si>
  <si>
    <t>WwTWs at medium risk of failing EA permit - small (size band 1-4)</t>
  </si>
  <si>
    <t>WwTWs at medium risk of failing EA permit - medium (size band 5)</t>
  </si>
  <si>
    <t>WwTWs at medium risk of failing EA permit - large (size band 6)</t>
  </si>
  <si>
    <t>Total bursts (nr)</t>
  </si>
  <si>
    <t>Interruptions &gt;12h (nr)</t>
  </si>
  <si>
    <t>Iron non-compliance (as 100-Mean Zonal Compliance) (%)</t>
  </si>
  <si>
    <t>DG2 pressure (nr)</t>
  </si>
  <si>
    <t>Customer contacts - discolouration  (nr / 1000 population)</t>
  </si>
  <si>
    <t>Distribution Index TIM (as 100-Mean Zonal Compliance) (%)</t>
  </si>
  <si>
    <t>Water Treatment Works Coliforms non-compliance (%)</t>
  </si>
  <si>
    <t>Service Reservoir Coliforms non-compliance (%)</t>
  </si>
  <si>
    <t>Turbidity (nr)</t>
  </si>
  <si>
    <t>Enforcement (incidents number)</t>
  </si>
  <si>
    <t>11</t>
  </si>
  <si>
    <t>Unplanned maintenance (nr)</t>
  </si>
  <si>
    <t>Sewer collapses (nr)</t>
  </si>
  <si>
    <t>Pollution incidents category 1, 2 &amp; 3 (CSO+RM+FS) (nr)</t>
  </si>
  <si>
    <t>Properties flooded due to other causes (nr)</t>
  </si>
  <si>
    <t>Properties flooded due to overloaded sewers excluding severe weather (nr)</t>
  </si>
  <si>
    <t>Sewer blockages (nr)</t>
  </si>
  <si>
    <t>Equipment failures (nr)</t>
  </si>
  <si>
    <t>Sewage Treatment Works (STW) % non-compliance</t>
  </si>
  <si>
    <t>Population equivalent (PE) % non-compliance</t>
  </si>
  <si>
    <t>SR coliform non-compliance</t>
  </si>
  <si>
    <t>Turbidity</t>
  </si>
  <si>
    <t>Enforcements</t>
  </si>
  <si>
    <t>Reactive equipment failures</t>
  </si>
  <si>
    <t>Equipment failures (w non-infra)</t>
  </si>
  <si>
    <t>Interruptions &gt;12 hours</t>
  </si>
  <si>
    <t>DG2 low pressure</t>
  </si>
  <si>
    <t>Customer contacts for discolouration (nr per 1,000 population)</t>
  </si>
  <si>
    <t>Distribution index TIM (100 - mean zonal compliance)</t>
  </si>
  <si>
    <t>Equipment failures (w infra)</t>
  </si>
  <si>
    <t>Pollution incidents (CSO, RM, FS and SPS)</t>
  </si>
  <si>
    <t>Properties flooded due to overloaded sewers, excluding severe weather</t>
  </si>
  <si>
    <t>Sewage treatment works non-compliance</t>
  </si>
  <si>
    <t>Population equivalent non-compliance</t>
  </si>
  <si>
    <t>Equipment failures (ww non-infra)</t>
  </si>
  <si>
    <t>AFWID</t>
  </si>
  <si>
    <t>ANHID</t>
  </si>
  <si>
    <t>BRLID</t>
  </si>
  <si>
    <t>DVWID</t>
  </si>
  <si>
    <t>NESID</t>
  </si>
  <si>
    <t>PRTID</t>
  </si>
  <si>
    <t>SBWID</t>
  </si>
  <si>
    <t>SESID</t>
  </si>
  <si>
    <t>SEWID</t>
  </si>
  <si>
    <t>SRNID</t>
  </si>
  <si>
    <t>SSCID</t>
  </si>
  <si>
    <t>SSCDP</t>
  </si>
  <si>
    <t>SVTID</t>
  </si>
  <si>
    <t>SWTID</t>
  </si>
  <si>
    <t>TMSID</t>
  </si>
  <si>
    <t>NWTID</t>
  </si>
  <si>
    <t>WSHID</t>
  </si>
  <si>
    <t>WSXID</t>
  </si>
  <si>
    <t>YKYID</t>
  </si>
  <si>
    <t>Customer type</t>
  </si>
  <si>
    <t>Unmeasured (potable water)</t>
  </si>
  <si>
    <t>Band 1 - Water: unmetered</t>
  </si>
  <si>
    <t>Standard Water - Unmetered</t>
  </si>
  <si>
    <t>1 Up to 50 Ml Water Unmetered</t>
  </si>
  <si>
    <t>UM-W; Water unmetered</t>
  </si>
  <si>
    <t>Tariff band 1  ≤50 Ml/a water metered</t>
  </si>
  <si>
    <t>[0 - 500]  [0 - 500m3] [water] [metered]</t>
  </si>
  <si>
    <t>Band A - 250Ml+</t>
  </si>
  <si>
    <t>Tariff band 01 - Unmeasured</t>
  </si>
  <si>
    <t>Water Unmeasured Non-Household</t>
  </si>
  <si>
    <t>Domestic Commercials 0 to 750 m3/a Water Metered</t>
  </si>
  <si>
    <t>[over 250Mla] [water] [metered/unmetered]</t>
  </si>
  <si>
    <t>Unmeasured - South Staffs Region</t>
  </si>
  <si>
    <t>Northern area unmeasured</t>
  </si>
  <si>
    <t>Standard Unmeasured Water</t>
  </si>
  <si>
    <t>Raw Water &lt; 50Ml (Measured)</t>
  </si>
  <si>
    <t>AFW Measured Half Yearly, no volume band, water, metered</t>
  </si>
  <si>
    <t>Cust type 01, Unmeasured, Unmeas Water N, Unmeasured</t>
  </si>
  <si>
    <t>Hartlepool Unmeasured (potable water)</t>
  </si>
  <si>
    <t>Band 2 - Water:  0-10 ml/a - metered</t>
  </si>
  <si>
    <t>Standard 0-1Ml p.a. Water Metered</t>
  </si>
  <si>
    <t>2 Up to 50Ml Water Metered</t>
  </si>
  <si>
    <t>UM-W; Water unmetered mixed use</t>
  </si>
  <si>
    <t>Tariff band 2 &gt; 50 ≤ 250 Ml/a water metered</t>
  </si>
  <si>
    <t>[500 - 1,000]  [500 - 1,000m3] [water] [metered]</t>
  </si>
  <si>
    <t>Band B - 100-250Ml</t>
  </si>
  <si>
    <t>Tariff band 02 - Measured less than 50Ml</t>
  </si>
  <si>
    <t>Water Measured Non-Household &lt; 10Ml</t>
  </si>
  <si>
    <t>Small Commercials 750 to 2000 m3/a Water Metered</t>
  </si>
  <si>
    <t>[50-250Mla [water] [metered]</t>
  </si>
  <si>
    <t>Measured &lt;50 Ml/yr - South Staffs Region</t>
  </si>
  <si>
    <t>Northern area standard user metered</t>
  </si>
  <si>
    <t>Standard Measured Water</t>
  </si>
  <si>
    <t>Partially Treated Water &lt; 50Ml (Measured)</t>
  </si>
  <si>
    <t>AFW Measured Monthly, no volume band, water, metered</t>
  </si>
  <si>
    <t>Cust type 02, Unmeasured, Unmeas Water S, Unmeasured</t>
  </si>
  <si>
    <t>Streamline Green (potable water) - (0.0Ml to 0.5Ml)</t>
  </si>
  <si>
    <t>Band 3 - Water:  10-50 ml/a - metered</t>
  </si>
  <si>
    <t>Standard 1-5Ml pa Water Metered</t>
  </si>
  <si>
    <t>3 &gt; 50Ml water metered</t>
  </si>
  <si>
    <t>M-W-0; 0-1 Ml water metered</t>
  </si>
  <si>
    <t>Tariff band 3  &gt; 250 Ml/a water metered</t>
  </si>
  <si>
    <t>[1,000 - 5,000]  [1,000 - 5,000m3] [water] [metered]</t>
  </si>
  <si>
    <t>Band C - 50-100 Ml</t>
  </si>
  <si>
    <t>Tariff band 03 - Untreated measured less than 50Ml</t>
  </si>
  <si>
    <t>Water Measured Non-Household &gt; 10Ml and &lt; 50Ml</t>
  </si>
  <si>
    <t>Small Medium Commercials 2000 to 4000 m3/a Water Metered</t>
  </si>
  <si>
    <t>[10-50Mla] [water] [metered]</t>
  </si>
  <si>
    <t>Medium User &gt;=50 Ml/yr - South Staffs Region</t>
  </si>
  <si>
    <t>Northern area mid user metered</t>
  </si>
  <si>
    <t>Large &amp; Special User 50-100ML Water</t>
  </si>
  <si>
    <t>Potable Water &lt; 50Ml (Non Household)</t>
  </si>
  <si>
    <t>AFW Unmeasured, no volume band, water, unmetered</t>
  </si>
  <si>
    <t>Cust type 03, Measured, Meas Water N std, Measured</t>
  </si>
  <si>
    <t>Streamline Orange (potable water) - (0.5Ml to 5.0Ml)</t>
  </si>
  <si>
    <t>Band 4 - Water:  50+ ml/a - metered</t>
  </si>
  <si>
    <t>Standard 5-20Ml pa Water Metered</t>
  </si>
  <si>
    <t>4 Up to 50Ml Non-potable Water Metered</t>
  </si>
  <si>
    <t>M-W-0-MX; 0-1Ml water metered mixed use</t>
  </si>
  <si>
    <t>Tariff band 4 water unmetered</t>
  </si>
  <si>
    <t>[5,000 - 20,000]  [5,000 - 20,000m3] [water] [metered]</t>
  </si>
  <si>
    <t>Band D - 15-50 Ml</t>
  </si>
  <si>
    <t>Tariff band 04 - Large user</t>
  </si>
  <si>
    <t>Water Measured Non-Household &gt; 50Ml</t>
  </si>
  <si>
    <t>Large Medium Commercials 4000 to 10000 m3/a Water Metered</t>
  </si>
  <si>
    <t>[5-10Mla] [water] [metered]</t>
  </si>
  <si>
    <t>Large User Up to 350 Ml/yr - South Staffs Region</t>
  </si>
  <si>
    <t>Northern area high user metered</t>
  </si>
  <si>
    <t>Large &amp; Special User 100-250ML Water</t>
  </si>
  <si>
    <t>AFW Assessed, no volume band, water, unmetered</t>
  </si>
  <si>
    <t>Cust type 04, Measured, Meas Water N f20, Measured</t>
  </si>
  <si>
    <t>Streamline Blue (potable water) - (5.0Ml to 10.0Ml)</t>
  </si>
  <si>
    <t>Band 5 - Water:  special agreements - metered</t>
  </si>
  <si>
    <t>Standard 20-100Ml pa Water Metered</t>
  </si>
  <si>
    <t>5 &gt; 50Ml Non-potable Water Metered</t>
  </si>
  <si>
    <t>M-W-1; 1-5Ml water metered</t>
  </si>
  <si>
    <t>[20,000 - 50,000]  [20,000 - 50,000m3] [water] [metered]</t>
  </si>
  <si>
    <t>Band E 5-15Ml</t>
  </si>
  <si>
    <t>Tariff band 05 - Measured 50Ml – 250 Ml</t>
  </si>
  <si>
    <t>High Commercials 10000 to 50,000 m3/a Water Metered</t>
  </si>
  <si>
    <t>[0-5Mla] [water] [metered]</t>
  </si>
  <si>
    <t>Large User Over 350 Ml/yr - South Staffs Region</t>
  </si>
  <si>
    <t>Southern area unmeasured</t>
  </si>
  <si>
    <t>Large &amp; Special User 250+ML Water</t>
  </si>
  <si>
    <t>Raw Treated Water &gt; 50Ml (Measured)</t>
  </si>
  <si>
    <t>AFW Special Agreements, no volume band, water, measured</t>
  </si>
  <si>
    <t>Cust type 05, Measured, Meas Water N fx, Measured</t>
  </si>
  <si>
    <t>Profile (potable water) - (10.0Ml to 25.0Ml)</t>
  </si>
  <si>
    <t>Standard Over 100Ml pa Water Metered</t>
  </si>
  <si>
    <t>15 Water Special Agreements</t>
  </si>
  <si>
    <t>M-W-1-MX; 1-5Ml water metered mixed use</t>
  </si>
  <si>
    <t>[50,000 - 250,000]  [50,000 - 250,000m3] [water] [metered]</t>
  </si>
  <si>
    <t>Band F - 1-5Ml</t>
  </si>
  <si>
    <t>Tariff band 06 - Untreated measured greater than 50Ml</t>
  </si>
  <si>
    <t>Very High Commercials&gt;50,000m3/a Water Metered</t>
  </si>
  <si>
    <t>[water] [unmetered]</t>
  </si>
  <si>
    <t>Measured &gt;=150 Ml/yr - Cambridge region</t>
  </si>
  <si>
    <t>Southern area standard user metered</t>
  </si>
  <si>
    <t>Large &amp; Special User Special Agreements Water</t>
  </si>
  <si>
    <t>Partial Water &gt; 50Ml (Measured)</t>
  </si>
  <si>
    <t>Cust type 06, Measured, Meas Water N f+, Measured</t>
  </si>
  <si>
    <t>Profile Plus (potable water) - (25.0Ml +)</t>
  </si>
  <si>
    <t>M-W-5; 5-25Ml water metered</t>
  </si>
  <si>
    <t>[250,000 +]  [250,000 +m3] [water] [metered]</t>
  </si>
  <si>
    <t>Band G - 0-1Ml</t>
  </si>
  <si>
    <t>SpecialAgreement- water metered</t>
  </si>
  <si>
    <t>Measured &lt;150 Ml/yr - Cambridge region</t>
  </si>
  <si>
    <t>Southern area mid user metered</t>
  </si>
  <si>
    <t>Water Large User 50Ml - 99Ml (Measured)</t>
  </si>
  <si>
    <t>Cust type 07, Measured, Meas Water S std, Measured</t>
  </si>
  <si>
    <t>Profile Interruptible (potable water) - (25.0Ml +)</t>
  </si>
  <si>
    <t>M-W-5-MX; 5-25Ml water metered mixed use</t>
  </si>
  <si>
    <t>[0 - 500 Business Assessed]  [0 - 500m3] [water] [unmetered]</t>
  </si>
  <si>
    <t>Band U</t>
  </si>
  <si>
    <t>Domestic Commercials unmetered</t>
  </si>
  <si>
    <t>Unmeasured BRV - Cambridge region</t>
  </si>
  <si>
    <t>Southern area high user metered</t>
  </si>
  <si>
    <t>Water Large User 100Ml - 249Ml (Measured)</t>
  </si>
  <si>
    <t>Cust type 08, Measured, Meas Water S f20, Measured</t>
  </si>
  <si>
    <t>Hartlepool Commercial (potable water) - (0.0Ml to 50.0Ml)</t>
  </si>
  <si>
    <t>M-W-25; 25-50Ml water metered</t>
  </si>
  <si>
    <t>[500 - 1,000 Business Assessed]  [500 - 1,000m3] [water] [unmetered]</t>
  </si>
  <si>
    <t>Unmeasured student rooms - Cambridge region</t>
  </si>
  <si>
    <t>Special agreement 1 metered</t>
  </si>
  <si>
    <t>Water Large User 250Ml - 499Ml (Measured)</t>
  </si>
  <si>
    <t>Cust type 09, Measured, Meas Water S fx, Measured</t>
  </si>
  <si>
    <t>Hartlepool Profile (potable water) - (50.0Ml +)</t>
  </si>
  <si>
    <t>M-W-50; 50-100Ml water metered</t>
  </si>
  <si>
    <t>[1,000 - 5,000 Business Assessed]  [1,000 - 5,000m3] [water] [unmetered]</t>
  </si>
  <si>
    <t>Unmeasured zero RV - Cambridge region</t>
  </si>
  <si>
    <t>Special agreement 2 metered</t>
  </si>
  <si>
    <t>Water Large User 500Ml - 1000Ml (Measured)</t>
  </si>
  <si>
    <t>Cust type 10, Measured, Meas Water S f+, Measured</t>
  </si>
  <si>
    <t>Streamline Orange (non-potable water) - (0.0Ml to 5.0Ml)</t>
  </si>
  <si>
    <t>M-W-100; 100-250Ml water metered</t>
  </si>
  <si>
    <t>[5,000 - 20,000 Business Assessed]  [5,000 - 20,000m3] [water] [unmetered]</t>
  </si>
  <si>
    <t>Water Large User &gt;1000 (Measured)</t>
  </si>
  <si>
    <t>Cust type 15, Measured, Ind Water, Measured</t>
  </si>
  <si>
    <t>Streamline Blue (non-potable water) - (5.0Ml to 10.0Ml)</t>
  </si>
  <si>
    <t>M-W-250; 250-500Ml water metered</t>
  </si>
  <si>
    <t>[Unmeasured RV + Fixed]  [N/A] [water] [unmetered]</t>
  </si>
  <si>
    <t>Special Agreement Register - Customer Reference WSHNONPOT8</t>
  </si>
  <si>
    <t>Profile (non-potable water) - (10.0Ml to 25.0Ml)</t>
  </si>
  <si>
    <t>M-W-500; &gt;500Ml water metered</t>
  </si>
  <si>
    <t>Special Agreement Register - Customer Reference WSHNONPOT9</t>
  </si>
  <si>
    <t>Profile Plus (non-potable water) - (25.0ml to 400.0Ml)</t>
  </si>
  <si>
    <t>Special Agreement Register - Customer Reference WSHPOT1</t>
  </si>
  <si>
    <t>Profile Industrial (non-potable water) - (400.0Ml +)</t>
  </si>
  <si>
    <t>Special Agreements (potable water) - (0.0Ml +)</t>
  </si>
  <si>
    <t>Special Agreements (non potable water) - (0.0Ml +)</t>
  </si>
  <si>
    <t>Unmeasured (Sewerage)</t>
  </si>
  <si>
    <t>Band 6 - Sewerage:  unmetered</t>
  </si>
  <si>
    <t>Standard Sewerage Unmetered</t>
  </si>
  <si>
    <t>6 Up to 50 Ml Sewerage Unmetered</t>
  </si>
  <si>
    <t>UM-S; Sewerage unmetered</t>
  </si>
  <si>
    <t>Tariff band 5  ≤50 Ml/a sewerage metered</t>
  </si>
  <si>
    <t>[0 - 500]  [0 - 500m3] [sewerage] [metered]</t>
  </si>
  <si>
    <t>Sewerage Measured &lt;100Ml</t>
  </si>
  <si>
    <t>Cust type 11, Unmeasured, Unmeas Sew, Unmeasured</t>
  </si>
  <si>
    <t>Standard Unmeasured Sewerage</t>
  </si>
  <si>
    <t>Streamline Green (Sewerage) - (0.0Ml to 0.5Ml)</t>
  </si>
  <si>
    <t>Band 7 - Sewerage:  0-50 ml/a - metered</t>
  </si>
  <si>
    <t>Standard 0-1Ml pa Sewerage Metered</t>
  </si>
  <si>
    <t>7 Up to 50Ml Sewerage Foul Metered</t>
  </si>
  <si>
    <t>UM-S; Sewerage unmetered mixed use</t>
  </si>
  <si>
    <t>Tariff band 6  &gt; 50 ≤ 250 Ml/a sewerage metered</t>
  </si>
  <si>
    <t>[500 - 1,000]  [500 - 1,000m3] [sewerage] [metered]</t>
  </si>
  <si>
    <t>Sewerage Un-Measured &lt;100Ml</t>
  </si>
  <si>
    <t>Cust type 12, Measured, Meas Sew - std, Measured</t>
  </si>
  <si>
    <t>Standard Measured Sewerage</t>
  </si>
  <si>
    <t>Streamline Orange (Sewerage) - (0.5Ml to 5.0Ml)</t>
  </si>
  <si>
    <t>Band 8 - Sewerage:  50-250 ml/a - metered</t>
  </si>
  <si>
    <t>Standard 1-5Ml pa Sewerage Metered</t>
  </si>
  <si>
    <t>8 &gt; 50Ml Sewerage Foul Metered</t>
  </si>
  <si>
    <t>M-S-0; 0-1Ml sewerage metered</t>
  </si>
  <si>
    <t>Tariff band 7  &gt; 250 Ml/a sewerage metered</t>
  </si>
  <si>
    <t>[1,000 - 5,000]  [1,000 - 5,000m3] [sewerage] [metered]</t>
  </si>
  <si>
    <t>Sewerage Measured &gt;100Ml</t>
  </si>
  <si>
    <t>Cust type 13, Measured, Meas Sew - LU, Measured</t>
  </si>
  <si>
    <t>Large &amp; Special User 50-100ML Sewerage</t>
  </si>
  <si>
    <t>Streamline Blue (Sewerage) - (5.0Ml to 50.0Ml)</t>
  </si>
  <si>
    <t>Band 9 - Sewerage:  250+ ml/a - metered</t>
  </si>
  <si>
    <t>Standard 5-20Ml pa Sewerage Metered</t>
  </si>
  <si>
    <t>9 SWHD Metered Bands 1 - 7</t>
  </si>
  <si>
    <t>M-TE-0; 0-1Ml trade effluent metered</t>
  </si>
  <si>
    <t>Tariff band 8 sewerage unmetered</t>
  </si>
  <si>
    <t>[5,000 - 20,000]  [5,000 - 20,000m3] [sewerage] [metered]</t>
  </si>
  <si>
    <t>Sewerage Trade Effluent &lt;100Ml</t>
  </si>
  <si>
    <t>Cust type 14, Measured, Trade Effluent - std, Measured</t>
  </si>
  <si>
    <t>Large &amp; Special User 100-250ML Sewerage</t>
  </si>
  <si>
    <t>Profile (Sewerage) - (50.0Ml +)</t>
  </si>
  <si>
    <t>Band 10 - Sewerage:  special agreements - metered</t>
  </si>
  <si>
    <t>Standard 20-100Ml pa Sewerage Metered</t>
  </si>
  <si>
    <t>10 SWHD Metered Bands 8 - 15</t>
  </si>
  <si>
    <t>M-S-0-MX; 0-1Ml sewerage metered mixed use</t>
  </si>
  <si>
    <t>Tariff band 9  ≤50 Ml/a trade effluent metered</t>
  </si>
  <si>
    <t>[20,000 - 50,000]  [20,000 - 50,000m3] [sewerage] [metered]</t>
  </si>
  <si>
    <t>Sewerage Trade Effluent &gt;100Ml</t>
  </si>
  <si>
    <t>Cust type 16, Measured, Trade Effluent - Special Agreement, measured</t>
  </si>
  <si>
    <t>Large &amp; Special User 250+ML Sewerage</t>
  </si>
  <si>
    <t>Unmeasured (Trade Effluent)</t>
  </si>
  <si>
    <t>Band 11 - Surface water drainage:  unmetered</t>
  </si>
  <si>
    <t>Standard Over 100Ml pa Sewerage Metered</t>
  </si>
  <si>
    <t>11 Up to 50Ml Sewerage TE Metered</t>
  </si>
  <si>
    <t>M-S-1; 1-5Ml sewerage metered</t>
  </si>
  <si>
    <t>Tariff band 10  &gt; 50 ≤ 250 Ml/a trade effleunt metered</t>
  </si>
  <si>
    <t>[50,000 - 250,000]  [50,000 - 250,000m3] [sewerage] [metered]</t>
  </si>
  <si>
    <t>Outfall Tariff</t>
  </si>
  <si>
    <t>Large &amp; Special User Special Agreements Sewerage</t>
  </si>
  <si>
    <t>Streamline Green (Trade Effluent) - (0.0Ml to 0.5Ml)</t>
  </si>
  <si>
    <t>Band 12 - Surface water drainage:  0-50 ml/a - metered</t>
  </si>
  <si>
    <t>Standard Non-Monthly Billed Trade Effluent Metered</t>
  </si>
  <si>
    <t>12 &gt; 50Ml Sewerage TE Metered</t>
  </si>
  <si>
    <t>M-TE-1; 1-5Ml trade effluent metered</t>
  </si>
  <si>
    <t>Tariff band 11  &gt; 250 Ml/a trade effluent metered</t>
  </si>
  <si>
    <t>[250,000 +]  [250,000 +m3] [sewerage] [metered]</t>
  </si>
  <si>
    <t>Trade Effluent</t>
  </si>
  <si>
    <t>Streamline Orange (Trade Effluent) - (0.5Ml to 5.0Ml)</t>
  </si>
  <si>
    <t>Band 13 - Surface water drainage:  50-250 ml/a - metered</t>
  </si>
  <si>
    <t>Standard Monthly Billed Trade Effluent Metered</t>
  </si>
  <si>
    <t>13 Foul / SWD Special Agreements</t>
  </si>
  <si>
    <t>M-S-1-MX; 1-5Ml sewerage metered mixed use</t>
  </si>
  <si>
    <t>[0 - 500]  [0 - 500m3] [trade effluent] [metered]</t>
  </si>
  <si>
    <t>Streamline Blue (Trade Effluent) - (5.0Ml to 50.0Ml)</t>
  </si>
  <si>
    <t>Band 14 - Surface water drainage:  250+ ml/a - metered</t>
  </si>
  <si>
    <t>14 Trade Effluent Speciial Agreements</t>
  </si>
  <si>
    <t>M-S-5; 5-25Ml sewerage metered</t>
  </si>
  <si>
    <t>[500 - 1,000]  [500 - 1,000m3] [trade effluent] [metered]</t>
  </si>
  <si>
    <t>Profile (Trade Effluent) - (50.0Ml +)</t>
  </si>
  <si>
    <t>Band 15 - Trade effluent:  0-50 ml/a - metered</t>
  </si>
  <si>
    <t>M-TE-5; 5-25Ml trade effluent metered</t>
  </si>
  <si>
    <t>[1,000 - 5,000]  [1,000 - 5,000m3] [trade effluent] [metered]</t>
  </si>
  <si>
    <t>Band 16 - Trade effluent:  50-250 ml/a - metered</t>
  </si>
  <si>
    <t>M-S-5-MX; 5-25Ml sewerage metered mixed use</t>
  </si>
  <si>
    <t>[5,000 - 20,000]  [5,000 - 20,000m3] [trade effluent] [metered]</t>
  </si>
  <si>
    <t>Band 17 - Trade effluent:  250+ ml/a - metered</t>
  </si>
  <si>
    <t>M-S-25; 25-50Ml sewerage metered</t>
  </si>
  <si>
    <t>[20,000 - 50,000]  [20,000 - 50,000m3] [trade effluent] [metered]</t>
  </si>
  <si>
    <t>Band 18 - Trade effluent:  special agreements - metered</t>
  </si>
  <si>
    <t>M-TE-25; 25-50Ml trade effluent metered</t>
  </si>
  <si>
    <t>[50,000 - 250,000]  [50,000 - 250,000m3] [trade effluent] [metered]</t>
  </si>
  <si>
    <t>M-S-50; 50-100Ml sewerage metered</t>
  </si>
  <si>
    <t>[250,000 +]  [250,000 +m3] [trade effluent] [metered]</t>
  </si>
  <si>
    <t>M-TE-50; 50-100Ml trade effluent metered</t>
  </si>
  <si>
    <t>[0 - 500 Business Assessed]  [0 - 500m3] [sewerage] [unmetered]</t>
  </si>
  <si>
    <t>M-S-100; 100-250Ml sewerage metered</t>
  </si>
  <si>
    <t>[500 - 1,000 Business Assessed]  [500 - 1,000m3] [sewerage] [unmetered]</t>
  </si>
  <si>
    <t>M-TE-100; 100-250Ml trade effluent metered</t>
  </si>
  <si>
    <t>[1,000 - 5,000 Business Assessed]  [1,000 - 5,000m3] [sewerage] [unmetered]</t>
  </si>
  <si>
    <t>M-S-250; 250-500Ml sewerage metered</t>
  </si>
  <si>
    <t>[5,000 - 20,000 Business Assessed]  [5,000 - 20,000m3] [sewerage] [unmetered]</t>
  </si>
  <si>
    <t>M-TE-250; 250-500Ml trade effluent metered</t>
  </si>
  <si>
    <t>[Unmeasured RV + Fixed]  [N/A] [sewerage] [unmetered]</t>
  </si>
  <si>
    <t>M-TE-500; &gt;500Ml trade effluent metered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</si>
</sst>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0.000"/>
    <numFmt numFmtId="166" formatCode="0.000000"/>
    <numFmt numFmtId="167" formatCode="#,##0.000"/>
    <numFmt numFmtId="168" formatCode="0.0000"/>
    <numFmt numFmtId="169" formatCode="#,##0.0"/>
  </numFmts>
  <fonts count="52" x14ac:knownFonts="1">
    <font>
      <sz val="11"/>
      <color theme="1"/>
      <name val="Arial"/>
      <family val="2"/>
    </font>
    <font>
      <sz val="11"/>
      <color theme="1"/>
      <name val="Arial"/>
      <family val="2"/>
    </font>
    <font>
      <sz val="11"/>
      <color rgb="FFFF0000"/>
      <name val="Arial"/>
      <family val="2"/>
    </font>
    <font>
      <b/>
      <sz val="11"/>
      <color theme="1"/>
      <name val="Arial"/>
      <family val="2"/>
    </font>
    <font>
      <sz val="15"/>
      <color theme="0"/>
      <name val="Franklin Gothic Demi"/>
      <family val="2"/>
    </font>
    <font>
      <sz val="11"/>
      <name val="Arial"/>
      <family val="2"/>
    </font>
    <font>
      <sz val="15"/>
      <name val="Franklin Gothic Demi"/>
      <family val="2"/>
    </font>
    <font>
      <sz val="16"/>
      <name val="Calibri Light"/>
      <family val="2"/>
      <scheme val="major"/>
    </font>
    <font>
      <sz val="10"/>
      <color rgb="FF0078C9"/>
      <name val="Franklin Gothic Demi"/>
      <family val="2"/>
    </font>
    <font>
      <strike/>
      <sz val="11"/>
      <name val="Arial"/>
      <family val="2"/>
    </font>
    <font>
      <sz val="10"/>
      <color theme="1"/>
      <name val="Arial"/>
      <family val="2"/>
    </font>
    <font>
      <u/>
      <sz val="11"/>
      <color theme="10"/>
      <name val="Arial"/>
      <family val="2"/>
    </font>
    <font>
      <u/>
      <sz val="10"/>
      <color theme="10"/>
      <name val="Arial"/>
      <family val="2"/>
    </font>
    <font>
      <sz val="10"/>
      <name val="Franklin Gothic Demi"/>
      <family val="2"/>
    </font>
    <font>
      <sz val="10"/>
      <name val="Calibri Light"/>
      <family val="2"/>
      <scheme val="major"/>
    </font>
    <font>
      <u/>
      <sz val="9"/>
      <color theme="10"/>
      <name val="Arial"/>
      <family val="2"/>
    </font>
    <font>
      <sz val="8"/>
      <name val="Arial"/>
      <family val="2"/>
    </font>
    <font>
      <sz val="8"/>
      <name val="Calibri Light"/>
      <family val="2"/>
      <scheme val="major"/>
    </font>
    <font>
      <sz val="11"/>
      <name val="Calibri Light"/>
      <family val="2"/>
      <scheme val="major"/>
    </font>
    <font>
      <sz val="10"/>
      <name val="Arial"/>
      <family val="2"/>
    </font>
    <font>
      <u/>
      <sz val="8"/>
      <color theme="10"/>
      <name val="Calibri Light"/>
      <family val="2"/>
      <scheme val="major"/>
    </font>
    <font>
      <sz val="11"/>
      <color theme="1"/>
      <name val="Franklin Gothic Demi"/>
      <family val="2"/>
    </font>
    <font>
      <sz val="12"/>
      <color rgb="FF0078C9"/>
      <name val="Franklin Gothic Demi"/>
      <family val="2"/>
    </font>
    <font>
      <sz val="8"/>
      <color theme="0"/>
      <name val="Arial"/>
      <family val="2"/>
    </font>
    <font>
      <sz val="9"/>
      <color theme="1"/>
      <name val="Arial"/>
      <family val="2"/>
    </font>
    <font>
      <sz val="11"/>
      <color theme="0"/>
      <name val="Franklin Gothic Demi"/>
      <family val="2"/>
    </font>
    <font>
      <sz val="8"/>
      <color theme="1"/>
      <name val="Arial"/>
      <family val="2"/>
    </font>
    <font>
      <sz val="9"/>
      <name val="Arial"/>
      <family val="2"/>
    </font>
    <font>
      <sz val="11"/>
      <color rgb="FF0078C9"/>
      <name val="Franklin Gothic Demi"/>
      <family val="2"/>
    </font>
    <font>
      <sz val="10"/>
      <color rgb="FF0078C9"/>
      <name val="Arial"/>
      <family val="2"/>
    </font>
    <font>
      <sz val="15"/>
      <color rgb="FF0078C9"/>
      <name val="Franklin Gothic Demi"/>
      <family val="2"/>
    </font>
    <font>
      <sz val="9.5"/>
      <color theme="0"/>
      <name val="Arial"/>
      <family val="2"/>
    </font>
    <font>
      <sz val="9.5"/>
      <color theme="1"/>
      <name val="Arial"/>
      <family val="2"/>
    </font>
    <font>
      <sz val="14"/>
      <name val="Calibri Light"/>
      <family val="2"/>
      <scheme val="major"/>
    </font>
    <font>
      <b/>
      <sz val="10"/>
      <name val="Arial"/>
      <family val="2"/>
    </font>
    <font>
      <b/>
      <sz val="10"/>
      <color rgb="FFFF0000"/>
      <name val="Arial"/>
      <family val="2"/>
    </font>
    <font>
      <sz val="10"/>
      <color rgb="FFFF0000"/>
      <name val="Arial"/>
      <family val="2"/>
    </font>
    <font>
      <b/>
      <sz val="9"/>
      <color rgb="FF0078C9"/>
      <name val="Arial"/>
      <family val="2"/>
    </font>
    <font>
      <b/>
      <sz val="9"/>
      <name val="Arial"/>
      <family val="2"/>
    </font>
    <font>
      <sz val="9"/>
      <color rgb="FF0078C9"/>
      <name val="Arial"/>
      <family val="2"/>
    </font>
    <font>
      <sz val="7"/>
      <name val="Arial"/>
      <family val="2"/>
    </font>
    <font>
      <sz val="7"/>
      <color theme="1"/>
      <name val="arial"/>
      <family val="2"/>
    </font>
    <font>
      <i/>
      <sz val="11"/>
      <color theme="1"/>
      <name val="Arial"/>
      <family val="2"/>
    </font>
    <font>
      <b/>
      <sz val="10"/>
      <color rgb="FF002060"/>
      <name val="arial"/>
      <family val="2"/>
    </font>
    <font>
      <sz val="11"/>
      <color rgb="FFFFFFFF"/>
      <name val="Arial Rounded MT Bold"/>
      <family val="2"/>
    </font>
    <font>
      <sz val="11"/>
      <color rgb="FF002664"/>
      <name val="Arial"/>
      <family val="2"/>
    </font>
    <font>
      <sz val="11"/>
      <color rgb="FF1F497D"/>
      <name val="Calibri"/>
      <family val="2"/>
    </font>
    <font>
      <sz val="11"/>
      <color rgb="FF000000"/>
      <name val="Calibri"/>
      <family val="2"/>
    </font>
    <font>
      <sz val="7.5"/>
      <color theme="1"/>
      <name val="arial"/>
      <family val="2"/>
    </font>
    <font>
      <sz val="10"/>
      <color rgb="FF0070C0"/>
      <name val="arial"/>
      <family val="2"/>
    </font>
    <font>
      <b/>
      <sz val="10"/>
      <color theme="1"/>
      <name val="Arial"/>
      <family val="2"/>
    </font>
    <font>
      <u/>
      <sz val="10"/>
      <color rgb="FF0078C9"/>
      <name val="Arial"/>
      <family val="2"/>
    </font>
  </fonts>
  <fills count="16">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B8CA7F"/>
        <bgColor indexed="64"/>
      </patternFill>
    </fill>
    <fill>
      <patternFill patternType="solid">
        <fgColor rgb="FFFFFF00"/>
        <bgColor indexed="64"/>
      </patternFill>
    </fill>
    <fill>
      <patternFill patternType="solid">
        <fgColor rgb="FFBFDDF1"/>
        <bgColor indexed="64"/>
      </patternFill>
    </fill>
    <fill>
      <patternFill patternType="solid">
        <fgColor rgb="FFFE4819"/>
        <bgColor indexed="64"/>
      </patternFill>
    </fill>
    <fill>
      <patternFill patternType="solid">
        <fgColor rgb="FFF2BFE0"/>
        <bgColor indexed="64"/>
      </patternFill>
    </fill>
    <fill>
      <patternFill patternType="solid">
        <fgColor indexed="9"/>
        <bgColor indexed="64"/>
      </patternFill>
    </fill>
    <fill>
      <patternFill patternType="solid">
        <fgColor theme="0"/>
        <bgColor indexed="64"/>
      </patternFill>
    </fill>
    <fill>
      <patternFill patternType="solid">
        <fgColor rgb="FFF0F0F0"/>
        <bgColor indexed="64"/>
      </patternFill>
    </fill>
    <fill>
      <patternFill patternType="solid">
        <fgColor rgb="FFF0AB00"/>
        <bgColor indexed="64"/>
      </patternFill>
    </fill>
    <fill>
      <patternFill patternType="solid">
        <fgColor rgb="FFFFDF93"/>
        <bgColor indexed="64"/>
      </patternFill>
    </fill>
    <fill>
      <patternFill patternType="solid">
        <fgColor theme="0" tint="-0.14999847407452621"/>
        <bgColor indexed="64"/>
      </patternFill>
    </fill>
  </fills>
  <borders count="129">
    <border>
      <left/>
      <right/>
      <top/>
      <bottom/>
      <diagonal/>
    </border>
    <border>
      <left style="medium">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right style="medium">
        <color rgb="FF857362"/>
      </right>
      <top style="medium">
        <color rgb="FF857362"/>
      </top>
      <bottom/>
      <diagonal/>
    </border>
    <border>
      <left style="medium">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right style="medium">
        <color rgb="FF857362"/>
      </right>
      <top/>
      <bottom style="medium">
        <color rgb="FF857362"/>
      </bottom>
      <diagonal/>
    </border>
    <border>
      <left style="medium">
        <color rgb="FF857362"/>
      </left>
      <right style="medium">
        <color rgb="FF857362"/>
      </right>
      <top/>
      <bottom style="medium">
        <color rgb="FF857362"/>
      </bottom>
      <diagonal/>
    </border>
    <border>
      <left/>
      <right style="medium">
        <color rgb="FF857362"/>
      </right>
      <top style="medium">
        <color rgb="FF857362"/>
      </top>
      <bottom style="thin">
        <color rgb="FF857362"/>
      </bottom>
      <diagonal/>
    </border>
    <border>
      <left style="thin">
        <color theme="0"/>
      </left>
      <right style="thin">
        <color theme="0"/>
      </right>
      <top style="thin">
        <color theme="0"/>
      </top>
      <bottom style="thin">
        <color theme="0"/>
      </bottom>
      <diagonal/>
    </border>
    <border>
      <left/>
      <right style="medium">
        <color rgb="FF857362"/>
      </right>
      <top style="thin">
        <color rgb="FF857362"/>
      </top>
      <bottom style="thin">
        <color rgb="FF857362"/>
      </bottom>
      <diagonal/>
    </border>
    <border>
      <left/>
      <right style="medium">
        <color rgb="FF857362"/>
      </right>
      <top style="thin">
        <color rgb="FF857362"/>
      </top>
      <bottom style="medium">
        <color rgb="FF857362"/>
      </bottom>
      <diagonal/>
    </border>
    <border>
      <left/>
      <right/>
      <top style="medium">
        <color rgb="FF857362"/>
      </top>
      <bottom style="thin">
        <color rgb="FF857362"/>
      </bottom>
      <diagonal/>
    </border>
    <border>
      <left/>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thin">
        <color rgb="FF857362"/>
      </left>
      <right/>
      <top style="medium">
        <color rgb="FF857362"/>
      </top>
      <bottom style="thin">
        <color rgb="FF857362"/>
      </bottom>
      <diagonal/>
    </border>
    <border>
      <left/>
      <right style="thin">
        <color rgb="FF857362"/>
      </right>
      <top style="medium">
        <color rgb="FF857362"/>
      </top>
      <bottom style="thin">
        <color rgb="FF857362"/>
      </bottom>
      <diagonal/>
    </border>
    <border>
      <left style="thin">
        <color rgb="FF857362"/>
      </left>
      <right/>
      <top style="thin">
        <color rgb="FF857362"/>
      </top>
      <bottom style="thin">
        <color rgb="FF857362"/>
      </bottom>
      <diagonal/>
    </border>
    <border>
      <left/>
      <right style="thin">
        <color rgb="FF857362"/>
      </right>
      <top style="thin">
        <color rgb="FF857362"/>
      </top>
      <bottom style="thin">
        <color rgb="FF857362"/>
      </bottom>
      <diagonal/>
    </border>
    <border>
      <left style="thin">
        <color rgb="FF857362"/>
      </left>
      <right/>
      <top style="thin">
        <color rgb="FF857362"/>
      </top>
      <bottom style="medium">
        <color rgb="FF857362"/>
      </bottom>
      <diagonal/>
    </border>
    <border>
      <left/>
      <right style="thin">
        <color rgb="FF857362"/>
      </right>
      <top style="thin">
        <color rgb="FF857362"/>
      </top>
      <bottom style="medium">
        <color rgb="FF857362"/>
      </bottom>
      <diagonal/>
    </border>
    <border>
      <left/>
      <right/>
      <top style="thin">
        <color rgb="FF857362"/>
      </top>
      <bottom/>
      <diagonal/>
    </border>
    <border>
      <left style="medium">
        <color rgb="FF857362"/>
      </left>
      <right style="thin">
        <color rgb="FF857362"/>
      </right>
      <top style="thin">
        <color rgb="FF857362"/>
      </top>
      <bottom/>
      <diagonal/>
    </border>
    <border>
      <left style="thin">
        <color rgb="FF857362"/>
      </left>
      <right style="thin">
        <color rgb="FF857362"/>
      </right>
      <top style="thin">
        <color rgb="FF857362"/>
      </top>
      <bottom/>
      <diagonal/>
    </border>
    <border>
      <left/>
      <right/>
      <top style="thin">
        <color rgb="FF857362"/>
      </top>
      <bottom style="medium">
        <color rgb="FF857362"/>
      </bottom>
      <diagonal/>
    </border>
    <border>
      <left style="medium">
        <color rgb="FF857362"/>
      </left>
      <right style="thin">
        <color rgb="FF857362"/>
      </right>
      <top/>
      <bottom style="thin">
        <color rgb="FF857362"/>
      </bottom>
      <diagonal/>
    </border>
    <border>
      <left style="thin">
        <color rgb="FF857362"/>
      </left>
      <right style="thin">
        <color rgb="FF857362"/>
      </right>
      <top/>
      <bottom style="thin">
        <color rgb="FF857362"/>
      </bottom>
      <diagonal/>
    </border>
    <border>
      <left style="thin">
        <color rgb="FF857362"/>
      </left>
      <right/>
      <top/>
      <bottom style="thin">
        <color rgb="FF857362"/>
      </bottom>
      <diagonal/>
    </border>
    <border>
      <left style="medium">
        <color rgb="FF857362"/>
      </left>
      <right style="medium">
        <color rgb="FF857362"/>
      </right>
      <top/>
      <bottom style="thin">
        <color rgb="FF857362"/>
      </bottom>
      <diagonal/>
    </border>
    <border>
      <left style="thin">
        <color rgb="FF857362"/>
      </left>
      <right style="medium">
        <color rgb="FF857362"/>
      </right>
      <top/>
      <bottom style="thin">
        <color rgb="FF857362"/>
      </bottom>
      <diagonal/>
    </border>
    <border>
      <left style="thin">
        <color rgb="FF857362"/>
      </left>
      <right/>
      <top/>
      <bottom style="medium">
        <color rgb="FF857362"/>
      </bottom>
      <diagonal/>
    </border>
    <border>
      <left style="thin">
        <color rgb="FF857362"/>
      </left>
      <right/>
      <top style="medium">
        <color rgb="FF857362"/>
      </top>
      <bottom/>
      <diagonal/>
    </border>
    <border>
      <left/>
      <right/>
      <top style="medium">
        <color rgb="FF857362"/>
      </top>
      <bottom/>
      <diagonal/>
    </border>
    <border>
      <left style="medium">
        <color rgb="FF857362"/>
      </left>
      <right/>
      <top style="medium">
        <color rgb="FF857362"/>
      </top>
      <bottom style="thin">
        <color rgb="FF857362"/>
      </bottom>
      <diagonal/>
    </border>
    <border>
      <left style="medium">
        <color rgb="FF857362"/>
      </left>
      <right/>
      <top style="medium">
        <color rgb="FF857362"/>
      </top>
      <bottom/>
      <diagonal/>
    </border>
    <border>
      <left style="medium">
        <color rgb="FF857362"/>
      </left>
      <right/>
      <top style="thin">
        <color rgb="FF857362"/>
      </top>
      <bottom style="thin">
        <color rgb="FF857362"/>
      </bottom>
      <diagonal/>
    </border>
    <border>
      <left style="medium">
        <color rgb="FF857362"/>
      </left>
      <right/>
      <top style="thin">
        <color rgb="FF857362"/>
      </top>
      <bottom style="medium">
        <color rgb="FF857362"/>
      </bottom>
      <diagonal/>
    </border>
    <border>
      <left style="medium">
        <color rgb="FF857362"/>
      </left>
      <right style="thin">
        <color theme="5"/>
      </right>
      <top style="medium">
        <color rgb="FF857362"/>
      </top>
      <bottom style="medium">
        <color rgb="FF857362"/>
      </bottom>
      <diagonal/>
    </border>
    <border>
      <left style="thin">
        <color theme="5"/>
      </left>
      <right style="medium">
        <color rgb="FF857362"/>
      </right>
      <top style="medium">
        <color rgb="FF857362"/>
      </top>
      <bottom style="medium">
        <color rgb="FF857362"/>
      </bottom>
      <diagonal/>
    </border>
    <border>
      <left style="thin">
        <color rgb="FF857362"/>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rgb="FF857362"/>
      </left>
      <right style="medium">
        <color rgb="FF857362"/>
      </right>
      <top style="thin">
        <color rgb="FF857362"/>
      </top>
      <bottom/>
      <diagonal/>
    </border>
    <border>
      <left style="thin">
        <color theme="0"/>
      </left>
      <right style="thin">
        <color theme="0"/>
      </right>
      <top/>
      <bottom style="thin">
        <color theme="0"/>
      </bottom>
      <diagonal/>
    </border>
    <border>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style="thin">
        <color theme="2" tint="-0.499984740745262"/>
      </right>
      <top/>
      <bottom style="medium">
        <color theme="2" tint="-0.499984740745262"/>
      </bottom>
      <diagonal/>
    </border>
    <border>
      <left style="medium">
        <color theme="2" tint="-0.499984740745262"/>
      </left>
      <right style="medium">
        <color theme="2" tint="-0.499984740745262"/>
      </right>
      <top style="thin">
        <color theme="2" tint="-0.499984740745262"/>
      </top>
      <bottom style="medium">
        <color theme="2" tint="-0.499984740745262"/>
      </bottom>
      <diagonal/>
    </border>
    <border>
      <left/>
      <right style="medium">
        <color theme="2" tint="-0.499984740745262"/>
      </right>
      <top style="medium">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right style="medium">
        <color theme="2" tint="-0.499984740745262"/>
      </right>
      <top style="thin">
        <color theme="2" tint="-0.499984740745262"/>
      </top>
      <bottom style="medium">
        <color theme="2" tint="-0.499984740745262"/>
      </bottom>
      <diagonal/>
    </border>
    <border>
      <left style="thin">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thin">
        <color theme="2" tint="-0.499984740745262"/>
      </left>
      <right/>
      <top style="medium">
        <color theme="2" tint="-0.499984740745262"/>
      </top>
      <bottom style="thin">
        <color theme="2" tint="-0.499984740745262"/>
      </bottom>
      <diagonal/>
    </border>
    <border>
      <left/>
      <right/>
      <top style="medium">
        <color theme="2" tint="-0.499984740745262"/>
      </top>
      <bottom style="thin">
        <color theme="2" tint="-0.499984740745262"/>
      </bottom>
      <diagonal/>
    </border>
    <border>
      <left style="medium">
        <color theme="2" tint="-0.499984740745262"/>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medium">
        <color theme="2" tint="-0.499984740745262"/>
      </bottom>
      <diagonal/>
    </border>
    <border>
      <left/>
      <right/>
      <top style="thin">
        <color theme="2" tint="-0.499984740745262"/>
      </top>
      <bottom style="medium">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top/>
      <bottom/>
      <diagonal/>
    </border>
    <border>
      <left style="medium">
        <color theme="2" tint="-0.499984740745262"/>
      </left>
      <right style="medium">
        <color theme="2" tint="-0.499984740745262"/>
      </right>
      <top style="thin">
        <color theme="2" tint="-0.499984740745262"/>
      </top>
      <bottom/>
      <diagonal/>
    </border>
    <border>
      <left style="medium">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medium">
        <color theme="2" tint="-0.499984740745262"/>
      </right>
      <top style="thin">
        <color theme="2" tint="-0.499984740745262"/>
      </top>
      <bottom/>
      <diagonal/>
    </border>
    <border>
      <left style="medium">
        <color theme="2" tint="-0.499984740745262"/>
      </left>
      <right style="thin">
        <color rgb="FF857362"/>
      </right>
      <top style="medium">
        <color theme="2" tint="-0.499984740745262"/>
      </top>
      <bottom style="thin">
        <color rgb="FF857362"/>
      </bottom>
      <diagonal/>
    </border>
    <border>
      <left style="thin">
        <color rgb="FF857362"/>
      </left>
      <right style="thin">
        <color rgb="FF857362"/>
      </right>
      <top style="medium">
        <color theme="2" tint="-0.499984740745262"/>
      </top>
      <bottom style="thin">
        <color rgb="FF857362"/>
      </bottom>
      <diagonal/>
    </border>
    <border>
      <left style="thin">
        <color rgb="FF857362"/>
      </left>
      <right style="medium">
        <color theme="2" tint="-0.499984740745262"/>
      </right>
      <top style="medium">
        <color theme="2" tint="-0.499984740745262"/>
      </top>
      <bottom style="thin">
        <color rgb="FF857362"/>
      </bottom>
      <diagonal/>
    </border>
    <border>
      <left style="medium">
        <color theme="2" tint="-0.499984740745262"/>
      </left>
      <right style="thin">
        <color rgb="FF857362"/>
      </right>
      <top style="thin">
        <color rgb="FF857362"/>
      </top>
      <bottom style="thin">
        <color rgb="FF857362"/>
      </bottom>
      <diagonal/>
    </border>
    <border>
      <left style="thin">
        <color rgb="FF857362"/>
      </left>
      <right style="medium">
        <color theme="2" tint="-0.499984740745262"/>
      </right>
      <top style="thin">
        <color rgb="FF857362"/>
      </top>
      <bottom style="thin">
        <color rgb="FF857362"/>
      </bottom>
      <diagonal/>
    </border>
    <border>
      <left style="medium">
        <color theme="2" tint="-0.499984740745262"/>
      </left>
      <right style="thin">
        <color rgb="FF857362"/>
      </right>
      <top style="thin">
        <color rgb="FF857362"/>
      </top>
      <bottom style="medium">
        <color theme="2" tint="-0.499984740745262"/>
      </bottom>
      <diagonal/>
    </border>
    <border>
      <left style="thin">
        <color rgb="FF857362"/>
      </left>
      <right style="thin">
        <color rgb="FF857362"/>
      </right>
      <top style="thin">
        <color rgb="FF857362"/>
      </top>
      <bottom style="medium">
        <color theme="2" tint="-0.499984740745262"/>
      </bottom>
      <diagonal/>
    </border>
    <border>
      <left style="thin">
        <color rgb="FF857362"/>
      </left>
      <right style="medium">
        <color theme="2" tint="-0.499984740745262"/>
      </right>
      <top style="thin">
        <color rgb="FF857362"/>
      </top>
      <bottom style="medium">
        <color theme="2" tint="-0.499984740745262"/>
      </bottom>
      <diagonal/>
    </border>
    <border>
      <left style="medium">
        <color rgb="FF857362"/>
      </left>
      <right style="medium">
        <color rgb="FF857362"/>
      </right>
      <top style="thin">
        <color rgb="FF857362"/>
      </top>
      <bottom/>
      <diagonal/>
    </border>
    <border>
      <left/>
      <right/>
      <top/>
      <bottom style="medium">
        <color rgb="FF857362"/>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857362"/>
      </left>
      <right/>
      <top/>
      <bottom style="thin">
        <color rgb="FF857362"/>
      </bottom>
      <diagonal/>
    </border>
    <border>
      <left/>
      <right/>
      <top/>
      <bottom style="thin">
        <color rgb="FF857362"/>
      </bottom>
      <diagonal/>
    </border>
    <border>
      <left/>
      <right style="medium">
        <color rgb="FF857362"/>
      </right>
      <top/>
      <bottom style="thin">
        <color rgb="FF857362"/>
      </bottom>
      <diagonal/>
    </border>
    <border>
      <left style="thin">
        <color rgb="FF857362"/>
      </left>
      <right style="thin">
        <color rgb="FF857362"/>
      </right>
      <top style="thin">
        <color rgb="FF857362"/>
      </top>
      <bottom style="thin">
        <color indexed="64"/>
      </bottom>
      <diagonal/>
    </border>
    <border>
      <left/>
      <right style="thin">
        <color rgb="FF857362"/>
      </right>
      <top style="thin">
        <color rgb="FF857362"/>
      </top>
      <bottom/>
      <diagonal/>
    </border>
    <border>
      <left style="thin">
        <color rgb="FF857362"/>
      </left>
      <right/>
      <top style="thin">
        <color rgb="FF857362"/>
      </top>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rgb="FF857362"/>
      </left>
      <right/>
      <top style="thin">
        <color rgb="FF857362"/>
      </top>
      <bottom/>
      <diagonal/>
    </border>
    <border>
      <left style="thin">
        <color theme="2" tint="-0.499984740745262"/>
      </left>
      <right style="medium">
        <color theme="2" tint="-0.499984740745262"/>
      </right>
      <top/>
      <bottom style="thin">
        <color theme="2" tint="-0.499984740745262"/>
      </bottom>
      <diagonal/>
    </border>
    <border>
      <left style="medium">
        <color theme="2" tint="-0.499984740745262"/>
      </left>
      <right style="medium">
        <color theme="2" tint="-0.499984740745262"/>
      </right>
      <top/>
      <bottom style="thin">
        <color theme="2" tint="-0.499984740745262"/>
      </bottom>
      <diagonal/>
    </border>
    <border>
      <left/>
      <right style="thin">
        <color rgb="FF857362"/>
      </right>
      <top/>
      <bottom style="thin">
        <color rgb="FF857362"/>
      </bottom>
      <diagonal/>
    </border>
    <border>
      <left/>
      <right style="medium">
        <color rgb="FF857362"/>
      </right>
      <top style="thin">
        <color rgb="FF857362"/>
      </top>
      <bottom/>
      <diagonal/>
    </border>
    <border>
      <left style="medium">
        <color rgb="FF857362"/>
      </left>
      <right style="thin">
        <color rgb="FF857362"/>
      </right>
      <top/>
      <bottom/>
      <diagonal/>
    </border>
    <border>
      <left style="medium">
        <color rgb="FF857362"/>
      </left>
      <right style="medium">
        <color rgb="FF857362"/>
      </right>
      <top/>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164" fontId="4" fillId="2" borderId="0" applyNumberFormat="0">
      <alignment horizontal="left"/>
    </xf>
    <xf numFmtId="0" fontId="8" fillId="3" borderId="0" applyNumberFormat="0"/>
    <xf numFmtId="0" fontId="11" fillId="0" borderId="0" applyNumberFormat="0" applyFill="0" applyBorder="0" applyAlignment="0" applyProtection="0"/>
    <xf numFmtId="0" fontId="1" fillId="0" borderId="0"/>
    <xf numFmtId="0" fontId="24" fillId="8" borderId="0" applyBorder="0"/>
    <xf numFmtId="0" fontId="1" fillId="0" borderId="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43" fontId="19" fillId="0" borderId="0" applyFont="0" applyFill="0" applyBorder="0" applyAlignment="0" applyProtection="0"/>
  </cellStyleXfs>
  <cellXfs count="1079">
    <xf numFmtId="0" fontId="0" fillId="0" borderId="0" xfId="0"/>
    <xf numFmtId="0" fontId="4" fillId="2" borderId="0" xfId="3" applyNumberFormat="1" applyAlignment="1"/>
    <xf numFmtId="0" fontId="5" fillId="0" borderId="0" xfId="0" applyFont="1"/>
    <xf numFmtId="0" fontId="7" fillId="0" borderId="0" xfId="0" applyFont="1"/>
    <xf numFmtId="0" fontId="9" fillId="0" borderId="0" xfId="0" applyFont="1"/>
    <xf numFmtId="0" fontId="13" fillId="0" borderId="0" xfId="0" applyFont="1"/>
    <xf numFmtId="0" fontId="14" fillId="0" borderId="0" xfId="0" applyFont="1"/>
    <xf numFmtId="0" fontId="16" fillId="0" borderId="0" xfId="0" applyFont="1"/>
    <xf numFmtId="0" fontId="17" fillId="0" borderId="0" xfId="0" applyFont="1"/>
    <xf numFmtId="0" fontId="18" fillId="0" borderId="0" xfId="0" applyFont="1"/>
    <xf numFmtId="0" fontId="4" fillId="2" borderId="0" xfId="0" applyFont="1" applyFill="1" applyAlignment="1">
      <alignment horizontal="right" vertical="center"/>
    </xf>
    <xf numFmtId="0" fontId="21" fillId="0" borderId="0" xfId="0" applyFont="1" applyAlignment="1">
      <alignment horizontal="left" vertical="center"/>
    </xf>
    <xf numFmtId="0" fontId="0" fillId="0" borderId="0" xfId="0" applyAlignment="1">
      <alignment vertical="center"/>
    </xf>
    <xf numFmtId="0" fontId="22" fillId="3" borderId="2" xfId="4" applyFont="1" applyBorder="1" applyAlignment="1">
      <alignment vertical="center"/>
    </xf>
    <xf numFmtId="0" fontId="8" fillId="3" borderId="3" xfId="4" applyBorder="1" applyAlignment="1">
      <alignment horizontal="center" wrapText="1"/>
    </xf>
    <xf numFmtId="0" fontId="8" fillId="3" borderId="3" xfId="4" applyBorder="1" applyAlignment="1">
      <alignment horizontal="center" vertical="center" wrapText="1"/>
    </xf>
    <xf numFmtId="0" fontId="8" fillId="3" borderId="4" xfId="4" applyBorder="1" applyAlignment="1">
      <alignment horizontal="center" vertical="center" wrapText="1"/>
    </xf>
    <xf numFmtId="0" fontId="23" fillId="5"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0" borderId="0" xfId="0" applyFont="1" applyAlignment="1">
      <alignment vertical="center"/>
    </xf>
    <xf numFmtId="0" fontId="23" fillId="5" borderId="9"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4" fillId="0" borderId="0" xfId="0" applyFont="1" applyAlignment="1">
      <alignment vertical="center" wrapText="1"/>
    </xf>
    <xf numFmtId="0" fontId="0" fillId="0" borderId="0" xfId="0" applyAlignment="1">
      <alignment vertical="center" wrapText="1"/>
    </xf>
    <xf numFmtId="0" fontId="22" fillId="3" borderId="2" xfId="4" applyFont="1" applyBorder="1" applyAlignment="1">
      <alignment vertical="center" wrapText="1"/>
    </xf>
    <xf numFmtId="0" fontId="24" fillId="0" borderId="0" xfId="0" applyFont="1"/>
    <xf numFmtId="0" fontId="26" fillId="8" borderId="25" xfId="7" applyFont="1" applyBorder="1" applyAlignment="1">
      <alignment horizontal="center" vertical="center"/>
    </xf>
    <xf numFmtId="0" fontId="27" fillId="4" borderId="9" xfId="9" applyFont="1" applyFill="1" applyBorder="1" applyProtection="1">
      <protection locked="0"/>
    </xf>
    <xf numFmtId="0" fontId="8" fillId="3" borderId="4" xfId="9" applyFont="1" applyFill="1" applyBorder="1" applyAlignment="1">
      <alignment vertical="center"/>
    </xf>
    <xf numFmtId="0" fontId="19" fillId="0" borderId="3" xfId="9" applyBorder="1" applyAlignment="1">
      <alignment vertical="center"/>
    </xf>
    <xf numFmtId="0" fontId="19" fillId="0" borderId="6" xfId="9" applyBorder="1" applyAlignment="1">
      <alignment vertical="center"/>
    </xf>
    <xf numFmtId="0" fontId="19" fillId="0" borderId="9" xfId="9" applyBorder="1" applyAlignment="1">
      <alignment vertical="center"/>
    </xf>
    <xf numFmtId="0" fontId="19" fillId="0" borderId="9" xfId="9" quotePrefix="1" applyBorder="1" applyAlignment="1">
      <alignment vertical="center"/>
    </xf>
    <xf numFmtId="0" fontId="19" fillId="0" borderId="12" xfId="9" applyBorder="1" applyAlignment="1">
      <alignment vertical="center"/>
    </xf>
    <xf numFmtId="0" fontId="19" fillId="0" borderId="7" xfId="9" applyBorder="1" applyAlignment="1">
      <alignment vertical="center"/>
    </xf>
    <xf numFmtId="0" fontId="19" fillId="0" borderId="10" xfId="9" applyBorder="1" applyAlignment="1">
      <alignment vertical="center"/>
    </xf>
    <xf numFmtId="0" fontId="26" fillId="0" borderId="25" xfId="7" applyFont="1" applyFill="1" applyBorder="1" applyAlignment="1">
      <alignment horizontal="center" vertical="center" wrapText="1"/>
    </xf>
    <xf numFmtId="0" fontId="28" fillId="3" borderId="33" xfId="0" applyFont="1" applyFill="1" applyBorder="1" applyAlignment="1">
      <alignment vertical="center"/>
    </xf>
    <xf numFmtId="165" fontId="27" fillId="4" borderId="5" xfId="9" applyNumberFormat="1" applyFont="1" applyFill="1" applyBorder="1" applyProtection="1">
      <protection locked="0"/>
    </xf>
    <xf numFmtId="165" fontId="27" fillId="4" borderId="6" xfId="9" applyNumberFormat="1" applyFont="1" applyFill="1" applyBorder="1" applyProtection="1">
      <protection locked="0"/>
    </xf>
    <xf numFmtId="165" fontId="27" fillId="4" borderId="7" xfId="9" applyNumberFormat="1" applyFont="1" applyFill="1" applyBorder="1" applyProtection="1">
      <protection locked="0"/>
    </xf>
    <xf numFmtId="2" fontId="27" fillId="4" borderId="5" xfId="9" applyNumberFormat="1" applyFont="1" applyFill="1" applyBorder="1" applyProtection="1">
      <protection locked="0"/>
    </xf>
    <xf numFmtId="2" fontId="27" fillId="4" borderId="7" xfId="9" applyNumberFormat="1" applyFont="1" applyFill="1" applyBorder="1" applyProtection="1">
      <protection locked="0"/>
    </xf>
    <xf numFmtId="165" fontId="27" fillId="4" borderId="8" xfId="9" applyNumberFormat="1" applyFont="1" applyFill="1" applyBorder="1" applyProtection="1">
      <protection locked="0"/>
    </xf>
    <xf numFmtId="165" fontId="27" fillId="4" borderId="9" xfId="9" applyNumberFormat="1" applyFont="1" applyFill="1" applyBorder="1" applyProtection="1">
      <protection locked="0"/>
    </xf>
    <xf numFmtId="165" fontId="27" fillId="4" borderId="10" xfId="9" applyNumberFormat="1" applyFont="1" applyFill="1" applyBorder="1" applyProtection="1">
      <protection locked="0"/>
    </xf>
    <xf numFmtId="165" fontId="27" fillId="4" borderId="56" xfId="9" applyNumberFormat="1" applyFont="1" applyFill="1" applyBorder="1" applyProtection="1">
      <protection locked="0"/>
    </xf>
    <xf numFmtId="2" fontId="27" fillId="4" borderId="8" xfId="9" applyNumberFormat="1" applyFont="1" applyFill="1" applyBorder="1" applyProtection="1">
      <protection locked="0"/>
    </xf>
    <xf numFmtId="2" fontId="27" fillId="4" borderId="10" xfId="9" applyNumberFormat="1" applyFont="1" applyFill="1" applyBorder="1" applyProtection="1">
      <protection locked="0"/>
    </xf>
    <xf numFmtId="2" fontId="27" fillId="4" borderId="11" xfId="9" applyNumberFormat="1" applyFont="1" applyFill="1" applyBorder="1" applyProtection="1">
      <protection locked="0"/>
    </xf>
    <xf numFmtId="2" fontId="27" fillId="4" borderId="13" xfId="9" applyNumberFormat="1" applyFont="1" applyFill="1" applyBorder="1" applyProtection="1">
      <protection locked="0"/>
    </xf>
    <xf numFmtId="165" fontId="27" fillId="4" borderId="31" xfId="9" applyNumberFormat="1" applyFont="1" applyFill="1" applyBorder="1" applyProtection="1">
      <protection locked="0"/>
    </xf>
    <xf numFmtId="165" fontId="27" fillId="4" borderId="32" xfId="9" applyNumberFormat="1" applyFont="1" applyFill="1" applyBorder="1" applyProtection="1">
      <protection locked="0"/>
    </xf>
    <xf numFmtId="165" fontId="27" fillId="4" borderId="28" xfId="9" applyNumberFormat="1" applyFont="1" applyFill="1" applyBorder="1" applyProtection="1">
      <protection locked="0"/>
    </xf>
    <xf numFmtId="165" fontId="27" fillId="4" borderId="29" xfId="9" applyNumberFormat="1" applyFont="1" applyFill="1" applyBorder="1" applyProtection="1">
      <protection locked="0"/>
    </xf>
    <xf numFmtId="165" fontId="27" fillId="4" borderId="110" xfId="9" applyNumberFormat="1" applyFont="1" applyFill="1" applyBorder="1" applyProtection="1">
      <protection locked="0"/>
    </xf>
    <xf numFmtId="165" fontId="27" fillId="4" borderId="11" xfId="9" applyNumberFormat="1" applyFont="1" applyFill="1" applyBorder="1" applyProtection="1">
      <protection locked="0"/>
    </xf>
    <xf numFmtId="165" fontId="27" fillId="4" borderId="13" xfId="9" applyNumberFormat="1" applyFont="1" applyFill="1" applyBorder="1" applyProtection="1">
      <protection locked="0"/>
    </xf>
    <xf numFmtId="0" fontId="10" fillId="0" borderId="0" xfId="0" applyFont="1"/>
    <xf numFmtId="0" fontId="8" fillId="3" borderId="0" xfId="4" applyAlignment="1">
      <alignment vertical="center" wrapText="1"/>
    </xf>
    <xf numFmtId="0" fontId="8" fillId="3" borderId="0" xfId="4" applyAlignment="1">
      <alignment vertical="center"/>
    </xf>
    <xf numFmtId="0" fontId="43" fillId="12" borderId="0" xfId="0" applyFont="1" applyFill="1" applyAlignment="1">
      <alignment horizontal="left" vertical="top" wrapText="1"/>
    </xf>
    <xf numFmtId="0" fontId="43" fillId="0" borderId="0" xfId="0" applyFont="1"/>
    <xf numFmtId="0" fontId="10" fillId="0" borderId="0" xfId="0" applyFont="1" applyAlignment="1">
      <alignment horizontal="left" vertical="top" wrapText="1"/>
    </xf>
    <xf numFmtId="0" fontId="10" fillId="0" borderId="0" xfId="0" quotePrefix="1" applyFont="1" applyAlignment="1">
      <alignment horizontal="left" vertical="top" wrapText="1"/>
    </xf>
    <xf numFmtId="0" fontId="19" fillId="0" borderId="0" xfId="0" applyFont="1" applyAlignment="1">
      <alignment horizontal="left" vertical="top" wrapText="1"/>
    </xf>
    <xf numFmtId="0" fontId="3" fillId="0" borderId="0" xfId="0" applyFont="1"/>
    <xf numFmtId="0" fontId="44" fillId="13" borderId="111" xfId="0" applyFont="1" applyFill="1" applyBorder="1" applyAlignment="1">
      <alignment vertical="center" wrapText="1"/>
    </xf>
    <xf numFmtId="0" fontId="45" fillId="14" borderId="112" xfId="0" applyFont="1" applyFill="1" applyBorder="1" applyAlignment="1">
      <alignment vertical="center" wrapText="1"/>
    </xf>
    <xf numFmtId="0" fontId="46" fillId="0" borderId="0" xfId="0" applyFont="1" applyAlignment="1">
      <alignment vertical="center"/>
    </xf>
    <xf numFmtId="0" fontId="45" fillId="0" borderId="0" xfId="0" applyFont="1" applyAlignment="1">
      <alignment vertical="center"/>
    </xf>
    <xf numFmtId="0" fontId="47" fillId="0" borderId="0" xfId="0" applyFont="1" applyAlignment="1">
      <alignment vertical="center"/>
    </xf>
    <xf numFmtId="0" fontId="15" fillId="0" borderId="7" xfId="5" applyFont="1" applyBorder="1" applyAlignment="1" applyProtection="1">
      <alignment horizontal="center" vertical="center"/>
    </xf>
    <xf numFmtId="0" fontId="15" fillId="0" borderId="10" xfId="5" applyFont="1" applyBorder="1" applyAlignment="1" applyProtection="1">
      <alignment horizontal="center" vertical="center"/>
    </xf>
    <xf numFmtId="0" fontId="15" fillId="0" borderId="10" xfId="5" quotePrefix="1" applyFont="1" applyBorder="1" applyAlignment="1" applyProtection="1">
      <alignment horizontal="center" vertical="center"/>
    </xf>
    <xf numFmtId="0" fontId="15" fillId="0" borderId="13" xfId="5" quotePrefix="1" applyFont="1" applyBorder="1" applyAlignment="1" applyProtection="1">
      <alignment horizontal="center" vertical="center"/>
    </xf>
    <xf numFmtId="0" fontId="15" fillId="0" borderId="7" xfId="5" applyFont="1" applyBorder="1" applyAlignment="1" applyProtection="1">
      <alignment horizontal="center" vertical="center" wrapText="1"/>
    </xf>
    <xf numFmtId="0" fontId="4" fillId="2" borderId="0" xfId="6" applyFont="1" applyFill="1" applyAlignment="1">
      <alignment vertical="center"/>
    </xf>
    <xf numFmtId="0" fontId="4" fillId="2" borderId="0" xfId="6" applyFont="1" applyFill="1" applyAlignment="1">
      <alignment horizontal="left" vertical="center"/>
    </xf>
    <xf numFmtId="0" fontId="4" fillId="2" borderId="0" xfId="6" applyFont="1" applyFill="1" applyAlignment="1">
      <alignment horizontal="right" vertical="center"/>
    </xf>
    <xf numFmtId="0" fontId="25" fillId="2" borderId="0" xfId="6" applyFont="1" applyFill="1" applyAlignment="1">
      <alignment horizontal="left" vertical="center"/>
    </xf>
    <xf numFmtId="0" fontId="1" fillId="0" borderId="0" xfId="6" applyAlignment="1">
      <alignment vertical="center"/>
    </xf>
    <xf numFmtId="0" fontId="1" fillId="3" borderId="0" xfId="6" applyFill="1" applyAlignment="1">
      <alignment vertical="center"/>
    </xf>
    <xf numFmtId="0" fontId="19" fillId="0" borderId="0" xfId="0" applyFont="1" applyAlignment="1">
      <alignment vertical="center"/>
    </xf>
    <xf numFmtId="0" fontId="10" fillId="0" borderId="0" xfId="6" applyFont="1" applyAlignment="1">
      <alignment vertical="center"/>
    </xf>
    <xf numFmtId="0" fontId="19" fillId="0" borderId="0" xfId="9" applyAlignment="1">
      <alignment vertical="center"/>
    </xf>
    <xf numFmtId="0" fontId="19" fillId="10" borderId="0" xfId="9" applyFill="1" applyAlignment="1">
      <alignment vertical="center"/>
    </xf>
    <xf numFmtId="0" fontId="24" fillId="6" borderId="0" xfId="6" applyFont="1" applyFill="1" applyAlignment="1">
      <alignment horizontal="left" vertical="center"/>
    </xf>
    <xf numFmtId="0" fontId="1" fillId="6" borderId="0" xfId="6" applyFill="1" applyAlignment="1">
      <alignment vertical="center"/>
    </xf>
    <xf numFmtId="0" fontId="8" fillId="3" borderId="12" xfId="6" applyFont="1" applyFill="1" applyBorder="1" applyAlignment="1">
      <alignment horizontal="center" vertical="center" wrapText="1"/>
    </xf>
    <xf numFmtId="0" fontId="24" fillId="0" borderId="0" xfId="6" applyFont="1" applyAlignment="1">
      <alignment vertical="center"/>
    </xf>
    <xf numFmtId="0" fontId="8" fillId="3" borderId="1" xfId="6" applyFont="1" applyFill="1" applyBorder="1" applyAlignment="1">
      <alignment vertical="center"/>
    </xf>
    <xf numFmtId="0" fontId="0" fillId="3" borderId="35" xfId="0" applyFill="1" applyBorder="1"/>
    <xf numFmtId="0" fontId="8" fillId="3" borderId="33" xfId="6" applyFont="1" applyFill="1" applyBorder="1" applyAlignment="1">
      <alignment horizontal="center" vertical="center"/>
    </xf>
    <xf numFmtId="0" fontId="8" fillId="3" borderId="4" xfId="6" applyFont="1" applyFill="1" applyBorder="1" applyAlignment="1">
      <alignment vertical="center"/>
    </xf>
    <xf numFmtId="0" fontId="26" fillId="0" borderId="0" xfId="6" applyFont="1" applyAlignment="1">
      <alignment vertical="center"/>
    </xf>
    <xf numFmtId="0" fontId="24" fillId="0" borderId="5" xfId="6" applyFont="1" applyBorder="1" applyAlignment="1">
      <alignment horizontal="center" vertical="center"/>
    </xf>
    <xf numFmtId="0" fontId="10" fillId="0" borderId="9" xfId="6" applyFont="1" applyBorder="1" applyAlignment="1">
      <alignment vertical="center"/>
    </xf>
    <xf numFmtId="0" fontId="26" fillId="0" borderId="6" xfId="6" applyFont="1" applyBorder="1" applyAlignment="1">
      <alignment horizontal="center" vertical="center"/>
    </xf>
    <xf numFmtId="0" fontId="26" fillId="0" borderId="7" xfId="6" applyFont="1" applyBorder="1" applyAlignment="1">
      <alignment horizontal="center" vertical="center"/>
    </xf>
    <xf numFmtId="165" fontId="27" fillId="7" borderId="5" xfId="9" applyNumberFormat="1" applyFont="1" applyFill="1" applyBorder="1"/>
    <xf numFmtId="0" fontId="26" fillId="0" borderId="5" xfId="6" applyFont="1" applyBorder="1" applyAlignment="1">
      <alignment horizontal="center" vertical="center"/>
    </xf>
    <xf numFmtId="1" fontId="19" fillId="0" borderId="0" xfId="9" applyNumberFormat="1"/>
    <xf numFmtId="0" fontId="24" fillId="6" borderId="0" xfId="6" applyFont="1" applyFill="1" applyAlignment="1">
      <alignment horizontal="center" vertical="center"/>
    </xf>
    <xf numFmtId="0" fontId="24" fillId="0" borderId="8" xfId="6" applyFont="1" applyBorder="1" applyAlignment="1">
      <alignment horizontal="center" vertical="center"/>
    </xf>
    <xf numFmtId="0" fontId="26" fillId="0" borderId="9" xfId="6" applyFont="1" applyBorder="1" applyAlignment="1">
      <alignment horizontal="center" vertical="center"/>
    </xf>
    <xf numFmtId="0" fontId="26" fillId="0" borderId="10" xfId="6" applyFont="1" applyBorder="1" applyAlignment="1">
      <alignment horizontal="center" vertical="center"/>
    </xf>
    <xf numFmtId="165" fontId="27" fillId="7" borderId="8" xfId="9" applyNumberFormat="1" applyFont="1" applyFill="1" applyBorder="1"/>
    <xf numFmtId="0" fontId="26" fillId="0" borderId="8" xfId="6" applyFont="1" applyBorder="1" applyAlignment="1">
      <alignment horizontal="center" vertical="center"/>
    </xf>
    <xf numFmtId="0" fontId="26" fillId="0" borderId="11" xfId="6" applyFont="1" applyBorder="1" applyAlignment="1">
      <alignment horizontal="center" vertical="center"/>
    </xf>
    <xf numFmtId="0" fontId="26" fillId="0" borderId="13" xfId="6" applyFont="1" applyBorder="1" applyAlignment="1">
      <alignment horizontal="center" vertical="center"/>
    </xf>
    <xf numFmtId="0" fontId="24" fillId="0" borderId="11" xfId="6" applyFont="1" applyBorder="1" applyAlignment="1">
      <alignment horizontal="center" vertical="center"/>
    </xf>
    <xf numFmtId="0" fontId="10" fillId="0" borderId="12" xfId="6" applyFont="1" applyBorder="1" applyAlignment="1">
      <alignment vertical="center"/>
    </xf>
    <xf numFmtId="0" fontId="26" fillId="0" borderId="12" xfId="6" applyFont="1" applyBorder="1" applyAlignment="1">
      <alignment horizontal="center" vertical="center"/>
    </xf>
    <xf numFmtId="165" fontId="27" fillId="7" borderId="11" xfId="9" applyNumberFormat="1" applyFont="1" applyFill="1" applyBorder="1"/>
    <xf numFmtId="165" fontId="27" fillId="7" borderId="12" xfId="9" applyNumberFormat="1" applyFont="1" applyFill="1" applyBorder="1"/>
    <xf numFmtId="165" fontId="27" fillId="7" borderId="13" xfId="9" applyNumberFormat="1" applyFont="1" applyFill="1" applyBorder="1"/>
    <xf numFmtId="165" fontId="27" fillId="7" borderId="30" xfId="9" applyNumberFormat="1" applyFont="1" applyFill="1" applyBorder="1"/>
    <xf numFmtId="2" fontId="0" fillId="0" borderId="0" xfId="0" applyNumberFormat="1"/>
    <xf numFmtId="0" fontId="1" fillId="0" borderId="25" xfId="8" applyBorder="1" applyAlignment="1">
      <alignment horizontal="center" vertical="center"/>
    </xf>
    <xf numFmtId="0" fontId="1" fillId="0" borderId="0" xfId="8" applyAlignment="1">
      <alignment vertical="center"/>
    </xf>
    <xf numFmtId="165" fontId="1" fillId="0" borderId="0" xfId="8" applyNumberFormat="1" applyAlignment="1">
      <alignment vertical="center"/>
    </xf>
    <xf numFmtId="165" fontId="0" fillId="0" borderId="0" xfId="0" applyNumberFormat="1"/>
    <xf numFmtId="0" fontId="8" fillId="3" borderId="55" xfId="6" applyFont="1" applyFill="1" applyBorder="1" applyAlignment="1">
      <alignment horizontal="center" vertical="center"/>
    </xf>
    <xf numFmtId="0" fontId="8" fillId="3" borderId="16" xfId="6" applyFont="1" applyFill="1" applyBorder="1" applyAlignment="1">
      <alignment vertical="center"/>
    </xf>
    <xf numFmtId="0" fontId="26" fillId="0" borderId="0" xfId="6" applyFont="1" applyAlignment="1">
      <alignment horizontal="center" vertical="center"/>
    </xf>
    <xf numFmtId="0" fontId="10" fillId="0" borderId="6" xfId="6" applyFont="1" applyBorder="1" applyAlignment="1">
      <alignment vertical="center"/>
    </xf>
    <xf numFmtId="0" fontId="26" fillId="0" borderId="0" xfId="8" applyFont="1" applyAlignment="1">
      <alignment horizontal="center" vertical="center"/>
    </xf>
    <xf numFmtId="0" fontId="24" fillId="3" borderId="0" xfId="8" applyFont="1" applyFill="1" applyAlignment="1">
      <alignment horizontal="center" vertical="center"/>
    </xf>
    <xf numFmtId="0" fontId="1" fillId="0" borderId="0" xfId="8" applyAlignment="1">
      <alignment horizontal="center" vertical="center"/>
    </xf>
    <xf numFmtId="0" fontId="24" fillId="0" borderId="0" xfId="6" applyFont="1" applyAlignment="1">
      <alignment horizontal="center" vertical="center"/>
    </xf>
    <xf numFmtId="0" fontId="26" fillId="3" borderId="0" xfId="8" applyFont="1" applyFill="1" applyAlignment="1">
      <alignment horizontal="center" vertical="center"/>
    </xf>
    <xf numFmtId="165" fontId="27" fillId="7" borderId="35" xfId="9" applyNumberFormat="1" applyFont="1" applyFill="1" applyBorder="1"/>
    <xf numFmtId="0" fontId="24" fillId="0" borderId="0" xfId="8" applyFont="1" applyAlignment="1">
      <alignment horizontal="center" vertical="center"/>
    </xf>
    <xf numFmtId="165" fontId="27" fillId="7" borderId="27" xfId="9" applyNumberFormat="1" applyFont="1" applyFill="1" applyBorder="1"/>
    <xf numFmtId="0" fontId="10" fillId="0" borderId="0" xfId="8" applyFont="1" applyAlignment="1">
      <alignment horizontal="center" vertical="center"/>
    </xf>
    <xf numFmtId="0" fontId="24" fillId="0" borderId="2" xfId="6" applyFont="1" applyBorder="1" applyAlignment="1">
      <alignment horizontal="center" vertical="center"/>
    </xf>
    <xf numFmtId="0" fontId="10" fillId="0" borderId="3" xfId="6" applyFont="1" applyBorder="1" applyAlignment="1">
      <alignment vertical="center"/>
    </xf>
    <xf numFmtId="0" fontId="26" fillId="0" borderId="3" xfId="6" applyFont="1" applyBorder="1" applyAlignment="1">
      <alignment horizontal="center" vertical="center"/>
    </xf>
    <xf numFmtId="0" fontId="26" fillId="0" borderId="4" xfId="6" applyFont="1" applyBorder="1" applyAlignment="1">
      <alignment horizontal="center" vertical="center"/>
    </xf>
    <xf numFmtId="165" fontId="27" fillId="7" borderId="2" xfId="9" applyNumberFormat="1" applyFont="1" applyFill="1" applyBorder="1"/>
    <xf numFmtId="165" fontId="27" fillId="7" borderId="3" xfId="9" applyNumberFormat="1" applyFont="1" applyFill="1" applyBorder="1"/>
    <xf numFmtId="165" fontId="27" fillId="7" borderId="4" xfId="9" applyNumberFormat="1" applyFont="1" applyFill="1" applyBorder="1"/>
    <xf numFmtId="165" fontId="27" fillId="7" borderId="1" xfId="9" applyNumberFormat="1" applyFont="1" applyFill="1" applyBorder="1"/>
    <xf numFmtId="0" fontId="27" fillId="0" borderId="0" xfId="9" applyFont="1" applyAlignment="1">
      <alignment vertical="center"/>
    </xf>
    <xf numFmtId="0" fontId="27" fillId="0" borderId="0" xfId="9" applyFont="1" applyAlignment="1">
      <alignment horizontal="left" vertical="center"/>
    </xf>
    <xf numFmtId="0" fontId="27" fillId="0" borderId="0" xfId="9" applyFont="1" applyAlignment="1">
      <alignment horizontal="left"/>
    </xf>
    <xf numFmtId="0" fontId="27" fillId="7" borderId="9" xfId="9" applyFont="1" applyFill="1" applyBorder="1"/>
    <xf numFmtId="0" fontId="27" fillId="0" borderId="0" xfId="9" applyFont="1"/>
    <xf numFmtId="0" fontId="27" fillId="9" borderId="9" xfId="9" applyFont="1" applyFill="1" applyBorder="1"/>
    <xf numFmtId="0" fontId="28" fillId="3" borderId="33" xfId="9" applyFont="1" applyFill="1" applyBorder="1" applyAlignment="1">
      <alignment vertical="center"/>
    </xf>
    <xf numFmtId="0" fontId="29" fillId="3" borderId="34" xfId="9" applyFont="1" applyFill="1" applyBorder="1" applyAlignment="1">
      <alignment horizontal="left" vertical="center"/>
    </xf>
    <xf numFmtId="0" fontId="29" fillId="3" borderId="34" xfId="9" applyFont="1" applyFill="1" applyBorder="1" applyAlignment="1">
      <alignment vertical="center"/>
    </xf>
    <xf numFmtId="0" fontId="30" fillId="3" borderId="35" xfId="9" applyFont="1" applyFill="1" applyBorder="1" applyAlignment="1">
      <alignment vertical="center"/>
    </xf>
    <xf numFmtId="0" fontId="19" fillId="0" borderId="0" xfId="9"/>
    <xf numFmtId="0" fontId="19" fillId="0" borderId="0" xfId="9" applyAlignment="1">
      <alignment horizontal="left"/>
    </xf>
    <xf numFmtId="0" fontId="1" fillId="0" borderId="0" xfId="8" applyAlignment="1">
      <alignment horizontal="left" vertical="center"/>
    </xf>
    <xf numFmtId="0" fontId="42" fillId="0" borderId="0" xfId="8" applyFont="1" applyAlignment="1">
      <alignment vertical="center"/>
    </xf>
    <xf numFmtId="0" fontId="30" fillId="3" borderId="35" xfId="9" applyFont="1" applyFill="1" applyBorder="1" applyAlignment="1">
      <alignment horizontal="right" vertical="center"/>
    </xf>
    <xf numFmtId="0" fontId="19" fillId="0" borderId="0" xfId="9" applyAlignment="1">
      <alignment horizontal="left" vertical="center"/>
    </xf>
    <xf numFmtId="0" fontId="13" fillId="0" borderId="2" xfId="9" applyFont="1" applyBorder="1" applyAlignment="1">
      <alignment horizontal="center" vertical="top"/>
    </xf>
    <xf numFmtId="0" fontId="26" fillId="0" borderId="35" xfId="8" applyFont="1" applyBorder="1" applyAlignment="1">
      <alignment horizontal="center" vertical="center"/>
    </xf>
    <xf numFmtId="0" fontId="27" fillId="0" borderId="46" xfId="9" applyFont="1" applyBorder="1" applyAlignment="1">
      <alignment horizontal="center" vertical="top"/>
    </xf>
    <xf numFmtId="0" fontId="32" fillId="0" borderId="0" xfId="6" applyFont="1" applyAlignment="1">
      <alignment horizontal="center" vertical="center"/>
    </xf>
    <xf numFmtId="0" fontId="27" fillId="0" borderId="8" xfId="9" applyFont="1" applyBorder="1" applyAlignment="1">
      <alignment horizontal="center" vertical="top"/>
    </xf>
    <xf numFmtId="0" fontId="27" fillId="0" borderId="11" xfId="0" applyFont="1" applyBorder="1" applyAlignment="1">
      <alignment horizontal="center" vertical="top"/>
    </xf>
    <xf numFmtId="0" fontId="32" fillId="0" borderId="0" xfId="6" applyFont="1" applyAlignment="1">
      <alignment horizontal="center" vertical="center" wrapText="1"/>
    </xf>
    <xf numFmtId="0" fontId="24" fillId="0" borderId="0" xfId="8" applyFont="1" applyAlignment="1">
      <alignment vertical="center"/>
    </xf>
    <xf numFmtId="165" fontId="27" fillId="9" borderId="18" xfId="9" applyNumberFormat="1" applyFont="1" applyFill="1" applyBorder="1"/>
    <xf numFmtId="165" fontId="24" fillId="0" borderId="0" xfId="6" applyNumberFormat="1" applyFont="1" applyAlignment="1">
      <alignment vertical="center"/>
    </xf>
    <xf numFmtId="165" fontId="27" fillId="7" borderId="32" xfId="9" applyNumberFormat="1" applyFont="1" applyFill="1" applyBorder="1"/>
    <xf numFmtId="2" fontId="27" fillId="7" borderId="32" xfId="9" applyNumberFormat="1" applyFont="1" applyFill="1" applyBorder="1"/>
    <xf numFmtId="0" fontId="19" fillId="0" borderId="0" xfId="9" applyAlignment="1">
      <alignment vertical="center" wrapText="1"/>
    </xf>
    <xf numFmtId="0" fontId="26" fillId="0" borderId="47" xfId="6" applyFont="1" applyBorder="1" applyAlignment="1">
      <alignment horizontal="center" vertical="center"/>
    </xf>
    <xf numFmtId="0" fontId="26" fillId="0" borderId="50" xfId="6" applyFont="1" applyBorder="1" applyAlignment="1">
      <alignment horizontal="center" vertical="center"/>
    </xf>
    <xf numFmtId="2" fontId="27" fillId="7" borderId="30" xfId="9" applyNumberFormat="1" applyFont="1" applyFill="1" applyBorder="1"/>
    <xf numFmtId="0" fontId="0" fillId="0" borderId="0" xfId="6" applyFont="1" applyAlignment="1">
      <alignment vertical="center"/>
    </xf>
    <xf numFmtId="0" fontId="24" fillId="0" borderId="46" xfId="6" applyFont="1" applyBorder="1" applyAlignment="1">
      <alignment horizontal="center" vertical="center"/>
    </xf>
    <xf numFmtId="0" fontId="10" fillId="0" borderId="47" xfId="6" applyFont="1" applyBorder="1" applyAlignment="1">
      <alignment vertical="center"/>
    </xf>
    <xf numFmtId="0" fontId="10" fillId="0" borderId="47" xfId="6" applyFont="1" applyBorder="1" applyAlignment="1">
      <alignment vertical="center" wrapText="1"/>
    </xf>
    <xf numFmtId="0" fontId="10" fillId="0" borderId="9" xfId="6" applyFont="1" applyBorder="1" applyAlignment="1">
      <alignment vertical="center" wrapText="1"/>
    </xf>
    <xf numFmtId="0" fontId="24" fillId="0" borderId="19" xfId="6" applyFont="1" applyBorder="1" applyAlignment="1">
      <alignment horizontal="center" vertical="center"/>
    </xf>
    <xf numFmtId="0" fontId="26" fillId="0" borderId="20" xfId="6" applyFont="1" applyBorder="1" applyAlignment="1">
      <alignment horizontal="center" vertical="center"/>
    </xf>
    <xf numFmtId="0" fontId="26" fillId="0" borderId="21" xfId="6" applyFont="1" applyBorder="1" applyAlignment="1">
      <alignment horizontal="center" vertical="center"/>
    </xf>
    <xf numFmtId="0" fontId="10" fillId="0" borderId="0" xfId="8" applyFont="1" applyAlignment="1">
      <alignment vertical="center"/>
    </xf>
    <xf numFmtId="0" fontId="10" fillId="0" borderId="0" xfId="8" applyFont="1" applyAlignment="1">
      <alignment horizontal="left" vertical="center"/>
    </xf>
    <xf numFmtId="0" fontId="32" fillId="0" borderId="0" xfId="6" applyFont="1" applyAlignment="1">
      <alignment horizontal="center" vertical="top"/>
    </xf>
    <xf numFmtId="0" fontId="27" fillId="0" borderId="5" xfId="9" applyFont="1" applyBorder="1" applyAlignment="1">
      <alignment horizontal="center" vertical="top"/>
    </xf>
    <xf numFmtId="0" fontId="32" fillId="0" borderId="0" xfId="6" applyFont="1" applyAlignment="1">
      <alignment horizontal="center" vertical="top" wrapText="1"/>
    </xf>
    <xf numFmtId="0" fontId="27" fillId="0" borderId="11" xfId="9" applyFont="1" applyBorder="1" applyAlignment="1">
      <alignment horizontal="center" vertical="top"/>
    </xf>
    <xf numFmtId="0" fontId="8" fillId="3" borderId="3" xfId="6" applyFont="1" applyFill="1" applyBorder="1" applyAlignment="1">
      <alignment horizontal="center" vertical="center"/>
    </xf>
    <xf numFmtId="0" fontId="8" fillId="3" borderId="4" xfId="6" applyFont="1" applyFill="1" applyBorder="1" applyAlignment="1">
      <alignment horizontal="center" vertical="center"/>
    </xf>
    <xf numFmtId="0" fontId="8" fillId="3" borderId="2" xfId="6" applyFont="1" applyFill="1" applyBorder="1" applyAlignment="1">
      <alignment horizontal="center" vertical="center" wrapText="1"/>
    </xf>
    <xf numFmtId="0" fontId="8" fillId="3" borderId="4" xfId="6" applyFont="1" applyFill="1" applyBorder="1" applyAlignment="1">
      <alignment horizontal="center" vertical="center" wrapText="1"/>
    </xf>
    <xf numFmtId="0" fontId="8" fillId="3" borderId="1" xfId="6" applyFont="1" applyFill="1" applyBorder="1" applyAlignment="1">
      <alignment horizontal="center" vertical="center" wrapText="1"/>
    </xf>
    <xf numFmtId="165" fontId="24" fillId="7" borderId="5" xfId="6" applyNumberFormat="1" applyFont="1" applyFill="1" applyBorder="1" applyAlignment="1">
      <alignment vertical="center"/>
    </xf>
    <xf numFmtId="165" fontId="24" fillId="7" borderId="6" xfId="6" applyNumberFormat="1" applyFont="1" applyFill="1" applyBorder="1" applyAlignment="1">
      <alignment vertical="center"/>
    </xf>
    <xf numFmtId="165" fontId="24" fillId="7" borderId="7" xfId="6" applyNumberFormat="1" applyFont="1" applyFill="1" applyBorder="1" applyAlignment="1">
      <alignment vertical="center"/>
    </xf>
    <xf numFmtId="165" fontId="24" fillId="9" borderId="8" xfId="6" applyNumberFormat="1" applyFont="1" applyFill="1" applyBorder="1" applyAlignment="1">
      <alignment vertical="center"/>
    </xf>
    <xf numFmtId="165" fontId="24" fillId="9" borderId="9" xfId="6" applyNumberFormat="1" applyFont="1" applyFill="1" applyBorder="1" applyAlignment="1">
      <alignment vertical="center"/>
    </xf>
    <xf numFmtId="165" fontId="24" fillId="7" borderId="10" xfId="6" applyNumberFormat="1" applyFont="1" applyFill="1" applyBorder="1" applyAlignment="1">
      <alignment vertical="center"/>
    </xf>
    <xf numFmtId="165" fontId="24" fillId="7" borderId="11" xfId="6" applyNumberFormat="1" applyFont="1" applyFill="1" applyBorder="1" applyAlignment="1">
      <alignment vertical="center"/>
    </xf>
    <xf numFmtId="165" fontId="24" fillId="7" borderId="12" xfId="6" applyNumberFormat="1" applyFont="1" applyFill="1" applyBorder="1" applyAlignment="1">
      <alignment vertical="center"/>
    </xf>
    <xf numFmtId="165" fontId="24" fillId="7" borderId="13" xfId="6" applyNumberFormat="1" applyFont="1" applyFill="1" applyBorder="1" applyAlignment="1">
      <alignment vertical="center"/>
    </xf>
    <xf numFmtId="165" fontId="24" fillId="7" borderId="24" xfId="6" applyNumberFormat="1" applyFont="1" applyFill="1" applyBorder="1" applyAlignment="1">
      <alignment vertical="center"/>
    </xf>
    <xf numFmtId="165" fontId="24" fillId="7" borderId="26" xfId="6" applyNumberFormat="1" applyFont="1" applyFill="1" applyBorder="1" applyAlignment="1">
      <alignment vertical="center"/>
    </xf>
    <xf numFmtId="165" fontId="24" fillId="7" borderId="27" xfId="6" applyNumberFormat="1" applyFont="1" applyFill="1" applyBorder="1" applyAlignment="1">
      <alignment vertical="center"/>
    </xf>
    <xf numFmtId="165" fontId="24" fillId="7" borderId="31" xfId="6" applyNumberFormat="1" applyFont="1" applyFill="1" applyBorder="1" applyAlignment="1">
      <alignment vertical="center"/>
    </xf>
    <xf numFmtId="165" fontId="24" fillId="7" borderId="30" xfId="6" applyNumberFormat="1" applyFont="1" applyFill="1" applyBorder="1" applyAlignment="1">
      <alignment vertical="center"/>
    </xf>
    <xf numFmtId="0" fontId="24" fillId="0" borderId="25" xfId="8" applyFont="1" applyBorder="1" applyAlignment="1">
      <alignment horizontal="center" vertical="center"/>
    </xf>
    <xf numFmtId="0" fontId="24" fillId="0" borderId="0" xfId="8" applyFont="1"/>
    <xf numFmtId="0" fontId="27" fillId="0" borderId="0" xfId="9" applyFont="1" applyAlignment="1">
      <alignment horizontal="center" vertical="top"/>
    </xf>
    <xf numFmtId="0" fontId="27" fillId="0" borderId="0" xfId="9" applyFont="1" applyAlignment="1">
      <alignment vertical="center" wrapText="1"/>
    </xf>
    <xf numFmtId="0" fontId="32" fillId="0" borderId="0" xfId="8" applyFont="1" applyAlignment="1">
      <alignment horizontal="center"/>
    </xf>
    <xf numFmtId="0" fontId="32" fillId="0" borderId="0" xfId="8" applyFont="1" applyAlignment="1">
      <alignment horizontal="center" wrapText="1"/>
    </xf>
    <xf numFmtId="0" fontId="1" fillId="0" borderId="89" xfId="6" applyBorder="1" applyAlignment="1">
      <alignment vertical="center"/>
    </xf>
    <xf numFmtId="0" fontId="1" fillId="0" borderId="90" xfId="6" applyBorder="1" applyAlignment="1">
      <alignment vertical="center"/>
    </xf>
    <xf numFmtId="0" fontId="1" fillId="0" borderId="91" xfId="6" applyBorder="1" applyAlignment="1">
      <alignment vertical="center"/>
    </xf>
    <xf numFmtId="0" fontId="8" fillId="3" borderId="70" xfId="6" applyFont="1" applyFill="1" applyBorder="1" applyAlignment="1">
      <alignment horizontal="center" vertical="center" wrapText="1"/>
    </xf>
    <xf numFmtId="0" fontId="8" fillId="3" borderId="71" xfId="6" applyFont="1" applyFill="1" applyBorder="1" applyAlignment="1">
      <alignment horizontal="center" vertical="center" wrapText="1"/>
    </xf>
    <xf numFmtId="0" fontId="8" fillId="3" borderId="73" xfId="6" applyFont="1" applyFill="1" applyBorder="1" applyAlignment="1">
      <alignment horizontal="center" vertical="center" wrapText="1"/>
    </xf>
    <xf numFmtId="0" fontId="8" fillId="3" borderId="72" xfId="6" applyFont="1" applyFill="1" applyBorder="1" applyAlignment="1">
      <alignment horizontal="center" vertical="center" wrapText="1"/>
    </xf>
    <xf numFmtId="0" fontId="26" fillId="0" borderId="36" xfId="6" applyFont="1" applyBorder="1" applyAlignment="1">
      <alignment horizontal="center" vertical="center"/>
    </xf>
    <xf numFmtId="165" fontId="24" fillId="7" borderId="69" xfId="6" applyNumberFormat="1" applyFont="1" applyFill="1" applyBorder="1" applyAlignment="1">
      <alignment vertical="center"/>
    </xf>
    <xf numFmtId="0" fontId="26" fillId="0" borderId="38" xfId="6" applyFont="1" applyBorder="1" applyAlignment="1">
      <alignment horizontal="center" vertical="center"/>
    </xf>
    <xf numFmtId="165" fontId="24" fillId="7" borderId="95" xfId="6" applyNumberFormat="1" applyFont="1" applyFill="1" applyBorder="1" applyAlignment="1">
      <alignment vertical="center"/>
    </xf>
    <xf numFmtId="0" fontId="10" fillId="0" borderId="44" xfId="6" applyFont="1" applyBorder="1" applyAlignment="1">
      <alignment vertical="center"/>
    </xf>
    <xf numFmtId="165" fontId="24" fillId="11" borderId="96" xfId="6" applyNumberFormat="1" applyFont="1" applyFill="1" applyBorder="1" applyAlignment="1">
      <alignment vertical="center"/>
    </xf>
    <xf numFmtId="165" fontId="24" fillId="11" borderId="0" xfId="6" applyNumberFormat="1" applyFont="1" applyFill="1" applyAlignment="1">
      <alignment vertical="center"/>
    </xf>
    <xf numFmtId="165" fontId="24" fillId="7" borderId="97" xfId="6" applyNumberFormat="1" applyFont="1" applyFill="1" applyBorder="1" applyAlignment="1">
      <alignment vertical="center"/>
    </xf>
    <xf numFmtId="165" fontId="24" fillId="7" borderId="92" xfId="6" applyNumberFormat="1" applyFont="1" applyFill="1" applyBorder="1" applyAlignment="1">
      <alignment vertical="center"/>
    </xf>
    <xf numFmtId="165" fontId="24" fillId="7" borderId="93" xfId="6" applyNumberFormat="1" applyFont="1" applyFill="1" applyBorder="1" applyAlignment="1">
      <alignment vertical="center"/>
    </xf>
    <xf numFmtId="165" fontId="24" fillId="7" borderId="94" xfId="6" applyNumberFormat="1" applyFont="1" applyFill="1" applyBorder="1" applyAlignment="1">
      <alignment vertical="center"/>
    </xf>
    <xf numFmtId="0" fontId="1" fillId="0" borderId="25" xfId="6" applyBorder="1" applyAlignment="1">
      <alignment vertical="center"/>
    </xf>
    <xf numFmtId="0" fontId="26" fillId="0" borderId="40" xfId="6" applyFont="1" applyBorder="1" applyAlignment="1">
      <alignment horizontal="center" vertical="center"/>
    </xf>
    <xf numFmtId="165" fontId="24" fillId="7" borderId="72" xfId="6" applyNumberFormat="1" applyFont="1" applyFill="1" applyBorder="1" applyAlignment="1">
      <alignment vertical="center"/>
    </xf>
    <xf numFmtId="165" fontId="24" fillId="7" borderId="75" xfId="6" applyNumberFormat="1" applyFont="1" applyFill="1" applyBorder="1" applyAlignment="1">
      <alignment vertical="center"/>
    </xf>
    <xf numFmtId="0" fontId="24" fillId="0" borderId="101" xfId="6" applyFont="1" applyBorder="1" applyAlignment="1">
      <alignment horizontal="center" vertical="center"/>
    </xf>
    <xf numFmtId="0" fontId="10" fillId="0" borderId="102" xfId="6" applyFont="1" applyBorder="1" applyAlignment="1">
      <alignment vertical="center"/>
    </xf>
    <xf numFmtId="0" fontId="26" fillId="0" borderId="102" xfId="6" applyFont="1" applyBorder="1" applyAlignment="1">
      <alignment horizontal="center" vertical="center"/>
    </xf>
    <xf numFmtId="0" fontId="26" fillId="0" borderId="103" xfId="6" applyFont="1" applyBorder="1" applyAlignment="1">
      <alignment horizontal="center" vertical="center"/>
    </xf>
    <xf numFmtId="0" fontId="24" fillId="0" borderId="104" xfId="6" applyFont="1" applyBorder="1" applyAlignment="1">
      <alignment horizontal="center" vertical="center"/>
    </xf>
    <xf numFmtId="0" fontId="26" fillId="0" borderId="105" xfId="6" applyFont="1" applyBorder="1" applyAlignment="1">
      <alignment horizontal="center" vertical="center"/>
    </xf>
    <xf numFmtId="0" fontId="24" fillId="0" borderId="106" xfId="6" applyFont="1" applyBorder="1" applyAlignment="1">
      <alignment horizontal="center" vertical="center"/>
    </xf>
    <xf numFmtId="0" fontId="10" fillId="0" borderId="107" xfId="6" applyFont="1" applyBorder="1" applyAlignment="1">
      <alignment vertical="center"/>
    </xf>
    <xf numFmtId="0" fontId="26" fillId="0" borderId="107" xfId="6" applyFont="1" applyBorder="1" applyAlignment="1">
      <alignment horizontal="center" vertical="center"/>
    </xf>
    <xf numFmtId="0" fontId="26" fillId="0" borderId="108" xfId="6" applyFont="1" applyBorder="1" applyAlignment="1">
      <alignment horizontal="center" vertical="center"/>
    </xf>
    <xf numFmtId="165" fontId="24" fillId="7" borderId="32" xfId="6" applyNumberFormat="1" applyFont="1" applyFill="1" applyBorder="1" applyAlignment="1">
      <alignment vertical="center"/>
    </xf>
    <xf numFmtId="165" fontId="24" fillId="7" borderId="41" xfId="6" applyNumberFormat="1" applyFont="1" applyFill="1" applyBorder="1" applyAlignment="1">
      <alignment vertical="center"/>
    </xf>
    <xf numFmtId="165" fontId="24" fillId="7" borderId="39" xfId="6" applyNumberFormat="1" applyFont="1" applyFill="1" applyBorder="1" applyAlignment="1">
      <alignment vertical="center"/>
    </xf>
    <xf numFmtId="165" fontId="24" fillId="7" borderId="9" xfId="6" applyNumberFormat="1" applyFont="1" applyFill="1" applyBorder="1" applyAlignment="1">
      <alignment vertical="center"/>
    </xf>
    <xf numFmtId="165" fontId="24" fillId="7" borderId="8" xfId="6" applyNumberFormat="1" applyFont="1" applyFill="1" applyBorder="1" applyAlignment="1">
      <alignment vertical="center"/>
    </xf>
    <xf numFmtId="0" fontId="24" fillId="0" borderId="0" xfId="6" applyFont="1" applyAlignment="1">
      <alignment horizontal="center" vertical="center" wrapText="1"/>
    </xf>
    <xf numFmtId="165" fontId="24" fillId="7" borderId="4" xfId="6" applyNumberFormat="1" applyFont="1" applyFill="1" applyBorder="1" applyAlignment="1">
      <alignment vertical="center"/>
    </xf>
    <xf numFmtId="165" fontId="24" fillId="7" borderId="76" xfId="6" applyNumberFormat="1" applyFont="1" applyFill="1" applyBorder="1" applyAlignment="1">
      <alignment vertical="center"/>
    </xf>
    <xf numFmtId="165" fontId="24" fillId="7" borderId="77" xfId="6" applyNumberFormat="1" applyFont="1" applyFill="1" applyBorder="1" applyAlignment="1">
      <alignment vertical="center"/>
    </xf>
    <xf numFmtId="165" fontId="24" fillId="7" borderId="78" xfId="6" applyNumberFormat="1" applyFont="1" applyFill="1" applyBorder="1" applyAlignment="1">
      <alignment vertical="center"/>
    </xf>
    <xf numFmtId="165" fontId="24" fillId="7" borderId="21" xfId="6" applyNumberFormat="1" applyFont="1" applyFill="1" applyBorder="1" applyAlignment="1">
      <alignment vertical="center"/>
    </xf>
    <xf numFmtId="0" fontId="29" fillId="3" borderId="35" xfId="9" applyFont="1" applyFill="1" applyBorder="1" applyAlignment="1">
      <alignment vertical="center"/>
    </xf>
    <xf numFmtId="0" fontId="13" fillId="0" borderId="68" xfId="9" applyFont="1" applyBorder="1" applyAlignment="1">
      <alignment horizontal="center" vertical="top"/>
    </xf>
    <xf numFmtId="0" fontId="27" fillId="0" borderId="66" xfId="9" applyFont="1" applyBorder="1" applyAlignment="1">
      <alignment horizontal="center" vertical="top"/>
    </xf>
    <xf numFmtId="0" fontId="27" fillId="0" borderId="84" xfId="9" applyFont="1" applyBorder="1" applyAlignment="1">
      <alignment horizontal="center" vertical="top"/>
    </xf>
    <xf numFmtId="0" fontId="32" fillId="0" borderId="0" xfId="8" applyFont="1" applyAlignment="1">
      <alignment horizontal="center" vertical="center"/>
    </xf>
    <xf numFmtId="0" fontId="27" fillId="0" borderId="74" xfId="9" applyFont="1" applyBorder="1" applyAlignment="1">
      <alignment horizontal="center" vertical="top"/>
    </xf>
    <xf numFmtId="0" fontId="1" fillId="0" borderId="63" xfId="6" applyBorder="1" applyAlignment="1">
      <alignment vertical="center"/>
    </xf>
    <xf numFmtId="0" fontId="32" fillId="0" borderId="0" xfId="8" applyFont="1"/>
    <xf numFmtId="0" fontId="14" fillId="0" borderId="0" xfId="9" applyFont="1" applyAlignment="1">
      <alignment vertical="center"/>
    </xf>
    <xf numFmtId="0" fontId="19" fillId="0" borderId="0" xfId="11"/>
    <xf numFmtId="0" fontId="8" fillId="3" borderId="11" xfId="9" applyFont="1" applyFill="1" applyBorder="1" applyAlignment="1">
      <alignment horizontal="center" vertical="center" wrapText="1"/>
    </xf>
    <xf numFmtId="0" fontId="8" fillId="3" borderId="13" xfId="9" applyFont="1" applyFill="1" applyBorder="1" applyAlignment="1">
      <alignment horizontal="center" vertical="center" wrapText="1"/>
    </xf>
    <xf numFmtId="0" fontId="8" fillId="3" borderId="2" xfId="9" applyFont="1" applyFill="1" applyBorder="1" applyAlignment="1">
      <alignment horizontal="center" vertical="center"/>
    </xf>
    <xf numFmtId="0" fontId="19" fillId="0" borderId="2" xfId="9" applyBorder="1" applyAlignment="1">
      <alignment horizontal="center" vertical="center"/>
    </xf>
    <xf numFmtId="0" fontId="19" fillId="0" borderId="3" xfId="9" applyBorder="1" applyAlignment="1">
      <alignment horizontal="left" vertical="center"/>
    </xf>
    <xf numFmtId="0" fontId="16" fillId="0" borderId="3" xfId="9" quotePrefix="1" applyFont="1" applyBorder="1" applyAlignment="1">
      <alignment horizontal="center" vertical="center"/>
    </xf>
    <xf numFmtId="0" fontId="16" fillId="0" borderId="4" xfId="9" applyFont="1" applyBorder="1" applyAlignment="1">
      <alignment horizontal="center" vertical="center"/>
    </xf>
    <xf numFmtId="0" fontId="16" fillId="0" borderId="0" xfId="9" quotePrefix="1" applyFont="1" applyAlignment="1">
      <alignment horizontal="center" vertical="center"/>
    </xf>
    <xf numFmtId="0" fontId="16" fillId="0" borderId="0" xfId="9" applyFont="1" applyAlignment="1">
      <alignment horizontal="center" vertical="center"/>
    </xf>
    <xf numFmtId="0" fontId="27" fillId="0" borderId="0" xfId="9" applyFont="1" applyAlignment="1">
      <alignment horizontal="center" vertical="center"/>
    </xf>
    <xf numFmtId="0" fontId="16" fillId="0" borderId="0" xfId="9" applyFont="1" applyAlignment="1">
      <alignment vertical="center"/>
    </xf>
    <xf numFmtId="0" fontId="19" fillId="0" borderId="5" xfId="9" applyBorder="1" applyAlignment="1">
      <alignment horizontal="center" vertical="center"/>
    </xf>
    <xf numFmtId="0" fontId="19" fillId="0" borderId="6" xfId="9" applyBorder="1" applyAlignment="1">
      <alignment horizontal="left" vertical="center"/>
    </xf>
    <xf numFmtId="0" fontId="16" fillId="0" borderId="6" xfId="9" quotePrefix="1" applyFont="1" applyBorder="1" applyAlignment="1">
      <alignment horizontal="center" vertical="center"/>
    </xf>
    <xf numFmtId="0" fontId="16" fillId="0" borderId="7" xfId="9" applyFont="1" applyBorder="1" applyAlignment="1">
      <alignment horizontal="center" vertical="center"/>
    </xf>
    <xf numFmtId="0" fontId="19" fillId="0" borderId="8" xfId="9" applyBorder="1" applyAlignment="1">
      <alignment horizontal="center" vertical="center"/>
    </xf>
    <xf numFmtId="0" fontId="19" fillId="0" borderId="9" xfId="9" applyBorder="1" applyAlignment="1">
      <alignment horizontal="left" vertical="center"/>
    </xf>
    <xf numFmtId="0" fontId="16" fillId="0" borderId="9" xfId="9" quotePrefix="1" applyFont="1" applyBorder="1" applyAlignment="1">
      <alignment horizontal="center" vertical="center"/>
    </xf>
    <xf numFmtId="0" fontId="16" fillId="0" borderId="10" xfId="9" applyFont="1" applyBorder="1" applyAlignment="1">
      <alignment horizontal="center" vertical="center"/>
    </xf>
    <xf numFmtId="165" fontId="27" fillId="7" borderId="10" xfId="9" applyNumberFormat="1" applyFont="1" applyFill="1" applyBorder="1"/>
    <xf numFmtId="0" fontId="1" fillId="0" borderId="0" xfId="8"/>
    <xf numFmtId="0" fontId="19" fillId="0" borderId="11" xfId="9" applyBorder="1" applyAlignment="1">
      <alignment horizontal="center" vertical="center"/>
    </xf>
    <xf numFmtId="0" fontId="19" fillId="0" borderId="12" xfId="9" applyBorder="1" applyAlignment="1">
      <alignment horizontal="left" vertical="center"/>
    </xf>
    <xf numFmtId="0" fontId="16" fillId="0" borderId="12" xfId="9" applyFont="1" applyBorder="1" applyAlignment="1">
      <alignment horizontal="center" vertical="center"/>
    </xf>
    <xf numFmtId="0" fontId="16" fillId="0" borderId="13" xfId="9" applyFont="1" applyBorder="1" applyAlignment="1">
      <alignment horizontal="center" vertical="center"/>
    </xf>
    <xf numFmtId="0" fontId="13" fillId="0" borderId="33" xfId="9" applyFont="1" applyBorder="1" applyAlignment="1">
      <alignment horizontal="center" vertical="top"/>
    </xf>
    <xf numFmtId="0" fontId="27" fillId="0" borderId="5" xfId="9" applyFont="1" applyBorder="1" applyAlignment="1">
      <alignment horizontal="center" vertical="center"/>
    </xf>
    <xf numFmtId="0" fontId="27" fillId="0" borderId="8" xfId="9" applyFont="1" applyBorder="1" applyAlignment="1">
      <alignment horizontal="center" vertical="center"/>
    </xf>
    <xf numFmtId="0" fontId="27" fillId="0" borderId="11" xfId="9" applyFont="1" applyBorder="1" applyAlignment="1">
      <alignment horizontal="center" vertical="center"/>
    </xf>
    <xf numFmtId="0" fontId="32" fillId="0" borderId="0" xfId="8" applyFont="1" applyAlignment="1">
      <alignment vertical="center"/>
    </xf>
    <xf numFmtId="0" fontId="8" fillId="3" borderId="54" xfId="9" applyFont="1" applyFill="1" applyBorder="1" applyAlignment="1">
      <alignment horizontal="left" vertical="center"/>
    </xf>
    <xf numFmtId="0" fontId="8" fillId="3" borderId="24" xfId="9" applyFont="1" applyFill="1" applyBorder="1" applyAlignment="1">
      <alignment vertical="center"/>
    </xf>
    <xf numFmtId="0" fontId="34" fillId="0" borderId="0" xfId="9" applyFont="1" applyAlignment="1">
      <alignment horizontal="center" vertical="center"/>
    </xf>
    <xf numFmtId="0" fontId="19" fillId="0" borderId="0" xfId="9" applyAlignment="1">
      <alignment horizontal="center" vertical="center"/>
    </xf>
    <xf numFmtId="0" fontId="8" fillId="3" borderId="2" xfId="9" applyFont="1" applyFill="1" applyBorder="1" applyAlignment="1">
      <alignment horizontal="center" vertical="center" wrapText="1"/>
    </xf>
    <xf numFmtId="0" fontId="8" fillId="3" borderId="4" xfId="9" applyFont="1" applyFill="1" applyBorder="1" applyAlignment="1">
      <alignment horizontal="center" vertical="center" wrapText="1"/>
    </xf>
    <xf numFmtId="0" fontId="8" fillId="3" borderId="16" xfId="9" applyFont="1" applyFill="1" applyBorder="1" applyAlignment="1">
      <alignment vertical="center"/>
    </xf>
    <xf numFmtId="0" fontId="16" fillId="0" borderId="6" xfId="9" applyFont="1" applyBorder="1" applyAlignment="1">
      <alignment horizontal="center" vertical="center"/>
    </xf>
    <xf numFmtId="0" fontId="16" fillId="0" borderId="9" xfId="9" applyFont="1" applyBorder="1" applyAlignment="1">
      <alignment horizontal="center" vertical="center"/>
    </xf>
    <xf numFmtId="0" fontId="10" fillId="0" borderId="0" xfId="8" applyFont="1"/>
    <xf numFmtId="0" fontId="2" fillId="0" borderId="0" xfId="6" applyFont="1" applyAlignment="1">
      <alignment vertical="center"/>
    </xf>
    <xf numFmtId="0" fontId="33" fillId="0" borderId="0" xfId="9" applyFont="1" applyAlignment="1">
      <alignment vertical="center"/>
    </xf>
    <xf numFmtId="0" fontId="8" fillId="3" borderId="61" xfId="9" applyFont="1" applyFill="1" applyBorder="1" applyAlignment="1">
      <alignment horizontal="left" vertical="center" wrapText="1"/>
    </xf>
    <xf numFmtId="0" fontId="8" fillId="3" borderId="61" xfId="9" applyFont="1" applyFill="1" applyBorder="1" applyAlignment="1">
      <alignment horizontal="center" vertical="center" wrapText="1"/>
    </xf>
    <xf numFmtId="0" fontId="8" fillId="3" borderId="3" xfId="9" applyFont="1" applyFill="1" applyBorder="1" applyAlignment="1">
      <alignment horizontal="center" vertical="center" wrapText="1"/>
    </xf>
    <xf numFmtId="0" fontId="40" fillId="10" borderId="0" xfId="9" applyFont="1" applyFill="1" applyAlignment="1">
      <alignment horizontal="center" vertical="center"/>
    </xf>
    <xf numFmtId="0" fontId="41" fillId="0" borderId="0" xfId="6" applyFont="1" applyAlignment="1">
      <alignment horizontal="center" vertical="center"/>
    </xf>
    <xf numFmtId="0" fontId="27" fillId="0" borderId="6" xfId="9" applyFont="1" applyBorder="1" applyAlignment="1">
      <alignment vertical="center"/>
    </xf>
    <xf numFmtId="0" fontId="27" fillId="0" borderId="6" xfId="9" applyFont="1" applyBorder="1" applyAlignment="1">
      <alignment vertical="center" wrapText="1"/>
    </xf>
    <xf numFmtId="0" fontId="27" fillId="0" borderId="6" xfId="9" applyFont="1" applyBorder="1" applyAlignment="1">
      <alignment horizontal="center" vertical="center" wrapText="1"/>
    </xf>
    <xf numFmtId="0" fontId="27" fillId="0" borderId="9" xfId="9" applyFont="1" applyBorder="1" applyAlignment="1">
      <alignment horizontal="center" vertical="center" wrapText="1"/>
    </xf>
    <xf numFmtId="0" fontId="27" fillId="0" borderId="12" xfId="9" applyFont="1" applyBorder="1" applyAlignment="1">
      <alignment horizontal="center" vertical="center" wrapText="1"/>
    </xf>
    <xf numFmtId="0" fontId="13" fillId="0" borderId="0" xfId="9" applyFont="1" applyAlignment="1">
      <alignment vertical="center"/>
    </xf>
    <xf numFmtId="0" fontId="31" fillId="0" borderId="0" xfId="6" applyFont="1" applyAlignment="1">
      <alignment vertical="center" wrapText="1"/>
    </xf>
    <xf numFmtId="0" fontId="31" fillId="0" borderId="0" xfId="6" applyFont="1" applyAlignment="1">
      <alignment vertical="center"/>
    </xf>
    <xf numFmtId="0" fontId="0" fillId="0" borderId="34" xfId="0" applyBorder="1"/>
    <xf numFmtId="0" fontId="1" fillId="0" borderId="34" xfId="8" applyBorder="1" applyAlignment="1">
      <alignment vertical="center"/>
    </xf>
    <xf numFmtId="0" fontId="19" fillId="0" borderId="34" xfId="9" applyBorder="1" applyAlignment="1">
      <alignment vertical="center"/>
    </xf>
    <xf numFmtId="0" fontId="1" fillId="0" borderId="34" xfId="6" applyBorder="1" applyAlignment="1">
      <alignment vertical="center"/>
    </xf>
    <xf numFmtId="0" fontId="10" fillId="0" borderId="34" xfId="8" applyFont="1" applyBorder="1" applyAlignment="1">
      <alignment vertical="center"/>
    </xf>
    <xf numFmtId="0" fontId="10" fillId="0" borderId="35" xfId="8" applyFont="1" applyBorder="1" applyAlignment="1">
      <alignment vertical="center"/>
    </xf>
    <xf numFmtId="0" fontId="27" fillId="0" borderId="46" xfId="9" applyFont="1" applyBorder="1" applyAlignment="1">
      <alignment horizontal="center" vertical="center"/>
    </xf>
    <xf numFmtId="0" fontId="37" fillId="3" borderId="2" xfId="9" applyFont="1" applyFill="1" applyBorder="1" applyAlignment="1">
      <alignment horizontal="center" vertical="center" wrapText="1"/>
    </xf>
    <xf numFmtId="0" fontId="37" fillId="3" borderId="3" xfId="9" applyFont="1" applyFill="1" applyBorder="1" applyAlignment="1">
      <alignment horizontal="center" vertical="center" wrapText="1"/>
    </xf>
    <xf numFmtId="0" fontId="34" fillId="0" borderId="0" xfId="9" applyFont="1"/>
    <xf numFmtId="165" fontId="27" fillId="7" borderId="7" xfId="9" applyNumberFormat="1" applyFont="1" applyFill="1" applyBorder="1" applyAlignment="1">
      <alignment vertical="center"/>
    </xf>
    <xf numFmtId="165" fontId="27" fillId="7" borderId="10" xfId="9" applyNumberFormat="1" applyFont="1" applyFill="1" applyBorder="1" applyAlignment="1">
      <alignment vertical="center"/>
    </xf>
    <xf numFmtId="165" fontId="27" fillId="7" borderId="11" xfId="9" applyNumberFormat="1" applyFont="1" applyFill="1" applyBorder="1" applyAlignment="1">
      <alignment vertical="center"/>
    </xf>
    <xf numFmtId="165" fontId="27" fillId="7" borderId="12" xfId="9" applyNumberFormat="1" applyFont="1" applyFill="1" applyBorder="1" applyAlignment="1">
      <alignment vertical="center"/>
    </xf>
    <xf numFmtId="165" fontId="27" fillId="7" borderId="13" xfId="9" applyNumberFormat="1" applyFont="1" applyFill="1" applyBorder="1" applyAlignment="1">
      <alignment vertical="center"/>
    </xf>
    <xf numFmtId="0" fontId="38" fillId="0" borderId="0" xfId="9" applyFont="1" applyAlignment="1">
      <alignment horizontal="center" vertical="center"/>
    </xf>
    <xf numFmtId="0" fontId="27" fillId="0" borderId="0" xfId="11" applyFont="1" applyAlignment="1">
      <alignment vertical="center"/>
    </xf>
    <xf numFmtId="0" fontId="27" fillId="0" borderId="2" xfId="9" applyFont="1" applyBorder="1" applyAlignment="1">
      <alignment horizontal="center" vertical="center"/>
    </xf>
    <xf numFmtId="0" fontId="16" fillId="0" borderId="3" xfId="9" applyFont="1" applyBorder="1" applyAlignment="1">
      <alignment horizontal="center" vertical="center"/>
    </xf>
    <xf numFmtId="165" fontId="27" fillId="7" borderId="2" xfId="9" applyNumberFormat="1" applyFont="1" applyFill="1" applyBorder="1" applyAlignment="1">
      <alignment vertical="center"/>
    </xf>
    <xf numFmtId="165" fontId="27" fillId="7" borderId="3" xfId="9" applyNumberFormat="1" applyFont="1" applyFill="1" applyBorder="1" applyAlignment="1">
      <alignment vertical="center"/>
    </xf>
    <xf numFmtId="165" fontId="27" fillId="7" borderId="4" xfId="9" applyNumberFormat="1" applyFont="1" applyFill="1" applyBorder="1" applyAlignment="1">
      <alignment vertical="center"/>
    </xf>
    <xf numFmtId="165" fontId="27" fillId="7" borderId="30" xfId="9" applyNumberFormat="1" applyFont="1" applyFill="1" applyBorder="1" applyAlignment="1">
      <alignment vertical="center"/>
    </xf>
    <xf numFmtId="0" fontId="37" fillId="3" borderId="4" xfId="9" applyFont="1" applyFill="1" applyBorder="1" applyAlignment="1">
      <alignment horizontal="center" vertical="center" wrapText="1"/>
    </xf>
    <xf numFmtId="165" fontId="27" fillId="9" borderId="5" xfId="9" applyNumberFormat="1" applyFont="1" applyFill="1" applyBorder="1" applyAlignment="1">
      <alignment vertical="center"/>
    </xf>
    <xf numFmtId="165" fontId="27" fillId="9" borderId="6" xfId="9" applyNumberFormat="1" applyFont="1" applyFill="1" applyBorder="1" applyAlignment="1">
      <alignment vertical="center"/>
    </xf>
    <xf numFmtId="165" fontId="27" fillId="9" borderId="7" xfId="9" applyNumberFormat="1" applyFont="1" applyFill="1" applyBorder="1" applyAlignment="1">
      <alignment vertical="center"/>
    </xf>
    <xf numFmtId="0" fontId="23" fillId="0" borderId="0" xfId="8" applyFont="1" applyAlignment="1">
      <alignment horizontal="center" vertical="center"/>
    </xf>
    <xf numFmtId="165" fontId="27" fillId="7" borderId="8" xfId="9" applyNumberFormat="1" applyFont="1" applyFill="1" applyBorder="1" applyAlignment="1">
      <alignment vertical="center"/>
    </xf>
    <xf numFmtId="165" fontId="27" fillId="7" borderId="9" xfId="9" applyNumberFormat="1" applyFont="1" applyFill="1" applyBorder="1" applyAlignment="1">
      <alignment vertical="center"/>
    </xf>
    <xf numFmtId="0" fontId="31" fillId="0" borderId="0" xfId="8" applyFont="1" applyAlignment="1">
      <alignment horizontal="center" vertical="center" wrapText="1"/>
    </xf>
    <xf numFmtId="0" fontId="31" fillId="0" borderId="0" xfId="8" applyFont="1" applyAlignment="1">
      <alignment horizontal="center" vertical="center"/>
    </xf>
    <xf numFmtId="0" fontId="8" fillId="3" borderId="1" xfId="9" applyFont="1" applyFill="1" applyBorder="1" applyAlignment="1">
      <alignment horizontal="center" vertical="center" wrapText="1"/>
    </xf>
    <xf numFmtId="0" fontId="21" fillId="0" borderId="0" xfId="6" applyFont="1" applyAlignment="1">
      <alignment vertical="center"/>
    </xf>
    <xf numFmtId="0" fontId="35" fillId="0" borderId="0" xfId="9" applyFont="1"/>
    <xf numFmtId="0" fontId="27" fillId="10" borderId="2" xfId="9" applyFont="1" applyFill="1" applyBorder="1" applyAlignment="1">
      <alignment horizontal="center" vertical="center"/>
    </xf>
    <xf numFmtId="0" fontId="27" fillId="10" borderId="5" xfId="9" applyFont="1" applyFill="1" applyBorder="1" applyAlignment="1">
      <alignment horizontal="center" vertical="center"/>
    </xf>
    <xf numFmtId="165" fontId="27" fillId="7" borderId="7" xfId="9" applyNumberFormat="1" applyFont="1" applyFill="1" applyBorder="1"/>
    <xf numFmtId="0" fontId="27" fillId="10" borderId="8" xfId="9" applyFont="1" applyFill="1" applyBorder="1" applyAlignment="1">
      <alignment horizontal="center" vertical="center"/>
    </xf>
    <xf numFmtId="0" fontId="27" fillId="10" borderId="11" xfId="9" applyFont="1" applyFill="1" applyBorder="1" applyAlignment="1">
      <alignment horizontal="center" vertical="center"/>
    </xf>
    <xf numFmtId="0" fontId="36" fillId="0" borderId="0" xfId="9" applyFont="1" applyAlignment="1">
      <alignment horizontal="left" vertical="center"/>
    </xf>
    <xf numFmtId="0" fontId="13" fillId="0" borderId="5" xfId="9" applyFont="1" applyBorder="1" applyAlignment="1">
      <alignment horizontal="center" vertical="top"/>
    </xf>
    <xf numFmtId="0" fontId="35" fillId="0" borderId="0" xfId="9" applyFont="1" applyAlignment="1">
      <alignment vertical="center"/>
    </xf>
    <xf numFmtId="17" fontId="27" fillId="0" borderId="8" xfId="9" applyNumberFormat="1" applyFont="1" applyBorder="1" applyAlignment="1">
      <alignment horizontal="center" vertical="center"/>
    </xf>
    <xf numFmtId="0" fontId="8" fillId="3" borderId="3" xfId="6" applyFont="1" applyFill="1" applyBorder="1" applyAlignment="1">
      <alignment horizontal="center" vertical="center" wrapText="1"/>
    </xf>
    <xf numFmtId="0" fontId="10" fillId="0" borderId="7" xfId="6" applyFont="1" applyBorder="1" applyAlignment="1">
      <alignment vertical="center"/>
    </xf>
    <xf numFmtId="0" fontId="10" fillId="0" borderId="10" xfId="6" applyFont="1" applyBorder="1" applyAlignment="1">
      <alignment vertical="center"/>
    </xf>
    <xf numFmtId="0" fontId="10" fillId="0" borderId="13" xfId="6" applyFont="1" applyBorder="1" applyAlignment="1">
      <alignment vertical="center"/>
    </xf>
    <xf numFmtId="165" fontId="24" fillId="7" borderId="40" xfId="6" applyNumberFormat="1" applyFont="1" applyFill="1" applyBorder="1" applyAlignment="1">
      <alignment vertical="center"/>
    </xf>
    <xf numFmtId="0" fontId="24" fillId="0" borderId="43" xfId="6" applyFont="1" applyBorder="1" applyAlignment="1">
      <alignment horizontal="center" vertical="center"/>
    </xf>
    <xf numFmtId="0" fontId="0" fillId="0" borderId="0" xfId="6" applyFont="1" applyAlignment="1">
      <alignment horizontal="right" vertical="center"/>
    </xf>
    <xf numFmtId="0" fontId="13" fillId="0" borderId="14" xfId="9" applyFont="1" applyBorder="1" applyAlignment="1">
      <alignment horizontal="center" vertical="top"/>
    </xf>
    <xf numFmtId="0" fontId="13" fillId="0" borderId="52" xfId="9" applyFont="1" applyBorder="1" applyAlignment="1">
      <alignment vertical="top"/>
    </xf>
    <xf numFmtId="0" fontId="13" fillId="0" borderId="53" xfId="9" applyFont="1" applyBorder="1" applyAlignment="1">
      <alignment vertical="top"/>
    </xf>
    <xf numFmtId="0" fontId="26" fillId="0" borderId="17" xfId="8" applyFont="1" applyBorder="1" applyAlignment="1">
      <alignment horizontal="center" vertical="center"/>
    </xf>
    <xf numFmtId="0" fontId="27" fillId="0" borderId="54" xfId="9" applyFont="1" applyBorder="1" applyAlignment="1">
      <alignment horizontal="center" vertical="top"/>
    </xf>
    <xf numFmtId="0" fontId="27" fillId="0" borderId="56" xfId="9" applyFont="1" applyBorder="1" applyAlignment="1">
      <alignment horizontal="center" vertical="top"/>
    </xf>
    <xf numFmtId="0" fontId="27" fillId="0" borderId="57" xfId="9" applyFont="1" applyBorder="1" applyAlignment="1">
      <alignment horizontal="center" vertical="top"/>
    </xf>
    <xf numFmtId="0" fontId="28" fillId="0" borderId="0" xfId="6" applyFont="1" applyAlignment="1">
      <alignment vertical="center"/>
    </xf>
    <xf numFmtId="0" fontId="8" fillId="3" borderId="19" xfId="6" applyFont="1" applyFill="1" applyBorder="1" applyAlignment="1">
      <alignment horizontal="center" vertical="center" wrapText="1"/>
    </xf>
    <xf numFmtId="0" fontId="8" fillId="3" borderId="21" xfId="6" applyFont="1" applyFill="1" applyBorder="1" applyAlignment="1">
      <alignment horizontal="center" vertical="center" wrapText="1"/>
    </xf>
    <xf numFmtId="0" fontId="8" fillId="3" borderId="41" xfId="6" applyFont="1" applyFill="1" applyBorder="1" applyAlignment="1">
      <alignment horizontal="center" vertical="center" wrapText="1"/>
    </xf>
    <xf numFmtId="0" fontId="32" fillId="0" borderId="0" xfId="8" applyFont="1" applyAlignment="1">
      <alignment horizontal="center" vertical="center" wrapText="1"/>
    </xf>
    <xf numFmtId="0" fontId="32" fillId="0" borderId="0" xfId="6" applyFont="1" applyAlignment="1">
      <alignment vertical="center"/>
    </xf>
    <xf numFmtId="0" fontId="8" fillId="3" borderId="3" xfId="9" applyFont="1" applyFill="1" applyBorder="1" applyAlignment="1">
      <alignment horizontal="center" vertical="center"/>
    </xf>
    <xf numFmtId="0" fontId="8" fillId="3" borderId="4" xfId="9" applyFont="1" applyFill="1" applyBorder="1" applyAlignment="1">
      <alignment horizontal="center" vertical="center"/>
    </xf>
    <xf numFmtId="0" fontId="8" fillId="3" borderId="1" xfId="9" applyFont="1" applyFill="1" applyBorder="1" applyAlignment="1">
      <alignment horizontal="center" vertical="center"/>
    </xf>
    <xf numFmtId="165" fontId="27" fillId="7" borderId="31" xfId="9" applyNumberFormat="1" applyFont="1" applyFill="1" applyBorder="1" applyAlignment="1">
      <alignment vertical="center"/>
    </xf>
    <xf numFmtId="165" fontId="27" fillId="7" borderId="32" xfId="9" applyNumberFormat="1" applyFont="1" applyFill="1" applyBorder="1" applyAlignment="1">
      <alignment vertical="center"/>
    </xf>
    <xf numFmtId="0" fontId="19" fillId="0" borderId="5" xfId="9" applyBorder="1" applyAlignment="1">
      <alignment horizontal="center" vertical="top"/>
    </xf>
    <xf numFmtId="0" fontId="19" fillId="0" borderId="8" xfId="9" applyBorder="1" applyAlignment="1">
      <alignment horizontal="center" vertical="top"/>
    </xf>
    <xf numFmtId="0" fontId="19" fillId="0" borderId="11" xfId="9" applyBorder="1" applyAlignment="1">
      <alignment horizontal="center" vertical="top"/>
    </xf>
    <xf numFmtId="165" fontId="27" fillId="7" borderId="31" xfId="9" applyNumberFormat="1" applyFont="1" applyFill="1" applyBorder="1"/>
    <xf numFmtId="165" fontId="27" fillId="0" borderId="0" xfId="0" applyNumberFormat="1" applyFont="1"/>
    <xf numFmtId="0" fontId="19" fillId="0" borderId="9" xfId="9" applyBorder="1" applyAlignment="1">
      <alignment horizontal="left" vertical="center" wrapText="1"/>
    </xf>
    <xf numFmtId="0" fontId="27" fillId="0" borderId="0" xfId="0" applyFont="1"/>
    <xf numFmtId="165" fontId="27" fillId="0" borderId="0" xfId="1" applyNumberFormat="1" applyFont="1" applyFill="1" applyBorder="1" applyAlignment="1" applyProtection="1">
      <alignment vertical="center"/>
    </xf>
    <xf numFmtId="165" fontId="27" fillId="0" borderId="0" xfId="9" applyNumberFormat="1" applyFont="1"/>
    <xf numFmtId="0" fontId="13" fillId="0" borderId="17" xfId="9" applyFont="1" applyBorder="1" applyAlignment="1">
      <alignment vertical="top"/>
    </xf>
    <xf numFmtId="165" fontId="27" fillId="7" borderId="39" xfId="9" applyNumberFormat="1" applyFont="1" applyFill="1" applyBorder="1" applyAlignment="1">
      <alignment vertical="center"/>
    </xf>
    <xf numFmtId="0" fontId="1" fillId="0" borderId="0" xfId="9" applyFont="1"/>
    <xf numFmtId="165" fontId="27" fillId="7" borderId="41" xfId="9" applyNumberFormat="1" applyFont="1" applyFill="1" applyBorder="1" applyAlignment="1">
      <alignment vertical="center"/>
    </xf>
    <xf numFmtId="165" fontId="27" fillId="0" borderId="0" xfId="9" applyNumberFormat="1" applyFont="1" applyAlignment="1">
      <alignment vertical="center"/>
    </xf>
    <xf numFmtId="0" fontId="10" fillId="0" borderId="20" xfId="6" applyFont="1" applyBorder="1" applyAlignment="1">
      <alignment vertical="center"/>
    </xf>
    <xf numFmtId="0" fontId="26" fillId="0" borderId="51" xfId="6" applyFont="1" applyBorder="1" applyAlignment="1">
      <alignment horizontal="center" vertical="center"/>
    </xf>
    <xf numFmtId="165" fontId="27" fillId="9" borderId="31" xfId="9" applyNumberFormat="1" applyFont="1" applyFill="1" applyBorder="1" applyAlignment="1">
      <alignment vertical="center"/>
    </xf>
    <xf numFmtId="165" fontId="24" fillId="7" borderId="45" xfId="6" applyNumberFormat="1" applyFont="1" applyFill="1" applyBorder="1" applyAlignment="1">
      <alignment vertical="center"/>
    </xf>
    <xf numFmtId="165" fontId="24" fillId="7" borderId="22" xfId="6" applyNumberFormat="1" applyFont="1" applyFill="1" applyBorder="1" applyAlignment="1">
      <alignment vertical="center"/>
    </xf>
    <xf numFmtId="165" fontId="24" fillId="7" borderId="19" xfId="6" applyNumberFormat="1" applyFont="1" applyFill="1" applyBorder="1" applyAlignment="1">
      <alignment vertical="center"/>
    </xf>
    <xf numFmtId="165" fontId="24" fillId="7" borderId="20" xfId="6" applyNumberFormat="1" applyFont="1" applyFill="1" applyBorder="1" applyAlignment="1">
      <alignment vertical="center"/>
    </xf>
    <xf numFmtId="0" fontId="26" fillId="0" borderId="48" xfId="6" applyFont="1" applyBorder="1" applyAlignment="1">
      <alignment horizontal="center" vertical="center"/>
    </xf>
    <xf numFmtId="165" fontId="24" fillId="7" borderId="50" xfId="6" applyNumberFormat="1" applyFont="1" applyFill="1" applyBorder="1" applyAlignment="1">
      <alignment vertical="center"/>
    </xf>
    <xf numFmtId="165" fontId="24" fillId="7" borderId="49" xfId="6" applyNumberFormat="1" applyFont="1" applyFill="1" applyBorder="1" applyAlignment="1">
      <alignment vertical="center"/>
    </xf>
    <xf numFmtId="165" fontId="24" fillId="7" borderId="23" xfId="6" applyNumberFormat="1" applyFont="1" applyFill="1" applyBorder="1" applyAlignment="1">
      <alignment vertical="center"/>
    </xf>
    <xf numFmtId="0" fontId="27" fillId="0" borderId="8" xfId="0" applyFont="1" applyBorder="1" applyAlignment="1">
      <alignment horizontal="center" vertical="top"/>
    </xf>
    <xf numFmtId="0" fontId="27" fillId="0" borderId="40" xfId="0" applyFont="1" applyBorder="1" applyAlignment="1">
      <alignment horizontal="left"/>
    </xf>
    <xf numFmtId="0" fontId="27" fillId="0" borderId="45" xfId="0" applyFont="1" applyBorder="1" applyAlignment="1">
      <alignment horizontal="left" wrapText="1"/>
    </xf>
    <xf numFmtId="0" fontId="27" fillId="0" borderId="27" xfId="0" applyFont="1" applyBorder="1" applyAlignment="1">
      <alignment horizontal="left" wrapText="1"/>
    </xf>
    <xf numFmtId="0" fontId="1" fillId="0" borderId="0" xfId="6" applyAlignment="1">
      <alignment vertical="top"/>
    </xf>
    <xf numFmtId="165" fontId="27" fillId="9" borderId="37" xfId="9" applyNumberFormat="1" applyFont="1" applyFill="1" applyBorder="1" applyAlignment="1">
      <alignment vertical="center"/>
    </xf>
    <xf numFmtId="0" fontId="32" fillId="3" borderId="0" xfId="8" applyFont="1" applyFill="1" applyAlignment="1">
      <alignment horizontal="center" vertical="center"/>
    </xf>
    <xf numFmtId="0" fontId="32" fillId="3" borderId="0" xfId="6" applyFont="1" applyFill="1" applyAlignment="1">
      <alignment vertical="center"/>
    </xf>
    <xf numFmtId="0" fontId="12" fillId="0" borderId="5" xfId="5" applyFont="1" applyBorder="1" applyAlignment="1" applyProtection="1">
      <alignment vertical="center"/>
    </xf>
    <xf numFmtId="0" fontId="12" fillId="0" borderId="8" xfId="5" applyFont="1" applyBorder="1" applyAlignment="1" applyProtection="1">
      <alignment vertical="center"/>
    </xf>
    <xf numFmtId="0" fontId="12" fillId="0" borderId="11" xfId="5" applyFont="1" applyBorder="1" applyAlignment="1" applyProtection="1">
      <alignment vertical="center"/>
    </xf>
    <xf numFmtId="0" fontId="6" fillId="0" borderId="0" xfId="0" applyFont="1" applyAlignment="1">
      <alignment horizontal="right" vertical="center"/>
    </xf>
    <xf numFmtId="0" fontId="8" fillId="3" borderId="0" xfId="4" applyNumberFormat="1"/>
    <xf numFmtId="0" fontId="10" fillId="0" borderId="0" xfId="0" applyFont="1" applyAlignment="1">
      <alignment vertical="top" wrapText="1"/>
    </xf>
    <xf numFmtId="0" fontId="12" fillId="0" borderId="0" xfId="5" applyFont="1" applyAlignment="1" applyProtection="1">
      <alignment vertical="top" wrapText="1"/>
    </xf>
    <xf numFmtId="0" fontId="15" fillId="0" borderId="0" xfId="5" applyFont="1" applyFill="1" applyAlignment="1" applyProtection="1">
      <alignment wrapText="1"/>
    </xf>
    <xf numFmtId="0" fontId="19" fillId="0" borderId="0" xfId="0" applyFont="1"/>
    <xf numFmtId="0" fontId="20" fillId="0" borderId="0" xfId="5" applyFont="1" applyFill="1" applyProtection="1"/>
    <xf numFmtId="2" fontId="24" fillId="4" borderId="32" xfId="6" applyNumberFormat="1" applyFont="1" applyFill="1" applyBorder="1" applyAlignment="1" applyProtection="1">
      <alignment vertical="center"/>
      <protection locked="0"/>
    </xf>
    <xf numFmtId="165" fontId="24" fillId="4" borderId="32" xfId="6" applyNumberFormat="1" applyFont="1" applyFill="1" applyBorder="1" applyAlignment="1" applyProtection="1">
      <alignment vertical="center"/>
      <protection locked="0"/>
    </xf>
    <xf numFmtId="165" fontId="24" fillId="4" borderId="8" xfId="6" applyNumberFormat="1" applyFont="1" applyFill="1" applyBorder="1" applyAlignment="1" applyProtection="1">
      <alignment vertical="center"/>
      <protection locked="0"/>
    </xf>
    <xf numFmtId="165" fontId="24" fillId="4" borderId="9" xfId="6" applyNumberFormat="1" applyFont="1" applyFill="1" applyBorder="1" applyAlignment="1" applyProtection="1">
      <alignment vertical="center"/>
      <protection locked="0"/>
    </xf>
    <xf numFmtId="165" fontId="24" fillId="4" borderId="5" xfId="6" applyNumberFormat="1" applyFont="1" applyFill="1" applyBorder="1" applyAlignment="1" applyProtection="1">
      <alignment vertical="center"/>
      <protection locked="0"/>
    </xf>
    <xf numFmtId="165" fontId="24" fillId="4" borderId="7" xfId="6" applyNumberFormat="1" applyFont="1" applyFill="1" applyBorder="1" applyAlignment="1" applyProtection="1">
      <alignment vertical="center"/>
      <protection locked="0"/>
    </xf>
    <xf numFmtId="165" fontId="24" fillId="4" borderId="10" xfId="6" applyNumberFormat="1" applyFont="1" applyFill="1" applyBorder="1" applyAlignment="1" applyProtection="1">
      <alignment vertical="center"/>
      <protection locked="0"/>
    </xf>
    <xf numFmtId="165" fontId="24" fillId="4" borderId="65" xfId="6" applyNumberFormat="1" applyFont="1" applyFill="1" applyBorder="1" applyAlignment="1" applyProtection="1">
      <alignment vertical="center"/>
      <protection locked="0"/>
    </xf>
    <xf numFmtId="165" fontId="24" fillId="4" borderId="67" xfId="6" applyNumberFormat="1" applyFont="1" applyFill="1" applyBorder="1" applyAlignment="1" applyProtection="1">
      <alignment vertical="center"/>
      <protection locked="0"/>
    </xf>
    <xf numFmtId="165" fontId="24" fillId="4" borderId="93" xfId="6" applyNumberFormat="1" applyFont="1" applyFill="1" applyBorder="1" applyAlignment="1" applyProtection="1">
      <alignment vertical="center"/>
      <protection locked="0"/>
    </xf>
    <xf numFmtId="165" fontId="24" fillId="4" borderId="94" xfId="6" applyNumberFormat="1" applyFont="1" applyFill="1" applyBorder="1" applyAlignment="1" applyProtection="1">
      <alignment vertical="center"/>
      <protection locked="0"/>
    </xf>
    <xf numFmtId="165" fontId="24" fillId="4" borderId="71" xfId="6" applyNumberFormat="1" applyFont="1" applyFill="1" applyBorder="1" applyAlignment="1" applyProtection="1">
      <alignment vertical="center"/>
      <protection locked="0"/>
    </xf>
    <xf numFmtId="165" fontId="24" fillId="4" borderId="99" xfId="6" applyNumberFormat="1" applyFont="1" applyFill="1" applyBorder="1" applyAlignment="1" applyProtection="1">
      <alignment vertical="center"/>
      <protection locked="0"/>
    </xf>
    <xf numFmtId="165" fontId="24" fillId="4" borderId="100" xfId="6" applyNumberFormat="1" applyFont="1" applyFill="1" applyBorder="1" applyAlignment="1" applyProtection="1">
      <alignment vertical="center"/>
      <protection locked="0"/>
    </xf>
    <xf numFmtId="165" fontId="24" fillId="4" borderId="37" xfId="6" applyNumberFormat="1" applyFont="1" applyFill="1" applyBorder="1" applyAlignment="1" applyProtection="1">
      <alignment vertical="center"/>
      <protection locked="0"/>
    </xf>
    <xf numFmtId="165" fontId="24" fillId="4" borderId="6" xfId="6" applyNumberFormat="1" applyFont="1" applyFill="1" applyBorder="1" applyAlignment="1" applyProtection="1">
      <alignment vertical="center"/>
      <protection locked="0"/>
    </xf>
    <xf numFmtId="165" fontId="24" fillId="4" borderId="39" xfId="6" applyNumberFormat="1" applyFont="1" applyFill="1" applyBorder="1" applyAlignment="1" applyProtection="1">
      <alignment vertical="center"/>
      <protection locked="0"/>
    </xf>
    <xf numFmtId="165" fontId="24" fillId="4" borderId="1" xfId="6" applyNumberFormat="1" applyFont="1" applyFill="1" applyBorder="1" applyAlignment="1" applyProtection="1">
      <alignment vertical="center"/>
      <protection locked="0"/>
    </xf>
    <xf numFmtId="165" fontId="24" fillId="4" borderId="31" xfId="6" applyNumberFormat="1" applyFont="1" applyFill="1" applyBorder="1" applyAlignment="1" applyProtection="1">
      <alignment vertical="center"/>
      <protection locked="0"/>
    </xf>
    <xf numFmtId="167" fontId="27" fillId="4" borderId="11" xfId="9" applyNumberFormat="1" applyFont="1" applyFill="1" applyBorder="1" applyProtection="1">
      <protection locked="0"/>
    </xf>
    <xf numFmtId="167" fontId="27" fillId="4" borderId="13" xfId="9" applyNumberFormat="1" applyFont="1" applyFill="1" applyBorder="1" applyProtection="1">
      <protection locked="0"/>
    </xf>
    <xf numFmtId="165" fontId="19" fillId="4" borderId="5" xfId="9" applyNumberFormat="1" applyFill="1" applyBorder="1" applyProtection="1">
      <protection locked="0"/>
    </xf>
    <xf numFmtId="165" fontId="19" fillId="4" borderId="7" xfId="9" applyNumberFormat="1" applyFill="1" applyBorder="1" applyProtection="1">
      <protection locked="0"/>
    </xf>
    <xf numFmtId="167" fontId="19" fillId="4" borderId="5" xfId="9" applyNumberFormat="1" applyFill="1" applyBorder="1" applyProtection="1">
      <protection locked="0"/>
    </xf>
    <xf numFmtId="167" fontId="19" fillId="4" borderId="7" xfId="9" applyNumberFormat="1" applyFill="1" applyBorder="1" applyProtection="1">
      <protection locked="0"/>
    </xf>
    <xf numFmtId="167" fontId="19" fillId="4" borderId="43" xfId="9" applyNumberFormat="1" applyFill="1" applyBorder="1" applyProtection="1">
      <protection locked="0"/>
    </xf>
    <xf numFmtId="167" fontId="19" fillId="4" borderId="13" xfId="9" applyNumberFormat="1" applyFill="1" applyBorder="1" applyProtection="1">
      <protection locked="0"/>
    </xf>
    <xf numFmtId="165" fontId="27" fillId="4" borderId="6" xfId="11" applyNumberFormat="1" applyFont="1" applyFill="1" applyBorder="1" applyAlignment="1" applyProtection="1">
      <alignment vertical="center"/>
      <protection locked="0"/>
    </xf>
    <xf numFmtId="165" fontId="27" fillId="4" borderId="9" xfId="11" applyNumberFormat="1" applyFont="1" applyFill="1" applyBorder="1" applyAlignment="1" applyProtection="1">
      <alignment vertical="center"/>
      <protection locked="0"/>
    </xf>
    <xf numFmtId="165" fontId="27" fillId="4" borderId="5" xfId="9" applyNumberFormat="1" applyFont="1" applyFill="1" applyBorder="1" applyAlignment="1" applyProtection="1">
      <alignment vertical="center"/>
      <protection locked="0"/>
    </xf>
    <xf numFmtId="165" fontId="27" fillId="4" borderId="6" xfId="9" applyNumberFormat="1" applyFont="1" applyFill="1" applyBorder="1" applyAlignment="1" applyProtection="1">
      <alignment vertical="center"/>
      <protection locked="0"/>
    </xf>
    <xf numFmtId="165" fontId="27" fillId="4" borderId="8" xfId="9" applyNumberFormat="1" applyFont="1" applyFill="1" applyBorder="1" applyAlignment="1" applyProtection="1">
      <alignment vertical="center"/>
      <protection locked="0"/>
    </xf>
    <xf numFmtId="165" fontId="27" fillId="4" borderId="9" xfId="9" applyNumberFormat="1" applyFont="1" applyFill="1" applyBorder="1" applyAlignment="1" applyProtection="1">
      <alignment vertical="center"/>
      <protection locked="0"/>
    </xf>
    <xf numFmtId="165" fontId="27" fillId="4" borderId="31" xfId="9" applyNumberFormat="1" applyFont="1" applyFill="1" applyBorder="1" applyAlignment="1" applyProtection="1">
      <alignment vertical="center"/>
      <protection locked="0"/>
    </xf>
    <xf numFmtId="165" fontId="27" fillId="4" borderId="32" xfId="9" applyNumberFormat="1" applyFont="1" applyFill="1" applyBorder="1" applyAlignment="1" applyProtection="1">
      <alignment vertical="center"/>
      <protection locked="0"/>
    </xf>
    <xf numFmtId="165" fontId="19" fillId="4" borderId="8" xfId="9" applyNumberFormat="1" applyFill="1" applyBorder="1" applyAlignment="1" applyProtection="1">
      <alignment vertical="center"/>
      <protection locked="0"/>
    </xf>
    <xf numFmtId="165" fontId="27" fillId="4" borderId="2" xfId="11" applyNumberFormat="1" applyFont="1" applyFill="1" applyBorder="1" applyProtection="1">
      <protection locked="0"/>
    </xf>
    <xf numFmtId="165" fontId="27" fillId="4" borderId="3" xfId="11" applyNumberFormat="1" applyFont="1" applyFill="1" applyBorder="1" applyProtection="1">
      <protection locked="0"/>
    </xf>
    <xf numFmtId="165" fontId="27" fillId="4" borderId="5" xfId="11" applyNumberFormat="1" applyFont="1" applyFill="1" applyBorder="1" applyProtection="1">
      <protection locked="0"/>
    </xf>
    <xf numFmtId="165" fontId="27" fillId="4" borderId="6" xfId="11" applyNumberFormat="1" applyFont="1" applyFill="1" applyBorder="1" applyProtection="1">
      <protection locked="0"/>
    </xf>
    <xf numFmtId="165" fontId="27" fillId="4" borderId="8" xfId="11" applyNumberFormat="1" applyFont="1" applyFill="1" applyBorder="1" applyProtection="1">
      <protection locked="0"/>
    </xf>
    <xf numFmtId="165" fontId="27" fillId="4" borderId="9" xfId="11" applyNumberFormat="1" applyFont="1" applyFill="1" applyBorder="1" applyProtection="1">
      <protection locked="0"/>
    </xf>
    <xf numFmtId="165" fontId="27" fillId="4" borderId="43" xfId="11" applyNumberFormat="1" applyFont="1" applyFill="1" applyBorder="1" applyProtection="1">
      <protection locked="0"/>
    </xf>
    <xf numFmtId="165" fontId="27" fillId="4" borderId="44" xfId="11" applyNumberFormat="1" applyFont="1" applyFill="1" applyBorder="1" applyProtection="1">
      <protection locked="0"/>
    </xf>
    <xf numFmtId="165" fontId="27" fillId="4" borderId="2" xfId="11" applyNumberFormat="1" applyFont="1" applyFill="1" applyBorder="1" applyAlignment="1" applyProtection="1">
      <alignment vertical="center"/>
      <protection locked="0"/>
    </xf>
    <xf numFmtId="165" fontId="27" fillId="4" borderId="3" xfId="11" applyNumberFormat="1" applyFont="1" applyFill="1" applyBorder="1" applyAlignment="1" applyProtection="1">
      <alignment vertical="center"/>
      <protection locked="0"/>
    </xf>
    <xf numFmtId="165" fontId="27" fillId="4" borderId="5" xfId="11" applyNumberFormat="1" applyFont="1" applyFill="1" applyBorder="1" applyAlignment="1" applyProtection="1">
      <alignment vertical="center"/>
      <protection locked="0"/>
    </xf>
    <xf numFmtId="165" fontId="27" fillId="4" borderId="8" xfId="11" applyNumberFormat="1" applyFont="1" applyFill="1" applyBorder="1" applyAlignment="1" applyProtection="1">
      <alignment vertical="center"/>
      <protection locked="0"/>
    </xf>
    <xf numFmtId="165" fontId="27" fillId="4" borderId="43" xfId="11" applyNumberFormat="1" applyFont="1" applyFill="1" applyBorder="1" applyAlignment="1" applyProtection="1">
      <alignment vertical="center"/>
      <protection locked="0"/>
    </xf>
    <xf numFmtId="165" fontId="27" fillId="4" borderId="44" xfId="11" applyNumberFormat="1" applyFont="1" applyFill="1" applyBorder="1" applyAlignment="1" applyProtection="1">
      <alignment vertical="center"/>
      <protection locked="0"/>
    </xf>
    <xf numFmtId="165" fontId="24" fillId="4" borderId="36" xfId="6" applyNumberFormat="1" applyFont="1" applyFill="1" applyBorder="1" applyAlignment="1" applyProtection="1">
      <alignment vertical="center"/>
      <protection locked="0"/>
    </xf>
    <xf numFmtId="165" fontId="24" fillId="4" borderId="38" xfId="6" applyNumberFormat="1" applyFont="1" applyFill="1" applyBorder="1" applyAlignment="1" applyProtection="1">
      <alignment vertical="center"/>
      <protection locked="0"/>
    </xf>
    <xf numFmtId="165" fontId="24" fillId="4" borderId="2" xfId="6" applyNumberFormat="1" applyFont="1" applyFill="1" applyBorder="1" applyAlignment="1" applyProtection="1">
      <alignment vertical="center"/>
      <protection locked="0"/>
    </xf>
    <xf numFmtId="165" fontId="24" fillId="4" borderId="34" xfId="6" applyNumberFormat="1" applyFont="1" applyFill="1" applyBorder="1" applyAlignment="1" applyProtection="1">
      <alignment vertical="center"/>
      <protection locked="0"/>
    </xf>
    <xf numFmtId="165" fontId="27" fillId="4" borderId="7" xfId="10" applyNumberFormat="1" applyFont="1" applyFill="1" applyBorder="1" applyAlignment="1" applyProtection="1">
      <alignment vertical="center"/>
      <protection locked="0"/>
    </xf>
    <xf numFmtId="165" fontId="27" fillId="4" borderId="10" xfId="10" applyNumberFormat="1" applyFont="1" applyFill="1" applyBorder="1" applyAlignment="1" applyProtection="1">
      <alignment vertical="center"/>
      <protection locked="0"/>
    </xf>
    <xf numFmtId="165" fontId="27" fillId="4" borderId="11" xfId="10" applyNumberFormat="1" applyFont="1" applyFill="1" applyBorder="1" applyAlignment="1" applyProtection="1">
      <alignment vertical="center"/>
      <protection locked="0"/>
    </xf>
    <xf numFmtId="165" fontId="27" fillId="4" borderId="13" xfId="10" applyNumberFormat="1" applyFont="1" applyFill="1" applyBorder="1" applyAlignment="1" applyProtection="1">
      <alignment vertical="center"/>
      <protection locked="0"/>
    </xf>
    <xf numFmtId="165" fontId="27" fillId="4" borderId="5" xfId="2" applyNumberFormat="1" applyFont="1" applyFill="1" applyBorder="1" applyAlignment="1" applyProtection="1">
      <alignment vertical="center"/>
      <protection locked="0"/>
    </xf>
    <xf numFmtId="165" fontId="27" fillId="4" borderId="37" xfId="10" applyNumberFormat="1" applyFont="1" applyFill="1" applyBorder="1" applyAlignment="1" applyProtection="1">
      <alignment vertical="center"/>
      <protection locked="0"/>
    </xf>
    <xf numFmtId="165" fontId="27" fillId="4" borderId="39" xfId="10" applyNumberFormat="1" applyFont="1" applyFill="1" applyBorder="1" applyAlignment="1" applyProtection="1">
      <alignment vertical="center"/>
      <protection locked="0"/>
    </xf>
    <xf numFmtId="165" fontId="24" fillId="4" borderId="3" xfId="6" applyNumberFormat="1" applyFont="1" applyFill="1" applyBorder="1" applyAlignment="1" applyProtection="1">
      <alignment vertical="center"/>
      <protection locked="0"/>
    </xf>
    <xf numFmtId="165" fontId="24" fillId="4" borderId="11" xfId="6" applyNumberFormat="1" applyFont="1" applyFill="1" applyBorder="1" applyAlignment="1" applyProtection="1">
      <alignment vertical="center"/>
      <protection locked="0"/>
    </xf>
    <xf numFmtId="165" fontId="24" fillId="4" borderId="12" xfId="6" applyNumberFormat="1" applyFont="1" applyFill="1" applyBorder="1" applyAlignment="1" applyProtection="1">
      <alignment vertical="center"/>
      <protection locked="0"/>
    </xf>
    <xf numFmtId="165" fontId="24" fillId="4" borderId="29" xfId="6" applyNumberFormat="1" applyFont="1" applyFill="1" applyBorder="1" applyAlignment="1" applyProtection="1">
      <alignment vertical="center"/>
      <protection locked="0"/>
    </xf>
    <xf numFmtId="165" fontId="24" fillId="4" borderId="42" xfId="6" applyNumberFormat="1" applyFont="1" applyFill="1" applyBorder="1" applyAlignment="1" applyProtection="1">
      <alignment vertical="center"/>
      <protection locked="0"/>
    </xf>
    <xf numFmtId="165" fontId="24" fillId="4" borderId="43" xfId="6" applyNumberFormat="1" applyFont="1" applyFill="1" applyBorder="1" applyAlignment="1" applyProtection="1">
      <alignment vertical="center"/>
      <protection locked="0"/>
    </xf>
    <xf numFmtId="165" fontId="24" fillId="4" borderId="44" xfId="6" applyNumberFormat="1" applyFont="1" applyFill="1" applyBorder="1" applyAlignment="1" applyProtection="1">
      <alignment vertical="center"/>
      <protection locked="0"/>
    </xf>
    <xf numFmtId="165" fontId="24" fillId="4" borderId="28" xfId="6" applyNumberFormat="1" applyFont="1" applyFill="1" applyBorder="1" applyAlignment="1" applyProtection="1">
      <alignment vertical="center"/>
      <protection locked="0"/>
    </xf>
    <xf numFmtId="165" fontId="24" fillId="4" borderId="49" xfId="6" applyNumberFormat="1" applyFont="1" applyFill="1" applyBorder="1" applyAlignment="1" applyProtection="1">
      <alignment vertical="center"/>
      <protection locked="0"/>
    </xf>
    <xf numFmtId="165" fontId="24" fillId="4" borderId="46" xfId="6" applyNumberFormat="1" applyFont="1" applyFill="1" applyBorder="1" applyAlignment="1" applyProtection="1">
      <alignment vertical="center"/>
      <protection locked="0"/>
    </xf>
    <xf numFmtId="165" fontId="24" fillId="4" borderId="47" xfId="6" applyNumberFormat="1" applyFont="1" applyFill="1" applyBorder="1" applyAlignment="1" applyProtection="1">
      <alignment vertical="center"/>
      <protection locked="0"/>
    </xf>
    <xf numFmtId="165" fontId="24" fillId="4" borderId="24" xfId="6" applyNumberFormat="1" applyFont="1" applyFill="1" applyBorder="1" applyAlignment="1" applyProtection="1">
      <alignment vertical="center"/>
      <protection locked="0"/>
    </xf>
    <xf numFmtId="165" fontId="24" fillId="4" borderId="26" xfId="6" applyNumberFormat="1" applyFont="1" applyFill="1" applyBorder="1" applyAlignment="1" applyProtection="1">
      <alignment vertical="center"/>
      <protection locked="0"/>
    </xf>
    <xf numFmtId="0" fontId="0" fillId="4" borderId="1" xfId="0" applyFill="1" applyBorder="1" applyAlignment="1" applyProtection="1">
      <alignment horizontal="center" vertical="center"/>
      <protection locked="0"/>
    </xf>
    <xf numFmtId="1" fontId="27" fillId="7" borderId="30" xfId="9" applyNumberFormat="1" applyFont="1" applyFill="1" applyBorder="1"/>
    <xf numFmtId="1" fontId="27" fillId="7" borderId="30" xfId="9" applyNumberFormat="1" applyFont="1" applyFill="1" applyBorder="1" applyAlignment="1">
      <alignment vertical="center"/>
    </xf>
    <xf numFmtId="2" fontId="19" fillId="4" borderId="11" xfId="9" applyNumberFormat="1" applyFill="1" applyBorder="1" applyProtection="1">
      <protection locked="0"/>
    </xf>
    <xf numFmtId="2" fontId="19" fillId="4" borderId="13" xfId="9" applyNumberFormat="1" applyFill="1" applyBorder="1" applyProtection="1">
      <protection locked="0"/>
    </xf>
    <xf numFmtId="165" fontId="24" fillId="4" borderId="72" xfId="6" applyNumberFormat="1" applyFont="1" applyFill="1" applyBorder="1" applyAlignment="1" applyProtection="1">
      <alignment vertical="center"/>
      <protection locked="0"/>
    </xf>
    <xf numFmtId="165" fontId="24" fillId="4" borderId="66" xfId="6" applyNumberFormat="1" applyFont="1" applyFill="1" applyBorder="1" applyAlignment="1" applyProtection="1">
      <alignment vertical="center"/>
      <protection locked="0"/>
    </xf>
    <xf numFmtId="165" fontId="24" fillId="4" borderId="98" xfId="6" applyNumberFormat="1" applyFont="1" applyFill="1" applyBorder="1" applyAlignment="1" applyProtection="1">
      <alignment vertical="center"/>
      <protection locked="0"/>
    </xf>
    <xf numFmtId="165" fontId="24" fillId="4" borderId="92" xfId="6" applyNumberFormat="1" applyFont="1" applyFill="1" applyBorder="1" applyAlignment="1" applyProtection="1">
      <alignment vertical="center"/>
      <protection locked="0"/>
    </xf>
    <xf numFmtId="165" fontId="24" fillId="4" borderId="69" xfId="6" applyNumberFormat="1" applyFont="1" applyFill="1" applyBorder="1" applyAlignment="1" applyProtection="1">
      <alignment vertical="center"/>
      <protection locked="0"/>
    </xf>
    <xf numFmtId="165" fontId="24" fillId="4" borderId="95" xfId="6" applyNumberFormat="1" applyFont="1" applyFill="1" applyBorder="1" applyAlignment="1" applyProtection="1">
      <alignment vertical="center"/>
      <protection locked="0"/>
    </xf>
    <xf numFmtId="165" fontId="27" fillId="4" borderId="2" xfId="9" applyNumberFormat="1" applyFont="1" applyFill="1" applyBorder="1" applyProtection="1">
      <protection locked="0"/>
    </xf>
    <xf numFmtId="165" fontId="27" fillId="4" borderId="3" xfId="9" applyNumberFormat="1" applyFont="1" applyFill="1" applyBorder="1" applyProtection="1">
      <protection locked="0"/>
    </xf>
    <xf numFmtId="165" fontId="27" fillId="4" borderId="4" xfId="9" applyNumberFormat="1" applyFont="1" applyFill="1" applyBorder="1" applyProtection="1">
      <protection locked="0"/>
    </xf>
    <xf numFmtId="165" fontId="27" fillId="4" borderId="34" xfId="9" applyNumberFormat="1" applyFont="1" applyFill="1" applyBorder="1" applyProtection="1">
      <protection locked="0"/>
    </xf>
    <xf numFmtId="0" fontId="26" fillId="0" borderId="2" xfId="6" applyFont="1" applyBorder="1" applyAlignment="1">
      <alignment horizontal="center" vertical="center"/>
    </xf>
    <xf numFmtId="2" fontId="27" fillId="4" borderId="2" xfId="9" applyNumberFormat="1" applyFont="1" applyFill="1" applyBorder="1" applyProtection="1">
      <protection locked="0"/>
    </xf>
    <xf numFmtId="2" fontId="27" fillId="4" borderId="4" xfId="9" applyNumberFormat="1" applyFont="1" applyFill="1" applyBorder="1" applyProtection="1">
      <protection locked="0"/>
    </xf>
    <xf numFmtId="165" fontId="24" fillId="7" borderId="1" xfId="6" applyNumberFormat="1" applyFont="1" applyFill="1" applyBorder="1" applyAlignment="1">
      <alignment vertical="center"/>
    </xf>
    <xf numFmtId="165" fontId="24" fillId="7" borderId="16" xfId="6" applyNumberFormat="1" applyFont="1" applyFill="1" applyBorder="1" applyAlignment="1">
      <alignment vertical="center"/>
    </xf>
    <xf numFmtId="2" fontId="24" fillId="4" borderId="2" xfId="6" applyNumberFormat="1" applyFont="1" applyFill="1" applyBorder="1" applyAlignment="1" applyProtection="1">
      <alignment vertical="center"/>
      <protection locked="0"/>
    </xf>
    <xf numFmtId="2" fontId="24" fillId="4" borderId="3" xfId="6" applyNumberFormat="1" applyFont="1" applyFill="1" applyBorder="1" applyAlignment="1" applyProtection="1">
      <alignment vertical="center"/>
      <protection locked="0"/>
    </xf>
    <xf numFmtId="2" fontId="24" fillId="4" borderId="4" xfId="6" applyNumberFormat="1" applyFont="1" applyFill="1" applyBorder="1" applyAlignment="1" applyProtection="1">
      <alignment vertical="center"/>
      <protection locked="0"/>
    </xf>
    <xf numFmtId="0" fontId="8" fillId="3" borderId="57" xfId="9" applyFont="1" applyFill="1" applyBorder="1" applyAlignment="1">
      <alignment horizontal="center" vertical="center" wrapText="1"/>
    </xf>
    <xf numFmtId="0" fontId="8" fillId="3" borderId="12" xfId="9" applyFont="1" applyFill="1" applyBorder="1" applyAlignment="1">
      <alignment horizontal="center" vertical="center" wrapText="1"/>
    </xf>
    <xf numFmtId="165" fontId="27" fillId="4" borderId="38" xfId="10" applyNumberFormat="1" applyFont="1" applyFill="1" applyBorder="1" applyAlignment="1" applyProtection="1">
      <alignment vertical="center"/>
      <protection locked="0"/>
    </xf>
    <xf numFmtId="165" fontId="27" fillId="4" borderId="32" xfId="10" applyNumberFormat="1" applyFont="1" applyFill="1" applyBorder="1" applyAlignment="1" applyProtection="1">
      <alignment vertical="center"/>
      <protection locked="0"/>
    </xf>
    <xf numFmtId="0" fontId="27" fillId="0" borderId="9" xfId="9" applyFont="1" applyBorder="1" applyAlignment="1">
      <alignment vertical="center"/>
    </xf>
    <xf numFmtId="166" fontId="27" fillId="4" borderId="6" xfId="11" applyNumberFormat="1" applyFont="1" applyFill="1" applyBorder="1" applyAlignment="1" applyProtection="1">
      <alignment horizontal="right" vertical="center"/>
      <protection locked="0"/>
    </xf>
    <xf numFmtId="168" fontId="27" fillId="4" borderId="6" xfId="11" applyNumberFormat="1" applyFont="1" applyFill="1" applyBorder="1" applyAlignment="1" applyProtection="1">
      <alignment horizontal="right" vertical="center"/>
      <protection locked="0"/>
    </xf>
    <xf numFmtId="168" fontId="27" fillId="4" borderId="7" xfId="11" applyNumberFormat="1" applyFont="1" applyFill="1" applyBorder="1" applyAlignment="1" applyProtection="1">
      <alignment horizontal="right" vertical="center"/>
      <protection locked="0"/>
    </xf>
    <xf numFmtId="166" fontId="27" fillId="4" borderId="9" xfId="11" applyNumberFormat="1" applyFont="1" applyFill="1" applyBorder="1" applyAlignment="1" applyProtection="1">
      <alignment horizontal="right" vertical="center"/>
      <protection locked="0"/>
    </xf>
    <xf numFmtId="168" fontId="27" fillId="4" borderId="9" xfId="11" applyNumberFormat="1" applyFont="1" applyFill="1" applyBorder="1" applyAlignment="1" applyProtection="1">
      <alignment horizontal="right" vertical="center"/>
      <protection locked="0"/>
    </xf>
    <xf numFmtId="168" fontId="27" fillId="4" borderId="10" xfId="11" applyNumberFormat="1" applyFont="1" applyFill="1" applyBorder="1" applyAlignment="1" applyProtection="1">
      <alignment horizontal="right" vertical="center"/>
      <protection locked="0"/>
    </xf>
    <xf numFmtId="166" fontId="27" fillId="4" borderId="12" xfId="11" applyNumberFormat="1" applyFont="1" applyFill="1" applyBorder="1" applyAlignment="1" applyProtection="1">
      <alignment horizontal="right" vertical="center"/>
      <protection locked="0"/>
    </xf>
    <xf numFmtId="168" fontId="27" fillId="4" borderId="12" xfId="11" applyNumberFormat="1" applyFont="1" applyFill="1" applyBorder="1" applyAlignment="1" applyProtection="1">
      <alignment horizontal="right" vertical="center"/>
      <protection locked="0"/>
    </xf>
    <xf numFmtId="168" fontId="27" fillId="4" borderId="13" xfId="11" applyNumberFormat="1" applyFont="1" applyFill="1" applyBorder="1" applyAlignment="1" applyProtection="1">
      <alignment horizontal="right" vertical="center"/>
      <protection locked="0"/>
    </xf>
    <xf numFmtId="0" fontId="24" fillId="8" borderId="63" xfId="7" applyBorder="1" applyAlignment="1">
      <alignment horizontal="center" vertical="center" wrapText="1"/>
    </xf>
    <xf numFmtId="0" fontId="19" fillId="6" borderId="0" xfId="9" applyFill="1" applyAlignment="1">
      <alignment vertical="center"/>
    </xf>
    <xf numFmtId="0" fontId="19" fillId="6" borderId="0" xfId="9" applyFill="1" applyAlignment="1">
      <alignment horizontal="center" vertical="center"/>
    </xf>
    <xf numFmtId="0" fontId="19" fillId="15" borderId="0" xfId="9" applyFill="1" applyAlignment="1">
      <alignment vertical="center"/>
    </xf>
    <xf numFmtId="0" fontId="24" fillId="15" borderId="0" xfId="8" applyFont="1" applyFill="1" applyAlignment="1">
      <alignment vertical="center"/>
    </xf>
    <xf numFmtId="0" fontId="10" fillId="15" borderId="0" xfId="8" applyFont="1" applyFill="1" applyAlignment="1">
      <alignment vertical="center"/>
    </xf>
    <xf numFmtId="0" fontId="0" fillId="15" borderId="0" xfId="0" applyFill="1"/>
    <xf numFmtId="0" fontId="1" fillId="15" borderId="0" xfId="8" applyFill="1" applyAlignment="1">
      <alignment vertical="center"/>
    </xf>
    <xf numFmtId="0" fontId="16" fillId="10" borderId="0" xfId="9" applyFont="1" applyFill="1" applyAlignment="1">
      <alignment vertical="center" wrapText="1"/>
    </xf>
    <xf numFmtId="0" fontId="0" fillId="0" borderId="0" xfId="0" applyAlignment="1">
      <alignment horizontal="left" vertical="center"/>
    </xf>
    <xf numFmtId="0" fontId="0" fillId="15" borderId="0" xfId="0" applyFill="1" applyAlignment="1">
      <alignment horizontal="left" vertical="center"/>
    </xf>
    <xf numFmtId="0" fontId="26" fillId="0" borderId="0" xfId="0" applyFont="1" applyAlignment="1">
      <alignment horizontal="left" vertical="center"/>
    </xf>
    <xf numFmtId="0" fontId="10" fillId="0" borderId="0" xfId="6" applyFont="1" applyAlignment="1">
      <alignment horizontal="left" vertical="center"/>
    </xf>
    <xf numFmtId="0" fontId="33" fillId="0" borderId="0" xfId="9" applyFont="1" applyAlignment="1">
      <alignment horizontal="left" vertical="center"/>
    </xf>
    <xf numFmtId="0" fontId="1" fillId="0" borderId="0" xfId="6" applyAlignment="1">
      <alignment horizontal="left" vertical="center"/>
    </xf>
    <xf numFmtId="0" fontId="26" fillId="6" borderId="0" xfId="0" applyFont="1" applyFill="1" applyAlignment="1">
      <alignment horizontal="left" vertical="center"/>
    </xf>
    <xf numFmtId="0" fontId="26" fillId="0" borderId="0" xfId="6" applyFont="1" applyAlignment="1">
      <alignment horizontal="left" vertical="center"/>
    </xf>
    <xf numFmtId="0" fontId="27" fillId="0" borderId="5" xfId="9" applyFont="1" applyBorder="1" applyAlignment="1">
      <alignment horizontal="left" vertical="center"/>
    </xf>
    <xf numFmtId="0" fontId="27" fillId="0" borderId="6" xfId="9" applyFont="1" applyBorder="1" applyAlignment="1">
      <alignment horizontal="left" vertical="center"/>
    </xf>
    <xf numFmtId="0" fontId="24" fillId="8" borderId="25" xfId="7" applyBorder="1" applyAlignment="1">
      <alignment horizontal="left" vertical="center"/>
    </xf>
    <xf numFmtId="0" fontId="27" fillId="0" borderId="8" xfId="9" applyFont="1" applyBorder="1" applyAlignment="1">
      <alignment horizontal="left" vertical="center"/>
    </xf>
    <xf numFmtId="0" fontId="27" fillId="0" borderId="9" xfId="9" applyFont="1" applyBorder="1" applyAlignment="1">
      <alignment horizontal="left" vertical="center"/>
    </xf>
    <xf numFmtId="0" fontId="27" fillId="0" borderId="11" xfId="9" applyFont="1" applyBorder="1" applyAlignment="1">
      <alignment horizontal="left" vertical="center"/>
    </xf>
    <xf numFmtId="0" fontId="27" fillId="0" borderId="12" xfId="9" applyFont="1" applyBorder="1" applyAlignment="1">
      <alignment horizontal="left" vertical="center"/>
    </xf>
    <xf numFmtId="0" fontId="4" fillId="2" borderId="0" xfId="6" applyFont="1" applyFill="1" applyAlignment="1">
      <alignment horizontal="center" vertical="center"/>
    </xf>
    <xf numFmtId="0" fontId="27" fillId="0" borderId="6" xfId="9" applyFont="1" applyBorder="1" applyAlignment="1">
      <alignment horizontal="center" vertical="center"/>
    </xf>
    <xf numFmtId="0" fontId="27" fillId="0" borderId="9" xfId="9" applyFont="1" applyBorder="1" applyAlignment="1">
      <alignment horizontal="center" vertical="center"/>
    </xf>
    <xf numFmtId="0" fontId="27" fillId="0" borderId="12" xfId="9" applyFont="1" applyBorder="1" applyAlignment="1">
      <alignment horizontal="center" vertical="center"/>
    </xf>
    <xf numFmtId="0" fontId="0" fillId="0" borderId="0" xfId="0" applyAlignment="1">
      <alignment horizontal="center" vertical="center"/>
    </xf>
    <xf numFmtId="0" fontId="4" fillId="2" borderId="0" xfId="6" applyFont="1" applyFill="1" applyAlignment="1">
      <alignment horizontal="right" vertical="center" wrapText="1"/>
    </xf>
    <xf numFmtId="0" fontId="19" fillId="0" borderId="0" xfId="9" applyAlignment="1">
      <alignment horizontal="right" vertical="center" wrapText="1"/>
    </xf>
    <xf numFmtId="0" fontId="8" fillId="3" borderId="61" xfId="9" applyFont="1" applyFill="1" applyBorder="1" applyAlignment="1">
      <alignment horizontal="right" vertical="center" wrapText="1"/>
    </xf>
    <xf numFmtId="0" fontId="0" fillId="0" borderId="0" xfId="0" applyAlignment="1">
      <alignment horizontal="right" vertical="center" wrapText="1"/>
    </xf>
    <xf numFmtId="0" fontId="19" fillId="0" borderId="0" xfId="9" applyAlignment="1">
      <alignment horizontal="center" vertical="center" wrapText="1"/>
    </xf>
    <xf numFmtId="0" fontId="0" fillId="0" borderId="0" xfId="0" applyAlignment="1">
      <alignment horizontal="center" vertical="center" wrapText="1"/>
    </xf>
    <xf numFmtId="0" fontId="33" fillId="0" borderId="0" xfId="9" applyFont="1" applyAlignment="1">
      <alignment horizontal="center" vertical="center"/>
    </xf>
    <xf numFmtId="0" fontId="27" fillId="4" borderId="6" xfId="11" applyFont="1" applyFill="1" applyBorder="1" applyAlignment="1" applyProtection="1">
      <alignment horizontal="right" vertical="center" wrapText="1"/>
      <protection locked="0"/>
    </xf>
    <xf numFmtId="0" fontId="27" fillId="4" borderId="7" xfId="11" applyFont="1" applyFill="1" applyBorder="1" applyAlignment="1" applyProtection="1">
      <alignment horizontal="center" vertical="center" wrapText="1"/>
      <protection locked="0"/>
    </xf>
    <xf numFmtId="0" fontId="27" fillId="4" borderId="9" xfId="11" applyFont="1" applyFill="1" applyBorder="1" applyAlignment="1" applyProtection="1">
      <alignment horizontal="right" vertical="center" wrapText="1"/>
      <protection locked="0"/>
    </xf>
    <xf numFmtId="0" fontId="27" fillId="4" borderId="10" xfId="11" applyFont="1" applyFill="1" applyBorder="1" applyAlignment="1" applyProtection="1">
      <alignment horizontal="center" vertical="center" wrapText="1"/>
      <protection locked="0"/>
    </xf>
    <xf numFmtId="0" fontId="27" fillId="4" borderId="12" xfId="11" applyFont="1" applyFill="1" applyBorder="1" applyAlignment="1" applyProtection="1">
      <alignment horizontal="right" vertical="center" wrapText="1"/>
      <protection locked="0"/>
    </xf>
    <xf numFmtId="0" fontId="27" fillId="4" borderId="13" xfId="11" applyFont="1" applyFill="1" applyBorder="1" applyAlignment="1" applyProtection="1">
      <alignment horizontal="center" vertical="center" wrapText="1"/>
      <protection locked="0"/>
    </xf>
    <xf numFmtId="0" fontId="26" fillId="15" borderId="0" xfId="0" applyFont="1" applyFill="1" applyAlignment="1">
      <alignment horizontal="left" vertical="center"/>
    </xf>
    <xf numFmtId="0" fontId="1" fillId="0" borderId="35" xfId="8" applyBorder="1" applyAlignment="1">
      <alignment vertical="center"/>
    </xf>
    <xf numFmtId="0" fontId="0" fillId="15" borderId="0" xfId="0" applyFill="1" applyAlignment="1">
      <alignment horizontal="left" vertical="center" wrapText="1"/>
    </xf>
    <xf numFmtId="0" fontId="8" fillId="3" borderId="16" xfId="9" applyFont="1" applyFill="1" applyBorder="1" applyAlignment="1">
      <alignment horizontal="left" vertical="center" wrapText="1"/>
    </xf>
    <xf numFmtId="0" fontId="0" fillId="0" borderId="9" xfId="0" applyBorder="1"/>
    <xf numFmtId="0" fontId="0" fillId="0" borderId="6" xfId="0" applyBorder="1"/>
    <xf numFmtId="0" fontId="0" fillId="0" borderId="12" xfId="0" applyBorder="1"/>
    <xf numFmtId="0" fontId="0" fillId="0" borderId="3" xfId="0" applyBorder="1"/>
    <xf numFmtId="0" fontId="27" fillId="0" borderId="54" xfId="9" applyFont="1" applyBorder="1" applyAlignment="1">
      <alignment horizontal="center" vertical="center"/>
    </xf>
    <xf numFmtId="0" fontId="27" fillId="0" borderId="57" xfId="9" applyFont="1" applyBorder="1" applyAlignment="1">
      <alignment horizontal="center" vertical="center"/>
    </xf>
    <xf numFmtId="0" fontId="0" fillId="0" borderId="5" xfId="0" applyBorder="1"/>
    <xf numFmtId="0" fontId="0" fillId="0" borderId="11" xfId="0" applyBorder="1"/>
    <xf numFmtId="0" fontId="0" fillId="0" borderId="35" xfId="0" applyBorder="1"/>
    <xf numFmtId="0" fontId="27" fillId="0" borderId="8" xfId="9" applyFont="1" applyBorder="1" applyAlignment="1">
      <alignment horizontal="center" vertical="top" wrapText="1"/>
    </xf>
    <xf numFmtId="0" fontId="27" fillId="0" borderId="11" xfId="9" applyFont="1" applyBorder="1" applyAlignment="1">
      <alignment horizontal="center" vertical="top" wrapText="1"/>
    </xf>
    <xf numFmtId="0" fontId="0" fillId="0" borderId="0" xfId="0" applyAlignment="1">
      <alignment horizontal="center"/>
    </xf>
    <xf numFmtId="0" fontId="24" fillId="8" borderId="25" xfId="7" applyBorder="1" applyAlignment="1">
      <alignment horizontal="center" vertical="center"/>
    </xf>
    <xf numFmtId="0" fontId="26" fillId="6" borderId="0" xfId="6" applyFont="1" applyFill="1" applyAlignment="1">
      <alignment horizontal="left" vertical="center"/>
    </xf>
    <xf numFmtId="0" fontId="26" fillId="15" borderId="0" xfId="6" applyFont="1" applyFill="1" applyAlignment="1">
      <alignment horizontal="center" vertical="center" wrapText="1"/>
    </xf>
    <xf numFmtId="0" fontId="26" fillId="6" borderId="0" xfId="0" applyFont="1" applyFill="1"/>
    <xf numFmtId="0" fontId="26" fillId="0" borderId="0" xfId="0" applyFont="1"/>
    <xf numFmtId="0" fontId="16" fillId="10" borderId="0" xfId="9" applyFont="1" applyFill="1" applyAlignment="1">
      <alignment horizontal="center" vertical="center"/>
    </xf>
    <xf numFmtId="0" fontId="26" fillId="15" borderId="0" xfId="6" applyFont="1" applyFill="1" applyAlignment="1">
      <alignment horizontal="center" vertical="center"/>
    </xf>
    <xf numFmtId="0" fontId="26" fillId="15" borderId="0" xfId="0" applyFont="1" applyFill="1"/>
    <xf numFmtId="0" fontId="26" fillId="0" borderId="0" xfId="0" applyFont="1" applyAlignment="1">
      <alignment horizontal="center"/>
    </xf>
    <xf numFmtId="0" fontId="26" fillId="0" borderId="0" xfId="0" applyFont="1" applyAlignment="1">
      <alignment horizontal="center" vertical="center"/>
    </xf>
    <xf numFmtId="0" fontId="26" fillId="6" borderId="0" xfId="0" applyFont="1" applyFill="1" applyAlignment="1">
      <alignment horizontal="center"/>
    </xf>
    <xf numFmtId="0" fontId="26" fillId="6" borderId="0" xfId="0" applyFont="1" applyFill="1" applyAlignment="1">
      <alignment horizontal="center" vertical="center"/>
    </xf>
    <xf numFmtId="0" fontId="15" fillId="0" borderId="7" xfId="5" quotePrefix="1" applyFont="1" applyBorder="1" applyAlignment="1" applyProtection="1">
      <alignment horizontal="center" vertical="center"/>
    </xf>
    <xf numFmtId="0" fontId="0" fillId="15" borderId="0" xfId="0" applyFill="1" applyAlignment="1">
      <alignment wrapText="1"/>
    </xf>
    <xf numFmtId="0" fontId="8" fillId="3" borderId="14" xfId="9" applyFont="1" applyFill="1" applyBorder="1" applyAlignment="1">
      <alignment horizontal="center"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9" xfId="0" applyBorder="1" applyAlignment="1">
      <alignment horizontal="center"/>
    </xf>
    <xf numFmtId="0" fontId="0" fillId="0" borderId="9" xfId="0" applyBorder="1" applyAlignment="1">
      <alignment horizontal="center" vertical="center"/>
    </xf>
    <xf numFmtId="0" fontId="0" fillId="0" borderId="12" xfId="0" applyBorder="1" applyAlignment="1">
      <alignment horizontal="center"/>
    </xf>
    <xf numFmtId="0" fontId="0" fillId="0" borderId="12" xfId="0" applyBorder="1" applyAlignment="1">
      <alignment horizontal="center" vertical="center"/>
    </xf>
    <xf numFmtId="0" fontId="0" fillId="0" borderId="3" xfId="0" applyBorder="1" applyAlignment="1">
      <alignment horizontal="center"/>
    </xf>
    <xf numFmtId="0" fontId="0" fillId="0" borderId="3" xfId="0" applyBorder="1" applyAlignment="1">
      <alignment horizontal="center" vertical="center"/>
    </xf>
    <xf numFmtId="0" fontId="0" fillId="0" borderId="0" xfId="0" applyAlignment="1">
      <alignment horizontal="right"/>
    </xf>
    <xf numFmtId="2" fontId="27" fillId="4" borderId="7" xfId="9" applyNumberFormat="1" applyFont="1" applyFill="1" applyBorder="1" applyAlignment="1" applyProtection="1">
      <alignment horizontal="right"/>
      <protection locked="0"/>
    </xf>
    <xf numFmtId="2" fontId="27" fillId="4" borderId="10" xfId="9" applyNumberFormat="1" applyFont="1" applyFill="1" applyBorder="1" applyAlignment="1" applyProtection="1">
      <alignment horizontal="right"/>
      <protection locked="0"/>
    </xf>
    <xf numFmtId="2" fontId="27" fillId="7" borderId="13" xfId="9" applyNumberFormat="1" applyFont="1" applyFill="1" applyBorder="1" applyAlignment="1">
      <alignment horizontal="right"/>
    </xf>
    <xf numFmtId="1" fontId="27" fillId="7" borderId="4" xfId="9" applyNumberFormat="1" applyFont="1" applyFill="1" applyBorder="1" applyAlignment="1">
      <alignment horizontal="right"/>
    </xf>
    <xf numFmtId="0" fontId="27" fillId="4" borderId="7" xfId="11" applyFont="1" applyFill="1" applyBorder="1" applyAlignment="1" applyProtection="1">
      <alignment horizontal="right" vertical="center"/>
      <protection locked="0"/>
    </xf>
    <xf numFmtId="0" fontId="27" fillId="4" borderId="10" xfId="11" applyFont="1" applyFill="1" applyBorder="1" applyAlignment="1" applyProtection="1">
      <alignment horizontal="right" vertical="center"/>
      <protection locked="0"/>
    </xf>
    <xf numFmtId="0" fontId="24" fillId="6" borderId="0" xfId="0" applyFont="1" applyFill="1"/>
    <xf numFmtId="0" fontId="24" fillId="0" borderId="0" xfId="0" applyFont="1" applyAlignment="1">
      <alignment horizontal="center" vertical="center"/>
    </xf>
    <xf numFmtId="0" fontId="24" fillId="6" borderId="0" xfId="0" applyFont="1" applyFill="1" applyAlignment="1">
      <alignment horizontal="center" vertical="center"/>
    </xf>
    <xf numFmtId="3" fontId="27" fillId="4" borderId="6" xfId="11" applyNumberFormat="1" applyFont="1" applyFill="1" applyBorder="1" applyAlignment="1" applyProtection="1">
      <alignment horizontal="right" vertical="center"/>
      <protection locked="0"/>
    </xf>
    <xf numFmtId="3" fontId="27" fillId="4" borderId="9" xfId="11" applyNumberFormat="1" applyFont="1" applyFill="1" applyBorder="1" applyAlignment="1" applyProtection="1">
      <alignment horizontal="right" vertical="center"/>
      <protection locked="0"/>
    </xf>
    <xf numFmtId="0" fontId="27" fillId="0" borderId="113" xfId="9" applyFont="1" applyBorder="1" applyAlignment="1">
      <alignment horizontal="center" vertical="top" wrapText="1"/>
    </xf>
    <xf numFmtId="0" fontId="27" fillId="0" borderId="56" xfId="9" applyFont="1" applyBorder="1" applyAlignment="1">
      <alignment horizontal="center" vertical="top" wrapText="1"/>
    </xf>
    <xf numFmtId="0" fontId="27" fillId="0" borderId="57" xfId="9" applyFont="1" applyBorder="1" applyAlignment="1">
      <alignment horizontal="center" vertical="top" wrapText="1"/>
    </xf>
    <xf numFmtId="0" fontId="27" fillId="4" borderId="6" xfId="9" applyFont="1" applyFill="1" applyBorder="1" applyProtection="1">
      <protection locked="0"/>
    </xf>
    <xf numFmtId="0" fontId="27" fillId="7" borderId="3" xfId="9" applyFont="1" applyFill="1" applyBorder="1"/>
    <xf numFmtId="0" fontId="27" fillId="7" borderId="4" xfId="9" applyFont="1" applyFill="1" applyBorder="1"/>
    <xf numFmtId="0" fontId="24" fillId="0" borderId="2" xfId="0" applyFont="1" applyBorder="1" applyAlignment="1">
      <alignment horizontal="center"/>
    </xf>
    <xf numFmtId="0" fontId="24" fillId="0" borderId="3" xfId="0" applyFont="1" applyBorder="1" applyAlignment="1">
      <alignment horizontal="left"/>
    </xf>
    <xf numFmtId="0" fontId="24" fillId="0" borderId="3" xfId="0" applyFont="1" applyBorder="1" applyAlignment="1">
      <alignment horizontal="center"/>
    </xf>
    <xf numFmtId="0" fontId="15" fillId="0" borderId="50" xfId="5" quotePrefix="1" applyFont="1" applyBorder="1" applyAlignment="1" applyProtection="1">
      <alignment horizontal="center" vertical="center"/>
    </xf>
    <xf numFmtId="0" fontId="27" fillId="0" borderId="2" xfId="6" applyFont="1" applyBorder="1" applyAlignment="1">
      <alignment horizontal="center" vertical="center"/>
    </xf>
    <xf numFmtId="0" fontId="19" fillId="0" borderId="3" xfId="6" applyFont="1" applyBorder="1" applyAlignment="1">
      <alignment vertical="center"/>
    </xf>
    <xf numFmtId="0" fontId="11" fillId="0" borderId="0" xfId="5" applyFill="1" applyProtection="1"/>
    <xf numFmtId="165" fontId="27" fillId="4" borderId="31" xfId="10" applyNumberFormat="1" applyFont="1" applyFill="1" applyBorder="1" applyAlignment="1" applyProtection="1">
      <alignment vertical="center"/>
      <protection locked="0"/>
    </xf>
    <xf numFmtId="165" fontId="27" fillId="4" borderId="57" xfId="10" applyNumberFormat="1" applyFont="1" applyFill="1" applyBorder="1" applyAlignment="1" applyProtection="1">
      <alignment vertical="center"/>
      <protection locked="0"/>
    </xf>
    <xf numFmtId="165" fontId="27" fillId="4" borderId="54" xfId="10" applyNumberFormat="1" applyFont="1" applyFill="1" applyBorder="1" applyAlignment="1" applyProtection="1">
      <alignment vertical="center"/>
      <protection locked="0"/>
    </xf>
    <xf numFmtId="165" fontId="27" fillId="4" borderId="23" xfId="10" applyNumberFormat="1" applyFont="1" applyFill="1" applyBorder="1" applyAlignment="1" applyProtection="1">
      <alignment vertical="center"/>
      <protection locked="0"/>
    </xf>
    <xf numFmtId="0" fontId="8" fillId="3" borderId="34" xfId="9" applyFont="1" applyFill="1" applyBorder="1" applyAlignment="1">
      <alignment horizontal="center" vertical="center" wrapText="1"/>
    </xf>
    <xf numFmtId="0" fontId="13" fillId="10" borderId="0" xfId="9" applyFont="1" applyFill="1" applyAlignment="1">
      <alignment vertical="center" wrapText="1"/>
    </xf>
    <xf numFmtId="0" fontId="1" fillId="0" borderId="0" xfId="6" applyAlignment="1">
      <alignment vertical="center" wrapText="1"/>
    </xf>
    <xf numFmtId="0" fontId="1" fillId="3" borderId="0" xfId="6" applyFill="1" applyAlignment="1">
      <alignment vertical="center" wrapText="1"/>
    </xf>
    <xf numFmtId="0" fontId="0" fillId="11" borderId="0" xfId="0" applyFill="1" applyAlignment="1">
      <alignment wrapText="1"/>
    </xf>
    <xf numFmtId="0" fontId="27" fillId="0" borderId="6" xfId="9" applyFont="1" applyBorder="1" applyAlignment="1">
      <alignment vertical="top" wrapText="1"/>
    </xf>
    <xf numFmtId="0" fontId="27" fillId="0" borderId="12" xfId="9" applyFont="1" applyBorder="1" applyAlignment="1">
      <alignment vertical="top" wrapText="1"/>
    </xf>
    <xf numFmtId="0" fontId="8" fillId="3" borderId="110" xfId="6" applyFont="1" applyFill="1" applyBorder="1" applyAlignment="1">
      <alignment horizontal="center" vertical="center" wrapText="1"/>
    </xf>
    <xf numFmtId="165" fontId="24" fillId="7" borderId="116" xfId="6" applyNumberFormat="1" applyFont="1" applyFill="1" applyBorder="1" applyAlignment="1">
      <alignment vertical="center"/>
    </xf>
    <xf numFmtId="165" fontId="24" fillId="4" borderId="117" xfId="6" applyNumberFormat="1" applyFont="1" applyFill="1" applyBorder="1" applyAlignment="1" applyProtection="1">
      <alignment vertical="center"/>
      <protection locked="0"/>
    </xf>
    <xf numFmtId="165" fontId="24" fillId="4" borderId="118" xfId="6" applyNumberFormat="1" applyFont="1" applyFill="1" applyBorder="1" applyAlignment="1" applyProtection="1">
      <alignment vertical="center"/>
      <protection locked="0"/>
    </xf>
    <xf numFmtId="0" fontId="8" fillId="0" borderId="0" xfId="9" applyFont="1" applyAlignment="1">
      <alignment horizontal="center" vertical="center" wrapText="1"/>
    </xf>
    <xf numFmtId="1" fontId="27" fillId="7" borderId="1" xfId="9" applyNumberFormat="1" applyFont="1" applyFill="1" applyBorder="1" applyAlignment="1">
      <alignment vertical="center"/>
    </xf>
    <xf numFmtId="1" fontId="27" fillId="0" borderId="0" xfId="9" applyNumberFormat="1" applyFont="1" applyAlignment="1">
      <alignment vertical="center"/>
    </xf>
    <xf numFmtId="1" fontId="27" fillId="7" borderId="31" xfId="9" applyNumberFormat="1" applyFont="1" applyFill="1" applyBorder="1" applyAlignment="1">
      <alignment vertical="center"/>
    </xf>
    <xf numFmtId="1" fontId="27" fillId="7" borderId="32" xfId="9" applyNumberFormat="1" applyFont="1" applyFill="1" applyBorder="1" applyAlignment="1">
      <alignment vertical="center"/>
    </xf>
    <xf numFmtId="1" fontId="24" fillId="0" borderId="0" xfId="6" applyNumberFormat="1" applyFont="1" applyAlignment="1">
      <alignment vertical="center"/>
    </xf>
    <xf numFmtId="165" fontId="27" fillId="4" borderId="1" xfId="11" applyNumberFormat="1" applyFont="1" applyFill="1" applyBorder="1" applyAlignment="1" applyProtection="1">
      <alignment vertical="center"/>
      <protection locked="0"/>
    </xf>
    <xf numFmtId="165" fontId="27" fillId="4" borderId="31" xfId="11" applyNumberFormat="1" applyFont="1" applyFill="1" applyBorder="1" applyAlignment="1" applyProtection="1">
      <alignment vertical="center"/>
      <protection locked="0"/>
    </xf>
    <xf numFmtId="165" fontId="27" fillId="4" borderId="32" xfId="11" applyNumberFormat="1" applyFont="1" applyFill="1" applyBorder="1" applyAlignment="1" applyProtection="1">
      <alignment vertical="center"/>
      <protection locked="0"/>
    </xf>
    <xf numFmtId="165" fontId="24" fillId="0" borderId="0" xfId="8" applyNumberFormat="1" applyFont="1" applyAlignment="1">
      <alignment horizontal="center" vertical="center"/>
    </xf>
    <xf numFmtId="165" fontId="27" fillId="7" borderId="1" xfId="9" applyNumberFormat="1" applyFont="1" applyFill="1" applyBorder="1" applyAlignment="1">
      <alignment vertical="center"/>
    </xf>
    <xf numFmtId="1" fontId="27" fillId="7" borderId="1" xfId="9" applyNumberFormat="1" applyFont="1" applyFill="1" applyBorder="1"/>
    <xf numFmtId="1" fontId="27" fillId="7" borderId="31" xfId="9" applyNumberFormat="1" applyFont="1" applyFill="1" applyBorder="1"/>
    <xf numFmtId="1" fontId="27" fillId="7" borderId="32" xfId="9" applyNumberFormat="1" applyFont="1" applyFill="1" applyBorder="1"/>
    <xf numFmtId="165" fontId="27" fillId="4" borderId="1" xfId="11" applyNumberFormat="1" applyFont="1" applyFill="1" applyBorder="1" applyProtection="1">
      <protection locked="0"/>
    </xf>
    <xf numFmtId="165" fontId="27" fillId="4" borderId="31" xfId="11" applyNumberFormat="1" applyFont="1" applyFill="1" applyBorder="1" applyProtection="1">
      <protection locked="0"/>
    </xf>
    <xf numFmtId="165" fontId="27" fillId="4" borderId="32" xfId="11" applyNumberFormat="1" applyFont="1" applyFill="1" applyBorder="1" applyProtection="1">
      <protection locked="0"/>
    </xf>
    <xf numFmtId="0" fontId="27" fillId="10" borderId="33" xfId="9" applyFont="1" applyFill="1" applyBorder="1" applyAlignment="1">
      <alignment horizontal="center" vertical="center"/>
    </xf>
    <xf numFmtId="0" fontId="19" fillId="0" borderId="1" xfId="9" applyBorder="1" applyAlignment="1">
      <alignment vertical="center"/>
    </xf>
    <xf numFmtId="0" fontId="27" fillId="10" borderId="0" xfId="9" applyFont="1" applyFill="1" applyAlignment="1">
      <alignment horizontal="center" vertical="center"/>
    </xf>
    <xf numFmtId="165" fontId="27" fillId="0" borderId="0" xfId="11" applyNumberFormat="1" applyFont="1" applyAlignment="1" applyProtection="1">
      <alignment vertical="center"/>
      <protection locked="0"/>
    </xf>
    <xf numFmtId="0" fontId="0" fillId="0" borderId="0" xfId="0" applyAlignment="1">
      <alignment horizontal="left" vertical="center" wrapText="1"/>
    </xf>
    <xf numFmtId="165" fontId="24" fillId="7" borderId="44" xfId="6" applyNumberFormat="1" applyFont="1" applyFill="1" applyBorder="1" applyAlignment="1">
      <alignment vertical="center"/>
    </xf>
    <xf numFmtId="165" fontId="24" fillId="4" borderId="30" xfId="6" applyNumberFormat="1" applyFont="1" applyFill="1" applyBorder="1" applyAlignment="1" applyProtection="1">
      <alignment vertical="center"/>
      <protection locked="0"/>
    </xf>
    <xf numFmtId="165" fontId="24" fillId="7" borderId="62" xfId="6" applyNumberFormat="1" applyFont="1" applyFill="1" applyBorder="1" applyAlignment="1">
      <alignment vertical="center"/>
    </xf>
    <xf numFmtId="0" fontId="27" fillId="0" borderId="43" xfId="9" applyFont="1" applyBorder="1" applyAlignment="1">
      <alignment horizontal="center" vertical="center"/>
    </xf>
    <xf numFmtId="0" fontId="19" fillId="0" borderId="44" xfId="9" applyBorder="1" applyAlignment="1">
      <alignment horizontal="left" vertical="center"/>
    </xf>
    <xf numFmtId="165" fontId="27" fillId="4" borderId="30" xfId="9" applyNumberFormat="1" applyFont="1" applyFill="1" applyBorder="1" applyAlignment="1" applyProtection="1">
      <alignment vertical="center"/>
      <protection locked="0"/>
    </xf>
    <xf numFmtId="165" fontId="27" fillId="4" borderId="18" xfId="9" applyNumberFormat="1" applyFont="1" applyFill="1" applyBorder="1" applyAlignment="1" applyProtection="1">
      <alignment vertical="center"/>
      <protection locked="0"/>
    </xf>
    <xf numFmtId="165" fontId="19" fillId="4" borderId="43" xfId="9" applyNumberFormat="1" applyFill="1" applyBorder="1" applyAlignment="1" applyProtection="1">
      <alignment vertical="center"/>
      <protection locked="0"/>
    </xf>
    <xf numFmtId="0" fontId="16" fillId="0" borderId="12" xfId="9" quotePrefix="1" applyFont="1" applyBorder="1" applyAlignment="1">
      <alignment horizontal="center" vertical="center"/>
    </xf>
    <xf numFmtId="0" fontId="16" fillId="0" borderId="36" xfId="9" applyFont="1" applyBorder="1" applyAlignment="1">
      <alignment horizontal="center" vertical="center"/>
    </xf>
    <xf numFmtId="0" fontId="16" fillId="0" borderId="40" xfId="9" applyFont="1" applyBorder="1" applyAlignment="1">
      <alignment horizontal="center" vertical="center"/>
    </xf>
    <xf numFmtId="165" fontId="24" fillId="7" borderId="37" xfId="6" applyNumberFormat="1" applyFont="1" applyFill="1" applyBorder="1" applyAlignment="1">
      <alignment vertical="center"/>
    </xf>
    <xf numFmtId="165" fontId="27" fillId="7" borderId="41" xfId="9" applyNumberFormat="1" applyFont="1" applyFill="1" applyBorder="1"/>
    <xf numFmtId="165" fontId="27" fillId="7" borderId="39" xfId="9" applyNumberFormat="1" applyFont="1" applyFill="1" applyBorder="1"/>
    <xf numFmtId="165" fontId="27" fillId="7" borderId="61" xfId="9" applyNumberFormat="1" applyFont="1" applyFill="1" applyBorder="1"/>
    <xf numFmtId="0" fontId="27" fillId="0" borderId="43" xfId="9" applyFont="1" applyBorder="1" applyAlignment="1">
      <alignment horizontal="center" vertical="top"/>
    </xf>
    <xf numFmtId="0" fontId="24" fillId="0" borderId="0" xfId="6" applyFont="1" applyAlignment="1">
      <alignment horizontal="left" vertical="center"/>
    </xf>
    <xf numFmtId="165" fontId="27" fillId="4" borderId="46" xfId="9" applyNumberFormat="1" applyFont="1" applyFill="1" applyBorder="1" applyProtection="1">
      <protection locked="0"/>
    </xf>
    <xf numFmtId="165" fontId="27" fillId="4" borderId="47" xfId="9" applyNumberFormat="1" applyFont="1" applyFill="1" applyBorder="1" applyProtection="1">
      <protection locked="0"/>
    </xf>
    <xf numFmtId="165" fontId="27" fillId="4" borderId="50" xfId="9" applyNumberFormat="1" applyFont="1" applyFill="1" applyBorder="1" applyProtection="1">
      <protection locked="0"/>
    </xf>
    <xf numFmtId="2" fontId="27" fillId="4" borderId="46" xfId="9" applyNumberFormat="1" applyFont="1" applyFill="1" applyBorder="1" applyProtection="1">
      <protection locked="0"/>
    </xf>
    <xf numFmtId="2" fontId="27" fillId="4" borderId="50" xfId="9" applyNumberFormat="1" applyFont="1" applyFill="1" applyBorder="1" applyProtection="1">
      <protection locked="0"/>
    </xf>
    <xf numFmtId="2" fontId="27" fillId="4" borderId="43" xfId="9" applyNumberFormat="1" applyFont="1" applyFill="1" applyBorder="1" applyProtection="1">
      <protection locked="0"/>
    </xf>
    <xf numFmtId="2" fontId="27" fillId="4" borderId="62" xfId="9" applyNumberFormat="1" applyFont="1" applyFill="1" applyBorder="1" applyProtection="1">
      <protection locked="0"/>
    </xf>
    <xf numFmtId="165" fontId="27" fillId="4" borderId="43" xfId="9" applyNumberFormat="1" applyFont="1" applyFill="1" applyBorder="1" applyProtection="1">
      <protection locked="0"/>
    </xf>
    <xf numFmtId="165" fontId="27" fillId="4" borderId="44" xfId="9" applyNumberFormat="1" applyFont="1" applyFill="1" applyBorder="1" applyProtection="1">
      <protection locked="0"/>
    </xf>
    <xf numFmtId="165" fontId="27" fillId="4" borderId="62" xfId="9" applyNumberFormat="1" applyFont="1" applyFill="1" applyBorder="1" applyProtection="1">
      <protection locked="0"/>
    </xf>
    <xf numFmtId="165" fontId="27" fillId="4" borderId="122" xfId="9" applyNumberFormat="1" applyFont="1" applyFill="1" applyBorder="1" applyProtection="1">
      <protection locked="0"/>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xf>
    <xf numFmtId="0" fontId="27" fillId="0" borderId="12" xfId="9" applyFont="1" applyBorder="1" applyAlignment="1">
      <alignment vertical="center"/>
    </xf>
    <xf numFmtId="165" fontId="27" fillId="7" borderId="50" xfId="9" applyNumberFormat="1" applyFont="1" applyFill="1" applyBorder="1" applyAlignment="1">
      <alignment vertical="center"/>
    </xf>
    <xf numFmtId="165" fontId="27" fillId="4" borderId="29" xfId="10" applyNumberFormat="1" applyFont="1" applyFill="1" applyBorder="1" applyAlignment="1" applyProtection="1">
      <alignment vertical="center"/>
      <protection locked="0"/>
    </xf>
    <xf numFmtId="165" fontId="27" fillId="4" borderId="45" xfId="10" applyNumberFormat="1" applyFont="1" applyFill="1" applyBorder="1" applyAlignment="1" applyProtection="1">
      <alignment vertical="center"/>
      <protection locked="0"/>
    </xf>
    <xf numFmtId="165" fontId="24" fillId="4" borderId="123" xfId="6" applyNumberFormat="1" applyFont="1" applyFill="1" applyBorder="1" applyAlignment="1" applyProtection="1">
      <alignment vertical="center"/>
      <protection locked="0"/>
    </xf>
    <xf numFmtId="165" fontId="24" fillId="7" borderId="124" xfId="6" applyNumberFormat="1" applyFont="1" applyFill="1" applyBorder="1" applyAlignment="1">
      <alignment vertical="center"/>
    </xf>
    <xf numFmtId="165" fontId="24" fillId="0" borderId="80" xfId="6" applyNumberFormat="1" applyFont="1" applyBorder="1" applyAlignment="1">
      <alignment vertical="center"/>
    </xf>
    <xf numFmtId="165" fontId="24" fillId="0" borderId="81" xfId="6" applyNumberFormat="1" applyFont="1" applyBorder="1" applyAlignment="1">
      <alignment vertical="center"/>
    </xf>
    <xf numFmtId="10" fontId="24" fillId="4" borderId="30" xfId="6" applyNumberFormat="1" applyFont="1" applyFill="1" applyBorder="1" applyAlignment="1" applyProtection="1">
      <alignment vertical="center"/>
      <protection locked="0"/>
    </xf>
    <xf numFmtId="10" fontId="27" fillId="9" borderId="32" xfId="9" applyNumberFormat="1" applyFont="1" applyFill="1" applyBorder="1"/>
    <xf numFmtId="10" fontId="24" fillId="4" borderId="32" xfId="6" applyNumberFormat="1" applyFont="1" applyFill="1" applyBorder="1" applyAlignment="1" applyProtection="1">
      <alignment vertical="center"/>
      <protection locked="0"/>
    </xf>
    <xf numFmtId="10" fontId="24" fillId="4" borderId="109" xfId="6" applyNumberFormat="1" applyFont="1" applyFill="1" applyBorder="1" applyAlignment="1" applyProtection="1">
      <alignment vertical="center"/>
      <protection locked="0"/>
    </xf>
    <xf numFmtId="0" fontId="10" fillId="0" borderId="60" xfId="6" applyFont="1" applyBorder="1" applyAlignment="1">
      <alignment vertical="center"/>
    </xf>
    <xf numFmtId="0" fontId="26" fillId="0" borderId="35" xfId="6" applyFont="1" applyBorder="1" applyAlignment="1">
      <alignment horizontal="center" vertical="center"/>
    </xf>
    <xf numFmtId="0" fontId="26" fillId="0" borderId="1" xfId="6" applyFont="1" applyBorder="1" applyAlignment="1">
      <alignment horizontal="center" vertical="center"/>
    </xf>
    <xf numFmtId="165" fontId="27" fillId="4" borderId="26" xfId="10" applyNumberFormat="1" applyFont="1" applyFill="1" applyBorder="1" applyAlignment="1" applyProtection="1">
      <alignment vertical="center"/>
      <protection locked="0"/>
    </xf>
    <xf numFmtId="165" fontId="27" fillId="4" borderId="6" xfId="11" applyNumberFormat="1" applyFont="1" applyFill="1" applyBorder="1" applyAlignment="1" applyProtection="1">
      <alignment horizontal="center" vertical="center"/>
      <protection locked="0"/>
    </xf>
    <xf numFmtId="165" fontId="27" fillId="4" borderId="9" xfId="11" applyNumberFormat="1" applyFont="1" applyFill="1" applyBorder="1" applyAlignment="1" applyProtection="1">
      <alignment horizontal="center" vertical="center"/>
      <protection locked="0"/>
    </xf>
    <xf numFmtId="165" fontId="27" fillId="4" borderId="12" xfId="11" applyNumberFormat="1" applyFont="1" applyFill="1" applyBorder="1" applyAlignment="1" applyProtection="1">
      <alignment horizontal="center" vertical="center"/>
      <protection locked="0"/>
    </xf>
    <xf numFmtId="0" fontId="27" fillId="0" borderId="0" xfId="9" applyFont="1" applyAlignment="1">
      <alignment horizontal="center" vertical="center" wrapText="1"/>
    </xf>
    <xf numFmtId="165" fontId="27" fillId="4" borderId="125" xfId="2" applyNumberFormat="1" applyFont="1" applyFill="1" applyBorder="1" applyAlignment="1" applyProtection="1">
      <alignment vertical="center"/>
      <protection locked="0"/>
    </xf>
    <xf numFmtId="165" fontId="27" fillId="4" borderId="114" xfId="2" applyNumberFormat="1" applyFont="1" applyFill="1" applyBorder="1" applyAlignment="1" applyProtection="1">
      <alignment vertical="center"/>
      <protection locked="0"/>
    </xf>
    <xf numFmtId="165" fontId="24" fillId="4" borderId="126" xfId="6" applyNumberFormat="1" applyFont="1" applyFill="1" applyBorder="1" applyAlignment="1" applyProtection="1">
      <alignment vertical="center"/>
      <protection locked="0"/>
    </xf>
    <xf numFmtId="165" fontId="27" fillId="4" borderId="16" xfId="9" applyNumberFormat="1" applyFont="1" applyFill="1" applyBorder="1" applyProtection="1">
      <protection locked="0"/>
    </xf>
    <xf numFmtId="165" fontId="27" fillId="4" borderId="109" xfId="9" applyNumberFormat="1" applyFont="1" applyFill="1" applyBorder="1" applyProtection="1">
      <protection locked="0"/>
    </xf>
    <xf numFmtId="165" fontId="24" fillId="9" borderId="10" xfId="6" applyNumberFormat="1" applyFont="1" applyFill="1" applyBorder="1" applyAlignment="1">
      <alignment vertical="center"/>
    </xf>
    <xf numFmtId="165" fontId="27" fillId="4" borderId="18" xfId="2" applyNumberFormat="1" applyFont="1" applyFill="1" applyBorder="1" applyAlignment="1" applyProtection="1">
      <alignment vertical="center"/>
      <protection locked="0"/>
    </xf>
    <xf numFmtId="165" fontId="27" fillId="4" borderId="32" xfId="2" applyNumberFormat="1" applyFont="1" applyFill="1" applyBorder="1" applyAlignment="1" applyProtection="1">
      <alignment vertical="center"/>
      <protection locked="0"/>
    </xf>
    <xf numFmtId="165" fontId="27" fillId="4" borderId="19" xfId="2" applyNumberFormat="1" applyFont="1" applyFill="1" applyBorder="1" applyAlignment="1" applyProtection="1">
      <alignment vertical="center"/>
      <protection locked="0"/>
    </xf>
    <xf numFmtId="165" fontId="27" fillId="4" borderId="22" xfId="2" applyNumberFormat="1" applyFont="1" applyFill="1" applyBorder="1" applyAlignment="1" applyProtection="1">
      <alignment vertical="center"/>
      <protection locked="0"/>
    </xf>
    <xf numFmtId="165" fontId="27" fillId="4" borderId="24" xfId="2" applyNumberFormat="1" applyFont="1" applyFill="1" applyBorder="1" applyAlignment="1" applyProtection="1">
      <alignment vertical="center"/>
      <protection locked="0"/>
    </xf>
    <xf numFmtId="165" fontId="27" fillId="4" borderId="47" xfId="9" applyNumberFormat="1" applyFont="1" applyFill="1" applyBorder="1" applyAlignment="1" applyProtection="1">
      <alignment vertical="center"/>
      <protection locked="0"/>
    </xf>
    <xf numFmtId="165" fontId="27" fillId="7" borderId="47" xfId="9" applyNumberFormat="1" applyFont="1" applyFill="1" applyBorder="1" applyAlignment="1">
      <alignment vertical="center"/>
    </xf>
    <xf numFmtId="165" fontId="27" fillId="7" borderId="20" xfId="9" applyNumberFormat="1" applyFont="1" applyFill="1" applyBorder="1" applyAlignment="1">
      <alignment vertical="center"/>
    </xf>
    <xf numFmtId="165" fontId="27" fillId="7" borderId="38" xfId="9" applyNumberFormat="1" applyFont="1" applyFill="1" applyBorder="1" applyAlignment="1">
      <alignment vertical="center"/>
    </xf>
    <xf numFmtId="165" fontId="27" fillId="7" borderId="6" xfId="9" applyNumberFormat="1" applyFont="1" applyFill="1" applyBorder="1" applyAlignment="1">
      <alignment vertical="center"/>
    </xf>
    <xf numFmtId="165" fontId="27" fillId="4" borderId="11" xfId="2" applyNumberFormat="1" applyFont="1" applyFill="1" applyBorder="1" applyAlignment="1" applyProtection="1">
      <alignment vertical="center"/>
      <protection locked="0"/>
    </xf>
    <xf numFmtId="165" fontId="27" fillId="4" borderId="27" xfId="2" applyNumberFormat="1" applyFont="1" applyFill="1" applyBorder="1" applyAlignment="1" applyProtection="1">
      <alignment vertical="center"/>
      <protection locked="0"/>
    </xf>
    <xf numFmtId="0" fontId="0" fillId="6" borderId="0" xfId="0" applyFill="1"/>
    <xf numFmtId="0" fontId="19" fillId="0" borderId="0" xfId="0" applyFont="1" applyAlignment="1">
      <alignment vertical="top" wrapText="1"/>
    </xf>
    <xf numFmtId="165" fontId="27" fillId="7" borderId="113" xfId="2" applyNumberFormat="1" applyFont="1" applyFill="1" applyBorder="1" applyAlignment="1" applyProtection="1">
      <alignment vertical="center"/>
    </xf>
    <xf numFmtId="165" fontId="27" fillId="7" borderId="7" xfId="2" applyNumberFormat="1" applyFont="1" applyFill="1" applyBorder="1" applyAlignment="1" applyProtection="1">
      <alignment vertical="center"/>
    </xf>
    <xf numFmtId="165" fontId="27" fillId="7" borderId="18" xfId="2" applyNumberFormat="1" applyFont="1" applyFill="1" applyBorder="1" applyAlignment="1" applyProtection="1">
      <alignment vertical="center"/>
    </xf>
    <xf numFmtId="165" fontId="27" fillId="7" borderId="32" xfId="2" applyNumberFormat="1" applyFont="1" applyFill="1" applyBorder="1" applyAlignment="1" applyProtection="1">
      <alignment vertical="center"/>
    </xf>
    <xf numFmtId="165" fontId="27" fillId="7" borderId="49" xfId="2" applyNumberFormat="1" applyFont="1" applyFill="1" applyBorder="1" applyAlignment="1" applyProtection="1">
      <alignment vertical="center"/>
    </xf>
    <xf numFmtId="165" fontId="27" fillId="7" borderId="30" xfId="2" applyNumberFormat="1" applyFont="1" applyFill="1" applyBorder="1" applyAlignment="1" applyProtection="1">
      <alignment vertical="center"/>
    </xf>
    <xf numFmtId="169" fontId="19" fillId="0" borderId="0" xfId="0" applyNumberFormat="1" applyFont="1" applyAlignment="1">
      <alignment horizontal="right" vertical="top" wrapText="1"/>
    </xf>
    <xf numFmtId="49" fontId="19" fillId="0" borderId="0" xfId="0" applyNumberFormat="1" applyFont="1" applyAlignment="1">
      <alignment horizontal="right" vertical="top" wrapText="1"/>
    </xf>
    <xf numFmtId="0" fontId="19" fillId="0" borderId="0" xfId="0" applyFont="1" applyAlignment="1">
      <alignment horizontal="right" vertical="top" wrapText="1"/>
    </xf>
    <xf numFmtId="3" fontId="19" fillId="0" borderId="0" xfId="0" applyNumberFormat="1" applyFont="1" applyAlignment="1">
      <alignment horizontal="right" vertical="top" wrapText="1"/>
    </xf>
    <xf numFmtId="4" fontId="19" fillId="0" borderId="0" xfId="0" applyNumberFormat="1" applyFont="1" applyAlignment="1">
      <alignment horizontal="right" vertical="top" wrapText="1"/>
    </xf>
    <xf numFmtId="3" fontId="10" fillId="0" borderId="0" xfId="0" applyNumberFormat="1" applyFont="1" applyAlignment="1">
      <alignment horizontal="right" vertical="top" wrapText="1"/>
    </xf>
    <xf numFmtId="4" fontId="10" fillId="0" borderId="0" xfId="0" applyNumberFormat="1" applyFont="1" applyAlignment="1">
      <alignment horizontal="right" vertical="top" wrapText="1"/>
    </xf>
    <xf numFmtId="0" fontId="10" fillId="0" borderId="0" xfId="0" applyFont="1" applyAlignment="1">
      <alignment horizontal="right" vertical="top" wrapText="1"/>
    </xf>
    <xf numFmtId="0" fontId="48" fillId="0" borderId="0" xfId="0" applyFont="1" applyAlignment="1">
      <alignment horizontal="right" vertical="top" wrapText="1"/>
    </xf>
    <xf numFmtId="49" fontId="10" fillId="0" borderId="0" xfId="0" applyNumberFormat="1" applyFont="1" applyAlignment="1">
      <alignment horizontal="right" vertical="top" wrapText="1"/>
    </xf>
    <xf numFmtId="169" fontId="10" fillId="0" borderId="0" xfId="0" applyNumberFormat="1" applyFont="1" applyAlignment="1">
      <alignment horizontal="right" vertical="top" wrapText="1"/>
    </xf>
    <xf numFmtId="0" fontId="26" fillId="0" borderId="0" xfId="0" applyFont="1" applyAlignment="1">
      <alignment horizontal="right" vertical="top" wrapText="1"/>
    </xf>
    <xf numFmtId="20" fontId="19" fillId="0" borderId="0" xfId="0" applyNumberFormat="1" applyFont="1" applyAlignment="1">
      <alignment horizontal="right" vertical="top" wrapText="1"/>
    </xf>
    <xf numFmtId="167" fontId="19" fillId="0" borderId="0" xfId="0" applyNumberFormat="1" applyFont="1" applyAlignment="1">
      <alignment horizontal="right" vertical="top" wrapText="1"/>
    </xf>
    <xf numFmtId="0" fontId="49" fillId="0" borderId="0" xfId="0" applyFont="1" applyAlignment="1">
      <alignment horizontal="right" vertical="top" wrapText="1"/>
    </xf>
    <xf numFmtId="0" fontId="27" fillId="0" borderId="0" xfId="0" applyFont="1" applyAlignment="1">
      <alignment horizontal="right" vertical="top" wrapText="1"/>
    </xf>
    <xf numFmtId="0" fontId="16" fillId="0" borderId="0" xfId="0" applyFont="1" applyAlignment="1">
      <alignment horizontal="right" vertical="top" wrapText="1"/>
    </xf>
    <xf numFmtId="3" fontId="16" fillId="0" borderId="0" xfId="0" applyNumberFormat="1" applyFont="1" applyAlignment="1">
      <alignment horizontal="right" vertical="top" wrapText="1"/>
    </xf>
    <xf numFmtId="3" fontId="27" fillId="0" borderId="0" xfId="0" applyNumberFormat="1" applyFont="1" applyAlignment="1">
      <alignment horizontal="right" vertical="top" wrapText="1"/>
    </xf>
    <xf numFmtId="4" fontId="10" fillId="0" borderId="0" xfId="0" applyNumberFormat="1" applyFont="1" applyAlignment="1">
      <alignment horizontal="left" vertical="top" wrapText="1"/>
    </xf>
    <xf numFmtId="3" fontId="10" fillId="0" borderId="0" xfId="0" applyNumberFormat="1" applyFont="1" applyAlignment="1">
      <alignment horizontal="left" vertical="top" wrapText="1"/>
    </xf>
    <xf numFmtId="0" fontId="4" fillId="2" borderId="0" xfId="6" applyFont="1" applyFill="1" applyAlignment="1">
      <alignment vertical="center" wrapText="1"/>
    </xf>
    <xf numFmtId="0" fontId="24" fillId="0" borderId="0" xfId="8" applyFont="1" applyAlignment="1">
      <alignment vertical="center" wrapText="1"/>
    </xf>
    <xf numFmtId="0" fontId="10" fillId="0" borderId="0" xfId="8" applyFont="1" applyAlignment="1">
      <alignment vertical="center" wrapText="1"/>
    </xf>
    <xf numFmtId="0" fontId="29" fillId="3" borderId="34" xfId="9" applyFont="1" applyFill="1" applyBorder="1" applyAlignment="1">
      <alignment vertical="center" wrapText="1"/>
    </xf>
    <xf numFmtId="0" fontId="0" fillId="0" borderId="34" xfId="0" applyBorder="1" applyAlignment="1">
      <alignment wrapText="1"/>
    </xf>
    <xf numFmtId="0" fontId="0" fillId="0" borderId="0" xfId="0" applyAlignment="1">
      <alignment vertical="top"/>
    </xf>
    <xf numFmtId="0" fontId="0" fillId="0" borderId="0" xfId="0" applyAlignment="1">
      <alignment vertical="top" wrapText="1"/>
    </xf>
    <xf numFmtId="0" fontId="8" fillId="3" borderId="1" xfId="6" applyFont="1" applyFill="1" applyBorder="1" applyAlignment="1">
      <alignment vertical="top"/>
    </xf>
    <xf numFmtId="0" fontId="8" fillId="3" borderId="35" xfId="6" applyFont="1" applyFill="1" applyBorder="1" applyAlignment="1">
      <alignment vertical="top"/>
    </xf>
    <xf numFmtId="0" fontId="24" fillId="0" borderId="10" xfId="0" applyFont="1" applyBorder="1" applyAlignment="1">
      <alignment vertical="top" wrapText="1"/>
    </xf>
    <xf numFmtId="0" fontId="24" fillId="0" borderId="62" xfId="0" applyFont="1" applyBorder="1" applyAlignment="1">
      <alignment vertical="top" wrapText="1"/>
    </xf>
    <xf numFmtId="0" fontId="24" fillId="0" borderId="13" xfId="0" applyFont="1" applyBorder="1" applyAlignment="1">
      <alignment vertical="top" wrapText="1"/>
    </xf>
    <xf numFmtId="0" fontId="19" fillId="0" borderId="8" xfId="9" applyBorder="1" applyAlignment="1">
      <alignment horizontal="left" vertical="top" wrapText="1"/>
    </xf>
    <xf numFmtId="0" fontId="19" fillId="0" borderId="11" xfId="9" applyBorder="1" applyAlignment="1">
      <alignment horizontal="left" vertical="top" wrapText="1"/>
    </xf>
    <xf numFmtId="10" fontId="27" fillId="7" borderId="32" xfId="9" applyNumberFormat="1" applyFont="1" applyFill="1" applyBorder="1"/>
    <xf numFmtId="10" fontId="27" fillId="7" borderId="31" xfId="9" applyNumberFormat="1" applyFont="1" applyFill="1" applyBorder="1"/>
    <xf numFmtId="10" fontId="24" fillId="7" borderId="31" xfId="6" applyNumberFormat="1" applyFont="1" applyFill="1" applyBorder="1" applyAlignment="1">
      <alignment vertical="center"/>
    </xf>
    <xf numFmtId="10" fontId="24" fillId="4" borderId="5" xfId="6" applyNumberFormat="1" applyFont="1" applyFill="1" applyBorder="1" applyAlignment="1" applyProtection="1">
      <alignment vertical="center"/>
      <protection locked="0"/>
    </xf>
    <xf numFmtId="10" fontId="24" fillId="4" borderId="6" xfId="6" applyNumberFormat="1" applyFont="1" applyFill="1" applyBorder="1" applyAlignment="1" applyProtection="1">
      <alignment vertical="center"/>
      <protection locked="0"/>
    </xf>
    <xf numFmtId="10" fontId="24" fillId="4" borderId="7" xfId="6" applyNumberFormat="1" applyFont="1" applyFill="1" applyBorder="1" applyAlignment="1" applyProtection="1">
      <alignment vertical="center"/>
      <protection locked="0"/>
    </xf>
    <xf numFmtId="10" fontId="24" fillId="4" borderId="11" xfId="6" applyNumberFormat="1" applyFont="1" applyFill="1" applyBorder="1" applyAlignment="1" applyProtection="1">
      <alignment vertical="center"/>
      <protection locked="0"/>
    </xf>
    <xf numFmtId="10" fontId="24" fillId="4" borderId="12" xfId="6" applyNumberFormat="1" applyFont="1" applyFill="1" applyBorder="1" applyAlignment="1" applyProtection="1">
      <alignment vertical="center"/>
      <protection locked="0"/>
    </xf>
    <xf numFmtId="10" fontId="24" fillId="4" borderId="13" xfId="6" applyNumberFormat="1" applyFont="1" applyFill="1" applyBorder="1" applyAlignment="1" applyProtection="1">
      <alignment vertical="center"/>
      <protection locked="0"/>
    </xf>
    <xf numFmtId="0" fontId="24" fillId="0" borderId="62" xfId="0" quotePrefix="1" applyFont="1" applyBorder="1" applyAlignment="1">
      <alignment vertical="top" wrapText="1"/>
    </xf>
    <xf numFmtId="0" fontId="24" fillId="0" borderId="32" xfId="0" applyFont="1" applyBorder="1" applyAlignment="1">
      <alignment vertical="top"/>
    </xf>
    <xf numFmtId="0" fontId="24" fillId="0" borderId="109" xfId="0" applyFont="1" applyBorder="1" applyAlignment="1">
      <alignment vertical="top"/>
    </xf>
    <xf numFmtId="0" fontId="24" fillId="0" borderId="109" xfId="0" applyFont="1" applyBorder="1" applyAlignment="1">
      <alignment vertical="top" wrapText="1"/>
    </xf>
    <xf numFmtId="0" fontId="24" fillId="0" borderId="30" xfId="0" applyFont="1" applyBorder="1" applyAlignment="1">
      <alignment vertical="top" wrapText="1"/>
    </xf>
    <xf numFmtId="0" fontId="27" fillId="0" borderId="62" xfId="0" applyFont="1" applyBorder="1" applyAlignment="1">
      <alignment vertical="top" wrapText="1"/>
    </xf>
    <xf numFmtId="0" fontId="27" fillId="0" borderId="126" xfId="0" applyFont="1" applyBorder="1" applyAlignment="1">
      <alignment vertical="top" wrapText="1"/>
    </xf>
    <xf numFmtId="165" fontId="27" fillId="7" borderId="5" xfId="2" applyNumberFormat="1" applyFont="1" applyFill="1" applyBorder="1" applyAlignment="1" applyProtection="1">
      <alignment vertical="center"/>
    </xf>
    <xf numFmtId="165" fontId="27" fillId="7" borderId="24" xfId="2" applyNumberFormat="1" applyFont="1" applyFill="1" applyBorder="1" applyAlignment="1" applyProtection="1">
      <alignment vertical="center"/>
    </xf>
    <xf numFmtId="165" fontId="27" fillId="7" borderId="8" xfId="2" applyNumberFormat="1" applyFont="1" applyFill="1" applyBorder="1" applyAlignment="1" applyProtection="1">
      <alignment vertical="center"/>
    </xf>
    <xf numFmtId="165" fontId="27" fillId="7" borderId="26" xfId="2" applyNumberFormat="1" applyFont="1" applyFill="1" applyBorder="1" applyAlignment="1" applyProtection="1">
      <alignment vertical="center"/>
    </xf>
    <xf numFmtId="165" fontId="27" fillId="7" borderId="39" xfId="2" applyNumberFormat="1" applyFont="1" applyFill="1" applyBorder="1" applyAlignment="1" applyProtection="1">
      <alignment vertical="center"/>
    </xf>
    <xf numFmtId="165" fontId="27" fillId="7" borderId="10" xfId="2" applyNumberFormat="1" applyFont="1" applyFill="1" applyBorder="1" applyAlignment="1" applyProtection="1">
      <alignment vertical="center"/>
    </xf>
    <xf numFmtId="165" fontId="27" fillId="7" borderId="37" xfId="1" applyNumberFormat="1" applyFont="1" applyFill="1" applyBorder="1" applyAlignment="1" applyProtection="1">
      <alignment vertical="center"/>
    </xf>
    <xf numFmtId="165" fontId="27" fillId="7" borderId="7" xfId="1" applyNumberFormat="1" applyFont="1" applyFill="1" applyBorder="1" applyAlignment="1" applyProtection="1">
      <alignment vertical="center"/>
    </xf>
    <xf numFmtId="165" fontId="27" fillId="7" borderId="41" xfId="1" applyNumberFormat="1" applyFont="1" applyFill="1" applyBorder="1" applyAlignment="1" applyProtection="1">
      <alignment vertical="center"/>
    </xf>
    <xf numFmtId="165" fontId="27" fillId="7" borderId="13" xfId="1" applyNumberFormat="1" applyFont="1" applyFill="1" applyBorder="1" applyAlignment="1" applyProtection="1">
      <alignment vertical="center"/>
    </xf>
    <xf numFmtId="165" fontId="27" fillId="9" borderId="39" xfId="10" applyNumberFormat="1" applyFont="1" applyFill="1" applyBorder="1" applyAlignment="1" applyProtection="1">
      <alignment vertical="center"/>
    </xf>
    <xf numFmtId="165" fontId="27" fillId="9" borderId="10" xfId="10" applyNumberFormat="1" applyFont="1" applyFill="1" applyBorder="1" applyAlignment="1" applyProtection="1">
      <alignment vertical="center"/>
    </xf>
    <xf numFmtId="165" fontId="27" fillId="9" borderId="29" xfId="10" applyNumberFormat="1" applyFont="1" applyFill="1" applyBorder="1" applyAlignment="1" applyProtection="1">
      <alignment vertical="center"/>
    </xf>
    <xf numFmtId="165" fontId="27" fillId="9" borderId="38" xfId="10" applyNumberFormat="1" applyFont="1" applyFill="1" applyBorder="1" applyAlignment="1" applyProtection="1">
      <alignment vertical="center"/>
    </xf>
    <xf numFmtId="165" fontId="27" fillId="9" borderId="56" xfId="2" applyNumberFormat="1" applyFont="1" applyFill="1" applyBorder="1" applyAlignment="1" applyProtection="1">
      <alignment vertical="center"/>
    </xf>
    <xf numFmtId="165" fontId="27" fillId="9" borderId="10" xfId="2" applyNumberFormat="1" applyFont="1" applyFill="1" applyBorder="1" applyAlignment="1" applyProtection="1">
      <alignment vertical="center"/>
    </xf>
    <xf numFmtId="165" fontId="27" fillId="9" borderId="5" xfId="10" applyNumberFormat="1" applyFont="1" applyFill="1" applyBorder="1" applyAlignment="1" applyProtection="1">
      <alignment vertical="center"/>
    </xf>
    <xf numFmtId="165" fontId="27" fillId="9" borderId="8" xfId="10" applyNumberFormat="1" applyFont="1" applyFill="1" applyBorder="1" applyAlignment="1" applyProtection="1">
      <alignment vertical="center"/>
    </xf>
    <xf numFmtId="2" fontId="27" fillId="4" borderId="13" xfId="9" applyNumberFormat="1" applyFont="1" applyFill="1" applyBorder="1" applyAlignment="1" applyProtection="1">
      <alignment horizontal="right"/>
      <protection locked="0"/>
    </xf>
    <xf numFmtId="165" fontId="27" fillId="0" borderId="1" xfId="10" applyNumberFormat="1" applyFont="1" applyFill="1" applyBorder="1" applyAlignment="1" applyProtection="1">
      <alignment vertical="center"/>
    </xf>
    <xf numFmtId="2" fontId="27" fillId="4" borderId="32" xfId="11" applyNumberFormat="1" applyFont="1" applyFill="1" applyBorder="1" applyProtection="1">
      <protection locked="0"/>
    </xf>
    <xf numFmtId="165" fontId="19" fillId="4" borderId="30" xfId="9" applyNumberFormat="1" applyFill="1" applyBorder="1" applyProtection="1">
      <protection locked="0"/>
    </xf>
    <xf numFmtId="0" fontId="24" fillId="6" borderId="0" xfId="6" applyFont="1" applyFill="1" applyAlignment="1">
      <alignment horizontal="center" vertical="center" wrapText="1"/>
    </xf>
    <xf numFmtId="0" fontId="26" fillId="8" borderId="25" xfId="7" applyFont="1" applyBorder="1" applyAlignment="1">
      <alignment horizontal="center" vertical="center" wrapText="1"/>
    </xf>
    <xf numFmtId="0" fontId="16" fillId="0" borderId="0" xfId="9" applyFont="1" applyAlignment="1">
      <alignment horizontal="left" vertical="center" wrapText="1"/>
    </xf>
    <xf numFmtId="0" fontId="8" fillId="3" borderId="14" xfId="9" applyFont="1" applyFill="1" applyBorder="1" applyAlignment="1">
      <alignment horizontal="center" vertical="center"/>
    </xf>
    <xf numFmtId="0" fontId="8" fillId="3" borderId="11" xfId="6" applyFont="1" applyFill="1" applyBorder="1" applyAlignment="1">
      <alignment horizontal="center" vertical="center" wrapText="1"/>
    </xf>
    <xf numFmtId="0" fontId="8" fillId="3" borderId="13" xfId="6" applyFont="1" applyFill="1" applyBorder="1" applyAlignment="1">
      <alignment horizontal="center" vertical="center" wrapText="1"/>
    </xf>
    <xf numFmtId="0" fontId="8" fillId="3" borderId="2" xfId="9" applyFont="1" applyFill="1" applyBorder="1" applyAlignment="1">
      <alignment horizontal="left" vertical="center" wrapText="1"/>
    </xf>
    <xf numFmtId="0" fontId="8" fillId="3" borderId="3" xfId="9" applyFont="1" applyFill="1" applyBorder="1" applyAlignment="1">
      <alignment horizontal="left" vertical="center" wrapText="1"/>
    </xf>
    <xf numFmtId="0" fontId="13" fillId="0" borderId="3" xfId="9" applyFont="1" applyBorder="1" applyAlignment="1">
      <alignment horizontal="center" vertical="top" wrapText="1"/>
    </xf>
    <xf numFmtId="0" fontId="27" fillId="0" borderId="9" xfId="9" applyFont="1" applyBorder="1" applyAlignment="1">
      <alignment vertical="top" wrapText="1"/>
    </xf>
    <xf numFmtId="0" fontId="27" fillId="0" borderId="12" xfId="9" applyFont="1" applyBorder="1" applyAlignment="1">
      <alignment vertical="center" wrapText="1"/>
    </xf>
    <xf numFmtId="0" fontId="27" fillId="0" borderId="9" xfId="9" applyFont="1" applyBorder="1" applyAlignment="1">
      <alignment vertical="center" wrapText="1"/>
    </xf>
    <xf numFmtId="0" fontId="13" fillId="0" borderId="33" xfId="9" applyFont="1" applyBorder="1" applyAlignment="1">
      <alignment vertical="top"/>
    </xf>
    <xf numFmtId="0" fontId="13" fillId="0" borderId="34" xfId="9" applyFont="1" applyBorder="1" applyAlignment="1">
      <alignment vertical="top"/>
    </xf>
    <xf numFmtId="0" fontId="13" fillId="0" borderId="35" xfId="9" applyFont="1" applyBorder="1" applyAlignment="1">
      <alignment vertical="top"/>
    </xf>
    <xf numFmtId="0" fontId="13" fillId="0" borderId="33" xfId="9" applyFont="1" applyBorder="1" applyAlignment="1">
      <alignment horizontal="left" vertical="top"/>
    </xf>
    <xf numFmtId="0" fontId="24" fillId="0" borderId="26" xfId="0" applyFont="1" applyBorder="1" applyAlignment="1">
      <alignment vertical="top" wrapText="1"/>
    </xf>
    <xf numFmtId="0" fontId="24" fillId="0" borderId="27" xfId="0" applyFont="1" applyBorder="1" applyAlignment="1">
      <alignment vertical="top" wrapText="1"/>
    </xf>
    <xf numFmtId="0" fontId="13" fillId="0" borderId="60" xfId="9" applyFont="1" applyBorder="1" applyAlignment="1">
      <alignment horizontal="left" vertical="top"/>
    </xf>
    <xf numFmtId="0" fontId="27" fillId="0" borderId="0" xfId="9" applyFont="1" applyAlignment="1">
      <alignment horizontal="left" vertical="center" wrapText="1"/>
    </xf>
    <xf numFmtId="0" fontId="13" fillId="0" borderId="2" xfId="9" applyFont="1" applyBorder="1" applyAlignment="1">
      <alignment horizontal="left" vertical="top"/>
    </xf>
    <xf numFmtId="0" fontId="13" fillId="0" borderId="60" xfId="9" applyFont="1" applyBorder="1" applyAlignment="1">
      <alignment vertical="top"/>
    </xf>
    <xf numFmtId="0" fontId="8" fillId="3" borderId="14" xfId="6" applyFont="1" applyFill="1" applyBorder="1" applyAlignment="1">
      <alignment horizontal="center" vertical="center"/>
    </xf>
    <xf numFmtId="0" fontId="0" fillId="0" borderId="0" xfId="0" applyAlignment="1">
      <alignment horizontal="left" vertical="top" wrapText="1"/>
    </xf>
    <xf numFmtId="17" fontId="24" fillId="0" borderId="14" xfId="0" applyNumberFormat="1" applyFont="1" applyBorder="1" applyAlignment="1">
      <alignment horizontal="center" vertical="top" wrapText="1"/>
    </xf>
    <xf numFmtId="0" fontId="0" fillId="0" borderId="127" xfId="0" applyBorder="1" applyAlignment="1">
      <alignment horizontal="center" vertical="top" wrapText="1"/>
    </xf>
    <xf numFmtId="0" fontId="0" fillId="0" borderId="19" xfId="0" applyBorder="1" applyAlignment="1">
      <alignment horizontal="center" vertical="top" wrapText="1"/>
    </xf>
    <xf numFmtId="17" fontId="27" fillId="0" borderId="18" xfId="0" applyNumberFormat="1" applyFont="1" applyBorder="1" applyAlignment="1">
      <alignment horizontal="center" vertical="top" wrapText="1"/>
    </xf>
    <xf numFmtId="17" fontId="27" fillId="0" borderId="128" xfId="0" applyNumberFormat="1" applyFont="1" applyBorder="1" applyAlignment="1">
      <alignment horizontal="center" vertical="top" wrapText="1"/>
    </xf>
    <xf numFmtId="0" fontId="5" fillId="0" borderId="128" xfId="0" applyFont="1" applyBorder="1" applyAlignment="1">
      <alignment horizontal="center" vertical="top" wrapText="1"/>
    </xf>
    <xf numFmtId="0" fontId="5" fillId="0" borderId="23" xfId="0" applyFont="1" applyBorder="1" applyAlignment="1">
      <alignment vertical="top"/>
    </xf>
    <xf numFmtId="0" fontId="4" fillId="2" borderId="0" xfId="3" applyNumberFormat="1" applyAlignment="1">
      <alignment horizontal="left" vertical="top"/>
    </xf>
    <xf numFmtId="0" fontId="0" fillId="0" borderId="0" xfId="0" applyAlignment="1">
      <alignment horizontal="left" vertical="top"/>
    </xf>
    <xf numFmtId="0" fontId="11" fillId="0" borderId="0" xfId="5" applyAlignment="1" applyProtection="1">
      <alignment horizontal="left" vertical="top"/>
    </xf>
    <xf numFmtId="0" fontId="0" fillId="0" borderId="0" xfId="0" applyAlignment="1">
      <alignment horizontal="left" wrapText="1"/>
    </xf>
    <xf numFmtId="0" fontId="27" fillId="0" borderId="9" xfId="9" applyFont="1" applyBorder="1" applyAlignment="1">
      <alignment horizontal="left" vertical="center" wrapText="1"/>
    </xf>
    <xf numFmtId="0" fontId="27" fillId="0" borderId="10" xfId="9" applyFont="1" applyBorder="1" applyAlignment="1">
      <alignment horizontal="left" vertical="center" wrapText="1"/>
    </xf>
    <xf numFmtId="0" fontId="27" fillId="0" borderId="9" xfId="9" applyFont="1" applyBorder="1" applyAlignment="1">
      <alignment horizontal="left" vertical="top" wrapText="1"/>
    </xf>
    <xf numFmtId="0" fontId="27" fillId="0" borderId="10" xfId="9" applyFont="1" applyBorder="1" applyAlignment="1">
      <alignment horizontal="left" vertical="top" wrapText="1"/>
    </xf>
    <xf numFmtId="0" fontId="8" fillId="3" borderId="14" xfId="6" applyFont="1" applyFill="1" applyBorder="1" applyAlignment="1">
      <alignment horizontal="left" vertical="center"/>
    </xf>
    <xf numFmtId="0" fontId="8" fillId="3" borderId="15" xfId="6" applyFont="1" applyFill="1" applyBorder="1" applyAlignment="1">
      <alignment horizontal="left" vertical="center"/>
    </xf>
    <xf numFmtId="0" fontId="8" fillId="3" borderId="19" xfId="6" applyFont="1" applyFill="1" applyBorder="1" applyAlignment="1">
      <alignment horizontal="left" vertical="center"/>
    </xf>
    <xf numFmtId="0" fontId="8" fillId="3" borderId="20" xfId="6" applyFont="1" applyFill="1" applyBorder="1" applyAlignment="1">
      <alignment horizontal="left" vertical="center"/>
    </xf>
    <xf numFmtId="0" fontId="8" fillId="3" borderId="15" xfId="6" applyFont="1" applyFill="1" applyBorder="1" applyAlignment="1">
      <alignment horizontal="center" vertical="center"/>
    </xf>
    <xf numFmtId="0" fontId="8" fillId="3" borderId="20" xfId="6" applyFont="1" applyFill="1" applyBorder="1" applyAlignment="1">
      <alignment horizontal="center" vertical="center"/>
    </xf>
    <xf numFmtId="0" fontId="8" fillId="3" borderId="16" xfId="6" applyFont="1" applyFill="1" applyBorder="1" applyAlignment="1">
      <alignment horizontal="center" vertical="center"/>
    </xf>
    <xf numFmtId="0" fontId="8" fillId="3" borderId="21" xfId="6" applyFont="1" applyFill="1" applyBorder="1" applyAlignment="1">
      <alignment horizontal="center" vertical="center"/>
    </xf>
    <xf numFmtId="0" fontId="8" fillId="3" borderId="17" xfId="6" applyFont="1" applyFill="1" applyBorder="1" applyAlignment="1">
      <alignment horizontal="center" vertical="center" wrapText="1"/>
    </xf>
    <xf numFmtId="0" fontId="8" fillId="3" borderId="22" xfId="6" applyFont="1" applyFill="1" applyBorder="1" applyAlignment="1">
      <alignment horizontal="center" vertical="center" wrapText="1"/>
    </xf>
    <xf numFmtId="0" fontId="8" fillId="3" borderId="5" xfId="6" applyFont="1" applyFill="1" applyBorder="1" applyAlignment="1">
      <alignment horizontal="center" vertical="center" wrapText="1"/>
    </xf>
    <xf numFmtId="0" fontId="8" fillId="3" borderId="6" xfId="6" applyFont="1" applyFill="1" applyBorder="1" applyAlignment="1">
      <alignment horizontal="center" vertical="center" wrapText="1"/>
    </xf>
    <xf numFmtId="0" fontId="8" fillId="3" borderId="7" xfId="6" applyFont="1" applyFill="1" applyBorder="1" applyAlignment="1">
      <alignment horizontal="center" vertical="center" wrapText="1"/>
    </xf>
    <xf numFmtId="0" fontId="8" fillId="3" borderId="18" xfId="6" applyFont="1" applyFill="1" applyBorder="1" applyAlignment="1">
      <alignment horizontal="center" vertical="center" wrapText="1"/>
    </xf>
    <xf numFmtId="0" fontId="8" fillId="3" borderId="23" xfId="6" applyFont="1" applyFill="1" applyBorder="1" applyAlignment="1">
      <alignment horizontal="center" vertical="center" wrapText="1"/>
    </xf>
    <xf numFmtId="0" fontId="24" fillId="6" borderId="0" xfId="6" applyFont="1" applyFill="1" applyAlignment="1">
      <alignment horizontal="center" vertical="center" wrapText="1"/>
    </xf>
    <xf numFmtId="0" fontId="13" fillId="0" borderId="0" xfId="9" applyFont="1" applyAlignment="1">
      <alignment vertical="center"/>
    </xf>
    <xf numFmtId="0" fontId="27" fillId="0" borderId="6" xfId="9" applyFont="1" applyBorder="1" applyAlignment="1">
      <alignment horizontal="left" vertical="center" wrapText="1"/>
    </xf>
    <xf numFmtId="0" fontId="27" fillId="0" borderId="7" xfId="9" applyFont="1" applyBorder="1" applyAlignment="1">
      <alignment horizontal="left" vertical="center" wrapText="1"/>
    </xf>
    <xf numFmtId="0" fontId="27" fillId="0" borderId="12" xfId="9" applyFont="1" applyBorder="1" applyAlignment="1">
      <alignment horizontal="left" vertical="center" wrapText="1"/>
    </xf>
    <xf numFmtId="0" fontId="27" fillId="0" borderId="13" xfId="9" applyFont="1" applyBorder="1" applyAlignment="1">
      <alignment horizontal="left" vertical="center" wrapText="1"/>
    </xf>
    <xf numFmtId="0" fontId="27" fillId="0" borderId="40" xfId="9" applyFont="1" applyBorder="1" applyAlignment="1">
      <alignment horizontal="left" vertical="top" wrapText="1"/>
    </xf>
    <xf numFmtId="0" fontId="27" fillId="0" borderId="45" xfId="9" applyFont="1" applyBorder="1" applyAlignment="1">
      <alignment horizontal="left" vertical="top" wrapText="1"/>
    </xf>
    <xf numFmtId="0" fontId="27" fillId="0" borderId="27" xfId="9" applyFont="1" applyBorder="1" applyAlignment="1">
      <alignment horizontal="left" vertical="top" wrapText="1"/>
    </xf>
    <xf numFmtId="0" fontId="27" fillId="0" borderId="38" xfId="9" applyFont="1" applyBorder="1" applyAlignment="1">
      <alignment horizontal="left" vertical="center" wrapText="1"/>
    </xf>
    <xf numFmtId="0" fontId="27" fillId="0" borderId="29" xfId="9" applyFont="1" applyBorder="1" applyAlignment="1">
      <alignment horizontal="left" vertical="center" wrapText="1"/>
    </xf>
    <xf numFmtId="0" fontId="27" fillId="0" borderId="26" xfId="9" applyFont="1" applyBorder="1" applyAlignment="1">
      <alignment horizontal="left" vertical="center" wrapText="1"/>
    </xf>
    <xf numFmtId="0" fontId="8" fillId="3" borderId="54" xfId="6" applyFont="1" applyFill="1" applyBorder="1" applyAlignment="1">
      <alignment horizontal="center" vertical="center" wrapText="1"/>
    </xf>
    <xf numFmtId="0" fontId="8" fillId="3" borderId="28" xfId="6" applyFont="1" applyFill="1" applyBorder="1" applyAlignment="1">
      <alignment horizontal="center" vertical="center" wrapText="1"/>
    </xf>
    <xf numFmtId="0" fontId="8" fillId="3" borderId="24" xfId="6" applyFont="1" applyFill="1" applyBorder="1" applyAlignment="1">
      <alignment horizontal="center" vertical="center" wrapText="1"/>
    </xf>
    <xf numFmtId="0" fontId="8" fillId="3" borderId="33" xfId="6" applyFont="1" applyFill="1" applyBorder="1" applyAlignment="1">
      <alignment horizontal="left" vertical="center"/>
    </xf>
    <xf numFmtId="0" fontId="8" fillId="3" borderId="35" xfId="6" applyFont="1" applyFill="1" applyBorder="1" applyAlignment="1">
      <alignment horizontal="left" vertical="center"/>
    </xf>
    <xf numFmtId="0" fontId="27" fillId="0" borderId="36" xfId="9" applyFont="1" applyBorder="1" applyAlignment="1">
      <alignment horizontal="left" vertical="center" wrapText="1"/>
    </xf>
    <xf numFmtId="0" fontId="27" fillId="0" borderId="28" xfId="9" applyFont="1" applyBorder="1" applyAlignment="1">
      <alignment horizontal="left" vertical="center" wrapText="1"/>
    </xf>
    <xf numFmtId="0" fontId="27" fillId="0" borderId="24" xfId="9" applyFont="1" applyBorder="1" applyAlignment="1">
      <alignment horizontal="left" vertical="center" wrapText="1"/>
    </xf>
    <xf numFmtId="0" fontId="27" fillId="0" borderId="40" xfId="9" applyFont="1" applyBorder="1" applyAlignment="1">
      <alignment horizontal="left" vertical="center" wrapText="1"/>
    </xf>
    <xf numFmtId="0" fontId="27" fillId="0" borderId="45" xfId="9" applyFont="1" applyBorder="1" applyAlignment="1">
      <alignment horizontal="left" vertical="center" wrapText="1"/>
    </xf>
    <xf numFmtId="0" fontId="27" fillId="0" borderId="27" xfId="9" applyFont="1" applyBorder="1" applyAlignment="1">
      <alignment horizontal="left" vertical="center" wrapText="1"/>
    </xf>
    <xf numFmtId="0" fontId="26" fillId="8" borderId="25" xfId="7" applyFont="1" applyBorder="1" applyAlignment="1">
      <alignment horizontal="center" vertical="center" wrapText="1"/>
    </xf>
    <xf numFmtId="0" fontId="16" fillId="0" borderId="0" xfId="9" applyFont="1" applyAlignment="1">
      <alignment horizontal="left" vertical="center" wrapText="1"/>
    </xf>
    <xf numFmtId="0" fontId="8" fillId="3" borderId="14" xfId="9" applyFont="1" applyFill="1" applyBorder="1" applyAlignment="1">
      <alignment horizontal="center" vertical="center"/>
    </xf>
    <xf numFmtId="0" fontId="8" fillId="3" borderId="15" xfId="9" applyFont="1" applyFill="1" applyBorder="1" applyAlignment="1">
      <alignment horizontal="center" vertical="center"/>
    </xf>
    <xf numFmtId="0" fontId="8" fillId="3" borderId="19" xfId="9" applyFont="1" applyFill="1" applyBorder="1" applyAlignment="1">
      <alignment horizontal="center" vertical="center"/>
    </xf>
    <xf numFmtId="0" fontId="8" fillId="3" borderId="20" xfId="9" applyFont="1" applyFill="1" applyBorder="1" applyAlignment="1">
      <alignment horizontal="center" vertical="center"/>
    </xf>
    <xf numFmtId="0" fontId="8" fillId="3" borderId="16" xfId="9" applyFont="1" applyFill="1" applyBorder="1" applyAlignment="1">
      <alignment horizontal="center" vertical="center"/>
    </xf>
    <xf numFmtId="0" fontId="8" fillId="3" borderId="21" xfId="9" applyFont="1" applyFill="1" applyBorder="1" applyAlignment="1">
      <alignment horizontal="center" vertical="center"/>
    </xf>
    <xf numFmtId="0" fontId="8" fillId="3" borderId="5" xfId="9" applyFont="1" applyFill="1" applyBorder="1" applyAlignment="1">
      <alignment horizontal="center" vertical="center"/>
    </xf>
    <xf numFmtId="0" fontId="8" fillId="3" borderId="7" xfId="9" applyFont="1" applyFill="1" applyBorder="1" applyAlignment="1">
      <alignment horizontal="center" vertical="center"/>
    </xf>
    <xf numFmtId="0" fontId="8" fillId="3" borderId="28" xfId="9" applyFont="1" applyFill="1" applyBorder="1" applyAlignment="1">
      <alignment horizontal="center" vertical="center"/>
    </xf>
    <xf numFmtId="0" fontId="8" fillId="3" borderId="18" xfId="9" applyFont="1" applyFill="1" applyBorder="1" applyAlignment="1">
      <alignment horizontal="center" vertical="center"/>
    </xf>
    <xf numFmtId="0" fontId="8" fillId="3" borderId="23" xfId="9" applyFont="1" applyFill="1" applyBorder="1" applyAlignment="1">
      <alignment horizontal="center" vertical="center"/>
    </xf>
    <xf numFmtId="0" fontId="8" fillId="3" borderId="11" xfId="6" applyFont="1" applyFill="1" applyBorder="1" applyAlignment="1">
      <alignment horizontal="center" vertical="center" wrapText="1"/>
    </xf>
    <xf numFmtId="0" fontId="8" fillId="3" borderId="13" xfId="6" applyFont="1" applyFill="1" applyBorder="1" applyAlignment="1">
      <alignment horizontal="center" vertical="center" wrapText="1"/>
    </xf>
    <xf numFmtId="0" fontId="19" fillId="6" borderId="0" xfId="9" applyFill="1" applyAlignment="1">
      <alignment horizontal="center" vertical="center" wrapText="1"/>
    </xf>
    <xf numFmtId="0" fontId="27" fillId="0" borderId="38" xfId="9" applyFont="1" applyBorder="1" applyAlignment="1">
      <alignment vertical="center" wrapText="1"/>
    </xf>
    <xf numFmtId="0" fontId="27" fillId="0" borderId="29" xfId="9" applyFont="1" applyBorder="1" applyAlignment="1">
      <alignment vertical="center" wrapText="1"/>
    </xf>
    <xf numFmtId="0" fontId="27" fillId="0" borderId="26" xfId="9" applyFont="1" applyBorder="1" applyAlignment="1">
      <alignment vertical="center" wrapText="1"/>
    </xf>
    <xf numFmtId="0" fontId="8" fillId="3" borderId="2" xfId="9" applyFont="1" applyFill="1" applyBorder="1" applyAlignment="1">
      <alignment horizontal="left" vertical="center" wrapText="1"/>
    </xf>
    <xf numFmtId="0" fontId="8" fillId="3" borderId="3" xfId="9" applyFont="1" applyFill="1" applyBorder="1" applyAlignment="1">
      <alignment horizontal="left" vertical="center" wrapText="1"/>
    </xf>
    <xf numFmtId="0" fontId="27" fillId="0" borderId="36" xfId="9" applyFont="1" applyBorder="1" applyAlignment="1">
      <alignment vertical="center" wrapText="1"/>
    </xf>
    <xf numFmtId="0" fontId="27" fillId="0" borderId="28" xfId="9" applyFont="1" applyBorder="1" applyAlignment="1">
      <alignment vertical="center" wrapText="1"/>
    </xf>
    <xf numFmtId="0" fontId="27" fillId="0" borderId="24" xfId="9" applyFont="1" applyBorder="1" applyAlignment="1">
      <alignment vertical="center" wrapText="1"/>
    </xf>
    <xf numFmtId="0" fontId="27" fillId="0" borderId="40" xfId="9" applyFont="1" applyBorder="1" applyAlignment="1">
      <alignment vertical="center" wrapText="1"/>
    </xf>
    <xf numFmtId="0" fontId="27" fillId="0" borderId="45" xfId="9" applyFont="1" applyBorder="1" applyAlignment="1">
      <alignment vertical="center" wrapText="1"/>
    </xf>
    <xf numFmtId="0" fontId="27" fillId="0" borderId="27" xfId="9" applyFont="1" applyBorder="1" applyAlignment="1">
      <alignment vertical="center" wrapText="1"/>
    </xf>
    <xf numFmtId="0" fontId="8" fillId="3" borderId="2" xfId="9" applyFont="1" applyFill="1" applyBorder="1" applyAlignment="1">
      <alignment horizontal="left" vertical="center"/>
    </xf>
    <xf numFmtId="0" fontId="8" fillId="3" borderId="3" xfId="9" applyFont="1" applyFill="1" applyBorder="1" applyAlignment="1">
      <alignment horizontal="left" vertical="center"/>
    </xf>
    <xf numFmtId="0" fontId="8" fillId="3" borderId="4" xfId="9" applyFont="1" applyFill="1" applyBorder="1" applyAlignment="1">
      <alignment horizontal="left" vertical="center"/>
    </xf>
    <xf numFmtId="0" fontId="13" fillId="0" borderId="3" xfId="9" applyFont="1" applyBorder="1" applyAlignment="1">
      <alignment horizontal="center" vertical="top" wrapText="1"/>
    </xf>
    <xf numFmtId="0" fontId="13" fillId="0" borderId="4" xfId="9" applyFont="1" applyBorder="1" applyAlignment="1">
      <alignment horizontal="center" vertical="top" wrapText="1"/>
    </xf>
    <xf numFmtId="0" fontId="27" fillId="0" borderId="6" xfId="9" applyFont="1" applyBorder="1" applyAlignment="1">
      <alignment horizontal="left" vertical="top" wrapText="1"/>
    </xf>
    <xf numFmtId="0" fontId="27" fillId="0" borderId="7" xfId="9" applyFont="1" applyBorder="1" applyAlignment="1">
      <alignment horizontal="left" vertical="top" wrapText="1"/>
    </xf>
    <xf numFmtId="0" fontId="27" fillId="0" borderId="9" xfId="9" applyFont="1" applyBorder="1" applyAlignment="1">
      <alignment vertical="top" wrapText="1"/>
    </xf>
    <xf numFmtId="0" fontId="27" fillId="0" borderId="10" xfId="9" applyFont="1" applyBorder="1" applyAlignment="1">
      <alignment vertical="top" wrapText="1"/>
    </xf>
    <xf numFmtId="0" fontId="27" fillId="0" borderId="12" xfId="9" applyFont="1" applyBorder="1" applyAlignment="1">
      <alignment horizontal="left" vertical="top" wrapText="1"/>
    </xf>
    <xf numFmtId="0" fontId="27" fillId="0" borderId="13" xfId="9" applyFont="1" applyBorder="1" applyAlignment="1">
      <alignment horizontal="left" vertical="top" wrapText="1"/>
    </xf>
    <xf numFmtId="0" fontId="0" fillId="0" borderId="0" xfId="0" applyAlignment="1">
      <alignment horizontal="center" vertical="center" wrapText="1"/>
    </xf>
    <xf numFmtId="0" fontId="27" fillId="0" borderId="56" xfId="9" applyFont="1" applyBorder="1" applyAlignment="1">
      <alignment horizontal="left" vertical="center" wrapText="1"/>
    </xf>
    <xf numFmtId="0" fontId="8" fillId="3" borderId="5" xfId="6" applyFont="1" applyFill="1" applyBorder="1" applyAlignment="1">
      <alignment horizontal="left" vertical="center"/>
    </xf>
    <xf numFmtId="0" fontId="8" fillId="3" borderId="6" xfId="6" applyFont="1" applyFill="1" applyBorder="1" applyAlignment="1">
      <alignment horizontal="left" vertical="center"/>
    </xf>
    <xf numFmtId="0" fontId="8" fillId="3" borderId="11" xfId="6" applyFont="1" applyFill="1" applyBorder="1" applyAlignment="1">
      <alignment horizontal="left" vertical="center"/>
    </xf>
    <xf numFmtId="0" fontId="8" fillId="3" borderId="12" xfId="6" applyFont="1" applyFill="1" applyBorder="1" applyAlignment="1">
      <alignment horizontal="left" vertical="center"/>
    </xf>
    <xf numFmtId="0" fontId="8" fillId="3" borderId="6" xfId="6" applyFont="1" applyFill="1" applyBorder="1" applyAlignment="1">
      <alignment horizontal="center" vertical="center"/>
    </xf>
    <xf numFmtId="0" fontId="8" fillId="3" borderId="12" xfId="6" applyFont="1" applyFill="1" applyBorder="1" applyAlignment="1">
      <alignment horizontal="center" vertical="center"/>
    </xf>
    <xf numFmtId="0" fontId="8" fillId="3" borderId="7" xfId="6" applyFont="1" applyFill="1" applyBorder="1" applyAlignment="1">
      <alignment horizontal="center" vertical="center"/>
    </xf>
    <xf numFmtId="0" fontId="8" fillId="3" borderId="13" xfId="6" applyFont="1" applyFill="1" applyBorder="1" applyAlignment="1">
      <alignment horizontal="center" vertical="center"/>
    </xf>
    <xf numFmtId="0" fontId="27" fillId="0" borderId="54" xfId="9" applyFont="1" applyBorder="1" applyAlignment="1">
      <alignment horizontal="left" vertical="center" wrapText="1"/>
    </xf>
    <xf numFmtId="0" fontId="27" fillId="0" borderId="57" xfId="9" applyFont="1" applyBorder="1" applyAlignment="1">
      <alignment horizontal="left" vertical="center" wrapText="1"/>
    </xf>
    <xf numFmtId="0" fontId="27" fillId="0" borderId="47" xfId="9" applyFont="1" applyBorder="1" applyAlignment="1">
      <alignment horizontal="left" vertical="center" wrapText="1"/>
    </xf>
    <xf numFmtId="0" fontId="27" fillId="0" borderId="50" xfId="9" applyFont="1" applyBorder="1" applyAlignment="1">
      <alignment horizontal="left" vertical="center" wrapText="1"/>
    </xf>
    <xf numFmtId="0" fontId="8" fillId="3" borderId="58" xfId="6" applyFont="1" applyFill="1" applyBorder="1" applyAlignment="1">
      <alignment horizontal="left" vertical="center"/>
    </xf>
    <xf numFmtId="0" fontId="8" fillId="3" borderId="59" xfId="6" applyFont="1" applyFill="1" applyBorder="1" applyAlignment="1">
      <alignment horizontal="left" vertical="center"/>
    </xf>
    <xf numFmtId="0" fontId="27" fillId="0" borderId="12" xfId="9" applyFont="1" applyBorder="1" applyAlignment="1">
      <alignment vertical="center" wrapText="1"/>
    </xf>
    <xf numFmtId="0" fontId="27" fillId="0" borderId="13" xfId="9" applyFont="1" applyBorder="1" applyAlignment="1">
      <alignment vertical="center" wrapText="1"/>
    </xf>
    <xf numFmtId="0" fontId="27" fillId="0" borderId="9" xfId="9" applyFont="1" applyBorder="1" applyAlignment="1">
      <alignment vertical="center" wrapText="1"/>
    </xf>
    <xf numFmtId="0" fontId="27" fillId="0" borderId="10" xfId="9" applyFont="1" applyBorder="1" applyAlignment="1">
      <alignment vertical="center" wrapText="1"/>
    </xf>
    <xf numFmtId="0" fontId="13" fillId="0" borderId="3" xfId="9" applyFont="1" applyBorder="1" applyAlignment="1">
      <alignment vertical="top"/>
    </xf>
    <xf numFmtId="0" fontId="13" fillId="0" borderId="4" xfId="9" applyFont="1" applyBorder="1" applyAlignment="1">
      <alignment vertical="top"/>
    </xf>
    <xf numFmtId="0" fontId="27" fillId="0" borderId="47" xfId="9" applyFont="1" applyBorder="1" applyAlignment="1">
      <alignment vertical="center" wrapText="1"/>
    </xf>
    <xf numFmtId="0" fontId="27" fillId="0" borderId="50" xfId="9" applyFont="1" applyBorder="1" applyAlignment="1">
      <alignment vertical="center" wrapText="1"/>
    </xf>
    <xf numFmtId="0" fontId="8" fillId="3" borderId="33" xfId="9" applyFont="1" applyFill="1" applyBorder="1" applyAlignment="1">
      <alignment horizontal="left" vertical="center"/>
    </xf>
    <xf numFmtId="0" fontId="8" fillId="3" borderId="35" xfId="9" applyFont="1" applyFill="1" applyBorder="1" applyAlignment="1">
      <alignment horizontal="left" vertical="center"/>
    </xf>
    <xf numFmtId="0" fontId="13" fillId="0" borderId="6" xfId="9" applyFont="1" applyBorder="1" applyAlignment="1">
      <alignment vertical="top"/>
    </xf>
    <xf numFmtId="0" fontId="13" fillId="0" borderId="7" xfId="9" applyFont="1" applyBorder="1" applyAlignment="1">
      <alignment vertical="top"/>
    </xf>
    <xf numFmtId="0" fontId="8" fillId="3" borderId="2" xfId="6" applyFont="1" applyFill="1" applyBorder="1" applyAlignment="1">
      <alignment horizontal="left" vertical="center"/>
    </xf>
    <xf numFmtId="0" fontId="8" fillId="3" borderId="3" xfId="6" applyFont="1" applyFill="1" applyBorder="1" applyAlignment="1">
      <alignment horizontal="left" vertical="center"/>
    </xf>
    <xf numFmtId="0" fontId="13" fillId="0" borderId="33" xfId="9" applyFont="1" applyBorder="1" applyAlignment="1">
      <alignment vertical="top"/>
    </xf>
    <xf numFmtId="0" fontId="13" fillId="0" borderId="34" xfId="9" applyFont="1" applyBorder="1" applyAlignment="1">
      <alignment vertical="top"/>
    </xf>
    <xf numFmtId="0" fontId="13" fillId="0" borderId="35" xfId="9" applyFont="1" applyBorder="1" applyAlignment="1">
      <alignment vertical="top"/>
    </xf>
    <xf numFmtId="0" fontId="19" fillId="0" borderId="33" xfId="5" applyFont="1" applyFill="1" applyBorder="1" applyAlignment="1" applyProtection="1">
      <alignment horizontal="left" vertical="top" wrapText="1"/>
    </xf>
    <xf numFmtId="0" fontId="19" fillId="0" borderId="34" xfId="5" applyFont="1" applyBorder="1" applyAlignment="1">
      <alignment horizontal="left"/>
    </xf>
    <xf numFmtId="0" fontId="19" fillId="0" borderId="35" xfId="5" applyFont="1" applyBorder="1" applyAlignment="1">
      <alignment horizontal="left"/>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9" fillId="0" borderId="9" xfId="9" applyBorder="1" applyAlignment="1">
      <alignment horizontal="left" vertical="top" wrapText="1"/>
    </xf>
    <xf numFmtId="0" fontId="19" fillId="0" borderId="10" xfId="9" applyBorder="1" applyAlignment="1">
      <alignment horizontal="left" vertical="top" wrapText="1"/>
    </xf>
    <xf numFmtId="0" fontId="10" fillId="0" borderId="40" xfId="0" applyFont="1" applyBorder="1" applyAlignment="1">
      <alignment horizontal="left" vertical="top" wrapText="1"/>
    </xf>
    <xf numFmtId="0" fontId="10" fillId="0" borderId="45" xfId="0" applyFont="1" applyBorder="1" applyAlignment="1">
      <alignment horizontal="left" vertical="top" wrapText="1"/>
    </xf>
    <xf numFmtId="0" fontId="10" fillId="0" borderId="27" xfId="0" applyFont="1" applyBorder="1" applyAlignment="1">
      <alignment horizontal="left" vertical="top" wrapText="1"/>
    </xf>
    <xf numFmtId="0" fontId="10" fillId="0" borderId="36" xfId="0" applyFont="1" applyBorder="1" applyAlignment="1">
      <alignment horizontal="left" vertical="top" wrapText="1"/>
    </xf>
    <xf numFmtId="0" fontId="10" fillId="0" borderId="28" xfId="0" applyFont="1" applyBorder="1" applyAlignment="1">
      <alignment horizontal="left" vertical="top" wrapText="1"/>
    </xf>
    <xf numFmtId="0" fontId="10" fillId="0" borderId="24" xfId="0" applyFont="1" applyBorder="1" applyAlignment="1">
      <alignment horizontal="left" vertical="top" wrapText="1"/>
    </xf>
    <xf numFmtId="0" fontId="27" fillId="0" borderId="56" xfId="9" applyFont="1" applyBorder="1" applyAlignment="1">
      <alignment vertical="top" wrapText="1"/>
    </xf>
    <xf numFmtId="0" fontId="27" fillId="0" borderId="29" xfId="9" applyFont="1" applyBorder="1" applyAlignment="1">
      <alignment vertical="top" wrapText="1"/>
    </xf>
    <xf numFmtId="0" fontId="27" fillId="0" borderId="26" xfId="9" applyFont="1" applyBorder="1" applyAlignment="1">
      <alignment vertical="top" wrapText="1"/>
    </xf>
    <xf numFmtId="0" fontId="27" fillId="0" borderId="57" xfId="9" applyFont="1" applyBorder="1" applyAlignment="1">
      <alignment vertical="top" wrapText="1"/>
    </xf>
    <xf numFmtId="0" fontId="27" fillId="0" borderId="45" xfId="9" applyFont="1" applyBorder="1" applyAlignment="1">
      <alignment vertical="top" wrapText="1"/>
    </xf>
    <xf numFmtId="0" fontId="27" fillId="0" borderId="27" xfId="9" applyFont="1" applyBorder="1" applyAlignment="1">
      <alignment vertical="top" wrapText="1"/>
    </xf>
    <xf numFmtId="0" fontId="13" fillId="0" borderId="33" xfId="9" applyFont="1" applyBorder="1" applyAlignment="1">
      <alignment horizontal="left" vertical="top"/>
    </xf>
    <xf numFmtId="0" fontId="13" fillId="0" borderId="34" xfId="9" applyFont="1" applyBorder="1" applyAlignment="1">
      <alignment horizontal="left" vertical="top"/>
    </xf>
    <xf numFmtId="0" fontId="13" fillId="0" borderId="35" xfId="9" applyFont="1" applyBorder="1" applyAlignment="1">
      <alignment horizontal="left" vertical="top"/>
    </xf>
    <xf numFmtId="0" fontId="27" fillId="0" borderId="113" xfId="9" applyFont="1" applyBorder="1" applyAlignment="1">
      <alignment vertical="top" wrapText="1"/>
    </xf>
    <xf numFmtId="0" fontId="27" fillId="0" borderId="114" xfId="9" applyFont="1" applyBorder="1" applyAlignment="1">
      <alignment vertical="top" wrapText="1"/>
    </xf>
    <xf numFmtId="0" fontId="27" fillId="0" borderId="115" xfId="9" applyFont="1" applyBorder="1" applyAlignment="1">
      <alignment vertical="top" wrapText="1"/>
    </xf>
    <xf numFmtId="0" fontId="24" fillId="0" borderId="38" xfId="0" applyFont="1" applyBorder="1" applyAlignment="1">
      <alignment vertical="top" wrapText="1"/>
    </xf>
    <xf numFmtId="0" fontId="24" fillId="0" borderId="29" xfId="0" applyFont="1" applyBorder="1" applyAlignment="1">
      <alignment vertical="top" wrapText="1"/>
    </xf>
    <xf numFmtId="0" fontId="24" fillId="0" borderId="26" xfId="0" applyFont="1" applyBorder="1" applyAlignment="1">
      <alignment vertical="top" wrapText="1"/>
    </xf>
    <xf numFmtId="0" fontId="24" fillId="0" borderId="40" xfId="0" applyFont="1" applyBorder="1" applyAlignment="1">
      <alignment vertical="top" wrapText="1"/>
    </xf>
    <xf numFmtId="0" fontId="24" fillId="0" borderId="45" xfId="0" applyFont="1" applyBorder="1" applyAlignment="1">
      <alignment vertical="top" wrapText="1"/>
    </xf>
    <xf numFmtId="0" fontId="24" fillId="0" borderId="27" xfId="0" applyFont="1" applyBorder="1" applyAlignment="1">
      <alignment vertical="top" wrapText="1"/>
    </xf>
    <xf numFmtId="0" fontId="27" fillId="0" borderId="36" xfId="9" applyFont="1" applyBorder="1" applyAlignment="1">
      <alignment vertical="top" wrapText="1"/>
    </xf>
    <xf numFmtId="0" fontId="27" fillId="0" borderId="28" xfId="9" applyFont="1" applyBorder="1" applyAlignment="1">
      <alignment vertical="top" wrapText="1"/>
    </xf>
    <xf numFmtId="0" fontId="27" fillId="0" borderId="24" xfId="9" applyFont="1" applyBorder="1" applyAlignment="1">
      <alignment vertical="top" wrapText="1"/>
    </xf>
    <xf numFmtId="0" fontId="27" fillId="0" borderId="38" xfId="9" applyFont="1" applyBorder="1" applyAlignment="1">
      <alignment vertical="top" wrapText="1"/>
    </xf>
    <xf numFmtId="0" fontId="8" fillId="3" borderId="14" xfId="9" applyFont="1" applyFill="1" applyBorder="1" applyAlignment="1">
      <alignment horizontal="left" vertical="center"/>
    </xf>
    <xf numFmtId="0" fontId="8" fillId="3" borderId="15" xfId="9" applyFont="1" applyFill="1" applyBorder="1" applyAlignment="1">
      <alignment horizontal="left" vertical="center"/>
    </xf>
    <xf numFmtId="0" fontId="8" fillId="3" borderId="19" xfId="9" applyFont="1" applyFill="1" applyBorder="1" applyAlignment="1">
      <alignment horizontal="left" vertical="center"/>
    </xf>
    <xf numFmtId="0" fontId="8" fillId="3" borderId="20" xfId="9" applyFont="1" applyFill="1" applyBorder="1" applyAlignment="1">
      <alignment horizontal="left" vertical="center"/>
    </xf>
    <xf numFmtId="0" fontId="8" fillId="3" borderId="52" xfId="9" applyFont="1" applyFill="1" applyBorder="1" applyAlignment="1">
      <alignment horizontal="center" vertical="center"/>
    </xf>
    <xf numFmtId="0" fontId="8" fillId="3" borderId="51" xfId="9" applyFont="1" applyFill="1" applyBorder="1" applyAlignment="1">
      <alignment horizontal="center" vertical="center"/>
    </xf>
    <xf numFmtId="0" fontId="13" fillId="0" borderId="3" xfId="9" applyFont="1" applyBorder="1" applyAlignment="1">
      <alignment horizontal="left" vertical="top"/>
    </xf>
    <xf numFmtId="0" fontId="13" fillId="0" borderId="60" xfId="9" applyFont="1" applyBorder="1" applyAlignment="1">
      <alignment horizontal="left" vertical="top"/>
    </xf>
    <xf numFmtId="0" fontId="13" fillId="0" borderId="4" xfId="9" applyFont="1" applyBorder="1" applyAlignment="1">
      <alignment horizontal="left" vertical="top"/>
    </xf>
    <xf numFmtId="0" fontId="8" fillId="3" borderId="64" xfId="6" applyFont="1" applyFill="1" applyBorder="1" applyAlignment="1">
      <alignment horizontal="center" vertical="center" wrapText="1"/>
    </xf>
    <xf numFmtId="0" fontId="8" fillId="3" borderId="65" xfId="6" applyFont="1" applyFill="1" applyBorder="1" applyAlignment="1">
      <alignment horizontal="center" vertical="center" wrapText="1"/>
    </xf>
    <xf numFmtId="0" fontId="8" fillId="3" borderId="69" xfId="6" applyFont="1" applyFill="1" applyBorder="1" applyAlignment="1">
      <alignment horizontal="center" vertical="center" wrapText="1"/>
    </xf>
    <xf numFmtId="0" fontId="8" fillId="3" borderId="75" xfId="6" applyFont="1" applyFill="1" applyBorder="1" applyAlignment="1">
      <alignment horizontal="center" vertical="center" wrapText="1"/>
    </xf>
    <xf numFmtId="0" fontId="0" fillId="0" borderId="23" xfId="0" applyBorder="1" applyAlignment="1">
      <alignment horizontal="center" vertical="center" wrapText="1"/>
    </xf>
    <xf numFmtId="0" fontId="8" fillId="3" borderId="119" xfId="6" applyFont="1" applyFill="1" applyBorder="1" applyAlignment="1">
      <alignment horizontal="center" vertical="center" wrapText="1"/>
    </xf>
    <xf numFmtId="0" fontId="8" fillId="3" borderId="120" xfId="6" applyFont="1" applyFill="1" applyBorder="1" applyAlignment="1">
      <alignment horizontal="center" vertical="center" wrapText="1"/>
    </xf>
    <xf numFmtId="0" fontId="0" fillId="0" borderId="120" xfId="0" applyBorder="1" applyAlignment="1">
      <alignment horizontal="center" vertical="center" wrapText="1"/>
    </xf>
    <xf numFmtId="0" fontId="0" fillId="0" borderId="121" xfId="0" applyBorder="1" applyAlignment="1">
      <alignment horizontal="center" vertical="center" wrapText="1"/>
    </xf>
    <xf numFmtId="0" fontId="27" fillId="0" borderId="85" xfId="9" applyFont="1" applyBorder="1" applyAlignment="1">
      <alignment horizontal="left" vertical="center" wrapText="1"/>
    </xf>
    <xf numFmtId="0" fontId="27" fillId="0" borderId="86" xfId="9" applyFont="1" applyBorder="1" applyAlignment="1">
      <alignment horizontal="left" vertical="center" wrapText="1"/>
    </xf>
    <xf numFmtId="0" fontId="27" fillId="0" borderId="77" xfId="9" applyFont="1" applyBorder="1" applyAlignment="1">
      <alignment horizontal="left" vertical="center" wrapText="1"/>
    </xf>
    <xf numFmtId="0" fontId="13" fillId="0" borderId="79" xfId="9" applyFont="1" applyBorder="1" applyAlignment="1">
      <alignment horizontal="left" vertical="top"/>
    </xf>
    <xf numFmtId="0" fontId="13" fillId="0" borderId="80" xfId="9" applyFont="1" applyBorder="1" applyAlignment="1">
      <alignment horizontal="left" vertical="top"/>
    </xf>
    <xf numFmtId="0" fontId="13" fillId="0" borderId="81" xfId="9" applyFont="1" applyBorder="1" applyAlignment="1">
      <alignment horizontal="left" vertical="top"/>
    </xf>
    <xf numFmtId="0" fontId="27" fillId="0" borderId="82" xfId="9" applyFont="1" applyBorder="1" applyAlignment="1">
      <alignment horizontal="left" vertical="center" wrapText="1"/>
    </xf>
    <xf numFmtId="0" fontId="27" fillId="0" borderId="83" xfId="9" applyFont="1" applyBorder="1" applyAlignment="1">
      <alignment horizontal="left" vertical="center" wrapText="1"/>
    </xf>
    <xf numFmtId="0" fontId="27" fillId="0" borderId="76" xfId="9" applyFont="1" applyBorder="1" applyAlignment="1">
      <alignment horizontal="left" vertical="center" wrapText="1"/>
    </xf>
    <xf numFmtId="0" fontId="27" fillId="0" borderId="87" xfId="9" applyFont="1" applyBorder="1" applyAlignment="1">
      <alignment horizontal="left" vertical="center" wrapText="1"/>
    </xf>
    <xf numFmtId="0" fontId="27" fillId="0" borderId="88" xfId="9" applyFont="1" applyBorder="1" applyAlignment="1">
      <alignment horizontal="left" vertical="center" wrapText="1"/>
    </xf>
    <xf numFmtId="0" fontId="27" fillId="0" borderId="78" xfId="9" applyFont="1" applyBorder="1" applyAlignment="1">
      <alignment horizontal="left" vertical="center" wrapText="1"/>
    </xf>
    <xf numFmtId="0" fontId="8" fillId="3" borderId="67" xfId="6" applyFont="1" applyFill="1" applyBorder="1" applyAlignment="1">
      <alignment horizontal="center" vertical="center" wrapText="1"/>
    </xf>
    <xf numFmtId="0" fontId="8" fillId="3" borderId="66" xfId="6" applyFont="1" applyFill="1" applyBorder="1" applyAlignment="1">
      <alignment horizontal="center" vertical="center" wrapText="1"/>
    </xf>
    <xf numFmtId="0" fontId="13" fillId="0" borderId="2" xfId="9" applyFont="1" applyBorder="1" applyAlignment="1">
      <alignment horizontal="left" vertical="top"/>
    </xf>
    <xf numFmtId="0" fontId="27" fillId="0" borderId="0" xfId="9" applyFont="1" applyAlignment="1">
      <alignment horizontal="left" vertical="center" wrapText="1"/>
    </xf>
    <xf numFmtId="0" fontId="13" fillId="0" borderId="60" xfId="9" applyFont="1" applyBorder="1" applyAlignment="1">
      <alignment vertical="top"/>
    </xf>
    <xf numFmtId="0" fontId="27" fillId="0" borderId="33" xfId="9" applyFont="1" applyBorder="1" applyAlignment="1">
      <alignment vertical="center" wrapText="1"/>
    </xf>
    <xf numFmtId="0" fontId="27" fillId="0" borderId="34" xfId="9" applyFont="1" applyBorder="1" applyAlignment="1">
      <alignment vertical="center" wrapText="1"/>
    </xf>
    <xf numFmtId="0" fontId="27" fillId="0" borderId="35" xfId="9" applyFont="1" applyBorder="1" applyAlignment="1">
      <alignment vertical="center" wrapText="1"/>
    </xf>
    <xf numFmtId="0" fontId="0" fillId="0" borderId="38" xfId="0" applyBorder="1" applyAlignment="1">
      <alignment horizontal="left" vertical="top" wrapText="1"/>
    </xf>
    <xf numFmtId="0" fontId="0" fillId="0" borderId="29" xfId="0" applyBorder="1" applyAlignment="1">
      <alignment horizontal="left" vertical="top" wrapText="1"/>
    </xf>
    <xf numFmtId="0" fontId="0" fillId="0" borderId="26" xfId="0" applyBorder="1" applyAlignment="1">
      <alignment horizontal="left" vertical="top" wrapText="1"/>
    </xf>
    <xf numFmtId="0" fontId="8" fillId="3" borderId="14" xfId="6"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center" vertical="center" wrapText="1"/>
    </xf>
    <xf numFmtId="0" fontId="0" fillId="0" borderId="20" xfId="0" applyBorder="1" applyAlignment="1">
      <alignment horizontal="center" vertical="center"/>
    </xf>
    <xf numFmtId="0" fontId="0" fillId="0" borderId="36" xfId="0" applyBorder="1" applyAlignment="1">
      <alignment horizontal="left" vertical="top" wrapText="1"/>
    </xf>
    <xf numFmtId="0" fontId="0" fillId="0" borderId="28" xfId="0" applyBorder="1" applyAlignment="1">
      <alignment horizontal="left" vertical="top" wrapText="1"/>
    </xf>
    <xf numFmtId="0" fontId="0" fillId="0" borderId="24" xfId="0" applyBorder="1" applyAlignment="1">
      <alignment horizontal="left" vertical="top" wrapText="1"/>
    </xf>
    <xf numFmtId="0" fontId="0" fillId="0" borderId="40" xfId="0" applyBorder="1" applyAlignment="1">
      <alignment horizontal="left" vertical="top" wrapText="1"/>
    </xf>
    <xf numFmtId="0" fontId="0" fillId="0" borderId="45" xfId="0" applyBorder="1" applyAlignment="1">
      <alignment horizontal="left" vertical="top" wrapText="1"/>
    </xf>
    <xf numFmtId="0" fontId="0" fillId="0" borderId="27" xfId="0" applyBorder="1" applyAlignment="1">
      <alignment horizontal="left" vertical="top" wrapText="1"/>
    </xf>
  </cellXfs>
  <cellStyles count="14">
    <cellStyle name="Comma" xfId="1" builtinId="3"/>
    <cellStyle name="Comma 2" xfId="10" xr:uid="{00000000-0005-0000-0000-000001000000}"/>
    <cellStyle name="Comma 2 2" xfId="13" xr:uid="{00000000-0005-0000-0000-000002000000}"/>
    <cellStyle name="Comma 3" xfId="12" xr:uid="{00000000-0005-0000-0000-000003000000}"/>
    <cellStyle name="Descriptor text" xfId="4" xr:uid="{00000000-0005-0000-0000-000004000000}"/>
    <cellStyle name="Heading" xfId="3" xr:uid="{00000000-0005-0000-0000-000005000000}"/>
    <cellStyle name="Hyperlink" xfId="5" builtinId="8"/>
    <cellStyle name="Normal" xfId="0" builtinId="0"/>
    <cellStyle name="Normal 2" xfId="9" xr:uid="{00000000-0005-0000-0000-000008000000}"/>
    <cellStyle name="Normal 2 2" xfId="11" xr:uid="{00000000-0005-0000-0000-000009000000}"/>
    <cellStyle name="Normal 3" xfId="6" xr:uid="{00000000-0005-0000-0000-00000A000000}"/>
    <cellStyle name="Normal 4" xfId="8" xr:uid="{00000000-0005-0000-0000-00000B000000}"/>
    <cellStyle name="Percent" xfId="2" builtinId="5"/>
    <cellStyle name="Validation error" xfId="7" xr:uid="{00000000-0005-0000-0000-00000D000000}"/>
  </cellStyles>
  <dxfs count="213">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ill>
        <patternFill>
          <bgColor rgb="FFE0DCD8"/>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numFmt numFmtId="170" formatCode="#,##0.000000"/>
    </dxf>
    <dxf>
      <numFmt numFmtId="171" formatCode="#,##0.00000"/>
    </dxf>
    <dxf>
      <numFmt numFmtId="172" formatCode="#,##0.0000"/>
    </dxf>
    <dxf>
      <numFmt numFmtId="167" formatCode="#,##0.000"/>
    </dxf>
    <dxf>
      <numFmt numFmtId="4" formatCode="#,##0.00"/>
    </dxf>
    <dxf>
      <numFmt numFmtId="169" formatCode="#,##0.0"/>
    </dxf>
    <dxf>
      <numFmt numFmtId="3" formatCode="#,##0"/>
    </dxf>
    <dxf>
      <fill>
        <patternFill>
          <bgColor theme="0" tint="-0.14996795556505021"/>
        </patternFill>
      </fill>
    </dxf>
    <dxf>
      <font>
        <color theme="0"/>
      </font>
      <fill>
        <patternFill>
          <bgColor theme="0"/>
        </patternFill>
      </fill>
    </dxf>
    <dxf>
      <font>
        <color auto="1"/>
      </font>
      <fill>
        <patternFill>
          <bgColor rgb="FFE0DCD8"/>
        </patternFill>
      </fill>
    </dxf>
    <dxf>
      <fill>
        <patternFill>
          <bgColor rgb="FFE0DCD8"/>
        </patternFill>
      </fill>
    </dxf>
    <dxf>
      <fill>
        <patternFill>
          <bgColor rgb="FFE0DCD8"/>
        </patternFill>
      </fill>
    </dxf>
    <dxf>
      <fill>
        <patternFill>
          <bgColor rgb="FFE0DCD8"/>
        </patternFill>
      </fill>
    </dxf>
    <dxf>
      <font>
        <color auto="1"/>
      </font>
      <fill>
        <patternFill>
          <bgColor rgb="FFE0DCD8"/>
        </patternFill>
      </fill>
    </dxf>
    <dxf>
      <fill>
        <patternFill>
          <bgColor rgb="FFE0DCD8"/>
        </patternFill>
      </fill>
    </dxf>
    <dxf>
      <font>
        <color auto="1"/>
      </font>
      <fill>
        <patternFill>
          <bgColor rgb="FFE0DCD8"/>
        </patternFill>
      </fill>
    </dxf>
    <dxf>
      <fill>
        <patternFill>
          <bgColor rgb="FFE0DCD8"/>
        </patternFill>
      </fill>
    </dxf>
    <dxf>
      <fill>
        <patternFill>
          <bgColor rgb="FFE0DCD8"/>
        </patternFill>
      </fill>
    </dxf>
    <dxf>
      <fill>
        <patternFill>
          <bgColor rgb="FFE0DCD8"/>
        </patternFill>
      </fill>
    </dxf>
    <dxf>
      <font>
        <color auto="1"/>
      </font>
      <fill>
        <patternFill>
          <bgColor rgb="FFE0DCD8"/>
        </patternFill>
      </fill>
    </dxf>
    <dxf>
      <fill>
        <patternFill>
          <bgColor rgb="FFE0DCD8"/>
        </patternFill>
      </fill>
    </dxf>
    <dxf>
      <font>
        <color auto="1"/>
      </font>
      <fill>
        <patternFill>
          <bgColor rgb="FFE0DCD8"/>
        </patternFill>
      </fill>
    </dxf>
    <dxf>
      <fill>
        <patternFill>
          <bgColor rgb="FFE0DCD8"/>
        </patternFill>
      </fill>
    </dxf>
    <dxf>
      <fill>
        <patternFill>
          <bgColor rgb="FFE0DCD8"/>
        </patternFill>
      </fill>
    </dxf>
    <dxf>
      <fill>
        <patternFill>
          <bgColor rgb="FFE0DCD8"/>
        </patternFill>
      </fill>
    </dxf>
    <dxf>
      <font>
        <color auto="1"/>
      </font>
      <fill>
        <patternFill>
          <bgColor rgb="FFE0DCD8"/>
        </patternFill>
      </fill>
    </dxf>
    <dxf>
      <fill>
        <patternFill>
          <bgColor rgb="FFE0DCD8"/>
        </patternFill>
      </fill>
    </dxf>
    <dxf>
      <fill>
        <patternFill>
          <bgColor theme="0" tint="-0.14996795556505021"/>
        </patternFill>
      </fill>
    </dxf>
    <dxf>
      <numFmt numFmtId="170" formatCode="#,##0.000000"/>
    </dxf>
    <dxf>
      <numFmt numFmtId="171" formatCode="#,##0.00000"/>
    </dxf>
    <dxf>
      <numFmt numFmtId="172" formatCode="#,##0.0000"/>
    </dxf>
    <dxf>
      <numFmt numFmtId="167" formatCode="#,##0.000"/>
    </dxf>
    <dxf>
      <numFmt numFmtId="4" formatCode="#,##0.00"/>
    </dxf>
    <dxf>
      <numFmt numFmtId="169" formatCode="#,##0.0"/>
    </dxf>
    <dxf>
      <numFmt numFmtId="3" formatCode="#,##0"/>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ill>
        <patternFill>
          <bgColor rgb="FFE0DCD8"/>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ill>
        <patternFill>
          <bgColor theme="0" tint="-0.1499679555650502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ill>
        <patternFill>
          <bgColor rgb="FFE0DCD8"/>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strike val="0"/>
        <color theme="0"/>
      </font>
      <fill>
        <patternFill>
          <bgColor theme="0"/>
        </patternFill>
      </fill>
    </dxf>
    <dxf>
      <font>
        <color theme="0"/>
      </font>
      <fill>
        <patternFill>
          <bgColor theme="0"/>
        </patternFill>
      </fill>
    </dxf>
    <dxf>
      <font>
        <color theme="0"/>
      </font>
      <fill>
        <patternFill>
          <bgColor theme="0"/>
        </patternFill>
      </fill>
    </dxf>
    <dxf>
      <fill>
        <patternFill>
          <bgColor rgb="FFFE4819"/>
        </patternFill>
      </fill>
    </dxf>
    <dxf>
      <fill>
        <patternFill>
          <bgColor rgb="FFFE4819"/>
        </patternFill>
      </fill>
    </dxf>
    <dxf>
      <fill>
        <patternFill>
          <bgColor rgb="FFE0DCD8"/>
        </patternFill>
      </fill>
    </dxf>
    <dxf>
      <fill>
        <patternFill>
          <bgColor rgb="FFFE4819"/>
        </patternFill>
      </fill>
    </dxf>
    <dxf>
      <fill>
        <patternFill>
          <bgColor rgb="FFFE4819"/>
        </patternFill>
      </fill>
    </dxf>
    <dxf>
      <fill>
        <patternFill>
          <bgColor rgb="FFFE4819"/>
        </patternFill>
      </fill>
    </dxf>
    <dxf>
      <fill>
        <patternFill>
          <bgColor rgb="FFE0DCD8"/>
        </patternFill>
      </fill>
    </dxf>
    <dxf>
      <fill>
        <patternFill>
          <bgColor rgb="FFFE4819"/>
        </patternFill>
      </fill>
    </dxf>
    <dxf>
      <fill>
        <patternFill>
          <bgColor rgb="FFE0DCD8"/>
        </patternFill>
      </fill>
    </dxf>
    <dxf>
      <fill>
        <patternFill>
          <bgColor rgb="FFE0DCD8"/>
        </patternFill>
      </fill>
    </dxf>
    <dxf>
      <fill>
        <patternFill>
          <bgColor rgb="FFFE4819"/>
        </patternFill>
      </fill>
    </dxf>
  </dxfs>
  <tableStyles count="0" defaultTableStyle="TableStyleMedium2" defaultPivotStyle="PivotStyleLight16"/>
  <colors>
    <mruColors>
      <color rgb="FF0078C9"/>
      <color rgb="FFF2BFE0"/>
      <color rgb="FFBFDDF1"/>
      <color rgb="FFFCEABF"/>
      <color rgb="FF857362"/>
      <color rgb="FFB8CA7F"/>
      <color rgb="FF7F99BC"/>
      <color rgb="FF003479"/>
      <color rgb="FF719500"/>
      <color rgb="FFE0D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51</xdr:row>
      <xdr:rowOff>0</xdr:rowOff>
    </xdr:from>
    <xdr:to>
      <xdr:col>6</xdr:col>
      <xdr:colOff>0</xdr:colOff>
      <xdr:row>52</xdr:row>
      <xdr:rowOff>0</xdr:rowOff>
    </xdr:to>
    <xdr:sp macro="" textlink="">
      <xdr:nvSpPr>
        <xdr:cNvPr id="2" name="TextBox 1">
          <a:extLst>
            <a:ext uri="{FF2B5EF4-FFF2-40B4-BE49-F238E27FC236}">
              <a16:creationId xmlns:a16="http://schemas.microsoft.com/office/drawing/2014/main" id="{00000000-0008-0000-2100-000002000000}"/>
            </a:ext>
          </a:extLst>
        </xdr:cNvPr>
        <xdr:cNvSpPr txBox="1"/>
      </xdr:nvSpPr>
      <xdr:spPr>
        <a:xfrm>
          <a:off x="129540" y="9265920"/>
          <a:ext cx="6705600" cy="381000"/>
        </a:xfrm>
        <a:prstGeom prst="rect">
          <a:avLst/>
        </a:prstGeom>
        <a:solidFill>
          <a:schemeClr val="lt1"/>
        </a:solidFill>
        <a:ln w="9525" cmpd="sng">
          <a:solidFill>
            <a:srgbClr val="85736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0" i="0" u="none" strike="noStrike">
              <a:solidFill>
                <a:schemeClr val="dk1"/>
              </a:solidFill>
              <a:effectLst/>
              <a:latin typeface="+mn-lt"/>
              <a:ea typeface="+mn-ea"/>
              <a:cs typeface="+mn-cs"/>
            </a:rPr>
            <a:t>We</a:t>
          </a:r>
          <a:r>
            <a:rPr lang="en-GB" sz="900" b="0" i="0" u="none" strike="noStrike" baseline="0">
              <a:solidFill>
                <a:schemeClr val="dk1"/>
              </a:solidFill>
              <a:effectLst/>
              <a:latin typeface="+mn-lt"/>
              <a:ea typeface="+mn-ea"/>
              <a:cs typeface="+mn-cs"/>
            </a:rPr>
            <a:t> are asking companies to report this suite of financial metrics to enable us to  monitor the finanical stability of the water and wastewater companies in England and Wales and to provide us with enhanced visibility of  company financing and capital structures.</a:t>
          </a:r>
        </a:p>
        <a:p>
          <a:endParaRPr lang="en-GB" sz="900" b="0" i="0" u="none" strike="noStrik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53</xdr:row>
      <xdr:rowOff>0</xdr:rowOff>
    </xdr:from>
    <xdr:to>
      <xdr:col>15</xdr:col>
      <xdr:colOff>0</xdr:colOff>
      <xdr:row>54</xdr:row>
      <xdr:rowOff>0</xdr:rowOff>
    </xdr:to>
    <xdr:sp macro="" textlink="">
      <xdr:nvSpPr>
        <xdr:cNvPr id="2" name="TextBox 1">
          <a:extLst>
            <a:ext uri="{FF2B5EF4-FFF2-40B4-BE49-F238E27FC236}">
              <a16:creationId xmlns:a16="http://schemas.microsoft.com/office/drawing/2014/main" id="{00000000-0008-0000-2200-000002000000}"/>
            </a:ext>
          </a:extLst>
        </xdr:cNvPr>
        <xdr:cNvSpPr txBox="1"/>
      </xdr:nvSpPr>
      <xdr:spPr>
        <a:xfrm>
          <a:off x="228600" y="8953500"/>
          <a:ext cx="11087100" cy="411480"/>
        </a:xfrm>
        <a:prstGeom prst="rect">
          <a:avLst/>
        </a:prstGeom>
        <a:solidFill>
          <a:schemeClr val="lt1"/>
        </a:solidFill>
        <a:ln w="9525" cmpd="sng">
          <a:solidFill>
            <a:srgbClr val="85736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0" i="0" u="none" strike="noStrike">
              <a:solidFill>
                <a:schemeClr val="dk1"/>
              </a:solidFill>
              <a:effectLst/>
              <a:latin typeface="Arial" panose="020B0604020202020204" pitchFamily="34" charset="0"/>
              <a:ea typeface="+mn-ea"/>
              <a:cs typeface="Arial" panose="020B0604020202020204" pitchFamily="34" charset="0"/>
            </a:rPr>
            <a:t>Financial derivatives include cross currency swaps, interest rate swaps and forward currency contracts.</a:t>
          </a:r>
          <a:r>
            <a:rPr lang="en-GB" sz="900" b="0" i="0" u="none" strike="noStrike" baseline="0">
              <a:solidFill>
                <a:schemeClr val="dk1"/>
              </a:solidFill>
              <a:effectLst/>
              <a:latin typeface="Arial" panose="020B0604020202020204" pitchFamily="34" charset="0"/>
              <a:ea typeface="+mn-ea"/>
              <a:cs typeface="Arial" panose="020B0604020202020204" pitchFamily="34" charset="0"/>
            </a:rPr>
            <a:t> They should not include any amounts which do not relate to financing obligations. If the total derivatives do not reconcile to the total financial instruments on table 1C then please can you provide an explanation of the difference.</a:t>
          </a:r>
        </a:p>
        <a:p>
          <a:endParaRPr lang="en-GB" sz="900" b="0" i="0" u="none" strike="noStrike" baseline="0">
            <a:solidFill>
              <a:schemeClr val="dk1"/>
            </a:solidFill>
            <a:effectLst/>
            <a:latin typeface="Arial" panose="020B0604020202020204" pitchFamily="34" charset="0"/>
            <a:ea typeface="+mn-ea"/>
            <a:cs typeface="Arial" panose="020B0604020202020204" pitchFamily="34" charset="0"/>
          </a:endParaRPr>
        </a:p>
        <a:p>
          <a:endParaRPr lang="en-GB" sz="9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notes6888BE\2016-17%20APR%20tables%20(April%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gulatory%20Strategy\Annual%20Performance%20Report\2016-17\Ofwat%20Gudiance\2016-17-APR-tab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Regulatory%20Strategy\Annual%20Performance%20Report\2016-17\Ofwat%20Gudiance\2016-17-APR-tab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Regulatory%20Strategy\Annual%20Performance%20Report\2016-17\APR%20Tables\2016-17-APR-tables-June-2017%20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ur.kelda/governance/annperfrep/APR2017/005%20Tables,%20Explanatory%20Notes%20and%20Supporting%20Information/Section%203/Tables/Section%203%20Complete%2016.06.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01%20Yorkshire%20Water\Accounting%20Separation\2016-2017\APR\APR%20Draft%20tables\APR%202016-17%20V9%20Post%20Boundary%20Opex%20adjustmen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01%20Yorkshire%20Water\Accounting%20Separation\2016-2017\APR\Workings%20and%20Manual%20Adjustments\Manual%20adjustments%20post%20boundary%20opex%20V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1%20Yorkshire%20Water\Accounting%20Separation\2016-2017\Ofwat%20Documents\2016-17-APR-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Introduction"/>
      <sheetName val="Validation"/>
      <sheetName val="Section 1 -&gt;"/>
      <sheetName val="1A"/>
      <sheetName val="1B"/>
      <sheetName val="1C"/>
      <sheetName val="1D"/>
      <sheetName val="1E"/>
      <sheetName val="Section 2 -&gt;"/>
      <sheetName val="CLEAR_SHEET"/>
      <sheetName val="2A"/>
      <sheetName val="2B"/>
      <sheetName val="2C"/>
      <sheetName val="2D"/>
      <sheetName val="2E"/>
      <sheetName val="2F"/>
      <sheetName val="2G"/>
      <sheetName val="2H"/>
      <sheetName val="2I"/>
      <sheetName val="Section 3 -&gt;"/>
      <sheetName val="3A"/>
      <sheetName val="3B"/>
      <sheetName val="3C"/>
      <sheetName val="3D"/>
      <sheetName val="Section 4 -&gt;"/>
      <sheetName val="4A"/>
      <sheetName val="4B"/>
      <sheetName val="4C"/>
      <sheetName val="4D"/>
      <sheetName val="4E"/>
      <sheetName val="4F"/>
      <sheetName val="4G"/>
      <sheetName val="4H"/>
      <sheetName val="4I"/>
      <sheetName val="Lists"/>
      <sheetName val="PC LIST"/>
      <sheetName val="PC list edited"/>
      <sheetName val="SUB LIST"/>
      <sheetName val="SUB list edited"/>
      <sheetName val="Water"/>
      <sheetName val="Sewerage"/>
    </sheetNames>
    <sheetDataSet>
      <sheetData sheetId="0"/>
      <sheetData sheetId="1"/>
      <sheetData sheetId="2">
        <row r="3">
          <cell r="B3" t="str">
            <v>Select company</v>
          </cell>
        </row>
      </sheetData>
      <sheetData sheetId="3"/>
      <sheetData sheetId="4">
        <row r="1">
          <cell r="B1" t="str">
            <v>1A - Income statement</v>
          </cell>
        </row>
      </sheetData>
      <sheetData sheetId="5">
        <row r="1">
          <cell r="B1" t="str">
            <v>1B - Statement of comprehensive income</v>
          </cell>
        </row>
      </sheetData>
      <sheetData sheetId="6">
        <row r="1">
          <cell r="B1" t="str">
            <v>1C - Statement of financial position</v>
          </cell>
        </row>
      </sheetData>
      <sheetData sheetId="7">
        <row r="1">
          <cell r="B1" t="str">
            <v>1D - Statement of cash flows</v>
          </cell>
        </row>
      </sheetData>
      <sheetData sheetId="8">
        <row r="1">
          <cell r="B1" t="str">
            <v>1E - Net debt analysis at 31 March 2017</v>
          </cell>
        </row>
      </sheetData>
      <sheetData sheetId="9"/>
      <sheetData sheetId="10"/>
      <sheetData sheetId="11">
        <row r="1">
          <cell r="B1" t="str">
            <v>2A - Segmental income statement</v>
          </cell>
        </row>
      </sheetData>
      <sheetData sheetId="12">
        <row r="1">
          <cell r="B1" t="str">
            <v>2B - Totex analysis - wholesale water and wastewater</v>
          </cell>
        </row>
      </sheetData>
      <sheetData sheetId="13">
        <row r="1">
          <cell r="B1" t="str">
            <v>2C - Operating cost analysis - retail</v>
          </cell>
        </row>
      </sheetData>
      <sheetData sheetId="14">
        <row r="1">
          <cell r="B1" t="str">
            <v>2D - Historic cost analysis of fixed assets - wholesale &amp; retail</v>
          </cell>
        </row>
      </sheetData>
      <sheetData sheetId="15">
        <row r="1">
          <cell r="B1" t="str">
            <v>2E - Analysis of capital contributions and land sales - wholesale</v>
          </cell>
        </row>
      </sheetData>
      <sheetData sheetId="16">
        <row r="1">
          <cell r="B1" t="str">
            <v>2F - Household - revenues by customer type</v>
          </cell>
        </row>
      </sheetData>
      <sheetData sheetId="17">
        <row r="1">
          <cell r="B1" t="str">
            <v>2G - Non-household water - revenues by customer type</v>
          </cell>
        </row>
      </sheetData>
      <sheetData sheetId="18">
        <row r="1">
          <cell r="B1" t="str">
            <v>2H - Non-household wastewater - revenues by customer type</v>
          </cell>
        </row>
      </sheetData>
      <sheetData sheetId="19">
        <row r="1">
          <cell r="B1" t="str">
            <v>2I - Revenue analysis &amp; wholesale control reconciliation</v>
          </cell>
        </row>
      </sheetData>
      <sheetData sheetId="20"/>
      <sheetData sheetId="21">
        <row r="1">
          <cell r="B1" t="str">
            <v>3A - Outcome performance table</v>
          </cell>
        </row>
      </sheetData>
      <sheetData sheetId="22">
        <row r="1">
          <cell r="B1" t="str">
            <v>3B - Sub-measure performance table</v>
          </cell>
        </row>
      </sheetData>
      <sheetData sheetId="23">
        <row r="1">
          <cell r="B1" t="str">
            <v>3C - AIM table</v>
          </cell>
        </row>
      </sheetData>
      <sheetData sheetId="24">
        <row r="1">
          <cell r="B1" t="str">
            <v>3D - SIM table</v>
          </cell>
        </row>
      </sheetData>
      <sheetData sheetId="25"/>
      <sheetData sheetId="26">
        <row r="1">
          <cell r="B1" t="str">
            <v>4A - Non-financial information</v>
          </cell>
        </row>
      </sheetData>
      <sheetData sheetId="27">
        <row r="1">
          <cell r="B1" t="str">
            <v xml:space="preserve">4B - Wholesale totex analysis </v>
          </cell>
        </row>
      </sheetData>
      <sheetData sheetId="28">
        <row r="1">
          <cell r="B1" t="str">
            <v>4C - Impact of AMP performance to date on RCV</v>
          </cell>
        </row>
      </sheetData>
      <sheetData sheetId="29">
        <row r="1">
          <cell r="B1" t="str">
            <v>4D - Wholesale totex analysis - water</v>
          </cell>
        </row>
      </sheetData>
      <sheetData sheetId="30">
        <row r="1">
          <cell r="B1" t="str">
            <v>4E - Wholesale totex analysis - wastewater</v>
          </cell>
        </row>
      </sheetData>
      <sheetData sheetId="31">
        <row r="1">
          <cell r="B1" t="str">
            <v>4F - Operating cost analysis - household retail</v>
          </cell>
        </row>
      </sheetData>
      <sheetData sheetId="32">
        <row r="1">
          <cell r="B1" t="str">
            <v>4G - Wholesale current cost financial performance</v>
          </cell>
        </row>
      </sheetData>
      <sheetData sheetId="33">
        <row r="1">
          <cell r="B1" t="str">
            <v>4H - Financial metrics</v>
          </cell>
        </row>
      </sheetData>
      <sheetData sheetId="34">
        <row r="1">
          <cell r="B1" t="str">
            <v>4I - Financial derivatives</v>
          </cell>
        </row>
      </sheetData>
      <sheetData sheetId="35">
        <row r="4">
          <cell r="B4" t="str">
            <v>Select company</v>
          </cell>
        </row>
      </sheetData>
      <sheetData sheetId="36"/>
      <sheetData sheetId="37"/>
      <sheetData sheetId="38"/>
      <sheetData sheetId="39"/>
      <sheetData sheetId="40">
        <row r="1">
          <cell r="A1" t="str">
            <v>ANH</v>
          </cell>
        </row>
      </sheetData>
      <sheetData sheetId="41">
        <row r="1">
          <cell r="A1" t="str">
            <v>ANH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Introduction"/>
      <sheetName val="Validation"/>
      <sheetName val="Section 1 -&gt;"/>
      <sheetName val="1A"/>
      <sheetName val="1B"/>
      <sheetName val="1C"/>
      <sheetName val="1D"/>
      <sheetName val="1E"/>
      <sheetName val="Section 2 -&gt;"/>
      <sheetName val="CLEAR_SHEET"/>
      <sheetName val="2A"/>
      <sheetName val="2B"/>
      <sheetName val="2C"/>
      <sheetName val="2D"/>
      <sheetName val="2E"/>
      <sheetName val="2F"/>
      <sheetName val="2G"/>
      <sheetName val="2H"/>
      <sheetName val="2I"/>
      <sheetName val="Section 3 -&gt;"/>
      <sheetName val="3A"/>
      <sheetName val="3B"/>
      <sheetName val="3C"/>
      <sheetName val="3D"/>
      <sheetName val="Section 4 -&gt;"/>
      <sheetName val="4A"/>
      <sheetName val="4B"/>
      <sheetName val="4C"/>
      <sheetName val="4D"/>
      <sheetName val="4E"/>
      <sheetName val="4F"/>
      <sheetName val="4G"/>
      <sheetName val="4H"/>
      <sheetName val="4I"/>
      <sheetName val="Lists"/>
      <sheetName val="PC LIST"/>
      <sheetName val="PC list edited"/>
      <sheetName val="SUB LIST"/>
      <sheetName val="SUB list edited"/>
      <sheetName val="Water"/>
      <sheetName val="Sewer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Introduction"/>
      <sheetName val="Validation"/>
      <sheetName val="Section 1 -&gt;"/>
      <sheetName val="1A"/>
      <sheetName val="1B"/>
      <sheetName val="1C"/>
      <sheetName val="1D"/>
      <sheetName val="1E"/>
      <sheetName val="Section 2 -&gt;"/>
      <sheetName val="2A"/>
      <sheetName val="2B"/>
      <sheetName val="2C"/>
      <sheetName val="2D"/>
      <sheetName val="2E"/>
      <sheetName val="2F"/>
      <sheetName val="2G"/>
      <sheetName val="2H"/>
      <sheetName val="2I"/>
      <sheetName val="Section 4 -&gt;"/>
      <sheetName val="4B"/>
      <sheetName val="4C"/>
      <sheetName val="4D"/>
      <sheetName val="4E"/>
      <sheetName val="4F"/>
      <sheetName val="4G"/>
      <sheetName val="4H"/>
      <sheetName val="4I"/>
      <sheetName val="Lists"/>
      <sheetName val="SUB LIST"/>
      <sheetName val="SUB list edited"/>
      <sheetName val="Water"/>
      <sheetName val="Sewerage"/>
      <sheetName val="CLEAR_SHEET"/>
      <sheetName val="PC LIST"/>
      <sheetName val="PC list edited"/>
    </sheetNames>
    <sheetDataSet>
      <sheetData sheetId="0"/>
      <sheetData sheetId="1"/>
      <sheetData sheetId="2"/>
      <sheetData sheetId="3"/>
      <sheetData sheetId="4"/>
      <sheetData sheetId="5"/>
      <sheetData sheetId="6"/>
      <sheetData sheetId="7"/>
      <sheetData sheetId="8"/>
      <sheetData sheetId="9"/>
      <sheetData sheetId="10"/>
      <sheetData sheetId="11">
        <row r="14">
          <cell r="F14">
            <v>0</v>
          </cell>
          <cell r="G14">
            <v>1.7050000000000001</v>
          </cell>
          <cell r="H14">
            <v>0</v>
          </cell>
          <cell r="I14">
            <v>0</v>
          </cell>
        </row>
        <row r="23">
          <cell r="F23">
            <v>0</v>
          </cell>
          <cell r="G23">
            <v>0</v>
          </cell>
          <cell r="H23">
            <v>0</v>
          </cell>
          <cell r="I23">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B"/>
      <sheetName val="2C"/>
      <sheetName val="4D"/>
      <sheetName val="4E"/>
      <sheetName val="Sheet1"/>
    </sheetNames>
    <sheetDataSet>
      <sheetData sheetId="0">
        <row r="26">
          <cell r="F26">
            <v>0.28299999999999997</v>
          </cell>
          <cell r="G26">
            <v>4.8949999999999996</v>
          </cell>
          <cell r="H26">
            <v>5.0139999999999993</v>
          </cell>
          <cell r="I26">
            <v>1.468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Introduction"/>
      <sheetName val="Section 1 -&gt;"/>
      <sheetName val="1A"/>
      <sheetName val="1B"/>
      <sheetName val="1C"/>
      <sheetName val="1D"/>
      <sheetName val="1E"/>
      <sheetName val="Section 2 -&gt;"/>
      <sheetName val="CLEAR_SHEET"/>
      <sheetName val="2A"/>
      <sheetName val="2B"/>
      <sheetName val="2C"/>
      <sheetName val="2D"/>
      <sheetName val="2E"/>
      <sheetName val="2F"/>
      <sheetName val="2G"/>
      <sheetName val="2H"/>
      <sheetName val="2I"/>
      <sheetName val="Section 3 -&gt;"/>
      <sheetName val="3A"/>
      <sheetName val="3B"/>
      <sheetName val="3C"/>
      <sheetName val="3D"/>
      <sheetName val="Section 4 -&gt;"/>
      <sheetName val="4A"/>
      <sheetName val="4B"/>
      <sheetName val="4C"/>
      <sheetName val="4D"/>
      <sheetName val="4E"/>
      <sheetName val="4F"/>
      <sheetName val="4G"/>
      <sheetName val="4H"/>
      <sheetName val="4I"/>
      <sheetName val="Lists"/>
      <sheetName val="PC LIST"/>
      <sheetName val="PC list edited"/>
      <sheetName val="SUB LIST"/>
      <sheetName val="SUB list edited"/>
      <sheetName val="Water"/>
      <sheetName val="Sewerage"/>
    </sheetNames>
    <sheetDataSet>
      <sheetData sheetId="0" refreshError="1"/>
      <sheetData sheetId="1" refreshError="1"/>
      <sheetData sheetId="2" refreshError="1"/>
      <sheetData sheetId="3">
        <row r="1">
          <cell r="B1" t="str">
            <v>1A - Income statement</v>
          </cell>
        </row>
      </sheetData>
      <sheetData sheetId="4" refreshError="1"/>
      <sheetData sheetId="5" refreshError="1"/>
      <sheetData sheetId="6">
        <row r="1">
          <cell r="B1" t="str">
            <v>1D - Statement of cash flows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fwat.gov.uk/wp-content/uploads/2016/08/prs_web20161031regrep309.pdf" TargetMode="External"/><Relationship Id="rId2" Type="http://schemas.openxmlformats.org/officeDocument/2006/relationships/hyperlink" Target="http://www.ofwat.gov.uk/wp-content/uploads/2016/10/prs_in1609RAG1617.pdf" TargetMode="External"/><Relationship Id="rId1" Type="http://schemas.openxmlformats.org/officeDocument/2006/relationships/hyperlink" Target="mailto:FinanceAndGovernance@ofwat.gsi.gov.uk?subject=2016%20Annual%20performance%20report"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www.ofwat.gov.uk/wp-content/uploads/2016/08/prs_web20161031regrep406.pdf"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printerSettings" Target="../printerSettings/printerSettings22.bin"/><Relationship Id="rId1" Type="http://schemas.openxmlformats.org/officeDocument/2006/relationships/hyperlink" Target="http://www.ofwat.gov.uk/regulated-companies/price-review/price-review-2014/final-determination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1.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
  <sheetViews>
    <sheetView showGridLines="0" zoomScale="85" zoomScaleNormal="85" workbookViewId="0">
      <selection sqref="A1:C1"/>
    </sheetView>
  </sheetViews>
  <sheetFormatPr defaultColWidth="0" defaultRowHeight="14.25" zeroHeight="1" x14ac:dyDescent="0.2"/>
  <cols>
    <col min="1" max="1" width="1.625" style="795" customWidth="1"/>
    <col min="2" max="2" width="10.625" style="795" bestFit="1" customWidth="1"/>
    <col min="3" max="3" width="107.125" style="795" customWidth="1"/>
    <col min="4" max="4" width="3.125" style="795" customWidth="1"/>
    <col min="5" max="6" width="11.75" style="795" hidden="1" customWidth="1"/>
    <col min="7" max="7" width="3.125" style="795" hidden="1" customWidth="1"/>
    <col min="8" max="16384" width="0" style="795" hidden="1"/>
  </cols>
  <sheetData>
    <row r="1" spans="1:8" ht="20.25" x14ac:dyDescent="0.2">
      <c r="A1" s="873" t="s">
        <v>0</v>
      </c>
      <c r="B1" s="874"/>
      <c r="C1" s="874"/>
    </row>
    <row r="2" spans="1:8" x14ac:dyDescent="0.2"/>
    <row r="3" spans="1:8" x14ac:dyDescent="0.2">
      <c r="B3" s="865" t="s">
        <v>1</v>
      </c>
      <c r="C3" s="865"/>
    </row>
    <row r="4" spans="1:8" x14ac:dyDescent="0.2">
      <c r="B4" s="796"/>
      <c r="C4" s="796"/>
    </row>
    <row r="5" spans="1:8" x14ac:dyDescent="0.2">
      <c r="B5" s="865" t="s">
        <v>2</v>
      </c>
      <c r="C5" s="865"/>
    </row>
    <row r="6" spans="1:8" ht="15" thickBot="1" x14ac:dyDescent="0.25"/>
    <row r="7" spans="1:8" ht="15" thickBot="1" x14ac:dyDescent="0.25">
      <c r="B7" s="797" t="s">
        <v>3</v>
      </c>
      <c r="C7" s="798" t="s">
        <v>4</v>
      </c>
      <c r="E7" s="797" t="s">
        <v>5</v>
      </c>
      <c r="F7" s="797" t="s">
        <v>6</v>
      </c>
    </row>
    <row r="8" spans="1:8" ht="60" x14ac:dyDescent="0.2">
      <c r="B8" s="866">
        <v>42826</v>
      </c>
      <c r="C8" s="799" t="s">
        <v>7</v>
      </c>
      <c r="E8" s="814" t="s">
        <v>8</v>
      </c>
      <c r="F8" s="799" t="s">
        <v>9</v>
      </c>
    </row>
    <row r="9" spans="1:8" ht="24" x14ac:dyDescent="0.2">
      <c r="B9" s="867"/>
      <c r="C9" s="800" t="s">
        <v>10</v>
      </c>
      <c r="E9" s="815" t="s">
        <v>8</v>
      </c>
      <c r="F9" s="799" t="s">
        <v>11</v>
      </c>
    </row>
    <row r="10" spans="1:8" ht="24" x14ac:dyDescent="0.2">
      <c r="B10" s="867"/>
      <c r="C10" s="800" t="s">
        <v>12</v>
      </c>
      <c r="E10" s="815" t="s">
        <v>8</v>
      </c>
      <c r="F10" s="799" t="s">
        <v>11</v>
      </c>
    </row>
    <row r="11" spans="1:8" x14ac:dyDescent="0.2">
      <c r="B11" s="867"/>
      <c r="C11" s="800" t="s">
        <v>13</v>
      </c>
      <c r="E11" s="815" t="s">
        <v>8</v>
      </c>
      <c r="F11" s="800" t="s">
        <v>9</v>
      </c>
    </row>
    <row r="12" spans="1:8" ht="24" x14ac:dyDescent="0.2">
      <c r="B12" s="867"/>
      <c r="C12" s="800" t="s">
        <v>14</v>
      </c>
      <c r="E12" s="815" t="s">
        <v>8</v>
      </c>
      <c r="F12" s="800" t="s">
        <v>11</v>
      </c>
    </row>
    <row r="13" spans="1:8" x14ac:dyDescent="0.2">
      <c r="B13" s="867"/>
      <c r="C13" s="800" t="s">
        <v>15</v>
      </c>
      <c r="E13" s="815" t="s">
        <v>8</v>
      </c>
      <c r="F13" s="799" t="s">
        <v>11</v>
      </c>
    </row>
    <row r="14" spans="1:8" s="796" customFormat="1" x14ac:dyDescent="0.2">
      <c r="B14" s="867"/>
      <c r="C14" s="800" t="s">
        <v>16</v>
      </c>
      <c r="E14" s="815" t="s">
        <v>8</v>
      </c>
      <c r="F14" s="799" t="s">
        <v>11</v>
      </c>
    </row>
    <row r="15" spans="1:8" s="796" customFormat="1" ht="108" x14ac:dyDescent="0.2">
      <c r="B15" s="867"/>
      <c r="C15" s="813" t="s">
        <v>17</v>
      </c>
      <c r="E15" s="816" t="s">
        <v>8</v>
      </c>
      <c r="F15" s="800" t="s">
        <v>11</v>
      </c>
    </row>
    <row r="16" spans="1:8" s="796" customFormat="1" ht="126" customHeight="1" x14ac:dyDescent="0.2">
      <c r="B16" s="867"/>
      <c r="C16" s="800" t="s">
        <v>18</v>
      </c>
      <c r="E16" s="816" t="s">
        <v>19</v>
      </c>
      <c r="F16" s="800" t="s">
        <v>20</v>
      </c>
      <c r="H16" s="795"/>
    </row>
    <row r="17" spans="2:6" s="796" customFormat="1" ht="25.5" customHeight="1" thickBot="1" x14ac:dyDescent="0.25">
      <c r="B17" s="868"/>
      <c r="C17" s="801" t="s">
        <v>21</v>
      </c>
      <c r="E17" s="817" t="s">
        <v>22</v>
      </c>
      <c r="F17" s="801" t="s">
        <v>19</v>
      </c>
    </row>
    <row r="18" spans="2:6" x14ac:dyDescent="0.2">
      <c r="B18" s="869">
        <v>42886</v>
      </c>
      <c r="C18" s="858" t="s">
        <v>23</v>
      </c>
      <c r="E18" s="814" t="s">
        <v>8</v>
      </c>
      <c r="F18" s="799" t="s">
        <v>24</v>
      </c>
    </row>
    <row r="19" spans="2:6" x14ac:dyDescent="0.2">
      <c r="B19" s="870"/>
      <c r="C19" s="818" t="s">
        <v>25</v>
      </c>
      <c r="E19" s="815" t="s">
        <v>8</v>
      </c>
      <c r="F19" s="800" t="s">
        <v>24</v>
      </c>
    </row>
    <row r="20" spans="2:6" ht="36" x14ac:dyDescent="0.2">
      <c r="B20" s="870"/>
      <c r="C20" s="819" t="s">
        <v>26</v>
      </c>
      <c r="E20" s="815" t="s">
        <v>8</v>
      </c>
      <c r="F20" s="800" t="s">
        <v>24</v>
      </c>
    </row>
    <row r="21" spans="2:6" ht="36" x14ac:dyDescent="0.2">
      <c r="B21" s="871"/>
      <c r="C21" s="818" t="s">
        <v>27</v>
      </c>
      <c r="D21" s="796"/>
      <c r="E21" s="815" t="s">
        <v>8</v>
      </c>
      <c r="F21" s="800" t="s">
        <v>24</v>
      </c>
    </row>
    <row r="22" spans="2:6" ht="36" x14ac:dyDescent="0.2">
      <c r="B22" s="871"/>
      <c r="C22" s="818" t="s">
        <v>28</v>
      </c>
      <c r="D22" s="796"/>
      <c r="E22" s="815" t="s">
        <v>8</v>
      </c>
      <c r="F22" s="800" t="s">
        <v>24</v>
      </c>
    </row>
    <row r="23" spans="2:6" x14ac:dyDescent="0.2">
      <c r="B23" s="871"/>
      <c r="C23" s="819" t="s">
        <v>29</v>
      </c>
      <c r="D23" s="796"/>
      <c r="E23" s="815" t="s">
        <v>8</v>
      </c>
      <c r="F23" s="800" t="s">
        <v>22</v>
      </c>
    </row>
    <row r="24" spans="2:6" x14ac:dyDescent="0.2">
      <c r="B24" s="871"/>
      <c r="C24" s="819" t="s">
        <v>30</v>
      </c>
      <c r="D24" s="796"/>
      <c r="E24" s="815" t="s">
        <v>8</v>
      </c>
      <c r="F24" s="800" t="s">
        <v>24</v>
      </c>
    </row>
    <row r="25" spans="2:6" x14ac:dyDescent="0.2">
      <c r="B25" s="871"/>
      <c r="C25" s="819" t="s">
        <v>31</v>
      </c>
      <c r="D25" s="796"/>
      <c r="E25" s="815" t="s">
        <v>8</v>
      </c>
      <c r="F25" s="800" t="s">
        <v>24</v>
      </c>
    </row>
    <row r="26" spans="2:6" ht="13.9" customHeight="1" thickBot="1" x14ac:dyDescent="0.25">
      <c r="B26" s="872"/>
      <c r="C26" s="859" t="s">
        <v>32</v>
      </c>
      <c r="E26" s="817" t="s">
        <v>33</v>
      </c>
      <c r="F26" s="801" t="s">
        <v>24</v>
      </c>
    </row>
    <row r="27" spans="2:6" ht="13.9" customHeight="1" x14ac:dyDescent="0.2"/>
    <row r="28" spans="2:6" ht="13.9" hidden="1" customHeight="1" x14ac:dyDescent="0.2"/>
    <row r="29" spans="2:6" ht="13.9" hidden="1" customHeight="1" x14ac:dyDescent="0.2"/>
    <row r="30" spans="2:6" ht="13.9" hidden="1" customHeight="1" x14ac:dyDescent="0.2"/>
    <row r="31" spans="2:6" ht="13.9" hidden="1" customHeight="1" x14ac:dyDescent="0.2"/>
    <row r="32" spans="2:6" ht="13.9" hidden="1" customHeight="1" x14ac:dyDescent="0.2"/>
    <row r="33" ht="13.9" hidden="1" customHeight="1" x14ac:dyDescent="0.2"/>
    <row r="34" ht="13.9" hidden="1" customHeight="1" x14ac:dyDescent="0.2"/>
    <row r="35" ht="13.9" hidden="1" customHeight="1" x14ac:dyDescent="0.2"/>
    <row r="36" ht="13.9" hidden="1" customHeight="1" x14ac:dyDescent="0.2"/>
    <row r="37" ht="13.9" hidden="1" customHeight="1" x14ac:dyDescent="0.2"/>
    <row r="38" ht="13.9" hidden="1" customHeight="1" x14ac:dyDescent="0.2"/>
    <row r="39" ht="13.9" hidden="1" customHeight="1" x14ac:dyDescent="0.2"/>
    <row r="40" ht="13.9" hidden="1" customHeight="1" x14ac:dyDescent="0.2"/>
  </sheetData>
  <sheetProtection algorithmName="SHA-512" hashValue="CYdtfwDicKOericowKhzce36I9U07QjmqhOTaFDWIJK6pxbziQ6XZ6e4j8IRfbHJFJGK62B8is+b2Y1qL0P5rA==" saltValue="yEzuC8lE+FMudXcqwQsxKw==" spinCount="100000" sheet="1" objects="1" scenarios="1"/>
  <mergeCells count="5">
    <mergeCell ref="B3:C3"/>
    <mergeCell ref="B5:C5"/>
    <mergeCell ref="B8:B17"/>
    <mergeCell ref="B18:B26"/>
    <mergeCell ref="A1:C1"/>
  </mergeCells>
  <printOptions horizontalCentered="1"/>
  <pageMargins left="0.39370078740157483" right="0.39370078740157483" top="0.78740157480314965" bottom="0.78740157480314965" header="0.31496062992125984" footer="0.31496062992125984"/>
  <pageSetup paperSize="9" scale="73"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3479"/>
    <pageSetUpPr fitToPage="1"/>
  </sheetPr>
  <dimension ref="H1:H35"/>
  <sheetViews>
    <sheetView showGridLines="0" topLeftCell="XFD1048576" workbookViewId="0">
      <selection sqref="A1:C1"/>
    </sheetView>
  </sheetViews>
  <sheetFormatPr defaultColWidth="0" defaultRowHeight="13.9" customHeight="1" zeroHeight="1" x14ac:dyDescent="0.2"/>
  <cols>
    <col min="1" max="7" width="8.625" hidden="1" customWidth="1"/>
    <col min="8" max="8" width="8.75" hidden="1" customWidth="1"/>
    <col min="9" max="16384" width="8.625" hidden="1"/>
  </cols>
  <sheetData>
    <row r="1" ht="14.25" hidden="1" x14ac:dyDescent="0.2"/>
    <row r="2" ht="14.25" hidden="1" x14ac:dyDescent="0.2"/>
    <row r="3" ht="14.25" hidden="1" x14ac:dyDescent="0.2"/>
    <row r="4" ht="14.25" hidden="1" x14ac:dyDescent="0.2"/>
    <row r="5" ht="14.25" hidden="1" x14ac:dyDescent="0.2"/>
    <row r="6" ht="14.25" hidden="1" x14ac:dyDescent="0.2"/>
    <row r="7" ht="14.25" hidden="1" x14ac:dyDescent="0.2"/>
    <row r="8" ht="14.25" hidden="1" x14ac:dyDescent="0.2"/>
    <row r="9" ht="14.25" hidden="1" x14ac:dyDescent="0.2"/>
    <row r="10" ht="14.25" hidden="1" x14ac:dyDescent="0.2"/>
    <row r="11" ht="14.25" hidden="1" x14ac:dyDescent="0.2"/>
    <row r="12" ht="14.25" hidden="1" x14ac:dyDescent="0.2"/>
    <row r="13" ht="14.25" hidden="1" x14ac:dyDescent="0.2"/>
    <row r="14" ht="14.25" hidden="1" x14ac:dyDescent="0.2"/>
    <row r="15" ht="14.25" hidden="1" x14ac:dyDescent="0.2"/>
    <row r="16" ht="14.25" hidden="1" x14ac:dyDescent="0.2"/>
    <row r="17" ht="14.25" hidden="1" x14ac:dyDescent="0.2"/>
    <row r="18" ht="14.25" hidden="1" x14ac:dyDescent="0.2"/>
    <row r="19" ht="14.25" hidden="1" x14ac:dyDescent="0.2"/>
    <row r="20" ht="14.25" hidden="1" x14ac:dyDescent="0.2"/>
    <row r="21" ht="14.25" hidden="1" x14ac:dyDescent="0.2"/>
    <row r="22" ht="14.25" hidden="1" x14ac:dyDescent="0.2"/>
    <row r="23" ht="14.25" hidden="1" x14ac:dyDescent="0.2"/>
    <row r="24" ht="14.25" hidden="1" x14ac:dyDescent="0.2"/>
    <row r="25" ht="14.25" hidden="1" x14ac:dyDescent="0.2"/>
    <row r="26" ht="14.25" hidden="1" x14ac:dyDescent="0.2"/>
    <row r="27" ht="14.25" hidden="1" x14ac:dyDescent="0.2"/>
    <row r="28" ht="14.25" hidden="1" x14ac:dyDescent="0.2"/>
    <row r="29" ht="14.25" hidden="1" x14ac:dyDescent="0.2"/>
    <row r="30" ht="14.25" hidden="1" x14ac:dyDescent="0.2"/>
    <row r="31" ht="14.25" hidden="1" x14ac:dyDescent="0.2"/>
    <row r="32" ht="14.25" hidden="1" x14ac:dyDescent="0.2"/>
    <row r="33" ht="14.25" hidden="1" x14ac:dyDescent="0.2"/>
    <row r="34" ht="14.25" hidden="1" x14ac:dyDescent="0.2"/>
    <row r="35" ht="14.25" hidden="1" x14ac:dyDescent="0.2"/>
  </sheetData>
  <sheetProtection algorithmName="SHA-512" hashValue="GVVndZn3hC9rYOc/rE7WwNQUp0+bVNWJ/oatioPvrd6rWKgcQUNWTtlXkz0V1uszMhmgLSHdBIQ165j4XaYZcw==" saltValue="P9nXzDyhMoKyk9VfoQkUZg==" spinCount="100000" sheet="1" objects="1" scenarios="1"/>
  <printOptions horizontalCentered="1"/>
  <pageMargins left="0.39370078740157483" right="0.39370078740157483" top="0.78740157480314965" bottom="0.78740157480314965" header="0.31496062992125984" footer="0.31496062992125984"/>
  <pageSetup paperSize="9"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
  <sheetViews>
    <sheetView workbookViewId="0"/>
  </sheetViews>
  <sheetFormatPr defaultRowHeight="14.25" x14ac:dyDescent="0.2"/>
  <sheetData>
    <row r="1" spans="1:2" x14ac:dyDescent="0.2">
      <c r="A1" t="s">
        <v>289</v>
      </c>
      <c r="B1" t="s">
        <v>290</v>
      </c>
    </row>
  </sheetData>
  <sheetProtection algorithmName="SHA-512" hashValue="Wh4GV2TaQDPTYQGV7yRSRpx2v/MUg+fFGhW84jhHlfiftyYJsmEb2/jEOVmZtjTVAA6CINj1iHMDHuwkljbBIw==" saltValue="shPXwVUOFrfJZCCzfRajGA==" spinCount="100000" sheet="1" objects="1" scenario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57"/>
  <sheetViews>
    <sheetView showGridLines="0" topLeftCell="L1" zoomScale="95" zoomScaleNormal="95" workbookViewId="0">
      <selection activeCell="B1" sqref="B1:N16"/>
    </sheetView>
  </sheetViews>
  <sheetFormatPr defaultColWidth="0" defaultRowHeight="14.25" zeroHeight="1" x14ac:dyDescent="0.2"/>
  <cols>
    <col min="1" max="1" width="2.25" style="87" customWidth="1"/>
    <col min="2" max="2" width="4.125" style="87" customWidth="1"/>
    <col min="3" max="3" width="30.125" style="87" customWidth="1"/>
    <col min="4" max="5" width="5.125" style="87" customWidth="1"/>
    <col min="6" max="14" width="12.625" style="87" customWidth="1"/>
    <col min="15" max="15" width="2.625" style="87" customWidth="1"/>
    <col min="16" max="16" width="40.75" style="87" customWidth="1"/>
    <col min="17" max="17" width="19.125" style="87" customWidth="1"/>
    <col min="18" max="18" width="1.625" style="83" customWidth="1"/>
    <col min="19" max="19" width="1.625" style="84" hidden="1" customWidth="1"/>
    <col min="20" max="28" width="4.625" style="83" hidden="1" customWidth="1"/>
    <col min="29" max="29" width="1.625" style="84" hidden="1" customWidth="1"/>
    <col min="30" max="30" width="8" style="87" hidden="1" customWidth="1"/>
    <col min="31" max="31" width="1.625" style="84" hidden="1" customWidth="1"/>
    <col min="32" max="32" width="5.625" style="87" hidden="1" customWidth="1"/>
    <col min="33" max="33" width="4.5" style="87" hidden="1" customWidth="1"/>
    <col min="34" max="34" width="38.25" style="87" hidden="1" customWidth="1"/>
    <col min="35" max="35" width="1.625" style="84" hidden="1" customWidth="1"/>
    <col min="36" max="39" width="0" style="87" hidden="1" customWidth="1"/>
    <col min="40" max="16384" width="8" style="87" hidden="1"/>
  </cols>
  <sheetData>
    <row r="1" spans="2:39" s="83" customFormat="1" ht="20.25" x14ac:dyDescent="0.2">
      <c r="B1" s="79" t="s">
        <v>291</v>
      </c>
      <c r="C1" s="79"/>
      <c r="D1" s="79"/>
      <c r="E1" s="79"/>
      <c r="F1" s="79"/>
      <c r="G1" s="79"/>
      <c r="H1" s="81"/>
      <c r="I1" s="81"/>
      <c r="J1" s="81"/>
      <c r="K1" s="81"/>
      <c r="L1" s="81"/>
      <c r="M1" s="79"/>
      <c r="N1" s="81" t="str">
        <f>Validation!B3</f>
        <v>Yorkshire Water</v>
      </c>
      <c r="O1" s="82"/>
      <c r="P1" s="82"/>
      <c r="Q1" s="82" t="s">
        <v>72</v>
      </c>
      <c r="S1" s="84"/>
      <c r="AC1" s="84"/>
      <c r="AE1" s="84"/>
      <c r="AI1" s="84"/>
    </row>
    <row r="2" spans="2:39" s="83" customFormat="1" ht="15" thickBot="1" x14ac:dyDescent="0.25">
      <c r="B2" s="86" t="s">
        <v>55</v>
      </c>
      <c r="S2" s="84"/>
      <c r="AC2" s="84"/>
      <c r="AE2" s="84"/>
      <c r="AI2" s="84"/>
    </row>
    <row r="3" spans="2:39" ht="13.15" customHeight="1" x14ac:dyDescent="0.2">
      <c r="B3" s="921" t="s">
        <v>73</v>
      </c>
      <c r="C3" s="922"/>
      <c r="D3" s="922" t="s">
        <v>74</v>
      </c>
      <c r="E3" s="925" t="s">
        <v>75</v>
      </c>
      <c r="F3" s="927" t="s">
        <v>292</v>
      </c>
      <c r="G3" s="928"/>
      <c r="H3" s="927" t="s">
        <v>293</v>
      </c>
      <c r="I3" s="929"/>
      <c r="J3" s="929"/>
      <c r="K3" s="929"/>
      <c r="L3" s="929"/>
      <c r="M3" s="928"/>
      <c r="N3" s="930" t="s">
        <v>257</v>
      </c>
      <c r="P3" s="891" t="s">
        <v>294</v>
      </c>
      <c r="Q3" s="893" t="s">
        <v>79</v>
      </c>
      <c r="T3" s="896" t="s">
        <v>83</v>
      </c>
      <c r="U3" s="896"/>
      <c r="V3" s="896"/>
      <c r="W3" s="896"/>
      <c r="X3" s="896"/>
      <c r="Y3" s="896"/>
      <c r="Z3" s="896"/>
      <c r="AA3" s="896"/>
      <c r="AB3" s="896"/>
      <c r="AD3" s="896" t="s">
        <v>61</v>
      </c>
      <c r="AF3" s="934" t="s">
        <v>295</v>
      </c>
      <c r="AG3" s="934"/>
      <c r="AH3" s="934"/>
    </row>
    <row r="4" spans="2:39" ht="28.15" customHeight="1" thickBot="1" x14ac:dyDescent="0.25">
      <c r="B4" s="923"/>
      <c r="C4" s="924"/>
      <c r="D4" s="924"/>
      <c r="E4" s="926"/>
      <c r="F4" s="270" t="s">
        <v>296</v>
      </c>
      <c r="G4" s="271" t="s">
        <v>297</v>
      </c>
      <c r="H4" s="534" t="s">
        <v>298</v>
      </c>
      <c r="I4" s="535" t="s">
        <v>299</v>
      </c>
      <c r="J4" s="535" t="s">
        <v>300</v>
      </c>
      <c r="K4" s="534" t="s">
        <v>301</v>
      </c>
      <c r="L4" s="535" t="s">
        <v>302</v>
      </c>
      <c r="M4" s="271" t="s">
        <v>303</v>
      </c>
      <c r="N4" s="931"/>
      <c r="P4" s="932"/>
      <c r="Q4" s="933"/>
      <c r="R4" s="92"/>
      <c r="T4" s="896"/>
      <c r="U4" s="896"/>
      <c r="V4" s="896"/>
      <c r="W4" s="896"/>
      <c r="X4" s="896"/>
      <c r="Y4" s="896"/>
      <c r="Z4" s="896"/>
      <c r="AA4" s="896"/>
      <c r="AB4" s="896"/>
      <c r="AD4" s="896"/>
      <c r="AF4" s="934"/>
      <c r="AG4" s="934"/>
      <c r="AH4" s="934"/>
    </row>
    <row r="5" spans="2:39" ht="15" thickBot="1" x14ac:dyDescent="0.25">
      <c r="T5" s="97" t="s">
        <v>84</v>
      </c>
    </row>
    <row r="6" spans="2:39" ht="13.9" customHeight="1" x14ac:dyDescent="0.2">
      <c r="B6" s="296">
        <v>1</v>
      </c>
      <c r="C6" s="32" t="s">
        <v>304</v>
      </c>
      <c r="D6" s="307" t="s">
        <v>86</v>
      </c>
      <c r="E6" s="284">
        <v>3</v>
      </c>
      <c r="F6" s="496">
        <v>60.712000000000003</v>
      </c>
      <c r="G6" s="491">
        <v>10.948</v>
      </c>
      <c r="I6" s="654">
        <v>408.77183877896613</v>
      </c>
      <c r="J6" s="392">
        <f xml:space="preserve"> H6 + I6</f>
        <v>408.77183877896613</v>
      </c>
      <c r="K6" s="749">
        <v>499.37900000000002</v>
      </c>
      <c r="M6" s="765">
        <f xml:space="preserve"> K6 + L6</f>
        <v>499.37900000000002</v>
      </c>
      <c r="N6" s="392">
        <f xml:space="preserve"> F6 + G6 + J6 + M6</f>
        <v>979.81083877896617</v>
      </c>
      <c r="P6" s="919">
        <f xml:space="preserve"> IF( SUM( AC6:AE6 ) = 0, 0, AH6 )</f>
        <v>0</v>
      </c>
      <c r="Q6" s="28">
        <f xml:space="preserve"> IF( SUM( S6:AC6 ) = 0, 0, $T$5 )</f>
        <v>0</v>
      </c>
      <c r="T6" s="105">
        <f xml:space="preserve"> IF( ISNUMBER( F6 ), 0, 1 )</f>
        <v>0</v>
      </c>
      <c r="U6" s="105">
        <f xml:space="preserve"> IF( ISNUMBER( G6 ), 0, 1 )</f>
        <v>0</v>
      </c>
      <c r="V6" s="132"/>
      <c r="W6" s="105">
        <f xml:space="preserve"> IF( ISNUMBER( I6 ), 0, 1 )</f>
        <v>0</v>
      </c>
      <c r="X6" s="132"/>
      <c r="Y6" s="105">
        <f xml:space="preserve"> IF( Validation!$H$3 = 1, 0, ( IF( ISNUMBER( K6 ), 0, 1 )))</f>
        <v>0</v>
      </c>
      <c r="Z6" s="132"/>
      <c r="AA6" s="132"/>
      <c r="AD6" s="105">
        <f xml:space="preserve"> IF( (AF6 - AG6) = 0, 0, 1 )</f>
        <v>0</v>
      </c>
      <c r="AF6" s="171">
        <f xml:space="preserve"> ROUND( N6 + N7, 3)</f>
        <v>985.149</v>
      </c>
      <c r="AG6" s="171">
        <f xml:space="preserve"> ROUND( '1A'!J6, 3 )</f>
        <v>985.149</v>
      </c>
      <c r="AH6" s="920" t="s">
        <v>305</v>
      </c>
    </row>
    <row r="7" spans="2:39" ht="13.9" customHeight="1" thickBot="1" x14ac:dyDescent="0.25">
      <c r="B7" s="297">
        <f>+B6+1</f>
        <v>2</v>
      </c>
      <c r="C7" s="33" t="s">
        <v>306</v>
      </c>
      <c r="D7" s="308" t="s">
        <v>86</v>
      </c>
      <c r="E7" s="288">
        <v>3</v>
      </c>
      <c r="F7" s="492">
        <v>0</v>
      </c>
      <c r="G7" s="492">
        <v>0.53</v>
      </c>
      <c r="I7" s="537">
        <v>2.7280000000000002</v>
      </c>
      <c r="J7" s="393">
        <f t="shared" ref="J7:J14" si="0" xml:space="preserve"> H7 + I7</f>
        <v>2.7280000000000002</v>
      </c>
      <c r="K7" s="750">
        <v>2.0804620000000003</v>
      </c>
      <c r="M7" s="766">
        <f t="shared" ref="M7:M13" si="1" xml:space="preserve"> K7 + L7</f>
        <v>2.0804620000000003</v>
      </c>
      <c r="N7" s="393">
        <f t="shared" ref="N7:N11" si="2" xml:space="preserve"> F7 + G7 + J7 + M7</f>
        <v>5.3384619999999998</v>
      </c>
      <c r="P7" s="919"/>
      <c r="Q7" s="28">
        <f t="shared" ref="Q7:Q16" si="3" xml:space="preserve"> IF( SUM( S7:AC7 ) = 0, 0, $T$5 )</f>
        <v>0</v>
      </c>
      <c r="T7" s="105">
        <f xml:space="preserve"> IF( ISNUMBER( F7 ), 0, 1 )</f>
        <v>0</v>
      </c>
      <c r="U7" s="105">
        <f xml:space="preserve"> IF( ISNUMBER( G7 ), 0, 1 )</f>
        <v>0</v>
      </c>
      <c r="V7" s="132"/>
      <c r="W7" s="105">
        <f xml:space="preserve"> IF( ISNUMBER( I7 ), 0, 1 )</f>
        <v>0</v>
      </c>
      <c r="X7" s="132"/>
      <c r="Y7" s="105">
        <f xml:space="preserve"> IF( Validation!$H$3 = 1, 0, ( IF( ISNUMBER( K7 ), 0, 1 )))</f>
        <v>0</v>
      </c>
      <c r="Z7" s="132"/>
      <c r="AA7" s="132"/>
      <c r="AH7" s="920"/>
    </row>
    <row r="8" spans="2:39" ht="13.9" customHeight="1" x14ac:dyDescent="0.2">
      <c r="B8" s="297">
        <f t="shared" ref="B8:B16" si="4">+B7+1</f>
        <v>3</v>
      </c>
      <c r="C8" s="33" t="s">
        <v>307</v>
      </c>
      <c r="D8" s="308" t="s">
        <v>86</v>
      </c>
      <c r="E8" s="288">
        <v>3</v>
      </c>
      <c r="F8" s="404">
        <f xml:space="preserve"> -1 * ( '2C'!F14 )</f>
        <v>-50.79</v>
      </c>
      <c r="G8" s="757">
        <f xml:space="preserve"> -1 * ( '2C'!G14 )</f>
        <v>-9.2199999999999989</v>
      </c>
      <c r="H8" s="758">
        <f xml:space="preserve"> -1 * ( '2B'!F15 )</f>
        <v>-25.844000000000001</v>
      </c>
      <c r="I8" s="336">
        <f xml:space="preserve"> -1 * ( '2B'!G15 )</f>
        <v>-159.37500000000003</v>
      </c>
      <c r="J8" s="393">
        <f t="shared" si="0"/>
        <v>-185.21900000000002</v>
      </c>
      <c r="K8" s="763">
        <f xml:space="preserve"> -1 * ( '2B'!H15 )</f>
        <v>-151.58200000000002</v>
      </c>
      <c r="L8" s="764">
        <f xml:space="preserve"> -1 * ( '2B'!I15 )</f>
        <v>-54.478999999999992</v>
      </c>
      <c r="M8" s="767">
        <f t="shared" si="1"/>
        <v>-206.06100000000001</v>
      </c>
      <c r="N8" s="393">
        <f t="shared" si="2"/>
        <v>-451.29</v>
      </c>
      <c r="P8" s="843">
        <f xml:space="preserve"> IF( SUM( AC8:AE8 ) = 0, 0, AH8 )</f>
        <v>0</v>
      </c>
      <c r="Q8" s="28">
        <f xml:space="preserve"> IF( SUM( S8:AC8 ) = 0, 0, $T$5 )</f>
        <v>0</v>
      </c>
      <c r="T8" s="132"/>
      <c r="U8" s="132"/>
      <c r="V8" s="132"/>
      <c r="W8" s="132"/>
      <c r="X8" s="132"/>
      <c r="Y8" s="132"/>
      <c r="Z8" s="132"/>
      <c r="AA8" s="132"/>
      <c r="AD8" s="105">
        <f xml:space="preserve"> IF( (AF8 - AG8) = 0, 0, 1 )</f>
        <v>0</v>
      </c>
      <c r="AF8" s="171">
        <f xml:space="preserve"> ROUND( N8 + N9 + N10, 3)</f>
        <v>-718.82500000000005</v>
      </c>
      <c r="AG8" s="171">
        <f xml:space="preserve"> ROUND( '1A'!J7, 3 )</f>
        <v>-718.82500000000005</v>
      </c>
      <c r="AH8" s="844" t="s">
        <v>308</v>
      </c>
    </row>
    <row r="9" spans="2:39" ht="13.9" customHeight="1" x14ac:dyDescent="0.2">
      <c r="B9" s="297">
        <f t="shared" si="4"/>
        <v>4</v>
      </c>
      <c r="C9" s="33" t="s">
        <v>309</v>
      </c>
      <c r="D9" s="308" t="s">
        <v>86</v>
      </c>
      <c r="E9" s="288">
        <v>3</v>
      </c>
      <c r="F9" s="830">
        <f>'2D'!J16</f>
        <v>-2.923</v>
      </c>
      <c r="G9" s="831">
        <f>'2D'!K16</f>
        <v>-0.04</v>
      </c>
      <c r="H9" s="832">
        <f>'2D'!F16</f>
        <v>-7.3330000000000002</v>
      </c>
      <c r="I9" s="833">
        <f>'2D'!G16</f>
        <v>-93.846000000000004</v>
      </c>
      <c r="J9" s="393">
        <f xml:space="preserve"> H9 + I9</f>
        <v>-101.179</v>
      </c>
      <c r="K9" s="834">
        <f>'2D'!H16</f>
        <v>-114.248</v>
      </c>
      <c r="L9" s="835">
        <f>'2D'!I16</f>
        <v>-42.343000000000004</v>
      </c>
      <c r="M9" s="767">
        <f t="shared" si="1"/>
        <v>-156.59100000000001</v>
      </c>
      <c r="N9" s="393">
        <f t="shared" si="2"/>
        <v>-260.733</v>
      </c>
      <c r="P9" s="843">
        <f xml:space="preserve"> IF( SUM( AC9:AE9 ) = 0, 0, AH9 )</f>
        <v>0</v>
      </c>
      <c r="Q9" s="28">
        <f t="shared" ref="Q9:Q10" si="5" xml:space="preserve"> IF( SUM( S9:AC9 ) = 0, 0, $T$5 )</f>
        <v>0</v>
      </c>
      <c r="T9" s="132"/>
      <c r="U9" s="132"/>
      <c r="V9" s="132"/>
      <c r="W9" s="132"/>
      <c r="X9" s="132"/>
      <c r="Y9" s="132"/>
      <c r="Z9" s="132"/>
      <c r="AA9" s="132"/>
      <c r="AD9" s="105">
        <f xml:space="preserve"> IF( (AF9 - AG9) = 0, 0, 1 )</f>
        <v>0</v>
      </c>
      <c r="AF9" s="171">
        <f xml:space="preserve"> ROUND( N9, 3)</f>
        <v>-260.733</v>
      </c>
      <c r="AG9" s="171">
        <f xml:space="preserve"> ROUND( '2D'!L16, 3)</f>
        <v>-260.733</v>
      </c>
      <c r="AH9" s="844" t="s">
        <v>310</v>
      </c>
    </row>
    <row r="10" spans="2:39" ht="13.9" customHeight="1" x14ac:dyDescent="0.2">
      <c r="B10" s="297">
        <f t="shared" si="4"/>
        <v>5</v>
      </c>
      <c r="C10" s="33" t="s">
        <v>311</v>
      </c>
      <c r="D10" s="308" t="s">
        <v>86</v>
      </c>
      <c r="E10" s="288">
        <v>3</v>
      </c>
      <c r="F10" s="497">
        <v>0</v>
      </c>
      <c r="G10" s="492">
        <v>0</v>
      </c>
      <c r="H10" s="725">
        <v>0</v>
      </c>
      <c r="I10" s="536">
        <v>0</v>
      </c>
      <c r="J10" s="393">
        <f t="shared" si="0"/>
        <v>0</v>
      </c>
      <c r="K10" s="743">
        <v>-6.8019999999999996</v>
      </c>
      <c r="L10" s="744">
        <v>0</v>
      </c>
      <c r="M10" s="767">
        <f t="shared" si="1"/>
        <v>-6.8019999999999996</v>
      </c>
      <c r="N10" s="393">
        <f t="shared" si="2"/>
        <v>-6.8019999999999996</v>
      </c>
      <c r="P10" s="135"/>
      <c r="Q10" s="28">
        <f t="shared" si="5"/>
        <v>0</v>
      </c>
      <c r="T10" s="105">
        <f t="shared" ref="T10" si="6" xml:space="preserve"> IF( ISNUMBER( F10 ), 0, 1 )</f>
        <v>0</v>
      </c>
      <c r="U10" s="105">
        <f t="shared" ref="U10" si="7" xml:space="preserve"> IF( ISNUMBER( G10 ), 0, 1 )</f>
        <v>0</v>
      </c>
      <c r="V10" s="105">
        <f t="shared" ref="V10:V11" si="8" xml:space="preserve"> IF( ISNUMBER( H10 ), 0, 1 )</f>
        <v>0</v>
      </c>
      <c r="W10" s="105">
        <f t="shared" ref="W10:W11" si="9" xml:space="preserve"> IF( ISNUMBER( I10 ), 0, 1 )</f>
        <v>0</v>
      </c>
      <c r="X10" s="132"/>
      <c r="Y10" s="105">
        <f xml:space="preserve"> IF( Validation!$H$3 = 1, 0, ( IF( ISNUMBER( K10 ), 0, 1 )))</f>
        <v>0</v>
      </c>
      <c r="Z10" s="105">
        <f xml:space="preserve"> IF( Validation!$H$3 = 1, 0, ( IF( ISNUMBER( L10 ), 0, 1 )))</f>
        <v>0</v>
      </c>
      <c r="AA10" s="132"/>
      <c r="AD10" s="132"/>
      <c r="AF10" s="171"/>
      <c r="AG10" s="171"/>
      <c r="AH10" s="844"/>
    </row>
    <row r="11" spans="2:39" ht="13.9" customHeight="1" thickBot="1" x14ac:dyDescent="0.25">
      <c r="B11" s="297">
        <f t="shared" si="4"/>
        <v>6</v>
      </c>
      <c r="C11" s="33" t="s">
        <v>88</v>
      </c>
      <c r="D11" s="308" t="s">
        <v>86</v>
      </c>
      <c r="E11" s="288">
        <v>3</v>
      </c>
      <c r="F11" s="497">
        <v>0</v>
      </c>
      <c r="G11" s="492">
        <v>0</v>
      </c>
      <c r="H11" s="726">
        <v>0.27900000000000003</v>
      </c>
      <c r="I11" s="494">
        <v>1.41</v>
      </c>
      <c r="J11" s="393">
        <f t="shared" si="0"/>
        <v>1.6890000000000001</v>
      </c>
      <c r="K11" s="759">
        <v>10.324999999999999</v>
      </c>
      <c r="L11" s="760">
        <v>36.048999999999999</v>
      </c>
      <c r="M11" s="767">
        <f t="shared" si="1"/>
        <v>46.373999999999995</v>
      </c>
      <c r="N11" s="393">
        <f t="shared" si="2"/>
        <v>48.062999999999995</v>
      </c>
      <c r="P11" s="843">
        <f xml:space="preserve"> IF( SUM( AC11:AE11 ) = 0, 0, AH11 )</f>
        <v>0</v>
      </c>
      <c r="Q11" s="28">
        <f t="shared" si="3"/>
        <v>0</v>
      </c>
      <c r="T11" s="105">
        <f xml:space="preserve"> IF( ISNUMBER( F11 ), 0, 1 )</f>
        <v>0</v>
      </c>
      <c r="U11" s="105">
        <f xml:space="preserve"> IF( ISNUMBER( G11 ), 0, 1 )</f>
        <v>0</v>
      </c>
      <c r="V11" s="105">
        <f t="shared" si="8"/>
        <v>0</v>
      </c>
      <c r="W11" s="105">
        <f t="shared" si="9"/>
        <v>0</v>
      </c>
      <c r="X11" s="132"/>
      <c r="Y11" s="105">
        <f xml:space="preserve"> IF( Validation!$H$3 = 1, 0, ( IF( ISNUMBER( K11 ), 0, 1 )))</f>
        <v>0</v>
      </c>
      <c r="Z11" s="105">
        <f xml:space="preserve"> IF( Validation!$H$3 = 1, 0, ( IF( ISNUMBER( L11 ), 0, 1 )))</f>
        <v>0</v>
      </c>
      <c r="AA11" s="132"/>
      <c r="AD11" s="105">
        <f xml:space="preserve"> IF( (AF11 - AG11) = 0, 0, 1 )</f>
        <v>0</v>
      </c>
      <c r="AF11" s="171">
        <f xml:space="preserve"> ROUND( N11, 3)</f>
        <v>48.063000000000002</v>
      </c>
      <c r="AG11" s="171">
        <f xml:space="preserve"> ROUND( '1A'!J8, 3 )</f>
        <v>48.063000000000002</v>
      </c>
      <c r="AH11" s="844" t="s">
        <v>312</v>
      </c>
    </row>
    <row r="12" spans="2:39" ht="13.9" customHeight="1" thickBot="1" x14ac:dyDescent="0.25">
      <c r="B12" s="297">
        <f t="shared" si="4"/>
        <v>7</v>
      </c>
      <c r="C12" s="33" t="s">
        <v>313</v>
      </c>
      <c r="D12" s="308" t="s">
        <v>86</v>
      </c>
      <c r="E12" s="288">
        <v>3</v>
      </c>
      <c r="F12" s="404">
        <f>SUM(F6:F11)</f>
        <v>6.9990000000000041</v>
      </c>
      <c r="G12" s="724">
        <f>SUM(G6:G11)</f>
        <v>2.2180000000000009</v>
      </c>
      <c r="J12" s="393">
        <f>SUM(J6:J11)</f>
        <v>126.7908387789661</v>
      </c>
      <c r="M12" s="767">
        <f>SUM(M6:M11)</f>
        <v>178.37946199999999</v>
      </c>
      <c r="N12" s="393">
        <f>SUM(N6:N11)</f>
        <v>314.38730077896611</v>
      </c>
      <c r="P12" s="135"/>
      <c r="Q12" s="135"/>
      <c r="AM12" s="405"/>
    </row>
    <row r="13" spans="2:39" ht="13.9" customHeight="1" x14ac:dyDescent="0.2">
      <c r="B13" s="297">
        <f t="shared" si="4"/>
        <v>8</v>
      </c>
      <c r="C13" s="33" t="s">
        <v>314</v>
      </c>
      <c r="D13" s="308" t="s">
        <v>86</v>
      </c>
      <c r="E13" s="288">
        <v>3</v>
      </c>
      <c r="F13" s="497">
        <v>-3.403</v>
      </c>
      <c r="G13" s="492">
        <v>-0.08</v>
      </c>
      <c r="H13" s="656">
        <v>-0.499</v>
      </c>
      <c r="I13" s="491">
        <v>-9.9979999999999993</v>
      </c>
      <c r="J13" s="393">
        <f xml:space="preserve"> H13 + I13</f>
        <v>-10.497</v>
      </c>
      <c r="K13" s="495">
        <v>-11.934999999999999</v>
      </c>
      <c r="L13" s="753">
        <v>-3.4260000000000002</v>
      </c>
      <c r="M13" s="766">
        <f t="shared" si="1"/>
        <v>-15.360999999999999</v>
      </c>
      <c r="N13" s="393">
        <f xml:space="preserve"> F13 + G13 + J13 + M13</f>
        <v>-29.341000000000001</v>
      </c>
      <c r="P13" s="135"/>
      <c r="Q13" s="28">
        <f t="shared" si="3"/>
        <v>0</v>
      </c>
      <c r="T13" s="105">
        <f xml:space="preserve"> IF( ISNUMBER( F13 ), 0, 1 )</f>
        <v>0</v>
      </c>
      <c r="U13" s="105">
        <f xml:space="preserve"> IF( ISNUMBER( G13 ), 0, 1 )</f>
        <v>0</v>
      </c>
      <c r="V13" s="105">
        <f t="shared" ref="V13:W14" si="10" xml:space="preserve"> IF( ISNUMBER( H13 ), 0, 1 )</f>
        <v>0</v>
      </c>
      <c r="W13" s="105">
        <f t="shared" si="10"/>
        <v>0</v>
      </c>
      <c r="X13" s="132"/>
      <c r="Y13" s="105">
        <f xml:space="preserve"> IF( Validation!$H$3 = 1, 0, ( IF( ISNUMBER( K13 ), 0, 1 )))</f>
        <v>0</v>
      </c>
      <c r="Z13" s="105">
        <f xml:space="preserve"> IF( Validation!$H$3 = 1, 0, ( IF( ISNUMBER( L13 ), 0, 1 )))</f>
        <v>0</v>
      </c>
      <c r="AA13" s="132"/>
    </row>
    <row r="14" spans="2:39" ht="13.9" customHeight="1" thickBot="1" x14ac:dyDescent="0.25">
      <c r="B14" s="297">
        <f t="shared" si="4"/>
        <v>9</v>
      </c>
      <c r="C14" s="33" t="s">
        <v>315</v>
      </c>
      <c r="D14" s="308" t="s">
        <v>86</v>
      </c>
      <c r="E14" s="288">
        <v>3</v>
      </c>
      <c r="F14" s="497">
        <v>2.8780000000000001</v>
      </c>
      <c r="G14" s="492">
        <v>0</v>
      </c>
      <c r="H14" s="655">
        <v>0</v>
      </c>
      <c r="I14" s="494">
        <v>0</v>
      </c>
      <c r="J14" s="393">
        <f t="shared" si="0"/>
        <v>0</v>
      </c>
      <c r="K14" s="751">
        <v>26.463000000000001</v>
      </c>
      <c r="L14" s="752">
        <v>0</v>
      </c>
      <c r="M14" s="766">
        <f t="shared" ref="M14" si="11" xml:space="preserve"> K14 + L14</f>
        <v>26.463000000000001</v>
      </c>
      <c r="N14" s="393">
        <f xml:space="preserve"> F14 + G14 + J14 + M14</f>
        <v>29.341000000000001</v>
      </c>
      <c r="P14" s="135"/>
      <c r="Q14" s="28">
        <f t="shared" si="3"/>
        <v>0</v>
      </c>
      <c r="T14" s="105">
        <f xml:space="preserve"> IF( ISNUMBER( F14 ), 0, 1 )</f>
        <v>0</v>
      </c>
      <c r="U14" s="105">
        <f xml:space="preserve"> IF( ISNUMBER( G14 ), 0, 1 )</f>
        <v>0</v>
      </c>
      <c r="V14" s="105">
        <f t="shared" si="10"/>
        <v>0</v>
      </c>
      <c r="W14" s="105">
        <f t="shared" si="10"/>
        <v>0</v>
      </c>
      <c r="X14" s="132"/>
      <c r="Y14" s="105">
        <f xml:space="preserve"> IF( Validation!$H$3 = 1, 0, ( IF( ISNUMBER( K14 ), 0, 1 )))</f>
        <v>0</v>
      </c>
      <c r="Z14" s="105">
        <f xml:space="preserve"> IF( Validation!$H$3 = 1, 0, ( IF( ISNUMBER( L14 ), 0, 1 )))</f>
        <v>0</v>
      </c>
      <c r="AA14" s="132"/>
    </row>
    <row r="15" spans="2:39" ht="13.9" customHeight="1" thickBot="1" x14ac:dyDescent="0.25">
      <c r="B15" s="297">
        <f t="shared" si="4"/>
        <v>10</v>
      </c>
      <c r="C15" s="33" t="s">
        <v>89</v>
      </c>
      <c r="D15" s="308" t="s">
        <v>86</v>
      </c>
      <c r="E15" s="288">
        <v>3</v>
      </c>
      <c r="F15" s="406">
        <f>SUM(F12:F14)</f>
        <v>6.4740000000000038</v>
      </c>
      <c r="G15" s="339">
        <f>SUM(G12:G14)</f>
        <v>2.1380000000000008</v>
      </c>
      <c r="J15" s="347">
        <f>SUM(J12:J14)</f>
        <v>116.2938387789661</v>
      </c>
      <c r="M15" s="768">
        <f>SUM(M12:M14)</f>
        <v>189.48146199999999</v>
      </c>
      <c r="N15" s="393">
        <f>SUM(N12:N14)</f>
        <v>314.38730077896611</v>
      </c>
      <c r="P15" s="135"/>
      <c r="Q15" s="135"/>
    </row>
    <row r="16" spans="2:39" ht="13.9" customHeight="1" thickBot="1" x14ac:dyDescent="0.25">
      <c r="B16" s="298">
        <f t="shared" si="4"/>
        <v>11</v>
      </c>
      <c r="C16" s="35" t="s">
        <v>316</v>
      </c>
      <c r="D16" s="293" t="s">
        <v>86</v>
      </c>
      <c r="E16" s="294">
        <v>3</v>
      </c>
      <c r="F16" s="407"/>
      <c r="G16" s="407"/>
      <c r="H16" s="407"/>
      <c r="I16" s="407"/>
      <c r="J16" s="407"/>
      <c r="K16" s="407"/>
      <c r="L16" s="407"/>
      <c r="M16" s="407"/>
      <c r="N16" s="657">
        <v>0.32315383000000003</v>
      </c>
      <c r="P16" s="135"/>
      <c r="Q16" s="28">
        <f t="shared" si="3"/>
        <v>0</v>
      </c>
      <c r="AB16" s="105">
        <f t="shared" ref="AB16" si="12" xml:space="preserve"> IF( ISNUMBER( N16 ), 0, 1 )</f>
        <v>0</v>
      </c>
    </row>
    <row r="17" spans="1:35" s="122" customFormat="1" x14ac:dyDescent="0.2">
      <c r="C17" s="158"/>
      <c r="G17" s="169"/>
      <c r="M17" s="129"/>
      <c r="N17" s="129"/>
      <c r="O17" s="129"/>
      <c r="P17" s="135"/>
      <c r="Q17" s="131"/>
      <c r="R17" s="83"/>
      <c r="S17" s="84"/>
      <c r="T17" s="83"/>
      <c r="U17" s="83"/>
      <c r="V17" s="83"/>
      <c r="W17" s="83"/>
      <c r="X17" s="83"/>
      <c r="Y17" s="83"/>
      <c r="Z17" s="83"/>
      <c r="AA17" s="83"/>
      <c r="AB17" s="83"/>
      <c r="AC17" s="84"/>
      <c r="AE17" s="84"/>
      <c r="AI17" s="84"/>
    </row>
    <row r="18" spans="1:35" s="169" customFormat="1" x14ac:dyDescent="0.2">
      <c r="B18" s="897" t="s">
        <v>101</v>
      </c>
      <c r="C18" s="897"/>
      <c r="M18" s="135"/>
      <c r="N18" s="135"/>
      <c r="O18" s="135"/>
      <c r="P18" s="135"/>
      <c r="Q18" s="135"/>
      <c r="R18" s="83"/>
      <c r="S18" s="84"/>
      <c r="T18" s="83"/>
      <c r="U18" s="83"/>
      <c r="V18" s="83"/>
      <c r="W18" s="83"/>
      <c r="X18" s="83"/>
      <c r="Y18" s="83"/>
      <c r="Z18" s="83"/>
      <c r="AA18" s="83"/>
      <c r="AB18" s="83"/>
      <c r="AC18" s="84"/>
      <c r="AE18" s="84"/>
      <c r="AI18" s="84"/>
    </row>
    <row r="19" spans="1:35" s="169" customFormat="1" x14ac:dyDescent="0.2">
      <c r="B19" s="146"/>
      <c r="C19" s="147"/>
      <c r="M19" s="135"/>
      <c r="N19" s="135"/>
      <c r="O19" s="135"/>
      <c r="P19" s="135"/>
      <c r="Q19" s="135"/>
      <c r="R19" s="83"/>
      <c r="S19" s="84"/>
      <c r="T19" s="83"/>
      <c r="U19" s="83"/>
      <c r="V19" s="83"/>
      <c r="W19" s="83"/>
      <c r="X19" s="83"/>
      <c r="Y19" s="83"/>
      <c r="Z19" s="83"/>
      <c r="AA19" s="83"/>
      <c r="AB19" s="83"/>
      <c r="AC19" s="84"/>
      <c r="AE19" s="84"/>
      <c r="AI19" s="84"/>
    </row>
    <row r="20" spans="1:35" s="169" customFormat="1" x14ac:dyDescent="0.2">
      <c r="B20" s="29"/>
      <c r="C20" s="148" t="s">
        <v>102</v>
      </c>
      <c r="M20" s="135"/>
      <c r="N20" s="135"/>
      <c r="O20" s="135"/>
      <c r="P20" s="135"/>
      <c r="Q20" s="135"/>
      <c r="R20" s="83"/>
      <c r="S20" s="84"/>
      <c r="T20" s="83"/>
      <c r="U20" s="83"/>
      <c r="V20" s="83"/>
      <c r="W20" s="83"/>
      <c r="X20" s="83"/>
      <c r="Y20" s="83"/>
      <c r="Z20" s="83"/>
      <c r="AA20" s="83"/>
      <c r="AB20" s="83"/>
      <c r="AC20" s="84"/>
      <c r="AE20" s="84"/>
      <c r="AI20" s="84"/>
    </row>
    <row r="21" spans="1:35" s="169" customFormat="1" x14ac:dyDescent="0.2">
      <c r="B21" s="146"/>
      <c r="C21" s="147"/>
      <c r="M21" s="135"/>
      <c r="N21" s="135"/>
      <c r="O21" s="135"/>
      <c r="P21" s="135"/>
      <c r="Q21" s="135"/>
      <c r="R21" s="83"/>
      <c r="S21" s="84"/>
      <c r="T21" s="83"/>
      <c r="U21" s="83"/>
      <c r="V21" s="83"/>
      <c r="W21" s="83"/>
      <c r="X21" s="83"/>
      <c r="Y21" s="83"/>
      <c r="Z21" s="83"/>
      <c r="AA21" s="83"/>
      <c r="AB21" s="83"/>
      <c r="AC21" s="84"/>
      <c r="AE21" s="84"/>
      <c r="AI21" s="84"/>
    </row>
    <row r="22" spans="1:35" s="169" customFormat="1" x14ac:dyDescent="0.2">
      <c r="B22" s="149"/>
      <c r="C22" s="148" t="s">
        <v>103</v>
      </c>
      <c r="M22" s="135"/>
      <c r="N22" s="135"/>
      <c r="O22" s="135"/>
      <c r="P22" s="135"/>
      <c r="Q22" s="135"/>
      <c r="R22" s="83"/>
      <c r="S22" s="84"/>
      <c r="T22" s="83"/>
      <c r="U22" s="83"/>
      <c r="V22" s="83"/>
      <c r="W22" s="83"/>
      <c r="X22" s="83"/>
      <c r="Y22" s="83"/>
      <c r="Z22" s="83"/>
      <c r="AA22" s="83"/>
      <c r="AB22" s="83"/>
      <c r="AC22" s="84"/>
      <c r="AE22" s="84"/>
      <c r="AI22" s="84"/>
    </row>
    <row r="23" spans="1:35" s="169" customFormat="1" x14ac:dyDescent="0.2">
      <c r="B23" s="150"/>
      <c r="C23" s="148"/>
      <c r="M23" s="135"/>
      <c r="N23" s="135"/>
      <c r="O23" s="135"/>
      <c r="P23" s="135"/>
      <c r="Q23" s="135"/>
      <c r="R23" s="83"/>
      <c r="S23" s="84"/>
      <c r="T23" s="83"/>
      <c r="U23" s="83"/>
      <c r="V23" s="83"/>
      <c r="W23" s="83"/>
      <c r="X23" s="83"/>
      <c r="Y23" s="83"/>
      <c r="Z23" s="83"/>
      <c r="AA23" s="83"/>
      <c r="AB23" s="83"/>
      <c r="AC23" s="84"/>
      <c r="AE23" s="84"/>
      <c r="AI23" s="84"/>
    </row>
    <row r="24" spans="1:35" s="169" customFormat="1" x14ac:dyDescent="0.2">
      <c r="B24" s="151"/>
      <c r="C24" s="148" t="s">
        <v>104</v>
      </c>
      <c r="M24" s="135"/>
      <c r="N24" s="135"/>
      <c r="O24" s="135"/>
      <c r="P24" s="135"/>
      <c r="Q24" s="135"/>
      <c r="R24" s="129"/>
      <c r="S24" s="84"/>
      <c r="T24" s="83"/>
      <c r="U24" s="83"/>
      <c r="V24" s="83"/>
      <c r="W24" s="83"/>
      <c r="X24" s="83"/>
      <c r="Y24" s="83"/>
      <c r="Z24" s="83"/>
      <c r="AA24" s="83"/>
      <c r="AB24" s="83"/>
      <c r="AC24" s="84"/>
      <c r="AE24" s="84"/>
      <c r="AI24" s="84"/>
    </row>
    <row r="25" spans="1:35" s="186" customFormat="1" ht="12.75" x14ac:dyDescent="0.2">
      <c r="A25" s="156"/>
      <c r="B25" s="156"/>
      <c r="C25" s="157"/>
      <c r="M25" s="137"/>
      <c r="N25" s="137"/>
      <c r="O25" s="137"/>
      <c r="P25" s="135"/>
      <c r="Q25" s="135"/>
      <c r="R25" s="135"/>
      <c r="S25" s="133"/>
      <c r="T25" s="135"/>
      <c r="U25" s="135"/>
      <c r="V25" s="135"/>
      <c r="W25" s="135"/>
      <c r="X25" s="135"/>
      <c r="Y25" s="212"/>
      <c r="Z25" s="212"/>
      <c r="AA25" s="212"/>
      <c r="AB25" s="169"/>
      <c r="AC25" s="133"/>
      <c r="AE25" s="133"/>
      <c r="AI25" s="133"/>
    </row>
    <row r="26" spans="1:35" s="186" customFormat="1" ht="13.5" thickBot="1" x14ac:dyDescent="0.25">
      <c r="C26" s="187"/>
      <c r="M26" s="137"/>
      <c r="N26" s="137"/>
      <c r="O26" s="137"/>
      <c r="P26" s="135"/>
      <c r="Q26" s="135"/>
      <c r="R26" s="135"/>
      <c r="S26" s="130"/>
      <c r="T26" s="135"/>
      <c r="U26" s="135"/>
      <c r="V26" s="135"/>
      <c r="W26" s="135"/>
      <c r="X26" s="135"/>
      <c r="Y26" s="212"/>
      <c r="Z26" s="212"/>
      <c r="AA26" s="212"/>
      <c r="AB26" s="169"/>
      <c r="AC26" s="130"/>
      <c r="AE26" s="130"/>
      <c r="AI26" s="130"/>
    </row>
    <row r="27" spans="1:35" s="122" customFormat="1" ht="21" thickBot="1" x14ac:dyDescent="0.25">
      <c r="B27" s="152" t="str">
        <f ca="1" xml:space="preserve"> RIGHT(CELL("filename", $A$1), LEN(CELL("filename", $A$1)) - SEARCH("]", CELL("filename", $A$1)))&amp;" - Line definitions"</f>
        <v>2A - Line definitions</v>
      </c>
      <c r="C27" s="153"/>
      <c r="D27" s="154"/>
      <c r="E27" s="154"/>
      <c r="F27" s="154"/>
      <c r="G27" s="154"/>
      <c r="H27" s="154"/>
      <c r="I27" s="154"/>
      <c r="J27" s="154"/>
      <c r="K27" s="154"/>
      <c r="L27" s="154"/>
      <c r="M27" s="154"/>
      <c r="N27" s="160"/>
      <c r="O27" s="129"/>
      <c r="P27" s="131"/>
      <c r="Q27" s="131"/>
      <c r="R27" s="135"/>
      <c r="S27" s="130"/>
      <c r="T27" s="135"/>
      <c r="U27" s="135"/>
      <c r="V27" s="135"/>
      <c r="W27" s="135"/>
      <c r="X27" s="135"/>
      <c r="Y27" s="212"/>
      <c r="Z27" s="212"/>
      <c r="AA27" s="212"/>
      <c r="AB27" s="169"/>
      <c r="AC27" s="130"/>
      <c r="AE27" s="130"/>
      <c r="AI27" s="130"/>
    </row>
    <row r="28" spans="1:35" s="122" customFormat="1" ht="15" thickBot="1" x14ac:dyDescent="0.25">
      <c r="B28" s="87"/>
      <c r="C28" s="161"/>
      <c r="D28" s="87"/>
      <c r="E28" s="87"/>
      <c r="F28" s="87"/>
      <c r="M28" s="129"/>
      <c r="N28" s="129"/>
      <c r="O28" s="129"/>
      <c r="P28" s="131"/>
      <c r="Q28" s="131"/>
      <c r="R28" s="135"/>
      <c r="S28" s="130"/>
      <c r="U28" s="135"/>
      <c r="V28" s="135"/>
      <c r="W28" s="135"/>
      <c r="X28" s="135"/>
      <c r="Y28" s="212"/>
      <c r="Z28" s="212"/>
      <c r="AA28" s="212"/>
      <c r="AB28" s="169"/>
      <c r="AC28" s="130"/>
      <c r="AE28" s="130"/>
      <c r="AI28" s="130"/>
    </row>
    <row r="29" spans="1:35" s="186" customFormat="1" thickBot="1" x14ac:dyDescent="0.25">
      <c r="B29" s="376" t="s">
        <v>105</v>
      </c>
      <c r="C29" s="377" t="s">
        <v>106</v>
      </c>
      <c r="D29" s="378"/>
      <c r="E29" s="378"/>
      <c r="F29" s="378"/>
      <c r="G29" s="378"/>
      <c r="H29" s="378"/>
      <c r="I29" s="378"/>
      <c r="J29" s="378"/>
      <c r="K29" s="378"/>
      <c r="L29" s="378"/>
      <c r="M29" s="378"/>
      <c r="N29" s="379"/>
      <c r="O29" s="352"/>
      <c r="P29" s="137"/>
      <c r="Q29" s="137"/>
      <c r="R29" s="135"/>
      <c r="S29" s="130"/>
      <c r="T29" s="97" t="s">
        <v>107</v>
      </c>
      <c r="U29" s="135"/>
      <c r="V29" s="135"/>
      <c r="W29" s="135"/>
      <c r="X29" s="135"/>
      <c r="Y29" s="212"/>
      <c r="Z29" s="212"/>
      <c r="AA29" s="212"/>
      <c r="AB29" s="169"/>
      <c r="AC29" s="130"/>
      <c r="AE29" s="130"/>
      <c r="AI29" s="130"/>
    </row>
    <row r="30" spans="1:35" s="122" customFormat="1" ht="38.25" x14ac:dyDescent="0.2">
      <c r="B30" s="189">
        <v>1</v>
      </c>
      <c r="C30" s="898" t="s">
        <v>317</v>
      </c>
      <c r="D30" s="898"/>
      <c r="E30" s="898"/>
      <c r="F30" s="898"/>
      <c r="G30" s="898"/>
      <c r="H30" s="898"/>
      <c r="I30" s="898"/>
      <c r="J30" s="898"/>
      <c r="K30" s="898"/>
      <c r="L30" s="898"/>
      <c r="M30" s="898"/>
      <c r="N30" s="899"/>
      <c r="O30" s="355"/>
      <c r="P30" s="131"/>
      <c r="Q30" s="131"/>
      <c r="R30" s="135"/>
      <c r="S30" s="130"/>
      <c r="T30" s="168" t="s">
        <v>109</v>
      </c>
      <c r="U30" s="135"/>
      <c r="V30" s="135"/>
      <c r="W30" s="135"/>
      <c r="X30" s="135"/>
      <c r="Y30" s="212"/>
      <c r="Z30" s="212"/>
      <c r="AA30" s="212"/>
      <c r="AB30" s="169"/>
      <c r="AC30" s="130"/>
      <c r="AE30" s="130"/>
      <c r="AI30" s="130"/>
    </row>
    <row r="31" spans="1:35" s="122" customFormat="1" ht="25.5" x14ac:dyDescent="0.2">
      <c r="B31" s="166">
        <f xml:space="preserve"> 1 + B30</f>
        <v>2</v>
      </c>
      <c r="C31" s="877" t="s">
        <v>318</v>
      </c>
      <c r="D31" s="877"/>
      <c r="E31" s="877"/>
      <c r="F31" s="877"/>
      <c r="G31" s="877"/>
      <c r="H31" s="877"/>
      <c r="I31" s="877"/>
      <c r="J31" s="877"/>
      <c r="K31" s="877"/>
      <c r="L31" s="877"/>
      <c r="M31" s="877"/>
      <c r="N31" s="878"/>
      <c r="O31" s="355"/>
      <c r="P31" s="131"/>
      <c r="Q31" s="131"/>
      <c r="R31" s="135"/>
      <c r="S31" s="130"/>
      <c r="T31" s="168" t="s">
        <v>112</v>
      </c>
      <c r="U31" s="135"/>
      <c r="V31" s="135"/>
      <c r="W31" s="135"/>
      <c r="X31" s="135"/>
      <c r="Y31" s="212"/>
      <c r="Z31" s="212"/>
      <c r="AA31" s="212"/>
      <c r="AB31" s="169"/>
      <c r="AC31" s="130"/>
      <c r="AE31" s="130"/>
      <c r="AI31" s="130"/>
    </row>
    <row r="32" spans="1:35" s="122" customFormat="1" ht="25.5" x14ac:dyDescent="0.2">
      <c r="B32" s="166">
        <f t="shared" ref="B32" si="13" xml:space="preserve"> 1 + B31</f>
        <v>3</v>
      </c>
      <c r="C32" s="877" t="s">
        <v>319</v>
      </c>
      <c r="D32" s="877"/>
      <c r="E32" s="877"/>
      <c r="F32" s="877"/>
      <c r="G32" s="877"/>
      <c r="H32" s="877"/>
      <c r="I32" s="877"/>
      <c r="J32" s="877"/>
      <c r="K32" s="877"/>
      <c r="L32" s="877"/>
      <c r="M32" s="877"/>
      <c r="N32" s="878"/>
      <c r="O32" s="355"/>
      <c r="P32" s="131"/>
      <c r="Q32" s="131"/>
      <c r="R32" s="135"/>
      <c r="S32" s="130"/>
      <c r="T32" s="168" t="s">
        <v>112</v>
      </c>
      <c r="U32" s="135"/>
      <c r="V32" s="135"/>
      <c r="W32" s="135"/>
      <c r="X32" s="135"/>
      <c r="Y32" s="309"/>
      <c r="Z32" s="309"/>
      <c r="AA32" s="309"/>
      <c r="AB32" s="186"/>
      <c r="AC32" s="130"/>
      <c r="AE32" s="130"/>
      <c r="AI32" s="130"/>
    </row>
    <row r="33" spans="2:35" s="122" customFormat="1" ht="25.5" x14ac:dyDescent="0.2">
      <c r="B33" s="166">
        <f xml:space="preserve"> 1 + B32</f>
        <v>4</v>
      </c>
      <c r="C33" s="877" t="s">
        <v>320</v>
      </c>
      <c r="D33" s="877"/>
      <c r="E33" s="877"/>
      <c r="F33" s="877"/>
      <c r="G33" s="877"/>
      <c r="H33" s="877"/>
      <c r="I33" s="877"/>
      <c r="J33" s="877"/>
      <c r="K33" s="877"/>
      <c r="L33" s="877"/>
      <c r="M33" s="877"/>
      <c r="N33" s="878"/>
      <c r="O33" s="355"/>
      <c r="P33" s="131"/>
      <c r="Q33" s="131"/>
      <c r="R33" s="135"/>
      <c r="S33" s="130"/>
      <c r="T33" s="168" t="s">
        <v>112</v>
      </c>
      <c r="U33" s="135"/>
      <c r="V33" s="135"/>
      <c r="W33" s="135"/>
      <c r="X33" s="135"/>
      <c r="Y33" s="309"/>
      <c r="Z33" s="309"/>
      <c r="AA33" s="309"/>
      <c r="AB33" s="186"/>
      <c r="AC33" s="130"/>
      <c r="AE33" s="130"/>
      <c r="AI33" s="130"/>
    </row>
    <row r="34" spans="2:35" s="122" customFormat="1" x14ac:dyDescent="0.2">
      <c r="B34" s="166">
        <f xml:space="preserve"> 1 + B33</f>
        <v>5</v>
      </c>
      <c r="C34" s="877" t="s">
        <v>321</v>
      </c>
      <c r="D34" s="877"/>
      <c r="E34" s="877"/>
      <c r="F34" s="877"/>
      <c r="G34" s="877"/>
      <c r="H34" s="877"/>
      <c r="I34" s="877"/>
      <c r="J34" s="877"/>
      <c r="K34" s="877"/>
      <c r="L34" s="877"/>
      <c r="M34" s="877"/>
      <c r="N34" s="878"/>
      <c r="O34" s="355"/>
      <c r="P34" s="131"/>
      <c r="Q34" s="131"/>
      <c r="R34" s="135"/>
      <c r="S34" s="130"/>
      <c r="T34" s="168">
        <v>1</v>
      </c>
      <c r="U34" s="135"/>
      <c r="V34" s="135"/>
      <c r="W34" s="135"/>
      <c r="X34" s="135"/>
      <c r="Y34" s="309"/>
      <c r="Z34" s="309"/>
      <c r="AA34" s="309"/>
      <c r="AB34" s="186"/>
      <c r="AC34" s="130"/>
      <c r="AE34" s="130"/>
      <c r="AI34" s="130"/>
    </row>
    <row r="35" spans="2:35" s="122" customFormat="1" x14ac:dyDescent="0.2">
      <c r="B35" s="166">
        <f xml:space="preserve"> 1 + B34</f>
        <v>6</v>
      </c>
      <c r="C35" s="877" t="s">
        <v>322</v>
      </c>
      <c r="D35" s="877"/>
      <c r="E35" s="877"/>
      <c r="F35" s="877"/>
      <c r="G35" s="877"/>
      <c r="H35" s="877"/>
      <c r="I35" s="877"/>
      <c r="J35" s="877"/>
      <c r="K35" s="877"/>
      <c r="L35" s="877"/>
      <c r="M35" s="877"/>
      <c r="N35" s="878"/>
      <c r="O35" s="355"/>
      <c r="P35" s="131"/>
      <c r="Q35" s="131"/>
      <c r="R35" s="135"/>
      <c r="S35" s="130"/>
      <c r="T35" s="168">
        <v>1</v>
      </c>
      <c r="U35" s="135"/>
      <c r="V35" s="135"/>
      <c r="W35" s="135"/>
      <c r="X35" s="135"/>
      <c r="Y35" s="309"/>
      <c r="Z35" s="309"/>
      <c r="AA35" s="309"/>
      <c r="AB35" s="186"/>
      <c r="AC35" s="130"/>
      <c r="AE35" s="130"/>
      <c r="AI35" s="130"/>
    </row>
    <row r="36" spans="2:35" s="122" customFormat="1" x14ac:dyDescent="0.2">
      <c r="B36" s="166">
        <f xml:space="preserve"> 1 + B35</f>
        <v>7</v>
      </c>
      <c r="C36" s="877" t="s">
        <v>323</v>
      </c>
      <c r="D36" s="877"/>
      <c r="E36" s="877"/>
      <c r="F36" s="877"/>
      <c r="G36" s="877"/>
      <c r="H36" s="877"/>
      <c r="I36" s="877"/>
      <c r="J36" s="877"/>
      <c r="K36" s="877"/>
      <c r="L36" s="877"/>
      <c r="M36" s="877"/>
      <c r="N36" s="878"/>
      <c r="O36" s="355"/>
      <c r="P36" s="131"/>
      <c r="Q36" s="131"/>
      <c r="R36" s="129"/>
      <c r="S36" s="130"/>
      <c r="T36" s="168">
        <v>1</v>
      </c>
      <c r="U36" s="129"/>
      <c r="V36" s="129"/>
      <c r="W36" s="129"/>
      <c r="X36" s="129"/>
      <c r="Y36" s="290"/>
      <c r="Z36" s="290"/>
      <c r="AA36" s="290"/>
      <c r="AC36" s="130"/>
      <c r="AE36" s="130"/>
      <c r="AI36" s="130"/>
    </row>
    <row r="37" spans="2:35" s="122" customFormat="1" ht="48" customHeight="1" x14ac:dyDescent="0.2">
      <c r="B37" s="166">
        <f xml:space="preserve"> 1 + B36</f>
        <v>8</v>
      </c>
      <c r="C37" s="877" t="s">
        <v>324</v>
      </c>
      <c r="D37" s="877"/>
      <c r="E37" s="877"/>
      <c r="F37" s="877"/>
      <c r="G37" s="877"/>
      <c r="H37" s="877"/>
      <c r="I37" s="877"/>
      <c r="J37" s="877"/>
      <c r="K37" s="877"/>
      <c r="L37" s="877"/>
      <c r="M37" s="877"/>
      <c r="N37" s="878"/>
      <c r="O37" s="355"/>
      <c r="P37" s="131"/>
      <c r="Q37" s="131"/>
      <c r="R37" s="129"/>
      <c r="S37" s="133"/>
      <c r="T37" s="168" t="s">
        <v>118</v>
      </c>
      <c r="U37" s="129"/>
      <c r="V37" s="129"/>
      <c r="W37" s="129"/>
      <c r="X37" s="129"/>
      <c r="Y37" s="290"/>
      <c r="Z37" s="290"/>
      <c r="AA37" s="290"/>
      <c r="AC37" s="133"/>
      <c r="AE37" s="133"/>
      <c r="AI37" s="133"/>
    </row>
    <row r="38" spans="2:35" s="122" customFormat="1" ht="51" x14ac:dyDescent="0.2">
      <c r="B38" s="166">
        <v>9</v>
      </c>
      <c r="C38" s="877" t="s">
        <v>325</v>
      </c>
      <c r="D38" s="877"/>
      <c r="E38" s="877"/>
      <c r="F38" s="877"/>
      <c r="G38" s="877"/>
      <c r="H38" s="877"/>
      <c r="I38" s="877"/>
      <c r="J38" s="877"/>
      <c r="K38" s="877"/>
      <c r="L38" s="877"/>
      <c r="M38" s="877"/>
      <c r="N38" s="878"/>
      <c r="O38" s="355"/>
      <c r="P38" s="131"/>
      <c r="Q38" s="131"/>
      <c r="R38" s="129"/>
      <c r="S38" s="133"/>
      <c r="T38" s="168" t="s">
        <v>118</v>
      </c>
      <c r="U38" s="129"/>
      <c r="V38" s="129"/>
      <c r="W38" s="129"/>
      <c r="X38" s="129"/>
      <c r="Y38" s="186"/>
      <c r="Z38" s="186"/>
      <c r="AA38" s="186"/>
      <c r="AB38" s="186"/>
      <c r="AC38" s="133"/>
      <c r="AE38" s="133"/>
      <c r="AI38" s="133"/>
    </row>
    <row r="39" spans="2:35" s="122" customFormat="1" x14ac:dyDescent="0.2">
      <c r="B39" s="166">
        <v>10</v>
      </c>
      <c r="C39" s="877" t="s">
        <v>326</v>
      </c>
      <c r="D39" s="877"/>
      <c r="E39" s="877"/>
      <c r="F39" s="877"/>
      <c r="G39" s="877"/>
      <c r="H39" s="877"/>
      <c r="I39" s="877"/>
      <c r="J39" s="877"/>
      <c r="K39" s="877"/>
      <c r="L39" s="877"/>
      <c r="M39" s="877"/>
      <c r="N39" s="878"/>
      <c r="O39" s="355"/>
      <c r="P39" s="131"/>
      <c r="Q39" s="131"/>
      <c r="R39" s="129"/>
      <c r="S39" s="133"/>
      <c r="T39" s="165">
        <v>1</v>
      </c>
      <c r="U39" s="129"/>
      <c r="V39" s="129"/>
      <c r="W39" s="129"/>
      <c r="X39" s="129"/>
      <c r="Y39" s="290"/>
      <c r="Z39" s="290"/>
      <c r="AA39" s="290"/>
      <c r="AC39" s="133"/>
      <c r="AE39" s="133"/>
      <c r="AI39" s="133"/>
    </row>
    <row r="40" spans="2:35" s="122" customFormat="1" ht="15" thickBot="1" x14ac:dyDescent="0.25">
      <c r="B40" s="191">
        <v>11</v>
      </c>
      <c r="C40" s="900" t="s">
        <v>327</v>
      </c>
      <c r="D40" s="900"/>
      <c r="E40" s="900"/>
      <c r="F40" s="900"/>
      <c r="G40" s="900"/>
      <c r="H40" s="900"/>
      <c r="I40" s="900"/>
      <c r="J40" s="900"/>
      <c r="K40" s="900"/>
      <c r="L40" s="900"/>
      <c r="M40" s="900"/>
      <c r="N40" s="901"/>
      <c r="O40" s="355"/>
      <c r="P40" s="131"/>
      <c r="Q40" s="131"/>
      <c r="S40" s="133"/>
      <c r="T40" s="165">
        <v>1</v>
      </c>
      <c r="AC40" s="133"/>
      <c r="AE40" s="133"/>
      <c r="AI40" s="133"/>
    </row>
    <row r="41" spans="2:35" x14ac:dyDescent="0.2">
      <c r="C41" s="156"/>
      <c r="R41" s="122"/>
      <c r="S41" s="133"/>
      <c r="T41" s="165"/>
      <c r="U41" s="122"/>
      <c r="V41" s="122"/>
      <c r="W41" s="122"/>
      <c r="X41" s="122"/>
      <c r="Y41" s="122"/>
      <c r="Z41" s="122"/>
      <c r="AA41" s="122"/>
      <c r="AB41" s="122"/>
      <c r="AC41" s="133"/>
      <c r="AE41" s="133"/>
      <c r="AI41" s="133"/>
    </row>
    <row r="42" spans="2:35" hidden="1" x14ac:dyDescent="0.2">
      <c r="R42" s="131"/>
      <c r="S42" s="133"/>
      <c r="T42" s="264"/>
      <c r="U42" s="131"/>
      <c r="V42" s="131"/>
      <c r="W42" s="131"/>
      <c r="X42" s="131"/>
      <c r="Y42" s="131"/>
      <c r="Z42" s="131"/>
      <c r="AA42" s="131"/>
      <c r="AB42" s="131"/>
      <c r="AC42" s="133"/>
      <c r="AE42" s="133"/>
      <c r="AI42" s="133"/>
    </row>
    <row r="43" spans="2:35" hidden="1" x14ac:dyDescent="0.2">
      <c r="R43" s="131"/>
      <c r="S43" s="133"/>
      <c r="T43" s="264"/>
      <c r="U43" s="131"/>
      <c r="V43" s="131"/>
      <c r="W43" s="131"/>
      <c r="X43" s="131"/>
      <c r="Y43" s="131"/>
      <c r="Z43" s="131"/>
      <c r="AA43" s="131"/>
      <c r="AB43" s="131"/>
      <c r="AC43" s="133"/>
      <c r="AE43" s="133"/>
      <c r="AI43" s="133"/>
    </row>
    <row r="44" spans="2:35" hidden="1" x14ac:dyDescent="0.2">
      <c r="R44" s="131"/>
      <c r="S44" s="133"/>
      <c r="T44" s="264"/>
      <c r="U44" s="131"/>
      <c r="V44" s="131"/>
      <c r="W44" s="131"/>
      <c r="X44" s="131"/>
      <c r="Y44" s="131"/>
      <c r="Z44" s="131"/>
      <c r="AA44" s="131"/>
      <c r="AB44" s="131"/>
      <c r="AC44" s="133"/>
      <c r="AE44" s="133"/>
      <c r="AI44" s="133"/>
    </row>
    <row r="45" spans="2:35" hidden="1" x14ac:dyDescent="0.2">
      <c r="S45" s="133"/>
      <c r="T45" s="388"/>
      <c r="AC45" s="133"/>
      <c r="AE45" s="133"/>
      <c r="AI45" s="133"/>
    </row>
    <row r="46" spans="2:35" hidden="1" x14ac:dyDescent="0.2">
      <c r="T46" s="388"/>
    </row>
    <row r="47" spans="2:35" hidden="1" x14ac:dyDescent="0.2">
      <c r="T47" s="388"/>
    </row>
    <row r="48" spans="2:35" hidden="1" x14ac:dyDescent="0.2">
      <c r="T48" s="388"/>
    </row>
    <row r="49" spans="20:20" hidden="1" x14ac:dyDescent="0.2">
      <c r="T49" s="388"/>
    </row>
    <row r="50" spans="20:20" hidden="1" x14ac:dyDescent="0.2">
      <c r="T50" s="388"/>
    </row>
    <row r="51" spans="20:20" hidden="1" x14ac:dyDescent="0.2">
      <c r="T51" s="388"/>
    </row>
    <row r="52" spans="20:20" hidden="1" x14ac:dyDescent="0.2">
      <c r="T52" s="388"/>
    </row>
    <row r="53" spans="20:20" hidden="1" x14ac:dyDescent="0.2">
      <c r="T53" s="388"/>
    </row>
    <row r="54" spans="20:20" hidden="1" x14ac:dyDescent="0.2">
      <c r="T54" s="388"/>
    </row>
    <row r="55" spans="20:20" hidden="1" x14ac:dyDescent="0.2">
      <c r="T55" s="388"/>
    </row>
    <row r="56" spans="20:20" hidden="1" x14ac:dyDescent="0.2">
      <c r="T56" s="388"/>
    </row>
    <row r="57" spans="20:20" hidden="1" x14ac:dyDescent="0.2">
      <c r="T57" s="388"/>
    </row>
  </sheetData>
  <sheetProtection algorithmName="SHA-512" hashValue="GYuOmyqXLlnh7hQswkIBG+eFX/ukYUf1UQWSGwQZl/Nkq4HzZFgW/i4QFcyHUKUcsbppTh8YM97jmYNyi0f+4A==" saltValue="nCQi+gqPgNsXV+Fn4+JE5A==" spinCount="100000" sheet="1" objects="1" scenarios="1"/>
  <mergeCells count="25">
    <mergeCell ref="C37:N37"/>
    <mergeCell ref="C38:N38"/>
    <mergeCell ref="C39:N39"/>
    <mergeCell ref="C40:N40"/>
    <mergeCell ref="B18:C18"/>
    <mergeCell ref="C30:N30"/>
    <mergeCell ref="C31:N31"/>
    <mergeCell ref="C32:N32"/>
    <mergeCell ref="C35:N35"/>
    <mergeCell ref="C36:N36"/>
    <mergeCell ref="C33:N33"/>
    <mergeCell ref="C34:N34"/>
    <mergeCell ref="P6:P7"/>
    <mergeCell ref="AH6:AH7"/>
    <mergeCell ref="B3:C4"/>
    <mergeCell ref="D3:D4"/>
    <mergeCell ref="E3:E4"/>
    <mergeCell ref="F3:G3"/>
    <mergeCell ref="H3:M3"/>
    <mergeCell ref="N3:N4"/>
    <mergeCell ref="P3:P4"/>
    <mergeCell ref="Q3:Q4"/>
    <mergeCell ref="T3:AB4"/>
    <mergeCell ref="AD3:AD4"/>
    <mergeCell ref="AF3:AH4"/>
  </mergeCells>
  <conditionalFormatting sqref="P5 P6:Q8 Q9:Q10 P11:Q11 Q13:Q14 Q16">
    <cfRule type="cellIs" dxfId="190" priority="7" operator="equal">
      <formula>0</formula>
    </cfRule>
  </conditionalFormatting>
  <conditionalFormatting sqref="P9">
    <cfRule type="cellIs" dxfId="189" priority="3" operator="equal">
      <formula>0</formula>
    </cfRule>
  </conditionalFormatting>
  <printOptions horizontalCentered="1"/>
  <pageMargins left="0.39370078740157483" right="0.39370078740157483" top="0.78740157480314965" bottom="0.78740157480314965" header="0.31496062992125984" footer="0.31496062992125984"/>
  <pageSetup paperSize="9" scale="39"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id="{6904E0D7-9B3E-41DF-90CE-7925EE91B07E}">
            <xm:f>Validation!$H$3=1</xm:f>
            <x14:dxf>
              <fill>
                <patternFill>
                  <bgColor rgb="FFE0DCD8"/>
                </patternFill>
              </fill>
            </x14:dxf>
          </x14:cfRule>
          <xm:sqref>K6:K11 M6:M15 L8:L11 K13:L14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A68"/>
  <sheetViews>
    <sheetView showGridLines="0" zoomScale="85" zoomScaleNormal="85" workbookViewId="0">
      <selection activeCell="J25" sqref="J25"/>
    </sheetView>
  </sheetViews>
  <sheetFormatPr defaultColWidth="0" defaultRowHeight="14.25" zeroHeight="1" x14ac:dyDescent="0.2"/>
  <cols>
    <col min="1" max="1" width="1.625" customWidth="1"/>
    <col min="2" max="2" width="4.125" customWidth="1"/>
    <col min="3" max="3" width="45.5" bestFit="1" customWidth="1"/>
    <col min="4" max="5" width="5.125" customWidth="1"/>
    <col min="6" max="10" width="12.625" style="87" customWidth="1"/>
    <col min="11" max="11" width="2.625" style="87" customWidth="1"/>
    <col min="12" max="12" width="61" style="87" customWidth="1"/>
    <col min="13" max="13" width="19.5" style="87" customWidth="1"/>
    <col min="14" max="14" width="1.625" style="83" customWidth="1"/>
    <col min="15" max="15" width="1.625" style="84" hidden="1" customWidth="1"/>
    <col min="16" max="19" width="8.625" style="83" hidden="1" customWidth="1"/>
    <col min="20" max="20" width="1.625" style="84" hidden="1" customWidth="1"/>
    <col min="21" max="21" width="8" style="87" hidden="1" customWidth="1"/>
    <col min="22" max="22" width="1.625" style="84" hidden="1" customWidth="1"/>
    <col min="23" max="23" width="5.625" style="87" hidden="1" customWidth="1"/>
    <col min="24" max="25" width="5.25" style="87" hidden="1" customWidth="1"/>
    <col min="26" max="26" width="38.25" style="87" hidden="1" customWidth="1"/>
    <col min="27" max="27" width="1.625" style="84" hidden="1" customWidth="1"/>
    <col min="28" max="16384" width="9" hidden="1"/>
  </cols>
  <sheetData>
    <row r="1" spans="2:27" s="83" customFormat="1" ht="20.25" x14ac:dyDescent="0.2">
      <c r="B1" s="79" t="s">
        <v>328</v>
      </c>
      <c r="C1" s="79"/>
      <c r="D1" s="79"/>
      <c r="E1" s="79"/>
      <c r="F1" s="79"/>
      <c r="G1" s="79"/>
      <c r="H1" s="79"/>
      <c r="I1" s="79"/>
      <c r="J1" s="81" t="str">
        <f>Validation!B3</f>
        <v>Yorkshire Water</v>
      </c>
      <c r="K1" s="79"/>
      <c r="L1" s="82"/>
      <c r="M1" s="82" t="s">
        <v>72</v>
      </c>
      <c r="O1" s="84"/>
      <c r="T1" s="84"/>
      <c r="V1" s="84"/>
      <c r="AA1" s="84"/>
    </row>
    <row r="2" spans="2:27" s="2" customFormat="1" ht="15.75" customHeight="1" thickBot="1" x14ac:dyDescent="0.25">
      <c r="B2" s="86" t="s">
        <v>55</v>
      </c>
      <c r="C2" s="311"/>
      <c r="D2" s="87"/>
      <c r="E2" s="87"/>
      <c r="F2" s="87"/>
      <c r="G2" s="87"/>
      <c r="H2" s="87"/>
      <c r="I2" s="87"/>
      <c r="J2" s="87"/>
      <c r="K2" s="87"/>
      <c r="L2" s="83"/>
      <c r="M2" s="83"/>
      <c r="N2" s="83"/>
      <c r="O2" s="84"/>
      <c r="P2" s="83"/>
      <c r="Q2" s="83"/>
      <c r="R2" s="83"/>
      <c r="S2" s="83"/>
      <c r="T2" s="84"/>
      <c r="U2" s="83"/>
      <c r="V2" s="84"/>
      <c r="W2" s="83"/>
      <c r="X2" s="83"/>
      <c r="Y2" s="83"/>
      <c r="Z2" s="83"/>
      <c r="AA2" s="84"/>
    </row>
    <row r="3" spans="2:27" s="662" customFormat="1" ht="28.9" customHeight="1" thickBot="1" x14ac:dyDescent="0.25">
      <c r="B3" s="938" t="s">
        <v>73</v>
      </c>
      <c r="C3" s="939"/>
      <c r="D3" s="314" t="s">
        <v>74</v>
      </c>
      <c r="E3" s="305" t="s">
        <v>75</v>
      </c>
      <c r="F3" s="304" t="s">
        <v>329</v>
      </c>
      <c r="G3" s="305" t="s">
        <v>299</v>
      </c>
      <c r="H3" s="658" t="s">
        <v>330</v>
      </c>
      <c r="I3" s="305" t="s">
        <v>302</v>
      </c>
      <c r="J3" s="357" t="s">
        <v>257</v>
      </c>
      <c r="K3" s="659"/>
      <c r="L3" s="196" t="s">
        <v>294</v>
      </c>
      <c r="M3" s="196" t="s">
        <v>79</v>
      </c>
      <c r="N3" s="660"/>
      <c r="O3" s="661"/>
      <c r="P3" s="896" t="s">
        <v>83</v>
      </c>
      <c r="Q3" s="896"/>
      <c r="R3" s="896"/>
      <c r="S3" s="896"/>
      <c r="T3" s="661"/>
      <c r="U3" s="896" t="s">
        <v>61</v>
      </c>
      <c r="V3" s="84"/>
      <c r="W3" s="934" t="s">
        <v>295</v>
      </c>
      <c r="X3" s="934"/>
      <c r="Y3" s="934"/>
      <c r="Z3" s="934"/>
      <c r="AA3" s="84"/>
    </row>
    <row r="4" spans="2:27" s="2" customFormat="1" ht="15" thickBot="1" x14ac:dyDescent="0.25">
      <c r="B4" s="87"/>
      <c r="C4" s="334"/>
      <c r="D4" s="87"/>
      <c r="E4" s="87"/>
      <c r="F4" s="87"/>
      <c r="G4" s="87"/>
      <c r="H4" s="87"/>
      <c r="I4" s="87"/>
      <c r="J4" s="87"/>
      <c r="K4" s="87"/>
      <c r="L4" s="87"/>
      <c r="M4" s="87"/>
      <c r="N4" s="92"/>
      <c r="O4" s="84"/>
      <c r="P4" s="896"/>
      <c r="Q4" s="896"/>
      <c r="R4" s="896"/>
      <c r="S4" s="896"/>
      <c r="T4" s="84"/>
      <c r="U4" s="896"/>
      <c r="V4" s="84"/>
      <c r="W4" s="934"/>
      <c r="X4" s="934"/>
      <c r="Y4" s="934"/>
      <c r="Z4" s="934"/>
      <c r="AA4" s="84"/>
    </row>
    <row r="5" spans="2:27" s="2" customFormat="1" ht="15" thickBot="1" x14ac:dyDescent="0.25">
      <c r="B5" s="845" t="s">
        <v>134</v>
      </c>
      <c r="C5" s="306" t="s">
        <v>307</v>
      </c>
      <c r="D5" s="87"/>
      <c r="E5" s="87"/>
      <c r="F5" s="87"/>
      <c r="G5" s="87"/>
      <c r="H5" s="87"/>
      <c r="I5" s="87"/>
      <c r="J5" s="87"/>
      <c r="K5" s="87"/>
      <c r="L5" s="137"/>
      <c r="M5" s="87"/>
      <c r="N5" s="83"/>
      <c r="O5" s="84"/>
      <c r="P5" s="97" t="s">
        <v>84</v>
      </c>
      <c r="Q5" s="97"/>
      <c r="R5" s="97"/>
      <c r="S5" s="83"/>
      <c r="T5" s="84"/>
      <c r="U5" s="87"/>
      <c r="V5" s="84"/>
      <c r="W5" s="87"/>
      <c r="X5" s="87"/>
      <c r="Y5" s="87"/>
      <c r="Z5" s="87"/>
      <c r="AA5" s="84"/>
    </row>
    <row r="6" spans="2:27" s="2" customFormat="1" x14ac:dyDescent="0.2">
      <c r="B6" s="296">
        <v>1</v>
      </c>
      <c r="C6" s="282" t="s">
        <v>331</v>
      </c>
      <c r="D6" s="307" t="s">
        <v>86</v>
      </c>
      <c r="E6" s="284">
        <v>3</v>
      </c>
      <c r="F6" s="820">
        <f xml:space="preserve"> SUM( '4D'!F7:G7 )</f>
        <v>1.7630000000000001</v>
      </c>
      <c r="G6" s="821">
        <f xml:space="preserve"> SUM( '4D'!H7:K7 )</f>
        <v>25.473999999999997</v>
      </c>
      <c r="H6" s="820">
        <f xml:space="preserve"> SUM( '4E'!F7:J7 )</f>
        <v>27.401000000000003</v>
      </c>
      <c r="I6" s="821">
        <f xml:space="preserve"> SUM( '4E'!K7:M7 )</f>
        <v>0.40899999999999992</v>
      </c>
      <c r="J6" s="397">
        <f t="shared" ref="J6:J11" si="0" xml:space="preserve"> SUM( F6:I6 )</f>
        <v>55.047000000000004</v>
      </c>
      <c r="K6" s="87"/>
      <c r="L6" s="137"/>
      <c r="M6" s="28">
        <f xml:space="preserve"> IF( SUM( O6:T6 ) = 0, 0, $P$5 )</f>
        <v>0</v>
      </c>
      <c r="N6" s="83"/>
      <c r="O6" s="84"/>
      <c r="P6" s="132"/>
      <c r="Q6" s="132"/>
      <c r="R6" s="132"/>
      <c r="S6" s="132"/>
      <c r="T6" s="84"/>
      <c r="U6" s="132"/>
      <c r="V6" s="84"/>
      <c r="W6" s="171"/>
      <c r="X6" s="171"/>
      <c r="Y6" s="171"/>
      <c r="Z6" s="920"/>
      <c r="AA6" s="84"/>
    </row>
    <row r="7" spans="2:27" s="2" customFormat="1" x14ac:dyDescent="0.2">
      <c r="B7" s="297">
        <f t="shared" ref="B7:B12" si="1">+B6+1</f>
        <v>2</v>
      </c>
      <c r="C7" s="286" t="s">
        <v>332</v>
      </c>
      <c r="D7" s="308" t="s">
        <v>86</v>
      </c>
      <c r="E7" s="288">
        <v>3</v>
      </c>
      <c r="F7" s="822">
        <f xml:space="preserve"> SUM( '4D'!F8:G8 )</f>
        <v>0</v>
      </c>
      <c r="G7" s="823">
        <f xml:space="preserve"> SUM( '4D'!H8:K8 )</f>
        <v>-0.40899999999999997</v>
      </c>
      <c r="H7" s="822">
        <f xml:space="preserve"> SUM( '4E'!F8:J8 )</f>
        <v>-0.23</v>
      </c>
      <c r="I7" s="823">
        <f xml:space="preserve"> SUM( '4E'!K8:M8 )</f>
        <v>-1.9159999999999999</v>
      </c>
      <c r="J7" s="172">
        <f t="shared" si="0"/>
        <v>-2.5549999999999997</v>
      </c>
      <c r="K7" s="87"/>
      <c r="L7" s="137"/>
      <c r="M7" s="28">
        <f t="shared" ref="M7:M11" si="2" xml:space="preserve"> IF( SUM( O7:T7 ) = 0, 0, $P$5 )</f>
        <v>0</v>
      </c>
      <c r="N7" s="83"/>
      <c r="O7" s="84"/>
      <c r="P7" s="132"/>
      <c r="Q7" s="132"/>
      <c r="R7" s="132"/>
      <c r="S7" s="132"/>
      <c r="T7" s="84"/>
      <c r="U7" s="87"/>
      <c r="V7" s="84"/>
      <c r="W7" s="87"/>
      <c r="X7" s="87"/>
      <c r="Y7" s="87"/>
      <c r="Z7" s="920"/>
      <c r="AA7" s="84"/>
    </row>
    <row r="8" spans="2:27" s="2" customFormat="1" x14ac:dyDescent="0.2">
      <c r="B8" s="297">
        <f t="shared" si="1"/>
        <v>3</v>
      </c>
      <c r="C8" s="286" t="s">
        <v>333</v>
      </c>
      <c r="D8" s="308" t="s">
        <v>86</v>
      </c>
      <c r="E8" s="288">
        <v>3</v>
      </c>
      <c r="F8" s="822">
        <f xml:space="preserve"> SUM( '4D'!F9:G9 )</f>
        <v>5.4260000000000002</v>
      </c>
      <c r="G8" s="823">
        <f xml:space="preserve"> SUM( '4D'!H9:K9 )</f>
        <v>0.157</v>
      </c>
      <c r="H8" s="822">
        <f xml:space="preserve"> SUM( '4E'!F9:J9 )</f>
        <v>4.68</v>
      </c>
      <c r="I8" s="823">
        <f xml:space="preserve"> SUM( '4E'!K9:M9 )</f>
        <v>0.16200000000000001</v>
      </c>
      <c r="J8" s="172">
        <f t="shared" si="0"/>
        <v>10.425000000000001</v>
      </c>
      <c r="K8" s="104"/>
      <c r="L8" s="137"/>
      <c r="M8" s="28">
        <f t="shared" si="2"/>
        <v>0</v>
      </c>
      <c r="N8" s="83"/>
      <c r="O8" s="84"/>
      <c r="P8" s="132"/>
      <c r="Q8" s="132"/>
      <c r="R8" s="132"/>
      <c r="S8" s="132"/>
      <c r="T8" s="84"/>
      <c r="U8" s="132"/>
      <c r="V8" s="84"/>
      <c r="W8" s="171"/>
      <c r="X8" s="171"/>
      <c r="Y8" s="171"/>
      <c r="Z8" s="844"/>
      <c r="AA8" s="84"/>
    </row>
    <row r="9" spans="2:27" s="2" customFormat="1" ht="14.1" customHeight="1" x14ac:dyDescent="0.2">
      <c r="B9" s="297">
        <f t="shared" si="1"/>
        <v>4</v>
      </c>
      <c r="C9" s="286" t="s">
        <v>334</v>
      </c>
      <c r="D9" s="308" t="s">
        <v>86</v>
      </c>
      <c r="E9" s="288">
        <v>3</v>
      </c>
      <c r="F9" s="822">
        <f xml:space="preserve"> SUM( '4D'!F10:G10 )</f>
        <v>3.7919999999999998</v>
      </c>
      <c r="G9" s="823">
        <f xml:space="preserve"> SUM( '4D'!H10:K10 )</f>
        <v>0</v>
      </c>
      <c r="H9" s="822">
        <f xml:space="preserve"> SUM( '4E'!F10:J10 )</f>
        <v>0</v>
      </c>
      <c r="I9" s="823">
        <f xml:space="preserve"> SUM( '4E'!K10:M10 )</f>
        <v>0</v>
      </c>
      <c r="J9" s="172">
        <f t="shared" si="0"/>
        <v>3.7919999999999998</v>
      </c>
      <c r="K9" s="104"/>
      <c r="L9" s="137"/>
      <c r="M9" s="28">
        <f t="shared" si="2"/>
        <v>0</v>
      </c>
      <c r="N9" s="83"/>
      <c r="O9" s="84"/>
      <c r="P9" s="132"/>
      <c r="Q9" s="132"/>
      <c r="R9" s="132"/>
      <c r="S9" s="132"/>
      <c r="T9" s="84"/>
      <c r="U9" s="132"/>
      <c r="V9" s="84"/>
      <c r="W9" s="171"/>
      <c r="X9" s="171"/>
      <c r="Y9" s="171"/>
      <c r="Z9" s="844"/>
      <c r="AA9" s="84"/>
    </row>
    <row r="10" spans="2:27" s="2" customFormat="1" x14ac:dyDescent="0.2">
      <c r="B10" s="297">
        <f t="shared" si="1"/>
        <v>5</v>
      </c>
      <c r="C10" s="286" t="s">
        <v>335</v>
      </c>
      <c r="D10" s="308" t="s">
        <v>86</v>
      </c>
      <c r="E10" s="288">
        <v>3</v>
      </c>
      <c r="F10" s="822">
        <f xml:space="preserve"> SUM( '4D'!F11:G11 )</f>
        <v>7.753000000000001</v>
      </c>
      <c r="G10" s="823">
        <f xml:space="preserve"> SUM( '4D'!H11:K11 )</f>
        <v>100.58500000000001</v>
      </c>
      <c r="H10" s="822">
        <f xml:space="preserve"> SUM( '4E'!F11:J11 )</f>
        <v>100.96900000000001</v>
      </c>
      <c r="I10" s="823">
        <f xml:space="preserve"> SUM( '4E'!K11:M11 )</f>
        <v>53.106999999999992</v>
      </c>
      <c r="J10" s="172">
        <f t="shared" si="0"/>
        <v>262.41399999999999</v>
      </c>
      <c r="K10" s="104"/>
      <c r="L10" s="137"/>
      <c r="M10" s="28">
        <f t="shared" si="2"/>
        <v>0</v>
      </c>
      <c r="N10" s="83"/>
      <c r="O10" s="84"/>
      <c r="P10" s="132"/>
      <c r="Q10" s="132"/>
      <c r="R10" s="132"/>
      <c r="S10" s="132"/>
      <c r="T10" s="84"/>
      <c r="U10" s="132"/>
      <c r="V10" s="84"/>
      <c r="W10" s="171"/>
      <c r="X10" s="171"/>
      <c r="Y10" s="171"/>
      <c r="Z10" s="844"/>
      <c r="AA10" s="84"/>
    </row>
    <row r="11" spans="2:27" s="2" customFormat="1" x14ac:dyDescent="0.2">
      <c r="B11" s="297">
        <f t="shared" si="1"/>
        <v>6</v>
      </c>
      <c r="C11" s="286" t="s">
        <v>336</v>
      </c>
      <c r="D11" s="308" t="s">
        <v>86</v>
      </c>
      <c r="E11" s="288">
        <v>3</v>
      </c>
      <c r="F11" s="822">
        <f xml:space="preserve"> SUM( '4D'!F12:G12 )</f>
        <v>7.1099999999999994</v>
      </c>
      <c r="G11" s="823">
        <f xml:space="preserve"> SUM( '4D'!H12:K12 )</f>
        <v>31.863</v>
      </c>
      <c r="H11" s="822">
        <f xml:space="preserve"> SUM( '4E'!F12:J12 )</f>
        <v>18.762</v>
      </c>
      <c r="I11" s="823">
        <f xml:space="preserve"> SUM( '4E'!K12:M12 )</f>
        <v>2.7169999999999996</v>
      </c>
      <c r="J11" s="172">
        <f t="shared" si="0"/>
        <v>60.451999999999998</v>
      </c>
      <c r="K11" s="104"/>
      <c r="L11" s="137"/>
      <c r="M11" s="28">
        <f t="shared" si="2"/>
        <v>0</v>
      </c>
      <c r="N11" s="83"/>
      <c r="O11" s="84"/>
      <c r="P11" s="132"/>
      <c r="Q11" s="132"/>
      <c r="R11" s="132"/>
      <c r="S11" s="132"/>
      <c r="T11" s="84"/>
      <c r="U11" s="132"/>
      <c r="V11" s="84"/>
      <c r="W11" s="171"/>
      <c r="X11" s="171"/>
      <c r="Y11" s="171"/>
      <c r="Z11" s="844"/>
      <c r="AA11" s="84"/>
    </row>
    <row r="12" spans="2:27" s="2" customFormat="1" ht="15" thickBot="1" x14ac:dyDescent="0.25">
      <c r="B12" s="298">
        <f t="shared" si="1"/>
        <v>7</v>
      </c>
      <c r="C12" s="292" t="s">
        <v>337</v>
      </c>
      <c r="D12" s="293" t="s">
        <v>86</v>
      </c>
      <c r="E12" s="294">
        <v>3</v>
      </c>
      <c r="F12" s="116">
        <f xml:space="preserve"> SUM( F6:F11 )</f>
        <v>25.844000000000001</v>
      </c>
      <c r="G12" s="118">
        <f t="shared" ref="G12:H12" si="3" xml:space="preserve"> SUM( G6:G11 )</f>
        <v>157.67000000000002</v>
      </c>
      <c r="H12" s="703">
        <f t="shared" si="3"/>
        <v>151.58200000000002</v>
      </c>
      <c r="I12" s="118">
        <f t="shared" ref="I12:J12" si="4" xml:space="preserve"> SUM( I6:I11 )</f>
        <v>54.478999999999992</v>
      </c>
      <c r="J12" s="119">
        <f t="shared" si="4"/>
        <v>389.57499999999999</v>
      </c>
      <c r="K12" s="104"/>
      <c r="L12" s="137"/>
      <c r="M12" s="131"/>
      <c r="N12" s="83"/>
      <c r="O12" s="84"/>
      <c r="P12" s="83"/>
      <c r="Q12" s="83"/>
      <c r="R12" s="83"/>
      <c r="S12" s="83"/>
      <c r="T12" s="84"/>
      <c r="U12" s="87"/>
      <c r="V12" s="84"/>
      <c r="W12" s="87"/>
      <c r="X12" s="87"/>
      <c r="Y12" s="87"/>
      <c r="Z12" s="87"/>
      <c r="AA12" s="84"/>
    </row>
    <row r="13" spans="2:27" s="2" customFormat="1" ht="15" thickBot="1" x14ac:dyDescent="0.25">
      <c r="D13" s="7"/>
      <c r="E13" s="7"/>
      <c r="F13" s="398"/>
      <c r="G13" s="398"/>
      <c r="H13" s="398"/>
      <c r="I13" s="398"/>
      <c r="J13" s="398"/>
      <c r="L13" s="135"/>
      <c r="M13" s="131"/>
      <c r="N13" s="83"/>
      <c r="O13" s="84"/>
      <c r="P13" s="83"/>
      <c r="Q13" s="83"/>
      <c r="R13" s="83"/>
      <c r="S13" s="83"/>
      <c r="T13" s="84"/>
      <c r="U13" s="87"/>
      <c r="V13" s="84"/>
      <c r="W13" s="87"/>
      <c r="X13" s="87"/>
      <c r="Y13" s="87"/>
      <c r="Z13" s="87"/>
      <c r="AA13" s="84"/>
    </row>
    <row r="14" spans="2:27" s="2" customFormat="1" x14ac:dyDescent="0.2">
      <c r="B14" s="296">
        <v>8</v>
      </c>
      <c r="C14" s="32" t="s">
        <v>338</v>
      </c>
      <c r="D14" s="307" t="s">
        <v>86</v>
      </c>
      <c r="E14" s="284">
        <v>3</v>
      </c>
      <c r="F14" s="820">
        <f xml:space="preserve"> SUM( '4D'!F15:G15 )</f>
        <v>0</v>
      </c>
      <c r="G14" s="764">
        <f xml:space="preserve"> SUM( '4D'!H15:K15 )</f>
        <v>1.7050000000000001</v>
      </c>
      <c r="H14" s="820">
        <f xml:space="preserve"> SUM( '4E'!F15:J15 )</f>
        <v>0</v>
      </c>
      <c r="I14" s="821">
        <f xml:space="preserve"> SUM( '4E'!K15:M15 )</f>
        <v>0</v>
      </c>
      <c r="J14" s="397">
        <f xml:space="preserve"> SUM( F14:I14 )</f>
        <v>1.7050000000000001</v>
      </c>
      <c r="K14" s="104"/>
      <c r="L14" s="135"/>
      <c r="M14" s="28">
        <f t="shared" ref="M14" si="5" xml:space="preserve"> IF( SUM( O14:T14 ) = 0, 0, $P$5 )</f>
        <v>0</v>
      </c>
      <c r="N14" s="83"/>
      <c r="O14" s="84"/>
      <c r="P14" s="132"/>
      <c r="Q14" s="132"/>
      <c r="R14" s="132"/>
      <c r="S14" s="132"/>
      <c r="T14" s="84"/>
      <c r="U14" s="87"/>
      <c r="V14" s="84"/>
      <c r="W14" s="87"/>
      <c r="X14" s="87"/>
      <c r="Y14" s="87"/>
      <c r="Z14" s="87"/>
      <c r="AA14" s="84"/>
    </row>
    <row r="15" spans="2:27" s="2" customFormat="1" ht="15" thickBot="1" x14ac:dyDescent="0.25">
      <c r="B15" s="298">
        <f>+B14+1</f>
        <v>9</v>
      </c>
      <c r="C15" s="35" t="s">
        <v>339</v>
      </c>
      <c r="D15" s="293" t="s">
        <v>86</v>
      </c>
      <c r="E15" s="294">
        <v>3</v>
      </c>
      <c r="F15" s="116">
        <f xml:space="preserve"> F12 + F14</f>
        <v>25.844000000000001</v>
      </c>
      <c r="G15" s="118">
        <f t="shared" ref="G15:I15" si="6" xml:space="preserve"> G12 + G14</f>
        <v>159.37500000000003</v>
      </c>
      <c r="H15" s="703">
        <f t="shared" si="6"/>
        <v>151.58200000000002</v>
      </c>
      <c r="I15" s="118">
        <f t="shared" si="6"/>
        <v>54.478999999999992</v>
      </c>
      <c r="J15" s="119">
        <f t="shared" ref="J15" si="7" xml:space="preserve"> J12 + J14</f>
        <v>391.28</v>
      </c>
      <c r="K15" s="104"/>
      <c r="L15" s="135"/>
      <c r="M15" s="131"/>
      <c r="N15" s="83"/>
      <c r="O15" s="84"/>
      <c r="P15" s="83"/>
      <c r="Q15" s="83"/>
      <c r="R15" s="83"/>
      <c r="S15" s="83"/>
      <c r="T15" s="84"/>
      <c r="U15" s="87"/>
      <c r="V15" s="84"/>
      <c r="W15" s="87"/>
      <c r="X15" s="87"/>
      <c r="Y15" s="87"/>
      <c r="Z15" s="87"/>
      <c r="AA15" s="84"/>
    </row>
    <row r="16" spans="2:27" s="2" customFormat="1" ht="15" thickBot="1" x14ac:dyDescent="0.25">
      <c r="D16" s="7"/>
      <c r="E16" s="7"/>
      <c r="F16" s="398"/>
      <c r="G16" s="398"/>
      <c r="H16" s="398"/>
      <c r="I16" s="398"/>
      <c r="J16" s="398"/>
      <c r="L16" s="135"/>
      <c r="M16" s="131"/>
      <c r="N16" s="83"/>
      <c r="O16" s="84"/>
      <c r="P16" s="83"/>
      <c r="Q16" s="83"/>
      <c r="R16" s="83"/>
      <c r="S16" s="83"/>
      <c r="T16" s="84"/>
      <c r="U16" s="87"/>
      <c r="V16" s="84"/>
      <c r="W16" s="87"/>
      <c r="X16" s="87"/>
      <c r="Y16" s="87"/>
      <c r="Z16" s="87"/>
      <c r="AA16" s="84"/>
    </row>
    <row r="17" spans="2:27" s="2" customFormat="1" ht="15" thickBot="1" x14ac:dyDescent="0.25">
      <c r="B17" s="845" t="s">
        <v>143</v>
      </c>
      <c r="C17" s="306" t="s">
        <v>340</v>
      </c>
      <c r="D17" s="7"/>
      <c r="E17" s="7"/>
      <c r="F17" s="398"/>
      <c r="G17" s="398"/>
      <c r="H17" s="398"/>
      <c r="I17" s="398"/>
      <c r="J17" s="398"/>
      <c r="L17" s="135"/>
      <c r="M17" s="131"/>
      <c r="N17" s="83"/>
      <c r="O17" s="84"/>
      <c r="P17" s="83"/>
      <c r="Q17" s="83"/>
      <c r="R17" s="83"/>
      <c r="S17" s="83"/>
      <c r="T17" s="84"/>
      <c r="U17" s="122"/>
      <c r="V17" s="84"/>
      <c r="W17" s="122"/>
      <c r="X17" s="122"/>
      <c r="Y17" s="122"/>
      <c r="Z17" s="122"/>
      <c r="AA17" s="84"/>
    </row>
    <row r="18" spans="2:27" s="2" customFormat="1" x14ac:dyDescent="0.2">
      <c r="B18" s="296">
        <v>10</v>
      </c>
      <c r="C18" s="282" t="s">
        <v>341</v>
      </c>
      <c r="D18" s="307" t="s">
        <v>86</v>
      </c>
      <c r="E18" s="284">
        <v>3</v>
      </c>
      <c r="F18" s="820">
        <f xml:space="preserve"> SUM( '4D'!F19:G19 )</f>
        <v>9.750872031867976</v>
      </c>
      <c r="G18" s="821">
        <f xml:space="preserve"> SUM( '4D'!H19:K19 )</f>
        <v>33.030208325572502</v>
      </c>
      <c r="H18" s="820">
        <f xml:space="preserve"> SUM( '4E'!F19:J19 )</f>
        <v>29.322888180197054</v>
      </c>
      <c r="I18" s="821">
        <f xml:space="preserve"> SUM( '4E'!K19:M19 )</f>
        <v>3.377018030551842E-2</v>
      </c>
      <c r="J18" s="397">
        <f xml:space="preserve"> SUM( F18:I18 )</f>
        <v>72.137738717943066</v>
      </c>
      <c r="K18" s="104"/>
      <c r="L18" s="135"/>
      <c r="M18" s="28">
        <f t="shared" ref="M18:M23" si="8" xml:space="preserve"> IF( SUM( O18:T18 ) = 0, 0, $P$5 )</f>
        <v>0</v>
      </c>
      <c r="N18" s="83"/>
      <c r="O18" s="84"/>
      <c r="P18" s="132"/>
      <c r="Q18" s="132"/>
      <c r="R18" s="132"/>
      <c r="S18" s="132"/>
      <c r="T18" s="84"/>
      <c r="U18" s="169"/>
      <c r="V18" s="84"/>
      <c r="W18" s="169"/>
      <c r="X18" s="169"/>
      <c r="Y18" s="169"/>
      <c r="Z18" s="169"/>
      <c r="AA18" s="84"/>
    </row>
    <row r="19" spans="2:27" s="2" customFormat="1" x14ac:dyDescent="0.2">
      <c r="B19" s="297">
        <f>B18+1</f>
        <v>11</v>
      </c>
      <c r="C19" s="286" t="s">
        <v>342</v>
      </c>
      <c r="D19" s="308" t="s">
        <v>86</v>
      </c>
      <c r="E19" s="288">
        <v>3</v>
      </c>
      <c r="F19" s="822">
        <f xml:space="preserve"> SUM( '4D'!F20:G20 )</f>
        <v>2.6104852192045334</v>
      </c>
      <c r="G19" s="823">
        <f xml:space="preserve"> SUM( '4D'!H20:K20 )</f>
        <v>56.695309543742979</v>
      </c>
      <c r="H19" s="822">
        <f xml:space="preserve"> SUM( '4E'!F20:J20 )</f>
        <v>74.346806140230342</v>
      </c>
      <c r="I19" s="823">
        <f xml:space="preserve"> SUM( '4E'!K20:M20 )</f>
        <v>59.059780931529794</v>
      </c>
      <c r="J19" s="172">
        <f xml:space="preserve"> SUM( F19:I19 )</f>
        <v>192.71238183470766</v>
      </c>
      <c r="K19" s="104"/>
      <c r="L19" s="135"/>
      <c r="M19" s="28">
        <f t="shared" si="8"/>
        <v>0</v>
      </c>
      <c r="N19" s="83"/>
      <c r="O19" s="84"/>
      <c r="P19" s="132"/>
      <c r="Q19" s="132"/>
      <c r="R19" s="132"/>
      <c r="S19" s="132"/>
      <c r="T19" s="84"/>
      <c r="U19" s="169"/>
      <c r="V19" s="84"/>
      <c r="W19" s="169"/>
      <c r="X19" s="169"/>
      <c r="Y19" s="169"/>
      <c r="Z19" s="169"/>
      <c r="AA19" s="84"/>
    </row>
    <row r="20" spans="2:27" s="2" customFormat="1" x14ac:dyDescent="0.2">
      <c r="B20" s="297">
        <f t="shared" ref="B20:B26" si="9">B19+1</f>
        <v>12</v>
      </c>
      <c r="C20" s="399" t="s">
        <v>343</v>
      </c>
      <c r="D20" s="308" t="s">
        <v>86</v>
      </c>
      <c r="E20" s="288">
        <v>3</v>
      </c>
      <c r="F20" s="822">
        <f xml:space="preserve"> SUM( '4D'!F21:G21 )</f>
        <v>1.0216543899999999</v>
      </c>
      <c r="G20" s="823">
        <f xml:space="preserve"> SUM( '4D'!H21:K21 )</f>
        <v>27.608636719999993</v>
      </c>
      <c r="H20" s="822">
        <f xml:space="preserve"> SUM( '4E'!F21:J21 )</f>
        <v>35.594165612082726</v>
      </c>
      <c r="I20" s="823">
        <f xml:space="preserve"> SUM( '4E'!K21:M21 )</f>
        <v>0</v>
      </c>
      <c r="J20" s="172">
        <f xml:space="preserve"> SUM( F20:I20 )</f>
        <v>64.224456722082721</v>
      </c>
      <c r="K20" s="104"/>
      <c r="L20" s="135"/>
      <c r="M20" s="28">
        <f t="shared" si="8"/>
        <v>0</v>
      </c>
      <c r="N20" s="83"/>
      <c r="O20" s="84"/>
      <c r="P20" s="132"/>
      <c r="Q20" s="132"/>
      <c r="R20" s="132"/>
      <c r="S20" s="132"/>
      <c r="T20" s="84"/>
      <c r="U20" s="169"/>
      <c r="V20" s="84"/>
      <c r="W20" s="169"/>
      <c r="X20" s="169"/>
      <c r="Y20" s="169"/>
      <c r="Z20" s="169"/>
      <c r="AA20" s="84"/>
    </row>
    <row r="21" spans="2:27" s="2" customFormat="1" x14ac:dyDescent="0.2">
      <c r="B21" s="297">
        <f t="shared" si="9"/>
        <v>13</v>
      </c>
      <c r="C21" s="399" t="s">
        <v>344</v>
      </c>
      <c r="D21" s="308" t="s">
        <v>86</v>
      </c>
      <c r="E21" s="288">
        <v>3</v>
      </c>
      <c r="F21" s="822">
        <f xml:space="preserve"> SUM( '4D'!F22:G22 )</f>
        <v>1.0942922370605117</v>
      </c>
      <c r="G21" s="823">
        <f xml:space="preserve"> SUM( '4D'!H22:K22 )</f>
        <v>26.308385152939486</v>
      </c>
      <c r="H21" s="822">
        <f xml:space="preserve"> SUM( '4E'!F22:J22 )</f>
        <v>20.987672659530269</v>
      </c>
      <c r="I21" s="823">
        <f xml:space="preserve"> SUM( '4E'!K22:M22 )</f>
        <v>0.3675275704697345</v>
      </c>
      <c r="J21" s="172">
        <f xml:space="preserve"> SUM( F21:I21 )</f>
        <v>48.757877620000002</v>
      </c>
      <c r="K21" s="104"/>
      <c r="L21" s="135"/>
      <c r="M21" s="28">
        <f t="shared" si="8"/>
        <v>0</v>
      </c>
      <c r="N21" s="83"/>
      <c r="O21" s="84"/>
      <c r="P21" s="132"/>
      <c r="Q21" s="132"/>
      <c r="R21" s="132"/>
      <c r="S21" s="132"/>
      <c r="T21" s="84"/>
      <c r="U21" s="169"/>
      <c r="V21" s="84"/>
      <c r="W21" s="169"/>
      <c r="X21" s="169"/>
      <c r="Y21" s="169"/>
      <c r="Z21" s="169"/>
      <c r="AA21" s="84"/>
    </row>
    <row r="22" spans="2:27" s="2" customFormat="1" x14ac:dyDescent="0.2">
      <c r="B22" s="297">
        <f t="shared" si="9"/>
        <v>14</v>
      </c>
      <c r="C22" s="286" t="s">
        <v>345</v>
      </c>
      <c r="D22" s="308" t="s">
        <v>86</v>
      </c>
      <c r="E22" s="288">
        <v>3</v>
      </c>
      <c r="F22" s="109">
        <f xml:space="preserve"> SUM( F18:F21 )</f>
        <v>14.47730387813302</v>
      </c>
      <c r="G22" s="289">
        <f t="shared" ref="G22:I22" si="10" xml:space="preserve"> SUM( G18:G21 )</f>
        <v>143.64253974225497</v>
      </c>
      <c r="H22" s="704">
        <f t="shared" si="10"/>
        <v>160.25153259204038</v>
      </c>
      <c r="I22" s="289">
        <f t="shared" si="10"/>
        <v>59.461078682305043</v>
      </c>
      <c r="J22" s="172">
        <f t="shared" ref="J22" si="11" xml:space="preserve"> SUM( J18:J21 )</f>
        <v>377.83245489473342</v>
      </c>
      <c r="K22" s="104"/>
      <c r="L22" s="135"/>
      <c r="M22" s="131"/>
      <c r="N22" s="129"/>
      <c r="O22" s="84"/>
      <c r="P22" s="83"/>
      <c r="Q22" s="83"/>
      <c r="R22" s="83"/>
      <c r="S22" s="83"/>
      <c r="T22" s="84"/>
      <c r="U22" s="169"/>
      <c r="V22" s="84"/>
      <c r="W22" s="169"/>
      <c r="X22" s="169"/>
      <c r="Y22" s="169"/>
      <c r="Z22" s="169"/>
      <c r="AA22" s="84"/>
    </row>
    <row r="23" spans="2:27" s="2" customFormat="1" x14ac:dyDescent="0.2">
      <c r="B23" s="297">
        <f t="shared" si="9"/>
        <v>15</v>
      </c>
      <c r="C23" s="286" t="s">
        <v>338</v>
      </c>
      <c r="D23" s="308" t="s">
        <v>86</v>
      </c>
      <c r="E23" s="288">
        <v>3</v>
      </c>
      <c r="F23" s="822">
        <f xml:space="preserve"> SUM( '4D'!F24:G24 )</f>
        <v>0</v>
      </c>
      <c r="G23" s="823">
        <f xml:space="preserve"> SUM( '4D'!H24:K24 )</f>
        <v>0</v>
      </c>
      <c r="H23" s="822">
        <f xml:space="preserve"> SUM( '4E'!F24:J24 )</f>
        <v>0</v>
      </c>
      <c r="I23" s="823">
        <f xml:space="preserve"> SUM( '4E'!K24:M24 )</f>
        <v>0</v>
      </c>
      <c r="J23" s="172">
        <f xml:space="preserve"> SUM( F23:I23 )</f>
        <v>0</v>
      </c>
      <c r="K23" s="104"/>
      <c r="L23" s="135"/>
      <c r="M23" s="28">
        <f t="shared" si="8"/>
        <v>0</v>
      </c>
      <c r="N23" s="135"/>
      <c r="O23" s="133"/>
      <c r="P23" s="132"/>
      <c r="Q23" s="132"/>
      <c r="R23" s="132"/>
      <c r="S23" s="132"/>
      <c r="T23" s="133"/>
      <c r="U23" s="169"/>
      <c r="V23" s="84"/>
      <c r="W23" s="169"/>
      <c r="X23" s="169"/>
      <c r="Y23" s="169"/>
      <c r="Z23" s="169"/>
      <c r="AA23" s="84"/>
    </row>
    <row r="24" spans="2:27" s="2" customFormat="1" x14ac:dyDescent="0.2">
      <c r="B24" s="297">
        <f t="shared" si="9"/>
        <v>16</v>
      </c>
      <c r="C24" s="286" t="s">
        <v>346</v>
      </c>
      <c r="D24" s="308" t="s">
        <v>86</v>
      </c>
      <c r="E24" s="288">
        <v>3</v>
      </c>
      <c r="F24" s="109">
        <f xml:space="preserve"> F22 + F23</f>
        <v>14.47730387813302</v>
      </c>
      <c r="G24" s="289">
        <f t="shared" ref="G24:I24" si="12" xml:space="preserve"> G22 + G23</f>
        <v>143.64253974225497</v>
      </c>
      <c r="H24" s="824">
        <f t="shared" si="12"/>
        <v>160.25153259204038</v>
      </c>
      <c r="I24" s="825">
        <f t="shared" si="12"/>
        <v>59.461078682305043</v>
      </c>
      <c r="J24" s="172">
        <f t="shared" ref="J24" si="13" xml:space="preserve"> J22 + J23</f>
        <v>377.83245489473342</v>
      </c>
      <c r="K24" s="104"/>
      <c r="L24" s="135"/>
      <c r="M24" s="131"/>
      <c r="N24" s="135"/>
      <c r="O24" s="130"/>
      <c r="P24" s="135"/>
      <c r="Q24" s="135"/>
      <c r="R24" s="135"/>
      <c r="S24" s="135"/>
      <c r="T24" s="130"/>
      <c r="U24" s="169"/>
      <c r="V24" s="84"/>
      <c r="W24" s="169"/>
      <c r="X24" s="169"/>
      <c r="Y24" s="169"/>
      <c r="Z24" s="169"/>
      <c r="AA24" s="84"/>
    </row>
    <row r="25" spans="2:27" s="2" customFormat="1" ht="16.149999999999999" customHeight="1" x14ac:dyDescent="0.2">
      <c r="B25" s="297">
        <f t="shared" si="9"/>
        <v>17</v>
      </c>
      <c r="C25" s="286" t="s">
        <v>347</v>
      </c>
      <c r="D25" s="308" t="s">
        <v>86</v>
      </c>
      <c r="E25" s="288">
        <v>3</v>
      </c>
      <c r="F25" s="822">
        <f xml:space="preserve"> SUM( '4D'!F26:G26 )</f>
        <v>-7.8750000000000001E-3</v>
      </c>
      <c r="G25" s="823">
        <f xml:space="preserve"> SUM( '4D'!H26:K26 )</f>
        <v>14.423187150000002</v>
      </c>
      <c r="H25" s="822">
        <f xml:space="preserve"> SUM( '4E'!F26:J26 )</f>
        <v>8.2279387899999996</v>
      </c>
      <c r="I25" s="823">
        <f xml:space="preserve"> SUM( '4E'!K26:M26 )</f>
        <v>0</v>
      </c>
      <c r="J25" s="172">
        <f xml:space="preserve"> SUM( F25:I25 )</f>
        <v>22.643250940000001</v>
      </c>
      <c r="K25" s="104"/>
      <c r="L25" s="843" t="str">
        <f xml:space="preserve"> IF( SUM( T25:V25 ) = 0, 0, Z25 )</f>
        <v>The total of table 2B line 17 should be equal to lines 2E.6 for water and 2E.12 for wastewater.</v>
      </c>
      <c r="M25" s="131"/>
      <c r="N25" s="135"/>
      <c r="O25" s="130"/>
      <c r="P25" s="132"/>
      <c r="Q25" s="132"/>
      <c r="R25" s="132"/>
      <c r="S25" s="132"/>
      <c r="T25" s="130"/>
      <c r="U25" s="105">
        <f xml:space="preserve"> IF( (W25 - X25 - Y25) = 0, 0, 1 )</f>
        <v>1</v>
      </c>
      <c r="V25" s="84"/>
      <c r="W25" s="171">
        <f xml:space="preserve"> ROUND( J25, 3)</f>
        <v>22.643000000000001</v>
      </c>
      <c r="X25" s="171">
        <f xml:space="preserve"> ROUND( '2E'!I12, 3 )</f>
        <v>14.414999999999999</v>
      </c>
      <c r="Y25" s="171">
        <f xml:space="preserve"> ROUND( '2E'!I21, 3 )</f>
        <v>8.2270000000000003</v>
      </c>
      <c r="Z25" s="844" t="s">
        <v>348</v>
      </c>
      <c r="AA25" s="133"/>
    </row>
    <row r="26" spans="2:27" s="2" customFormat="1" ht="15" thickBot="1" x14ac:dyDescent="0.25">
      <c r="B26" s="298">
        <f t="shared" si="9"/>
        <v>18</v>
      </c>
      <c r="C26" s="292" t="s">
        <v>349</v>
      </c>
      <c r="D26" s="293" t="s">
        <v>86</v>
      </c>
      <c r="E26" s="294">
        <v>3</v>
      </c>
      <c r="F26" s="116">
        <f xml:space="preserve"> F15 + F24 - F25</f>
        <v>40.329178878133021</v>
      </c>
      <c r="G26" s="118">
        <f t="shared" ref="G26:I26" si="14" xml:space="preserve"> G15 + G24 - G25</f>
        <v>288.59435259225501</v>
      </c>
      <c r="H26" s="703">
        <f t="shared" si="14"/>
        <v>303.6055938020404</v>
      </c>
      <c r="I26" s="118">
        <f t="shared" si="14"/>
        <v>113.94007868230503</v>
      </c>
      <c r="J26" s="119">
        <f xml:space="preserve"> SUM( F26:I26 )</f>
        <v>746.46920395473353</v>
      </c>
      <c r="K26" s="104"/>
      <c r="L26" s="135"/>
      <c r="M26" s="131"/>
      <c r="N26" s="135"/>
      <c r="O26" s="130"/>
      <c r="P26" s="135"/>
      <c r="Q26" s="135"/>
      <c r="R26" s="135"/>
      <c r="S26" s="135"/>
      <c r="T26" s="130"/>
      <c r="U26" s="186"/>
      <c r="V26" s="130"/>
      <c r="W26" s="186"/>
      <c r="X26" s="186"/>
      <c r="Y26" s="186"/>
      <c r="Z26" s="186"/>
      <c r="AA26" s="130"/>
    </row>
    <row r="27" spans="2:27" s="2" customFormat="1" ht="15" thickBot="1" x14ac:dyDescent="0.25">
      <c r="B27" s="400"/>
      <c r="D27" s="7"/>
      <c r="E27" s="7"/>
      <c r="F27" s="398"/>
      <c r="G27" s="398"/>
      <c r="H27" s="398"/>
      <c r="I27" s="398"/>
      <c r="J27" s="398"/>
      <c r="L27" s="131"/>
      <c r="M27" s="131"/>
      <c r="N27" s="135"/>
      <c r="O27" s="130"/>
      <c r="P27" s="135"/>
      <c r="Q27" s="135"/>
      <c r="R27" s="135"/>
      <c r="S27" s="135"/>
      <c r="T27" s="130"/>
      <c r="U27" s="122"/>
      <c r="V27" s="130"/>
      <c r="W27" s="122"/>
      <c r="X27" s="122"/>
      <c r="Y27" s="122"/>
      <c r="Z27" s="122"/>
      <c r="AA27" s="130"/>
    </row>
    <row r="28" spans="2:27" s="2" customFormat="1" ht="15" thickBot="1" x14ac:dyDescent="0.25">
      <c r="B28" s="845" t="s">
        <v>149</v>
      </c>
      <c r="C28" s="306" t="s">
        <v>350</v>
      </c>
      <c r="D28" s="7"/>
      <c r="E28" s="7"/>
      <c r="F28" s="398"/>
      <c r="G28" s="398"/>
      <c r="H28" s="398"/>
      <c r="I28" s="398"/>
      <c r="J28" s="398"/>
      <c r="L28" s="131"/>
      <c r="M28" s="131"/>
      <c r="N28" s="135"/>
      <c r="O28" s="130"/>
      <c r="P28" s="135"/>
      <c r="Q28" s="135"/>
      <c r="R28" s="135"/>
      <c r="S28" s="135"/>
      <c r="T28" s="130"/>
      <c r="U28" s="122"/>
      <c r="V28" s="130"/>
      <c r="W28" s="122"/>
      <c r="X28" s="122"/>
      <c r="Y28" s="122"/>
      <c r="Z28" s="122"/>
      <c r="AA28" s="130"/>
    </row>
    <row r="29" spans="2:27" s="2" customFormat="1" x14ac:dyDescent="0.2">
      <c r="B29" s="296">
        <f>B26+1</f>
        <v>19</v>
      </c>
      <c r="C29" s="282" t="s">
        <v>351</v>
      </c>
      <c r="D29" s="307" t="s">
        <v>86</v>
      </c>
      <c r="E29" s="284">
        <v>3</v>
      </c>
      <c r="F29" s="826">
        <f xml:space="preserve"> SUM( '4D'!F30:G30 )</f>
        <v>0</v>
      </c>
      <c r="G29" s="827">
        <f xml:space="preserve"> SUM( '4D'!H30:K30 )</f>
        <v>0</v>
      </c>
      <c r="H29" s="826">
        <f xml:space="preserve"> SUM( '4E'!F30:J30 )</f>
        <v>0</v>
      </c>
      <c r="I29" s="827">
        <f xml:space="preserve"> SUM( '4E'!K30:M30 )</f>
        <v>0</v>
      </c>
      <c r="J29" s="397">
        <f xml:space="preserve"> SUM( F29:I29 )</f>
        <v>0</v>
      </c>
      <c r="K29" s="104"/>
      <c r="L29" s="137"/>
      <c r="M29" s="28">
        <f t="shared" ref="M29:M30" si="15" xml:space="preserve"> IF( SUM( O29:T29 ) = 0, 0, $P$5 )</f>
        <v>0</v>
      </c>
      <c r="N29" s="135"/>
      <c r="O29" s="130"/>
      <c r="P29" s="132"/>
      <c r="Q29" s="132"/>
      <c r="R29" s="132"/>
      <c r="S29" s="132"/>
      <c r="T29" s="130"/>
      <c r="U29" s="186"/>
      <c r="V29" s="130"/>
      <c r="W29" s="186"/>
      <c r="X29" s="186"/>
      <c r="Y29" s="186"/>
      <c r="Z29" s="186"/>
      <c r="AA29" s="130"/>
    </row>
    <row r="30" spans="2:27" s="2" customFormat="1" ht="15" thickBot="1" x14ac:dyDescent="0.25">
      <c r="B30" s="298">
        <f>+B29+1</f>
        <v>20</v>
      </c>
      <c r="C30" s="292" t="s">
        <v>352</v>
      </c>
      <c r="D30" s="293" t="s">
        <v>86</v>
      </c>
      <c r="E30" s="294">
        <v>3</v>
      </c>
      <c r="F30" s="828">
        <f xml:space="preserve"> SUM( '4D'!F31:G31 )</f>
        <v>0</v>
      </c>
      <c r="G30" s="829">
        <f xml:space="preserve"> SUM( '4D'!H31:K31 )</f>
        <v>0</v>
      </c>
      <c r="H30" s="828">
        <f xml:space="preserve"> SUM( '4E'!F31:J31 )</f>
        <v>0</v>
      </c>
      <c r="I30" s="829">
        <f xml:space="preserve"> SUM( '4E'!K31:M31 )</f>
        <v>0</v>
      </c>
      <c r="J30" s="119">
        <f xml:space="preserve"> SUM( F30:I30 )</f>
        <v>0</v>
      </c>
      <c r="K30" s="104"/>
      <c r="L30" s="131"/>
      <c r="M30" s="28">
        <f t="shared" si="15"/>
        <v>0</v>
      </c>
      <c r="N30" s="135"/>
      <c r="O30" s="130"/>
      <c r="P30" s="132"/>
      <c r="Q30" s="132"/>
      <c r="R30" s="132"/>
      <c r="S30" s="132"/>
      <c r="T30" s="130"/>
      <c r="U30" s="122"/>
      <c r="V30" s="130"/>
      <c r="W30" s="122"/>
      <c r="X30" s="122"/>
      <c r="Y30" s="122"/>
      <c r="Z30" s="122"/>
      <c r="AA30" s="130"/>
    </row>
    <row r="31" spans="2:27" s="2" customFormat="1" ht="15" thickBot="1" x14ac:dyDescent="0.25">
      <c r="B31" s="279"/>
      <c r="C31" s="161"/>
      <c r="D31" s="278"/>
      <c r="E31" s="278"/>
      <c r="F31" s="401"/>
      <c r="G31" s="401"/>
      <c r="H31" s="401"/>
      <c r="I31" s="401"/>
      <c r="J31" s="402"/>
      <c r="K31" s="104"/>
      <c r="L31" s="131"/>
      <c r="M31" s="87"/>
      <c r="N31" s="135"/>
      <c r="O31" s="130"/>
      <c r="P31" s="135"/>
      <c r="Q31" s="135"/>
      <c r="R31" s="135"/>
      <c r="S31" s="135"/>
      <c r="T31" s="130"/>
      <c r="U31" s="122"/>
      <c r="V31" s="130"/>
      <c r="W31" s="122"/>
      <c r="X31" s="122"/>
      <c r="Y31" s="122"/>
      <c r="Z31" s="122"/>
      <c r="AA31" s="130"/>
    </row>
    <row r="32" spans="2:27" s="2" customFormat="1" ht="15" thickBot="1" x14ac:dyDescent="0.25">
      <c r="B32" s="272" t="s">
        <v>158</v>
      </c>
      <c r="C32" s="30" t="s">
        <v>257</v>
      </c>
      <c r="D32" s="278"/>
      <c r="E32" s="278"/>
      <c r="F32" s="401"/>
      <c r="G32" s="401"/>
      <c r="H32" s="401"/>
      <c r="I32" s="401"/>
      <c r="J32" s="402"/>
      <c r="K32" s="104"/>
      <c r="L32" s="131"/>
      <c r="M32" s="87"/>
      <c r="N32" s="129"/>
      <c r="O32" s="130"/>
      <c r="P32" s="131"/>
      <c r="Q32" s="131"/>
      <c r="R32" s="131"/>
      <c r="S32" s="129"/>
      <c r="T32" s="130"/>
      <c r="U32" s="122"/>
      <c r="V32" s="130"/>
      <c r="W32" s="122"/>
      <c r="X32" s="122"/>
      <c r="Y32" s="122"/>
      <c r="Z32" s="122"/>
      <c r="AA32" s="130"/>
    </row>
    <row r="33" spans="1:27" s="2" customFormat="1" ht="15" thickBot="1" x14ac:dyDescent="0.25">
      <c r="B33" s="342">
        <f>+B30+1</f>
        <v>21</v>
      </c>
      <c r="C33" s="274" t="s">
        <v>353</v>
      </c>
      <c r="D33" s="343" t="s">
        <v>86</v>
      </c>
      <c r="E33" s="276">
        <v>3</v>
      </c>
      <c r="F33" s="142">
        <f xml:space="preserve"> F26 + SUM( F29:F30 )</f>
        <v>40.329178878133021</v>
      </c>
      <c r="G33" s="144">
        <f t="shared" ref="G33:I33" si="16" xml:space="preserve"> G26 + SUM( G29:G30 )</f>
        <v>288.59435259225501</v>
      </c>
      <c r="H33" s="705">
        <f t="shared" si="16"/>
        <v>303.6055938020404</v>
      </c>
      <c r="I33" s="144">
        <f t="shared" si="16"/>
        <v>113.94007868230503</v>
      </c>
      <c r="J33" s="145">
        <f t="shared" ref="J33" si="17" xml:space="preserve"> J26 + SUM( J29:J30 )</f>
        <v>746.46920395473353</v>
      </c>
      <c r="K33" s="104"/>
      <c r="L33" s="131"/>
      <c r="M33" s="87"/>
      <c r="N33" s="129"/>
      <c r="O33" s="133"/>
      <c r="P33" s="131"/>
      <c r="Q33" s="131"/>
      <c r="R33" s="131"/>
      <c r="S33" s="129"/>
      <c r="T33" s="133"/>
      <c r="U33" s="122"/>
      <c r="V33" s="130"/>
      <c r="W33" s="122"/>
      <c r="X33" s="122"/>
      <c r="Y33" s="122"/>
      <c r="Z33" s="122"/>
      <c r="AA33" s="130"/>
    </row>
    <row r="34" spans="1:27" s="122" customFormat="1" x14ac:dyDescent="0.2">
      <c r="C34" s="158"/>
      <c r="I34" s="169"/>
      <c r="K34" s="129"/>
      <c r="L34" s="131"/>
      <c r="M34" s="87"/>
      <c r="N34" s="129"/>
      <c r="O34" s="133"/>
      <c r="P34" s="137"/>
      <c r="Q34" s="137"/>
      <c r="R34" s="137"/>
      <c r="S34" s="129"/>
      <c r="T34" s="133"/>
      <c r="V34" s="130"/>
      <c r="AA34" s="130"/>
    </row>
    <row r="35" spans="1:27" s="169" customFormat="1" x14ac:dyDescent="0.2">
      <c r="B35" s="897" t="s">
        <v>101</v>
      </c>
      <c r="C35" s="897"/>
      <c r="K35" s="135"/>
      <c r="L35" s="131"/>
      <c r="M35" s="131"/>
      <c r="N35" s="129"/>
      <c r="O35" s="133"/>
      <c r="P35" s="131"/>
      <c r="Q35" s="131"/>
      <c r="R35" s="131"/>
      <c r="S35" s="129"/>
      <c r="T35" s="133"/>
      <c r="U35" s="122"/>
      <c r="V35" s="130"/>
      <c r="W35" s="122"/>
      <c r="X35" s="122"/>
      <c r="Y35" s="122"/>
      <c r="Z35" s="122"/>
      <c r="AA35" s="130"/>
    </row>
    <row r="36" spans="1:27" s="169" customFormat="1" x14ac:dyDescent="0.2">
      <c r="B36" s="146"/>
      <c r="C36" s="147"/>
      <c r="K36" s="135"/>
      <c r="L36" s="131"/>
      <c r="M36" s="131"/>
      <c r="N36" s="122"/>
      <c r="O36" s="133"/>
      <c r="P36" s="122"/>
      <c r="Q36" s="122"/>
      <c r="R36" s="122"/>
      <c r="S36" s="122"/>
      <c r="T36" s="133"/>
      <c r="U36" s="122"/>
      <c r="V36" s="130"/>
      <c r="W36" s="122"/>
      <c r="X36" s="122"/>
      <c r="Y36" s="122"/>
      <c r="Z36" s="122"/>
      <c r="AA36" s="130"/>
    </row>
    <row r="37" spans="1:27" s="169" customFormat="1" x14ac:dyDescent="0.2">
      <c r="B37" s="29"/>
      <c r="C37" s="148" t="s">
        <v>102</v>
      </c>
      <c r="K37" s="135"/>
      <c r="L37" s="131"/>
      <c r="M37" s="87"/>
      <c r="N37" s="122"/>
      <c r="O37" s="133"/>
      <c r="P37" s="122"/>
      <c r="Q37" s="122"/>
      <c r="R37" s="122"/>
      <c r="S37" s="122"/>
      <c r="T37" s="133"/>
      <c r="U37" s="122"/>
      <c r="V37" s="133"/>
      <c r="W37" s="122"/>
      <c r="X37" s="122"/>
      <c r="Y37" s="122"/>
      <c r="Z37" s="122"/>
      <c r="AA37" s="133"/>
    </row>
    <row r="38" spans="1:27" s="169" customFormat="1" x14ac:dyDescent="0.2">
      <c r="B38" s="146"/>
      <c r="C38" s="147"/>
      <c r="K38" s="135"/>
      <c r="L38" s="131"/>
      <c r="M38" s="87"/>
      <c r="N38" s="131"/>
      <c r="O38" s="133"/>
      <c r="P38" s="131"/>
      <c r="Q38" s="131"/>
      <c r="R38" s="131"/>
      <c r="S38" s="131"/>
      <c r="T38" s="133"/>
      <c r="U38" s="122"/>
      <c r="V38" s="133"/>
      <c r="W38" s="122"/>
      <c r="X38" s="122"/>
      <c r="Y38" s="122"/>
      <c r="Z38" s="122"/>
      <c r="AA38" s="133"/>
    </row>
    <row r="39" spans="1:27" s="169" customFormat="1" x14ac:dyDescent="0.2">
      <c r="B39" s="149"/>
      <c r="C39" s="148" t="s">
        <v>103</v>
      </c>
      <c r="K39" s="135"/>
      <c r="L39" s="131"/>
      <c r="M39" s="87"/>
      <c r="N39" s="131"/>
      <c r="O39" s="133"/>
      <c r="P39" s="131"/>
      <c r="Q39" s="131"/>
      <c r="R39" s="131"/>
      <c r="S39" s="131"/>
      <c r="T39" s="133"/>
      <c r="U39" s="122"/>
      <c r="V39" s="133"/>
      <c r="W39" s="122"/>
      <c r="X39" s="122"/>
      <c r="Y39" s="122"/>
      <c r="Z39" s="122"/>
      <c r="AA39" s="133"/>
    </row>
    <row r="40" spans="1:27" s="169" customFormat="1" x14ac:dyDescent="0.2">
      <c r="B40" s="150"/>
      <c r="C40" s="148"/>
      <c r="K40" s="135"/>
      <c r="L40" s="131"/>
      <c r="M40" s="87"/>
      <c r="N40" s="131"/>
      <c r="O40" s="133"/>
      <c r="P40" s="131"/>
      <c r="Q40" s="131"/>
      <c r="R40" s="131"/>
      <c r="S40" s="131"/>
      <c r="T40" s="133"/>
      <c r="U40" s="122"/>
      <c r="V40" s="133"/>
      <c r="W40" s="122"/>
      <c r="X40" s="122"/>
      <c r="Y40" s="122"/>
      <c r="Z40" s="122"/>
      <c r="AA40" s="133"/>
    </row>
    <row r="41" spans="1:27" s="169" customFormat="1" x14ac:dyDescent="0.2">
      <c r="B41" s="151"/>
      <c r="C41" s="148" t="s">
        <v>104</v>
      </c>
      <c r="K41" s="135"/>
      <c r="L41" s="87"/>
      <c r="M41" s="87"/>
      <c r="N41" s="83"/>
      <c r="O41" s="133"/>
      <c r="P41" s="83"/>
      <c r="Q41" s="83"/>
      <c r="R41" s="83"/>
      <c r="S41" s="83"/>
      <c r="T41" s="133"/>
      <c r="U41" s="87"/>
      <c r="V41" s="133"/>
      <c r="W41" s="87"/>
      <c r="X41" s="87"/>
      <c r="Y41" s="87"/>
      <c r="Z41" s="87"/>
      <c r="AA41" s="133"/>
    </row>
    <row r="42" spans="1:27" s="186" customFormat="1" x14ac:dyDescent="0.2">
      <c r="A42" s="156"/>
      <c r="B42" s="156"/>
      <c r="C42" s="157"/>
      <c r="K42" s="137"/>
      <c r="L42" s="87"/>
      <c r="M42" s="87"/>
      <c r="N42" s="83"/>
      <c r="O42" s="84"/>
      <c r="P42" s="83"/>
      <c r="Q42" s="83"/>
      <c r="R42" s="83"/>
      <c r="S42" s="83"/>
      <c r="T42" s="84"/>
      <c r="U42" s="87"/>
      <c r="V42" s="133"/>
      <c r="W42" s="87"/>
      <c r="X42" s="87"/>
      <c r="Y42" s="87"/>
      <c r="Z42" s="87"/>
      <c r="AA42" s="133"/>
    </row>
    <row r="43" spans="1:27" s="186" customFormat="1" ht="15" thickBot="1" x14ac:dyDescent="0.25">
      <c r="C43" s="187"/>
      <c r="K43" s="137"/>
      <c r="L43" s="87"/>
      <c r="M43" s="87"/>
      <c r="N43" s="83"/>
      <c r="O43" s="84"/>
      <c r="P43" s="83"/>
      <c r="Q43" s="83"/>
      <c r="R43" s="83"/>
      <c r="S43" s="83"/>
      <c r="T43" s="84"/>
      <c r="U43" s="87"/>
      <c r="V43" s="133"/>
      <c r="W43" s="87"/>
      <c r="X43" s="87"/>
      <c r="Y43" s="87"/>
      <c r="Z43" s="87"/>
      <c r="AA43" s="133"/>
    </row>
    <row r="44" spans="1:27" s="122" customFormat="1" ht="16.5" thickBot="1" x14ac:dyDescent="0.25">
      <c r="B44" s="152" t="str">
        <f ca="1" xml:space="preserve"> RIGHT(CELL("filename", $A$1), LEN(CELL("filename", $A$1)) - SEARCH("]", CELL("filename", $A$1)))&amp;" - Line definitions"</f>
        <v>2B - Line definitions</v>
      </c>
      <c r="C44" s="153"/>
      <c r="D44" s="154"/>
      <c r="E44" s="154"/>
      <c r="F44" s="154"/>
      <c r="G44" s="154"/>
      <c r="H44" s="154"/>
      <c r="I44" s="154"/>
      <c r="J44" s="260"/>
      <c r="K44" s="137"/>
      <c r="L44" s="87"/>
      <c r="M44" s="87"/>
      <c r="N44" s="83"/>
      <c r="O44" s="84"/>
      <c r="P44" s="83"/>
      <c r="Q44" s="83"/>
      <c r="R44" s="83"/>
      <c r="S44" s="83"/>
      <c r="T44" s="84"/>
      <c r="U44" s="87"/>
      <c r="V44" s="133"/>
      <c r="W44" s="87"/>
      <c r="X44" s="87"/>
      <c r="Y44" s="87"/>
      <c r="Z44" s="87"/>
      <c r="AA44" s="133"/>
    </row>
    <row r="45" spans="1:27" s="122" customFormat="1" ht="15" thickBot="1" x14ac:dyDescent="0.25">
      <c r="B45" s="87"/>
      <c r="C45" s="161"/>
      <c r="D45" s="87"/>
      <c r="E45" s="87"/>
      <c r="F45" s="87"/>
      <c r="G45" s="87"/>
      <c r="H45" s="87"/>
      <c r="K45" s="137"/>
      <c r="L45" s="87"/>
      <c r="M45" s="87"/>
      <c r="N45" s="83"/>
      <c r="O45" s="84"/>
      <c r="S45" s="83"/>
      <c r="T45" s="84"/>
      <c r="U45" s="87"/>
      <c r="V45" s="133"/>
      <c r="W45" s="87"/>
      <c r="X45" s="87"/>
      <c r="Y45" s="87"/>
      <c r="Z45" s="87"/>
      <c r="AA45" s="133"/>
    </row>
    <row r="46" spans="1:27" s="186" customFormat="1" ht="15" thickBot="1" x14ac:dyDescent="0.25">
      <c r="B46" s="376" t="s">
        <v>105</v>
      </c>
      <c r="C46" s="377" t="s">
        <v>106</v>
      </c>
      <c r="D46" s="378"/>
      <c r="E46" s="378"/>
      <c r="F46" s="378"/>
      <c r="G46" s="378"/>
      <c r="H46" s="378"/>
      <c r="I46" s="378"/>
      <c r="J46" s="403"/>
      <c r="K46" s="2"/>
      <c r="L46" s="87"/>
      <c r="M46" s="87"/>
      <c r="N46" s="83"/>
      <c r="O46" s="84"/>
      <c r="P46" s="97" t="s">
        <v>107</v>
      </c>
      <c r="Q46" s="97"/>
      <c r="R46" s="97"/>
      <c r="S46" s="83"/>
      <c r="T46" s="84"/>
      <c r="U46" s="87"/>
      <c r="V46" s="84"/>
      <c r="W46" s="87"/>
      <c r="X46" s="87"/>
      <c r="Y46" s="87"/>
      <c r="Z46" s="87"/>
      <c r="AA46" s="84"/>
    </row>
    <row r="47" spans="1:27" s="122" customFormat="1" ht="25.5" x14ac:dyDescent="0.2">
      <c r="B47" s="189">
        <v>1</v>
      </c>
      <c r="C47" s="940" t="s">
        <v>354</v>
      </c>
      <c r="D47" s="941"/>
      <c r="E47" s="941"/>
      <c r="F47" s="941"/>
      <c r="G47" s="941"/>
      <c r="H47" s="941"/>
      <c r="I47" s="941"/>
      <c r="J47" s="942"/>
      <c r="K47" s="2"/>
      <c r="L47" s="87"/>
      <c r="M47" s="87"/>
      <c r="N47" s="83"/>
      <c r="O47" s="84"/>
      <c r="P47" s="168" t="s">
        <v>112</v>
      </c>
      <c r="Q47" s="165"/>
      <c r="R47" s="165"/>
      <c r="S47" s="83"/>
      <c r="T47" s="84"/>
      <c r="U47" s="87"/>
      <c r="V47" s="84"/>
      <c r="W47" s="87"/>
      <c r="X47" s="87"/>
      <c r="Y47" s="87"/>
      <c r="Z47" s="87"/>
      <c r="AA47" s="84"/>
    </row>
    <row r="48" spans="1:27" s="122" customFormat="1" ht="102" x14ac:dyDescent="0.2">
      <c r="B48" s="166">
        <v>2</v>
      </c>
      <c r="C48" s="935" t="s">
        <v>355</v>
      </c>
      <c r="D48" s="936"/>
      <c r="E48" s="936"/>
      <c r="F48" s="936"/>
      <c r="G48" s="936"/>
      <c r="H48" s="936"/>
      <c r="I48" s="936"/>
      <c r="J48" s="937"/>
      <c r="K48" s="2"/>
      <c r="L48" s="87"/>
      <c r="M48" s="87"/>
      <c r="N48" s="83"/>
      <c r="O48" s="84"/>
      <c r="P48" s="168" t="s">
        <v>356</v>
      </c>
      <c r="Q48" s="168"/>
      <c r="R48" s="168"/>
      <c r="S48" s="83"/>
      <c r="T48" s="84"/>
      <c r="U48" s="87"/>
      <c r="V48" s="84"/>
      <c r="W48" s="87"/>
      <c r="X48" s="87"/>
      <c r="Y48" s="87"/>
      <c r="Z48" s="87"/>
      <c r="AA48" s="84"/>
    </row>
    <row r="49" spans="2:27" s="122" customFormat="1" x14ac:dyDescent="0.2">
      <c r="B49" s="166">
        <v>3</v>
      </c>
      <c r="C49" s="935" t="s">
        <v>357</v>
      </c>
      <c r="D49" s="936"/>
      <c r="E49" s="936"/>
      <c r="F49" s="936"/>
      <c r="G49" s="936"/>
      <c r="H49" s="936"/>
      <c r="I49" s="936"/>
      <c r="J49" s="937"/>
      <c r="K49" s="2"/>
      <c r="L49" s="87"/>
      <c r="M49" s="87"/>
      <c r="N49" s="83"/>
      <c r="O49" s="84"/>
      <c r="P49" s="165">
        <v>1</v>
      </c>
      <c r="Q49" s="165"/>
      <c r="R49" s="165"/>
      <c r="S49" s="83"/>
      <c r="T49" s="84"/>
      <c r="U49" s="87"/>
      <c r="V49" s="84"/>
      <c r="W49" s="87"/>
      <c r="X49" s="87"/>
      <c r="Y49" s="87"/>
      <c r="Z49" s="87"/>
      <c r="AA49" s="84"/>
    </row>
    <row r="50" spans="2:27" s="122" customFormat="1" ht="25.5" x14ac:dyDescent="0.2">
      <c r="B50" s="166">
        <v>4</v>
      </c>
      <c r="C50" s="935" t="s">
        <v>358</v>
      </c>
      <c r="D50" s="936"/>
      <c r="E50" s="936"/>
      <c r="F50" s="936"/>
      <c r="G50" s="936"/>
      <c r="H50" s="936"/>
      <c r="I50" s="936"/>
      <c r="J50" s="937"/>
      <c r="K50" s="2"/>
      <c r="L50" s="87"/>
      <c r="M50" s="87"/>
      <c r="N50" s="83"/>
      <c r="O50" s="84"/>
      <c r="P50" s="168" t="s">
        <v>112</v>
      </c>
      <c r="Q50" s="168"/>
      <c r="R50" s="168"/>
      <c r="S50" s="83"/>
      <c r="T50" s="84"/>
      <c r="U50" s="87"/>
      <c r="V50" s="84"/>
      <c r="W50" s="87"/>
      <c r="X50" s="87"/>
      <c r="Y50" s="87"/>
      <c r="Z50" s="87"/>
      <c r="AA50" s="84"/>
    </row>
    <row r="51" spans="2:27" s="122" customFormat="1" x14ac:dyDescent="0.2">
      <c r="B51" s="166">
        <v>5</v>
      </c>
      <c r="C51" s="935" t="s">
        <v>359</v>
      </c>
      <c r="D51" s="936"/>
      <c r="E51" s="936"/>
      <c r="F51" s="936"/>
      <c r="G51" s="936"/>
      <c r="H51" s="936"/>
      <c r="I51" s="936"/>
      <c r="J51" s="937"/>
      <c r="K51" s="2"/>
      <c r="L51" s="87"/>
      <c r="M51" s="87"/>
      <c r="N51" s="83"/>
      <c r="O51" s="84"/>
      <c r="P51" s="165">
        <v>1</v>
      </c>
      <c r="Q51" s="165"/>
      <c r="R51" s="165"/>
      <c r="S51" s="83"/>
      <c r="T51" s="84"/>
      <c r="U51" s="87"/>
      <c r="V51" s="84"/>
      <c r="W51" s="87"/>
      <c r="X51" s="87"/>
      <c r="Y51" s="87"/>
      <c r="Z51" s="87"/>
      <c r="AA51" s="84"/>
    </row>
    <row r="52" spans="2:27" s="122" customFormat="1" ht="25.5" x14ac:dyDescent="0.2">
      <c r="B52" s="166">
        <v>6</v>
      </c>
      <c r="C52" s="935" t="s">
        <v>360</v>
      </c>
      <c r="D52" s="936"/>
      <c r="E52" s="936"/>
      <c r="F52" s="936"/>
      <c r="G52" s="936"/>
      <c r="H52" s="936"/>
      <c r="I52" s="936"/>
      <c r="J52" s="937"/>
      <c r="K52" s="2"/>
      <c r="L52" s="87"/>
      <c r="M52" s="87"/>
      <c r="N52" s="83"/>
      <c r="O52" s="84"/>
      <c r="P52" s="168" t="s">
        <v>112</v>
      </c>
      <c r="Q52" s="168"/>
      <c r="R52" s="168"/>
      <c r="S52" s="83"/>
      <c r="T52" s="84"/>
      <c r="U52" s="87"/>
      <c r="V52" s="84"/>
      <c r="W52" s="87"/>
      <c r="X52" s="87"/>
      <c r="Y52" s="87"/>
      <c r="Z52" s="87"/>
      <c r="AA52" s="84"/>
    </row>
    <row r="53" spans="2:27" s="122" customFormat="1" x14ac:dyDescent="0.2">
      <c r="B53" s="166">
        <v>7</v>
      </c>
      <c r="C53" s="935" t="s">
        <v>361</v>
      </c>
      <c r="D53" s="936"/>
      <c r="E53" s="936"/>
      <c r="F53" s="936"/>
      <c r="G53" s="936"/>
      <c r="H53" s="936"/>
      <c r="I53" s="936"/>
      <c r="J53" s="937"/>
      <c r="K53" s="2"/>
      <c r="L53" s="87"/>
      <c r="M53" s="87"/>
      <c r="N53" s="83"/>
      <c r="O53" s="84"/>
      <c r="P53" s="165">
        <v>1</v>
      </c>
      <c r="Q53" s="165"/>
      <c r="R53" s="165"/>
      <c r="S53" s="83"/>
      <c r="T53" s="84"/>
      <c r="U53" s="87"/>
      <c r="V53" s="84"/>
      <c r="W53" s="87"/>
      <c r="X53" s="87"/>
      <c r="Y53" s="87"/>
      <c r="Z53" s="87"/>
      <c r="AA53" s="84"/>
    </row>
    <row r="54" spans="2:27" s="122" customFormat="1" ht="25.5" x14ac:dyDescent="0.2">
      <c r="B54" s="166">
        <v>8</v>
      </c>
      <c r="C54" s="935" t="s">
        <v>362</v>
      </c>
      <c r="D54" s="936"/>
      <c r="E54" s="936"/>
      <c r="F54" s="936"/>
      <c r="G54" s="936"/>
      <c r="H54" s="936"/>
      <c r="I54" s="936"/>
      <c r="J54" s="937"/>
      <c r="K54" s="2"/>
      <c r="L54" s="87"/>
      <c r="M54" s="87"/>
      <c r="N54" s="83"/>
      <c r="O54" s="84"/>
      <c r="P54" s="168" t="s">
        <v>112</v>
      </c>
      <c r="Q54" s="168"/>
      <c r="R54" s="168"/>
      <c r="S54" s="83"/>
      <c r="T54" s="84"/>
      <c r="U54" s="87"/>
      <c r="V54" s="84"/>
      <c r="W54" s="87"/>
      <c r="X54" s="87"/>
      <c r="Y54" s="87"/>
      <c r="Z54" s="87"/>
      <c r="AA54" s="84"/>
    </row>
    <row r="55" spans="2:27" s="122" customFormat="1" ht="25.5" x14ac:dyDescent="0.2">
      <c r="B55" s="166">
        <v>9</v>
      </c>
      <c r="C55" s="935" t="s">
        <v>363</v>
      </c>
      <c r="D55" s="936"/>
      <c r="E55" s="936"/>
      <c r="F55" s="936"/>
      <c r="G55" s="936"/>
      <c r="H55" s="936"/>
      <c r="I55" s="936"/>
      <c r="J55" s="937"/>
      <c r="K55" s="2"/>
      <c r="L55" s="87"/>
      <c r="M55" s="87"/>
      <c r="N55" s="83"/>
      <c r="O55" s="84"/>
      <c r="P55" s="168" t="s">
        <v>112</v>
      </c>
      <c r="Q55" s="168"/>
      <c r="R55" s="168"/>
      <c r="S55" s="83"/>
      <c r="T55" s="84"/>
      <c r="U55" s="87"/>
      <c r="V55" s="84"/>
      <c r="W55" s="87"/>
      <c r="X55" s="87"/>
      <c r="Y55" s="87"/>
      <c r="Z55" s="87"/>
      <c r="AA55" s="84"/>
    </row>
    <row r="56" spans="2:27" s="122" customFormat="1" ht="25.5" x14ac:dyDescent="0.2">
      <c r="B56" s="166">
        <v>10</v>
      </c>
      <c r="C56" s="935" t="s">
        <v>364</v>
      </c>
      <c r="D56" s="936"/>
      <c r="E56" s="936"/>
      <c r="F56" s="936"/>
      <c r="G56" s="936"/>
      <c r="H56" s="936"/>
      <c r="I56" s="936"/>
      <c r="J56" s="937"/>
      <c r="K56" s="2"/>
      <c r="L56" s="87"/>
      <c r="M56" s="87"/>
      <c r="N56" s="83"/>
      <c r="O56" s="84"/>
      <c r="P56" s="168" t="s">
        <v>112</v>
      </c>
      <c r="Q56" s="168"/>
      <c r="R56" s="168"/>
      <c r="S56" s="83"/>
      <c r="T56" s="84"/>
      <c r="U56" s="87"/>
      <c r="V56" s="84"/>
      <c r="W56" s="87"/>
      <c r="X56" s="87"/>
      <c r="Y56" s="87"/>
      <c r="Z56" s="87"/>
      <c r="AA56" s="84"/>
    </row>
    <row r="57" spans="2:27" s="122" customFormat="1" ht="25.5" x14ac:dyDescent="0.2">
      <c r="B57" s="166">
        <v>11</v>
      </c>
      <c r="C57" s="935" t="s">
        <v>365</v>
      </c>
      <c r="D57" s="936"/>
      <c r="E57" s="936"/>
      <c r="F57" s="936"/>
      <c r="G57" s="936"/>
      <c r="H57" s="936"/>
      <c r="I57" s="936"/>
      <c r="J57" s="937"/>
      <c r="K57" s="2"/>
      <c r="L57" s="87"/>
      <c r="M57" s="87"/>
      <c r="N57" s="83"/>
      <c r="O57" s="84"/>
      <c r="P57" s="168" t="s">
        <v>112</v>
      </c>
      <c r="Q57" s="168"/>
      <c r="R57" s="168"/>
      <c r="S57" s="83"/>
      <c r="T57" s="84"/>
      <c r="U57" s="87"/>
      <c r="V57" s="84"/>
      <c r="W57" s="87"/>
      <c r="X57" s="87"/>
      <c r="Y57" s="87"/>
      <c r="Z57" s="87"/>
      <c r="AA57" s="84"/>
    </row>
    <row r="58" spans="2:27" s="122" customFormat="1" x14ac:dyDescent="0.2">
      <c r="B58" s="166">
        <v>12</v>
      </c>
      <c r="C58" s="935" t="s">
        <v>366</v>
      </c>
      <c r="D58" s="936"/>
      <c r="E58" s="936"/>
      <c r="F58" s="936"/>
      <c r="G58" s="936"/>
      <c r="H58" s="936"/>
      <c r="I58" s="936"/>
      <c r="J58" s="937"/>
      <c r="K58" s="2"/>
      <c r="L58" s="87"/>
      <c r="M58" s="87"/>
      <c r="N58" s="83"/>
      <c r="O58" s="84"/>
      <c r="P58" s="165">
        <v>1</v>
      </c>
      <c r="Q58" s="165"/>
      <c r="R58" s="165"/>
      <c r="S58" s="83"/>
      <c r="T58" s="84"/>
      <c r="U58" s="87"/>
      <c r="V58" s="84"/>
      <c r="W58" s="87"/>
      <c r="X58" s="87"/>
      <c r="Y58" s="87"/>
      <c r="Z58" s="87"/>
      <c r="AA58" s="84"/>
    </row>
    <row r="59" spans="2:27" s="122" customFormat="1" x14ac:dyDescent="0.2">
      <c r="B59" s="166">
        <v>13</v>
      </c>
      <c r="C59" s="935" t="s">
        <v>367</v>
      </c>
      <c r="D59" s="936"/>
      <c r="E59" s="936"/>
      <c r="F59" s="936"/>
      <c r="G59" s="936"/>
      <c r="H59" s="936"/>
      <c r="I59" s="936"/>
      <c r="J59" s="937"/>
      <c r="K59" s="2"/>
      <c r="L59" s="87"/>
      <c r="M59" s="87"/>
      <c r="N59" s="83"/>
      <c r="O59" s="84"/>
      <c r="P59" s="165">
        <v>1</v>
      </c>
      <c r="Q59" s="165"/>
      <c r="R59" s="165"/>
      <c r="S59" s="83"/>
      <c r="T59" s="84"/>
      <c r="U59" s="87"/>
      <c r="V59" s="84"/>
      <c r="W59" s="87"/>
      <c r="X59" s="87"/>
      <c r="Y59" s="87"/>
      <c r="Z59" s="87"/>
      <c r="AA59" s="84"/>
    </row>
    <row r="60" spans="2:27" s="122" customFormat="1" x14ac:dyDescent="0.2">
      <c r="B60" s="166">
        <v>14</v>
      </c>
      <c r="C60" s="935" t="s">
        <v>368</v>
      </c>
      <c r="D60" s="936"/>
      <c r="E60" s="936"/>
      <c r="F60" s="936"/>
      <c r="G60" s="936"/>
      <c r="H60" s="936"/>
      <c r="I60" s="936"/>
      <c r="J60" s="937"/>
      <c r="K60" s="2"/>
      <c r="L60" s="87"/>
      <c r="M60" s="87"/>
      <c r="N60" s="83"/>
      <c r="O60" s="84"/>
      <c r="P60" s="165">
        <v>1</v>
      </c>
      <c r="Q60" s="165"/>
      <c r="R60" s="165"/>
      <c r="S60" s="83"/>
      <c r="T60" s="84"/>
      <c r="U60" s="87"/>
      <c r="V60" s="84"/>
      <c r="W60" s="87"/>
      <c r="X60" s="87"/>
      <c r="Y60" s="87"/>
      <c r="Z60" s="87"/>
      <c r="AA60" s="84"/>
    </row>
    <row r="61" spans="2:27" s="122" customFormat="1" ht="25.5" x14ac:dyDescent="0.2">
      <c r="B61" s="166">
        <v>15</v>
      </c>
      <c r="C61" s="935" t="s">
        <v>369</v>
      </c>
      <c r="D61" s="936"/>
      <c r="E61" s="936"/>
      <c r="F61" s="936"/>
      <c r="G61" s="936"/>
      <c r="H61" s="936"/>
      <c r="I61" s="936"/>
      <c r="J61" s="937"/>
      <c r="K61" s="2"/>
      <c r="L61" s="87"/>
      <c r="M61" s="87"/>
      <c r="N61" s="83"/>
      <c r="O61" s="84"/>
      <c r="P61" s="168" t="s">
        <v>112</v>
      </c>
      <c r="Q61" s="168"/>
      <c r="R61" s="168"/>
      <c r="S61" s="83"/>
      <c r="T61" s="84"/>
      <c r="U61" s="87"/>
      <c r="V61" s="84"/>
      <c r="W61" s="87"/>
      <c r="X61" s="87"/>
      <c r="Y61" s="87"/>
      <c r="Z61" s="87"/>
      <c r="AA61" s="84"/>
    </row>
    <row r="62" spans="2:27" s="122" customFormat="1" x14ac:dyDescent="0.2">
      <c r="B62" s="166">
        <v>16</v>
      </c>
      <c r="C62" s="935" t="s">
        <v>370</v>
      </c>
      <c r="D62" s="936"/>
      <c r="E62" s="936"/>
      <c r="F62" s="936"/>
      <c r="G62" s="936"/>
      <c r="H62" s="936"/>
      <c r="I62" s="936"/>
      <c r="J62" s="937"/>
      <c r="K62" s="2"/>
      <c r="L62" s="87"/>
      <c r="M62" s="87"/>
      <c r="N62" s="83"/>
      <c r="O62" s="84"/>
      <c r="P62" s="165">
        <v>1</v>
      </c>
      <c r="Q62" s="165"/>
      <c r="R62" s="165"/>
      <c r="S62" s="83"/>
      <c r="T62" s="84"/>
      <c r="U62" s="87"/>
      <c r="V62" s="84"/>
      <c r="W62" s="87"/>
      <c r="X62" s="87"/>
      <c r="Y62" s="87"/>
      <c r="Z62" s="87"/>
      <c r="AA62" s="84"/>
    </row>
    <row r="63" spans="2:27" s="122" customFormat="1" ht="25.5" x14ac:dyDescent="0.2">
      <c r="B63" s="166">
        <v>17</v>
      </c>
      <c r="C63" s="935" t="s">
        <v>371</v>
      </c>
      <c r="D63" s="936"/>
      <c r="E63" s="936"/>
      <c r="F63" s="936"/>
      <c r="G63" s="936"/>
      <c r="H63" s="936"/>
      <c r="I63" s="936"/>
      <c r="J63" s="937"/>
      <c r="K63" s="2"/>
      <c r="L63" s="87"/>
      <c r="M63" s="87"/>
      <c r="N63" s="83"/>
      <c r="O63" s="84"/>
      <c r="P63" s="168" t="s">
        <v>112</v>
      </c>
      <c r="Q63" s="168"/>
      <c r="R63" s="168"/>
      <c r="S63" s="83"/>
      <c r="T63" s="84"/>
      <c r="U63" s="87"/>
      <c r="V63" s="84"/>
      <c r="W63" s="87"/>
      <c r="X63" s="87"/>
      <c r="Y63" s="87"/>
      <c r="Z63" s="87"/>
      <c r="AA63" s="84"/>
    </row>
    <row r="64" spans="2:27" s="122" customFormat="1" x14ac:dyDescent="0.2">
      <c r="B64" s="166">
        <v>18</v>
      </c>
      <c r="C64" s="935" t="s">
        <v>372</v>
      </c>
      <c r="D64" s="936"/>
      <c r="E64" s="936"/>
      <c r="F64" s="936"/>
      <c r="G64" s="936"/>
      <c r="H64" s="936"/>
      <c r="I64" s="936"/>
      <c r="J64" s="937"/>
      <c r="K64" s="2"/>
      <c r="L64" s="87"/>
      <c r="M64" s="87"/>
      <c r="N64" s="83"/>
      <c r="O64" s="84"/>
      <c r="P64" s="165">
        <v>1</v>
      </c>
      <c r="Q64" s="165"/>
      <c r="R64" s="165"/>
      <c r="S64" s="83"/>
      <c r="T64" s="84"/>
      <c r="U64" s="87"/>
      <c r="V64" s="84"/>
      <c r="W64" s="87"/>
      <c r="X64" s="87"/>
      <c r="Y64" s="87"/>
      <c r="Z64" s="87"/>
      <c r="AA64" s="84"/>
    </row>
    <row r="65" spans="2:27" s="122" customFormat="1" x14ac:dyDescent="0.2">
      <c r="B65" s="166">
        <v>19</v>
      </c>
      <c r="C65" s="935" t="s">
        <v>373</v>
      </c>
      <c r="D65" s="936"/>
      <c r="E65" s="936"/>
      <c r="F65" s="936"/>
      <c r="G65" s="936"/>
      <c r="H65" s="936"/>
      <c r="I65" s="936"/>
      <c r="J65" s="937"/>
      <c r="K65" s="2"/>
      <c r="L65" s="87"/>
      <c r="M65" s="87"/>
      <c r="N65" s="83"/>
      <c r="O65" s="84"/>
      <c r="P65" s="165">
        <v>1</v>
      </c>
      <c r="Q65" s="165"/>
      <c r="R65" s="165"/>
      <c r="S65" s="83"/>
      <c r="T65" s="84"/>
      <c r="U65" s="87"/>
      <c r="V65" s="84"/>
      <c r="W65" s="87"/>
      <c r="X65" s="87"/>
      <c r="Y65" s="87"/>
      <c r="Z65" s="87"/>
      <c r="AA65" s="84"/>
    </row>
    <row r="66" spans="2:27" s="122" customFormat="1" x14ac:dyDescent="0.2">
      <c r="B66" s="166">
        <v>20</v>
      </c>
      <c r="C66" s="935" t="s">
        <v>374</v>
      </c>
      <c r="D66" s="936"/>
      <c r="E66" s="936"/>
      <c r="F66" s="936"/>
      <c r="G66" s="936"/>
      <c r="H66" s="936"/>
      <c r="I66" s="936"/>
      <c r="J66" s="937"/>
      <c r="K66" s="2"/>
      <c r="L66" s="87"/>
      <c r="M66" s="87"/>
      <c r="N66" s="83"/>
      <c r="O66" s="84"/>
      <c r="P66" s="165">
        <v>1</v>
      </c>
      <c r="Q66" s="165"/>
      <c r="R66" s="165"/>
      <c r="S66" s="83"/>
      <c r="T66" s="84"/>
      <c r="U66" s="87"/>
      <c r="V66" s="84"/>
      <c r="W66" s="87"/>
      <c r="X66" s="87"/>
      <c r="Y66" s="87"/>
      <c r="Z66" s="87"/>
      <c r="AA66" s="84"/>
    </row>
    <row r="67" spans="2:27" s="122" customFormat="1" ht="15" thickBot="1" x14ac:dyDescent="0.25">
      <c r="B67" s="191">
        <v>21</v>
      </c>
      <c r="C67" s="943" t="s">
        <v>375</v>
      </c>
      <c r="D67" s="944"/>
      <c r="E67" s="944"/>
      <c r="F67" s="944"/>
      <c r="G67" s="944"/>
      <c r="H67" s="944"/>
      <c r="I67" s="944"/>
      <c r="J67" s="945"/>
      <c r="K67" s="2"/>
      <c r="L67" s="87"/>
      <c r="M67" s="87"/>
      <c r="N67" s="83"/>
      <c r="O67" s="84"/>
      <c r="P67" s="165">
        <v>1</v>
      </c>
      <c r="Q67" s="165"/>
      <c r="R67" s="165"/>
      <c r="S67" s="83"/>
      <c r="T67" s="84"/>
      <c r="U67" s="87"/>
      <c r="V67" s="84"/>
      <c r="W67" s="87"/>
      <c r="X67" s="87"/>
      <c r="Y67" s="87"/>
      <c r="Z67" s="87"/>
      <c r="AA67" s="84"/>
    </row>
    <row r="68" spans="2:27" s="2" customFormat="1" x14ac:dyDescent="0.2">
      <c r="L68" s="87"/>
      <c r="M68" s="87"/>
      <c r="N68" s="83"/>
      <c r="O68" s="84"/>
      <c r="P68" s="83"/>
      <c r="Q68" s="83"/>
      <c r="R68" s="83"/>
      <c r="S68" s="83"/>
      <c r="T68" s="84"/>
      <c r="U68" s="87"/>
      <c r="V68" s="84"/>
      <c r="W68" s="87"/>
      <c r="X68" s="87"/>
      <c r="Y68" s="87"/>
      <c r="Z68" s="87"/>
      <c r="AA68" s="84"/>
    </row>
  </sheetData>
  <sheetProtection algorithmName="SHA-512" hashValue="yiMEpJOVr/Eg3UOOqCMnQDR+Nap9xOY/ewvt6Wd66shP1zkvA41LCmwT6bUrpA7jcpa0JhvDuNcBlUX3MsjvNA==" saltValue="UGxhKpYyZ0uDQxWbIbohOQ==" spinCount="100000" sheet="1" objects="1" scenarios="1"/>
  <mergeCells count="27">
    <mergeCell ref="C67:J67"/>
    <mergeCell ref="C56:J56"/>
    <mergeCell ref="C57:J57"/>
    <mergeCell ref="C58:J58"/>
    <mergeCell ref="C59:J59"/>
    <mergeCell ref="C60:J60"/>
    <mergeCell ref="C61:J61"/>
    <mergeCell ref="C62:J62"/>
    <mergeCell ref="C63:J63"/>
    <mergeCell ref="C64:J64"/>
    <mergeCell ref="C65:J65"/>
    <mergeCell ref="C66:J66"/>
    <mergeCell ref="U3:U4"/>
    <mergeCell ref="W3:Z4"/>
    <mergeCell ref="Z6:Z7"/>
    <mergeCell ref="C55:J55"/>
    <mergeCell ref="B3:C3"/>
    <mergeCell ref="P3:S4"/>
    <mergeCell ref="B35:C35"/>
    <mergeCell ref="C47:J47"/>
    <mergeCell ref="C48:J48"/>
    <mergeCell ref="C49:J49"/>
    <mergeCell ref="C50:J50"/>
    <mergeCell ref="C51:J51"/>
    <mergeCell ref="C52:J52"/>
    <mergeCell ref="C53:J53"/>
    <mergeCell ref="C54:J54"/>
  </mergeCells>
  <conditionalFormatting sqref="L25">
    <cfRule type="cellIs" dxfId="179" priority="37" operator="equal">
      <formula>0</formula>
    </cfRule>
  </conditionalFormatting>
  <conditionalFormatting sqref="M6:M11 M14">
    <cfRule type="cellIs" dxfId="178" priority="48" operator="equal">
      <formula>0</formula>
    </cfRule>
  </conditionalFormatting>
  <conditionalFormatting sqref="M18:M21">
    <cfRule type="cellIs" dxfId="177" priority="47" operator="equal">
      <formula>0</formula>
    </cfRule>
  </conditionalFormatting>
  <conditionalFormatting sqref="M23">
    <cfRule type="cellIs" dxfId="176" priority="46" operator="equal">
      <formula>0</formula>
    </cfRule>
  </conditionalFormatting>
  <conditionalFormatting sqref="M29:M30">
    <cfRule type="cellIs" dxfId="175" priority="44" operator="equal">
      <formula>0</formula>
    </cfRule>
  </conditionalFormatting>
  <printOptions horizontalCentered="1"/>
  <pageMargins left="0.39370078740157483" right="0.39370078740157483" top="0.78740157480314965" bottom="0.78740157480314965" header="0.31496062992125984" footer="0.31496062992125984"/>
  <pageSetup paperSize="9" scale="41"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3" id="{9690DF1B-3731-4E02-8665-C87174DE5D7B}">
            <xm:f>Validation!$H$3=1</xm:f>
            <x14:dxf>
              <fill>
                <patternFill>
                  <bgColor rgb="FFE0DCD8"/>
                </patternFill>
              </fill>
            </x14:dxf>
          </x14:cfRule>
          <xm:sqref>F23:G23</xm:sqref>
        </x14:conditionalFormatting>
        <x14:conditionalFormatting xmlns:xm="http://schemas.microsoft.com/office/excel/2006/main">
          <x14:cfRule type="expression" priority="21" id="{CEEDDD62-E76B-4ACA-848F-FF029D7A2666}">
            <xm:f>Validation!$H$3=1</xm:f>
            <x14:dxf>
              <fill>
                <patternFill>
                  <bgColor rgb="FFE0DCD8"/>
                </patternFill>
              </fill>
            </x14:dxf>
          </x14:cfRule>
          <xm:sqref>F25:G25</xm:sqref>
        </x14:conditionalFormatting>
        <x14:conditionalFormatting xmlns:xm="http://schemas.microsoft.com/office/excel/2006/main">
          <x14:cfRule type="expression" priority="13" id="{6B77703C-6193-47F6-8092-76C66E1398F9}">
            <xm:f>Validation!$H$3=1</xm:f>
            <x14:dxf>
              <fill>
                <patternFill>
                  <bgColor rgb="FFE0DCD8"/>
                </patternFill>
              </fill>
            </x14:dxf>
          </x14:cfRule>
          <xm:sqref>F6:I11</xm:sqref>
        </x14:conditionalFormatting>
        <x14:conditionalFormatting xmlns:xm="http://schemas.microsoft.com/office/excel/2006/main">
          <x14:cfRule type="expression" priority="9" id="{47D65180-A8FE-409E-AD66-AB0502612779}">
            <xm:f>Validation!$H$3=1</xm:f>
            <x14:dxf>
              <fill>
                <patternFill>
                  <bgColor rgb="FFE0DCD8"/>
                </patternFill>
              </fill>
            </x14:dxf>
          </x14:cfRule>
          <xm:sqref>F18:I21</xm:sqref>
        </x14:conditionalFormatting>
        <x14:conditionalFormatting xmlns:xm="http://schemas.microsoft.com/office/excel/2006/main">
          <x14:cfRule type="expression" priority="1" id="{D1C7BA2E-CDD3-41AB-A94D-0DADE5CD7512}">
            <xm:f>Validation!$H$3=1</xm:f>
            <x14:dxf>
              <fill>
                <patternFill>
                  <bgColor rgb="FFE0DCD8"/>
                </patternFill>
              </fill>
            </x14:dxf>
          </x14:cfRule>
          <xm:sqref>F29:I30</xm:sqref>
        </x14:conditionalFormatting>
        <x14:conditionalFormatting xmlns:xm="http://schemas.microsoft.com/office/excel/2006/main">
          <x14:cfRule type="expression" priority="42" id="{340687DC-7369-4C39-8AE7-6A6D1890CB17}">
            <xm:f>Validation!$H$3=1</xm:f>
            <x14:dxf>
              <fill>
                <patternFill>
                  <bgColor rgb="FFE0DCD8"/>
                </patternFill>
              </fill>
            </x14:dxf>
          </x14:cfRule>
          <xm:sqref>H12:I12</xm:sqref>
        </x14:conditionalFormatting>
        <x14:conditionalFormatting xmlns:xm="http://schemas.microsoft.com/office/excel/2006/main">
          <x14:cfRule type="expression" priority="11" id="{EF40ADAC-C32B-41B1-9E83-3614A0EB309A}">
            <xm:f>Validation!$H$3=1</xm:f>
            <x14:dxf>
              <fill>
                <patternFill>
                  <bgColor rgb="FFE0DCD8"/>
                </patternFill>
              </fill>
            </x14:dxf>
          </x14:cfRule>
          <xm:sqref>H14:I15</xm:sqref>
        </x14:conditionalFormatting>
        <x14:conditionalFormatting xmlns:xm="http://schemas.microsoft.com/office/excel/2006/main">
          <x14:cfRule type="expression" priority="5" id="{CDC79BC9-0D0F-4688-AA92-F5945717F219}">
            <xm:f>Validation!$H$3=1</xm:f>
            <x14:dxf>
              <fill>
                <patternFill>
                  <bgColor rgb="FFE0DCD8"/>
                </patternFill>
              </fill>
            </x14:dxf>
          </x14:cfRule>
          <xm:sqref>H22:I26</xm:sqref>
        </x14:conditionalFormatting>
        <x14:conditionalFormatting xmlns:xm="http://schemas.microsoft.com/office/excel/2006/main">
          <x14:cfRule type="expression" priority="41" id="{641AAD32-7CFB-4F84-87FF-971A69E84EB8}">
            <xm:f>Validation!$H$3=1</xm:f>
            <x14:dxf>
              <fill>
                <patternFill>
                  <bgColor rgb="FFE0DCD8"/>
                </patternFill>
              </fill>
            </x14:dxf>
          </x14:cfRule>
          <xm:sqref>H33:I33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9"/>
  <sheetViews>
    <sheetView showGridLines="0" workbookViewId="0">
      <selection activeCell="C23" sqref="C23"/>
    </sheetView>
  </sheetViews>
  <sheetFormatPr defaultColWidth="0" defaultRowHeight="14.25" zeroHeight="1" x14ac:dyDescent="0.2"/>
  <cols>
    <col min="1" max="1" width="2.25" style="87" customWidth="1"/>
    <col min="2" max="2" width="4.125" style="87" customWidth="1"/>
    <col min="3" max="3" width="47.25" style="87" customWidth="1"/>
    <col min="4" max="5" width="5.125" style="87" customWidth="1"/>
    <col min="6" max="8" width="13.625" style="87" customWidth="1"/>
    <col min="9" max="9" width="2.625" style="83" customWidth="1"/>
    <col min="10" max="10" width="18.75" style="83" bestFit="1" customWidth="1"/>
    <col min="11" max="11" width="1.625" style="83" customWidth="1"/>
    <col min="12" max="12" width="1.625" style="84" hidden="1" customWidth="1"/>
    <col min="13" max="14" width="8.625" style="83" hidden="1" customWidth="1"/>
    <col min="15" max="15" width="1.625" style="84" hidden="1" customWidth="1"/>
    <col min="16" max="16384" width="8" style="87" hidden="1"/>
  </cols>
  <sheetData>
    <row r="1" spans="2:15" s="83" customFormat="1" ht="20.25" x14ac:dyDescent="0.2">
      <c r="B1" s="79" t="s">
        <v>376</v>
      </c>
      <c r="C1" s="79"/>
      <c r="D1" s="79"/>
      <c r="E1" s="79"/>
      <c r="F1" s="80"/>
      <c r="G1" s="79"/>
      <c r="H1" s="81" t="str">
        <f>Validation!B3</f>
        <v>Yorkshire Water</v>
      </c>
      <c r="I1" s="79"/>
      <c r="J1" s="82" t="s">
        <v>72</v>
      </c>
      <c r="L1" s="84"/>
      <c r="O1" s="84"/>
    </row>
    <row r="2" spans="2:15" ht="19.5" thickBot="1" x14ac:dyDescent="0.25">
      <c r="B2" s="86" t="s">
        <v>55</v>
      </c>
      <c r="C2" s="311"/>
    </row>
    <row r="3" spans="2:15" ht="15" customHeight="1" thickBot="1" x14ac:dyDescent="0.25">
      <c r="B3" s="946" t="s">
        <v>73</v>
      </c>
      <c r="C3" s="947"/>
      <c r="D3" s="389" t="s">
        <v>74</v>
      </c>
      <c r="E3" s="390" t="s">
        <v>75</v>
      </c>
      <c r="F3" s="304" t="s">
        <v>296</v>
      </c>
      <c r="G3" s="305" t="s">
        <v>377</v>
      </c>
      <c r="H3" s="391" t="s">
        <v>257</v>
      </c>
      <c r="I3" s="383"/>
      <c r="J3" s="196" t="s">
        <v>79</v>
      </c>
      <c r="M3" s="896" t="s">
        <v>83</v>
      </c>
      <c r="N3" s="896"/>
    </row>
    <row r="4" spans="2:15" ht="15" thickBot="1" x14ac:dyDescent="0.25">
      <c r="C4" s="334"/>
      <c r="I4" s="87"/>
      <c r="J4" s="87"/>
      <c r="K4" s="92"/>
      <c r="M4" s="896"/>
      <c r="N4" s="896"/>
    </row>
    <row r="5" spans="2:15" ht="14.65" customHeight="1" thickBot="1" x14ac:dyDescent="0.25">
      <c r="B5" s="946" t="s">
        <v>307</v>
      </c>
      <c r="C5" s="948"/>
      <c r="M5" s="97" t="s">
        <v>84</v>
      </c>
    </row>
    <row r="6" spans="2:15" ht="14.1" customHeight="1" x14ac:dyDescent="0.2">
      <c r="B6" s="296">
        <v>1</v>
      </c>
      <c r="C6" s="282" t="s">
        <v>378</v>
      </c>
      <c r="D6" s="307" t="s">
        <v>86</v>
      </c>
      <c r="E6" s="284">
        <v>3</v>
      </c>
      <c r="F6" s="836">
        <f xml:space="preserve"> '4F'!N7</f>
        <v>16.430999999999997</v>
      </c>
      <c r="G6" s="491">
        <v>2.0939999999999999</v>
      </c>
      <c r="H6" s="392">
        <f xml:space="preserve"> F6 + G6</f>
        <v>18.524999999999999</v>
      </c>
      <c r="J6" s="28">
        <f xml:space="preserve"> IF( SUM( L6:O6 ) = 0, 0, $M$5 )</f>
        <v>0</v>
      </c>
      <c r="M6" s="132"/>
      <c r="N6" s="105">
        <f t="shared" ref="N6:N11" si="0" xml:space="preserve"> IF( ISNUMBER( G6 ), 0, 1 )</f>
        <v>0</v>
      </c>
    </row>
    <row r="7" spans="2:15" ht="14.1" customHeight="1" x14ac:dyDescent="0.2">
      <c r="B7" s="297">
        <v>2</v>
      </c>
      <c r="C7" s="286" t="s">
        <v>379</v>
      </c>
      <c r="D7" s="308" t="s">
        <v>86</v>
      </c>
      <c r="E7" s="288">
        <v>3</v>
      </c>
      <c r="F7" s="837">
        <f xml:space="preserve"> '4F'!N8</f>
        <v>3.976</v>
      </c>
      <c r="G7" s="492">
        <v>0.65800000000000003</v>
      </c>
      <c r="H7" s="393">
        <f t="shared" ref="H7:H18" si="1" xml:space="preserve"> F7 + G7</f>
        <v>4.6340000000000003</v>
      </c>
      <c r="J7" s="28">
        <f t="shared" ref="J7:J16" si="2" xml:space="preserve"> IF( SUM( L7:O7 ) = 0, 0, $M$5 )</f>
        <v>0</v>
      </c>
      <c r="M7" s="132"/>
      <c r="N7" s="105">
        <f t="shared" si="0"/>
        <v>0</v>
      </c>
    </row>
    <row r="8" spans="2:15" ht="14.1" customHeight="1" x14ac:dyDescent="0.2">
      <c r="B8" s="297">
        <v>3</v>
      </c>
      <c r="C8" s="286" t="s">
        <v>380</v>
      </c>
      <c r="D8" s="308" t="s">
        <v>86</v>
      </c>
      <c r="E8" s="288">
        <v>3</v>
      </c>
      <c r="F8" s="837">
        <f xml:space="preserve"> '4F'!N9</f>
        <v>18.263000000000002</v>
      </c>
      <c r="G8" s="492">
        <v>1.391</v>
      </c>
      <c r="H8" s="393">
        <f t="shared" si="1"/>
        <v>19.654000000000003</v>
      </c>
      <c r="J8" s="28">
        <f t="shared" si="2"/>
        <v>0</v>
      </c>
      <c r="M8" s="132"/>
      <c r="N8" s="105">
        <f t="shared" si="0"/>
        <v>0</v>
      </c>
    </row>
    <row r="9" spans="2:15" ht="14.1" customHeight="1" thickBot="1" x14ac:dyDescent="0.25">
      <c r="B9" s="297">
        <v>4</v>
      </c>
      <c r="C9" s="286" t="s">
        <v>381</v>
      </c>
      <c r="D9" s="308" t="s">
        <v>86</v>
      </c>
      <c r="E9" s="288">
        <v>3</v>
      </c>
      <c r="F9" s="837">
        <f xml:space="preserve"> '4F'!N10</f>
        <v>1.8240000000000001</v>
      </c>
      <c r="G9" s="492">
        <v>0.47799999999999998</v>
      </c>
      <c r="H9" s="393">
        <f t="shared" si="1"/>
        <v>2.302</v>
      </c>
      <c r="J9" s="28">
        <f t="shared" si="2"/>
        <v>0</v>
      </c>
      <c r="M9" s="132"/>
      <c r="N9" s="105">
        <f t="shared" si="0"/>
        <v>0</v>
      </c>
    </row>
    <row r="10" spans="2:15" ht="14.1" customHeight="1" thickBot="1" x14ac:dyDescent="0.25">
      <c r="B10" s="297">
        <v>5</v>
      </c>
      <c r="C10" s="286" t="s">
        <v>382</v>
      </c>
      <c r="D10" s="308" t="s">
        <v>86</v>
      </c>
      <c r="E10" s="288">
        <v>3</v>
      </c>
      <c r="F10" s="839"/>
      <c r="G10" s="738">
        <v>5.2999999999999999E-2</v>
      </c>
      <c r="H10" s="393">
        <f t="shared" si="1"/>
        <v>5.2999999999999999E-2</v>
      </c>
      <c r="J10" s="28">
        <f t="shared" si="2"/>
        <v>0</v>
      </c>
      <c r="M10" s="132"/>
      <c r="N10" s="105">
        <f t="shared" si="0"/>
        <v>0</v>
      </c>
    </row>
    <row r="11" spans="2:15" ht="14.1" customHeight="1" x14ac:dyDescent="0.2">
      <c r="B11" s="297">
        <v>6</v>
      </c>
      <c r="C11" s="286" t="s">
        <v>335</v>
      </c>
      <c r="D11" s="308" t="s">
        <v>86</v>
      </c>
      <c r="E11" s="288">
        <v>3</v>
      </c>
      <c r="F11" s="837">
        <f xml:space="preserve"> '4F'!N11</f>
        <v>10.295999999999999</v>
      </c>
      <c r="G11" s="492">
        <v>4.5460000000000003</v>
      </c>
      <c r="H11" s="393">
        <f t="shared" si="1"/>
        <v>14.841999999999999</v>
      </c>
      <c r="J11" s="28">
        <f t="shared" si="2"/>
        <v>0</v>
      </c>
      <c r="M11" s="132"/>
      <c r="N11" s="105">
        <f t="shared" si="0"/>
        <v>0</v>
      </c>
    </row>
    <row r="12" spans="2:15" ht="14.1" customHeight="1" x14ac:dyDescent="0.2">
      <c r="B12" s="297">
        <v>7</v>
      </c>
      <c r="C12" s="286" t="s">
        <v>337</v>
      </c>
      <c r="D12" s="308" t="s">
        <v>86</v>
      </c>
      <c r="E12" s="288">
        <v>3</v>
      </c>
      <c r="F12" s="353">
        <f xml:space="preserve"> SUM( F6:F11 )</f>
        <v>50.79</v>
      </c>
      <c r="G12" s="336">
        <f t="shared" ref="G12:H12" si="3" xml:space="preserve"> SUM( G6:G11 )</f>
        <v>9.2199999999999989</v>
      </c>
      <c r="H12" s="393">
        <f t="shared" si="3"/>
        <v>60.01</v>
      </c>
      <c r="J12" s="235"/>
    </row>
    <row r="13" spans="2:15" ht="14.1" customHeight="1" x14ac:dyDescent="0.2">
      <c r="B13" s="297">
        <v>8</v>
      </c>
      <c r="C13" s="286" t="s">
        <v>383</v>
      </c>
      <c r="D13" s="308" t="s">
        <v>86</v>
      </c>
      <c r="E13" s="288">
        <v>3</v>
      </c>
      <c r="F13" s="837">
        <f xml:space="preserve"> '4F'!N13</f>
        <v>0</v>
      </c>
      <c r="G13" s="492">
        <v>0</v>
      </c>
      <c r="H13" s="393">
        <f t="shared" si="1"/>
        <v>0</v>
      </c>
      <c r="J13" s="28">
        <f t="shared" si="2"/>
        <v>0</v>
      </c>
      <c r="M13" s="132"/>
      <c r="N13" s="105">
        <f t="shared" ref="M13:N18" si="4" xml:space="preserve"> IF( ISNUMBER( G13 ), 0, 1 )</f>
        <v>0</v>
      </c>
    </row>
    <row r="14" spans="2:15" ht="14.1" customHeight="1" x14ac:dyDescent="0.2">
      <c r="B14" s="297">
        <v>9</v>
      </c>
      <c r="C14" s="286" t="s">
        <v>339</v>
      </c>
      <c r="D14" s="308" t="s">
        <v>86</v>
      </c>
      <c r="E14" s="288">
        <v>3</v>
      </c>
      <c r="F14" s="353">
        <f xml:space="preserve"> SUM( F12:F13 )</f>
        <v>50.79</v>
      </c>
      <c r="G14" s="336">
        <f t="shared" ref="G14:H14" si="5" xml:space="preserve"> SUM( G12:G13 )</f>
        <v>9.2199999999999989</v>
      </c>
      <c r="H14" s="393">
        <f t="shared" si="5"/>
        <v>60.01</v>
      </c>
      <c r="J14" s="235"/>
    </row>
    <row r="15" spans="2:15" ht="14.1" customHeight="1" x14ac:dyDescent="0.2">
      <c r="B15" s="297">
        <v>10</v>
      </c>
      <c r="C15" s="286" t="s">
        <v>309</v>
      </c>
      <c r="D15" s="308" t="s">
        <v>86</v>
      </c>
      <c r="E15" s="288">
        <v>3</v>
      </c>
      <c r="F15" s="837">
        <f xml:space="preserve"> '4F'!N15</f>
        <v>2.923</v>
      </c>
      <c r="G15" s="492">
        <v>0.04</v>
      </c>
      <c r="H15" s="393">
        <f t="shared" si="1"/>
        <v>2.9630000000000001</v>
      </c>
      <c r="J15" s="28">
        <f t="shared" si="2"/>
        <v>0</v>
      </c>
      <c r="M15" s="132"/>
      <c r="N15" s="105">
        <f t="shared" si="4"/>
        <v>0</v>
      </c>
    </row>
    <row r="16" spans="2:15" ht="14.1" customHeight="1" x14ac:dyDescent="0.2">
      <c r="B16" s="297">
        <v>11</v>
      </c>
      <c r="C16" s="286" t="s">
        <v>311</v>
      </c>
      <c r="D16" s="308" t="s">
        <v>86</v>
      </c>
      <c r="E16" s="288">
        <v>3</v>
      </c>
      <c r="F16" s="837">
        <f xml:space="preserve"> '4F'!N16</f>
        <v>0</v>
      </c>
      <c r="G16" s="492">
        <v>0</v>
      </c>
      <c r="H16" s="393">
        <f t="shared" si="1"/>
        <v>0</v>
      </c>
      <c r="J16" s="28">
        <f t="shared" si="2"/>
        <v>0</v>
      </c>
      <c r="M16" s="132"/>
      <c r="N16" s="105">
        <f t="shared" ref="N16" si="6" xml:space="preserve"> IF( ISNUMBER( G16 ), 0, 1 )</f>
        <v>0</v>
      </c>
    </row>
    <row r="17" spans="1:15" ht="14.1" customHeight="1" x14ac:dyDescent="0.2">
      <c r="B17" s="297">
        <v>12</v>
      </c>
      <c r="C17" s="286" t="s">
        <v>384</v>
      </c>
      <c r="D17" s="308" t="s">
        <v>86</v>
      </c>
      <c r="E17" s="288">
        <v>3</v>
      </c>
      <c r="F17" s="353">
        <f xml:space="preserve"> SUM( F14:F16 )</f>
        <v>53.713000000000001</v>
      </c>
      <c r="G17" s="336">
        <f xml:space="preserve"> SUM( G14:G16 )</f>
        <v>9.259999999999998</v>
      </c>
      <c r="H17" s="393">
        <f xml:space="preserve"> SUM( H14:H16 )</f>
        <v>62.972999999999999</v>
      </c>
      <c r="J17" s="235"/>
    </row>
    <row r="18" spans="1:15" ht="14.1" customHeight="1" thickBot="1" x14ac:dyDescent="0.25">
      <c r="B18" s="298">
        <v>13</v>
      </c>
      <c r="C18" s="292" t="s">
        <v>385</v>
      </c>
      <c r="D18" s="293" t="s">
        <v>86</v>
      </c>
      <c r="E18" s="294">
        <v>3</v>
      </c>
      <c r="F18" s="493">
        <v>15.423</v>
      </c>
      <c r="G18" s="494">
        <v>1.391</v>
      </c>
      <c r="H18" s="347">
        <f t="shared" si="1"/>
        <v>16.814</v>
      </c>
      <c r="J18" s="28">
        <f xml:space="preserve"> IF( SUM( L18:O18 ) = 0, 0, $M$5 )</f>
        <v>0</v>
      </c>
      <c r="M18" s="105">
        <f t="shared" si="4"/>
        <v>0</v>
      </c>
      <c r="N18" s="105">
        <f t="shared" si="4"/>
        <v>0</v>
      </c>
    </row>
    <row r="19" spans="1:15" s="122" customFormat="1" x14ac:dyDescent="0.2">
      <c r="C19" s="158"/>
      <c r="G19" s="169"/>
      <c r="I19" s="83"/>
      <c r="J19" s="83"/>
      <c r="K19" s="83"/>
      <c r="L19" s="84"/>
      <c r="M19" s="83"/>
      <c r="N19" s="83"/>
      <c r="O19" s="84"/>
    </row>
    <row r="20" spans="1:15" s="169" customFormat="1" x14ac:dyDescent="0.2">
      <c r="B20" s="897" t="s">
        <v>101</v>
      </c>
      <c r="C20" s="897"/>
      <c r="I20" s="83"/>
      <c r="J20" s="83"/>
      <c r="K20" s="83"/>
      <c r="L20" s="84"/>
      <c r="M20" s="83"/>
      <c r="N20" s="83"/>
      <c r="O20" s="84"/>
    </row>
    <row r="21" spans="1:15" s="169" customFormat="1" x14ac:dyDescent="0.2">
      <c r="B21" s="146"/>
      <c r="C21" s="147"/>
      <c r="I21" s="83"/>
      <c r="J21" s="83"/>
      <c r="K21" s="83"/>
      <c r="L21" s="84"/>
      <c r="M21" s="83"/>
      <c r="N21" s="83"/>
      <c r="O21" s="84"/>
    </row>
    <row r="22" spans="1:15" s="169" customFormat="1" x14ac:dyDescent="0.2">
      <c r="B22" s="29"/>
      <c r="C22" s="148" t="s">
        <v>102</v>
      </c>
      <c r="I22" s="83"/>
      <c r="J22" s="83"/>
      <c r="K22" s="83"/>
      <c r="L22" s="84"/>
      <c r="M22" s="83"/>
      <c r="N22" s="83"/>
      <c r="O22" s="84"/>
    </row>
    <row r="23" spans="1:15" s="169" customFormat="1" x14ac:dyDescent="0.2">
      <c r="B23" s="146"/>
      <c r="C23" s="147"/>
      <c r="I23" s="129"/>
      <c r="J23" s="131"/>
      <c r="K23" s="129"/>
      <c r="L23" s="84"/>
      <c r="M23" s="83"/>
      <c r="N23" s="83"/>
      <c r="O23" s="84"/>
    </row>
    <row r="24" spans="1:15" s="169" customFormat="1" ht="12" x14ac:dyDescent="0.2">
      <c r="B24" s="149"/>
      <c r="C24" s="148" t="s">
        <v>103</v>
      </c>
      <c r="I24" s="135"/>
      <c r="J24" s="135"/>
      <c r="K24" s="135"/>
      <c r="L24" s="133"/>
      <c r="M24" s="135"/>
      <c r="N24" s="135"/>
      <c r="O24" s="133"/>
    </row>
    <row r="25" spans="1:15" s="169" customFormat="1" ht="12" x14ac:dyDescent="0.2">
      <c r="B25" s="150"/>
      <c r="C25" s="148"/>
      <c r="I25" s="135"/>
      <c r="J25" s="135"/>
      <c r="K25" s="135"/>
      <c r="L25" s="130"/>
      <c r="M25" s="135"/>
      <c r="N25" s="135"/>
      <c r="O25" s="130"/>
    </row>
    <row r="26" spans="1:15" s="169" customFormat="1" ht="12" x14ac:dyDescent="0.2">
      <c r="B26" s="151"/>
      <c r="C26" s="148" t="s">
        <v>104</v>
      </c>
      <c r="I26" s="135"/>
      <c r="J26" s="135"/>
      <c r="K26" s="135"/>
      <c r="L26" s="130"/>
      <c r="M26" s="135"/>
      <c r="N26" s="135"/>
      <c r="O26" s="130"/>
    </row>
    <row r="27" spans="1:15" s="186" customFormat="1" ht="12.75" x14ac:dyDescent="0.2">
      <c r="A27" s="156"/>
      <c r="B27" s="156"/>
      <c r="C27" s="157"/>
      <c r="I27" s="135"/>
      <c r="J27" s="135"/>
      <c r="K27" s="135"/>
      <c r="L27" s="130"/>
      <c r="M27" s="135"/>
      <c r="N27" s="135"/>
      <c r="O27" s="130"/>
    </row>
    <row r="28" spans="1:15" s="186" customFormat="1" ht="13.5" thickBot="1" x14ac:dyDescent="0.25">
      <c r="C28" s="187"/>
      <c r="I28" s="135"/>
      <c r="J28" s="135"/>
      <c r="K28" s="135"/>
      <c r="L28" s="130"/>
      <c r="M28" s="135"/>
      <c r="N28" s="135"/>
      <c r="O28" s="130"/>
    </row>
    <row r="29" spans="1:15" s="122" customFormat="1" ht="16.5" thickBot="1" x14ac:dyDescent="0.25">
      <c r="B29" s="152" t="str">
        <f ca="1" xml:space="preserve"> RIGHT(CELL("filename", $A$1), LEN(CELL("filename", $A$1)) - SEARCH("]", CELL("filename", $A$1)))&amp;" - Line definitions"</f>
        <v>2C - Line definitions</v>
      </c>
      <c r="C29" s="153"/>
      <c r="D29" s="154"/>
      <c r="E29" s="154"/>
      <c r="F29" s="154"/>
      <c r="G29" s="154"/>
      <c r="H29" s="260"/>
      <c r="I29" s="135"/>
      <c r="J29" s="135"/>
      <c r="K29" s="135"/>
      <c r="L29" s="130"/>
      <c r="M29" s="135"/>
      <c r="N29" s="135"/>
      <c r="O29" s="130"/>
    </row>
    <row r="30" spans="1:15" s="122" customFormat="1" ht="15" thickBot="1" x14ac:dyDescent="0.25">
      <c r="B30" s="87"/>
      <c r="C30" s="161"/>
      <c r="D30" s="87"/>
      <c r="E30" s="87"/>
      <c r="F30" s="87"/>
      <c r="I30" s="135"/>
      <c r="J30" s="135"/>
      <c r="K30" s="135"/>
      <c r="L30" s="130"/>
      <c r="M30" s="135"/>
      <c r="N30" s="135"/>
      <c r="O30" s="130"/>
    </row>
    <row r="31" spans="1:15" s="322" customFormat="1" thickBot="1" x14ac:dyDescent="0.25">
      <c r="B31" s="162" t="s">
        <v>105</v>
      </c>
      <c r="C31" s="850" t="s">
        <v>296</v>
      </c>
      <c r="D31" s="949" t="s">
        <v>377</v>
      </c>
      <c r="E31" s="949"/>
      <c r="F31" s="949"/>
      <c r="G31" s="949"/>
      <c r="H31" s="950"/>
      <c r="I31" s="137"/>
      <c r="J31" s="135"/>
      <c r="K31" s="135"/>
      <c r="L31" s="130"/>
      <c r="M31" s="135"/>
      <c r="N31" s="135"/>
      <c r="O31" s="130"/>
    </row>
    <row r="32" spans="1:15" ht="178.5" x14ac:dyDescent="0.2">
      <c r="B32" s="394">
        <v>1</v>
      </c>
      <c r="C32" s="663" t="s">
        <v>386</v>
      </c>
      <c r="D32" s="951" t="s">
        <v>387</v>
      </c>
      <c r="E32" s="951"/>
      <c r="F32" s="951"/>
      <c r="G32" s="951"/>
      <c r="H32" s="952"/>
      <c r="I32" s="137"/>
      <c r="J32" s="135"/>
      <c r="K32" s="135"/>
      <c r="L32" s="130"/>
      <c r="M32" s="168" t="s">
        <v>388</v>
      </c>
      <c r="N32" s="135"/>
      <c r="O32" s="130"/>
    </row>
    <row r="33" spans="2:15" ht="140.25" x14ac:dyDescent="0.2">
      <c r="B33" s="395">
        <f t="shared" ref="B33:B41" si="7">+B32+1</f>
        <v>2</v>
      </c>
      <c r="C33" s="851" t="s">
        <v>389</v>
      </c>
      <c r="D33" s="879" t="s">
        <v>390</v>
      </c>
      <c r="E33" s="879"/>
      <c r="F33" s="879"/>
      <c r="G33" s="879"/>
      <c r="H33" s="880"/>
      <c r="I33" s="129"/>
      <c r="J33" s="131"/>
      <c r="K33" s="129"/>
      <c r="L33" s="130"/>
      <c r="M33" s="168" t="s">
        <v>391</v>
      </c>
      <c r="N33" s="129"/>
      <c r="O33" s="130"/>
    </row>
    <row r="34" spans="2:15" ht="51" x14ac:dyDescent="0.2">
      <c r="B34" s="395">
        <f t="shared" si="7"/>
        <v>3</v>
      </c>
      <c r="C34" s="851" t="s">
        <v>392</v>
      </c>
      <c r="D34" s="879" t="s">
        <v>393</v>
      </c>
      <c r="E34" s="879"/>
      <c r="F34" s="879"/>
      <c r="G34" s="879"/>
      <c r="H34" s="880"/>
      <c r="I34" s="129"/>
      <c r="J34" s="131"/>
      <c r="K34" s="129"/>
      <c r="L34" s="133"/>
      <c r="M34" s="387" t="s">
        <v>118</v>
      </c>
      <c r="N34" s="129"/>
      <c r="O34" s="133"/>
    </row>
    <row r="35" spans="2:15" ht="96" x14ac:dyDescent="0.2">
      <c r="B35" s="395">
        <f t="shared" si="7"/>
        <v>4</v>
      </c>
      <c r="C35" s="851" t="s">
        <v>394</v>
      </c>
      <c r="D35" s="879" t="s">
        <v>395</v>
      </c>
      <c r="E35" s="879"/>
      <c r="F35" s="879"/>
      <c r="G35" s="879"/>
      <c r="H35" s="880"/>
      <c r="I35" s="352"/>
      <c r="J35" s="137"/>
      <c r="K35" s="129"/>
      <c r="L35" s="133"/>
      <c r="M35" s="387" t="s">
        <v>396</v>
      </c>
      <c r="N35" s="129"/>
      <c r="O35" s="133"/>
    </row>
    <row r="36" spans="2:15" ht="89.25" x14ac:dyDescent="0.2">
      <c r="B36" s="395">
        <f t="shared" si="7"/>
        <v>5</v>
      </c>
      <c r="C36" s="851" t="s">
        <v>397</v>
      </c>
      <c r="D36" s="953" t="s">
        <v>398</v>
      </c>
      <c r="E36" s="953"/>
      <c r="F36" s="953"/>
      <c r="G36" s="953"/>
      <c r="H36" s="954"/>
      <c r="I36" s="355"/>
      <c r="J36" s="131"/>
      <c r="K36" s="129"/>
      <c r="L36" s="133"/>
      <c r="M36" s="387" t="s">
        <v>399</v>
      </c>
      <c r="N36" s="129"/>
      <c r="O36" s="133"/>
    </row>
    <row r="37" spans="2:15" ht="178.5" x14ac:dyDescent="0.2">
      <c r="B37" s="395">
        <f t="shared" si="7"/>
        <v>6</v>
      </c>
      <c r="C37" s="851" t="s">
        <v>400</v>
      </c>
      <c r="D37" s="879" t="s">
        <v>401</v>
      </c>
      <c r="E37" s="879"/>
      <c r="F37" s="879"/>
      <c r="G37" s="879"/>
      <c r="H37" s="880"/>
      <c r="I37" s="355"/>
      <c r="J37" s="122"/>
      <c r="K37" s="122"/>
      <c r="L37" s="133"/>
      <c r="M37" s="168" t="s">
        <v>402</v>
      </c>
      <c r="N37" s="122"/>
      <c r="O37" s="133"/>
    </row>
    <row r="38" spans="2:15" ht="14.1" customHeight="1" x14ac:dyDescent="0.2">
      <c r="B38" s="395">
        <f t="shared" si="7"/>
        <v>7</v>
      </c>
      <c r="C38" s="851" t="s">
        <v>403</v>
      </c>
      <c r="D38" s="879" t="s">
        <v>403</v>
      </c>
      <c r="E38" s="879"/>
      <c r="F38" s="879"/>
      <c r="G38" s="879"/>
      <c r="H38" s="880"/>
      <c r="I38" s="355"/>
      <c r="J38" s="122"/>
      <c r="K38" s="122"/>
      <c r="L38" s="133"/>
      <c r="M38" s="264">
        <v>1</v>
      </c>
      <c r="N38" s="122"/>
      <c r="O38" s="133"/>
    </row>
    <row r="39" spans="2:15" ht="25.15" customHeight="1" x14ac:dyDescent="0.2">
      <c r="B39" s="395">
        <f t="shared" si="7"/>
        <v>8</v>
      </c>
      <c r="C39" s="851" t="s">
        <v>404</v>
      </c>
      <c r="D39" s="879" t="s">
        <v>405</v>
      </c>
      <c r="E39" s="879"/>
      <c r="F39" s="879"/>
      <c r="G39" s="879"/>
      <c r="H39" s="880"/>
      <c r="I39" s="355"/>
      <c r="J39" s="131"/>
      <c r="K39" s="131"/>
      <c r="L39" s="133"/>
      <c r="M39" s="387" t="s">
        <v>112</v>
      </c>
      <c r="N39" s="131"/>
      <c r="O39" s="133"/>
    </row>
    <row r="40" spans="2:15" ht="38.25" x14ac:dyDescent="0.2">
      <c r="B40" s="395">
        <f t="shared" si="7"/>
        <v>9</v>
      </c>
      <c r="C40" s="851" t="s">
        <v>406</v>
      </c>
      <c r="D40" s="879" t="s">
        <v>407</v>
      </c>
      <c r="E40" s="879"/>
      <c r="F40" s="879"/>
      <c r="G40" s="879"/>
      <c r="H40" s="880"/>
      <c r="I40" s="355"/>
      <c r="J40" s="131"/>
      <c r="K40" s="131"/>
      <c r="L40" s="133"/>
      <c r="M40" s="387" t="s">
        <v>109</v>
      </c>
      <c r="N40" s="131"/>
      <c r="O40" s="133"/>
    </row>
    <row r="41" spans="2:15" ht="25.15" customHeight="1" x14ac:dyDescent="0.2">
      <c r="B41" s="395">
        <f t="shared" si="7"/>
        <v>10</v>
      </c>
      <c r="C41" s="851" t="s">
        <v>408</v>
      </c>
      <c r="D41" s="879" t="s">
        <v>409</v>
      </c>
      <c r="E41" s="879"/>
      <c r="F41" s="879"/>
      <c r="G41" s="879"/>
      <c r="H41" s="880"/>
      <c r="I41" s="355"/>
      <c r="J41" s="131"/>
      <c r="K41" s="131"/>
      <c r="L41" s="133"/>
      <c r="M41" s="387" t="s">
        <v>112</v>
      </c>
      <c r="N41" s="131"/>
      <c r="O41" s="133"/>
    </row>
    <row r="42" spans="2:15" ht="25.15" customHeight="1" x14ac:dyDescent="0.2">
      <c r="B42" s="395">
        <v>11</v>
      </c>
      <c r="C42" s="851" t="s">
        <v>410</v>
      </c>
      <c r="D42" s="879" t="s">
        <v>411</v>
      </c>
      <c r="E42" s="879"/>
      <c r="F42" s="879"/>
      <c r="G42" s="879"/>
      <c r="H42" s="880"/>
      <c r="I42" s="355"/>
      <c r="J42" s="131"/>
      <c r="K42" s="131"/>
      <c r="L42" s="133"/>
      <c r="M42" s="387"/>
      <c r="N42" s="131"/>
      <c r="O42" s="133"/>
    </row>
    <row r="43" spans="2:15" ht="25.5" x14ac:dyDescent="0.2">
      <c r="B43" s="395">
        <v>12</v>
      </c>
      <c r="C43" s="851" t="s">
        <v>412</v>
      </c>
      <c r="D43" s="879" t="s">
        <v>413</v>
      </c>
      <c r="E43" s="879"/>
      <c r="F43" s="879"/>
      <c r="G43" s="879"/>
      <c r="H43" s="880"/>
      <c r="I43" s="355"/>
      <c r="L43" s="133"/>
      <c r="M43" s="168" t="s">
        <v>112</v>
      </c>
      <c r="O43" s="133"/>
    </row>
    <row r="44" spans="2:15" ht="64.5" thickBot="1" x14ac:dyDescent="0.25">
      <c r="B44" s="396">
        <v>13</v>
      </c>
      <c r="C44" s="664" t="s">
        <v>414</v>
      </c>
      <c r="D44" s="955" t="s">
        <v>415</v>
      </c>
      <c r="E44" s="955"/>
      <c r="F44" s="955"/>
      <c r="G44" s="955"/>
      <c r="H44" s="956"/>
      <c r="I44" s="355"/>
      <c r="M44" s="168" t="s">
        <v>396</v>
      </c>
    </row>
    <row r="45" spans="2:15" x14ac:dyDescent="0.2">
      <c r="F45"/>
      <c r="G45"/>
      <c r="I45" s="355"/>
      <c r="M45" s="132"/>
    </row>
    <row r="46" spans="2:15" hidden="1" x14ac:dyDescent="0.2">
      <c r="F46"/>
      <c r="G46"/>
      <c r="I46" s="355"/>
      <c r="M46" s="132"/>
    </row>
    <row r="47" spans="2:15" hidden="1" x14ac:dyDescent="0.2">
      <c r="F47"/>
      <c r="G47"/>
      <c r="I47" s="355"/>
    </row>
    <row r="48" spans="2:15" hidden="1" x14ac:dyDescent="0.2">
      <c r="F48"/>
      <c r="G48"/>
      <c r="I48" s="355"/>
    </row>
    <row r="49" spans="6:7" hidden="1" x14ac:dyDescent="0.2">
      <c r="F49"/>
      <c r="G49"/>
    </row>
  </sheetData>
  <sheetProtection algorithmName="SHA-512" hashValue="OvvCAmS0GXQRW5wWyCD55lqCNQ9EaKttsmPc15PauFP1Pu3kMPcMpzBCzbpsvqmapX99VCeikZyZcNZlS0EXiQ==" saltValue="iqBlCRDosdQz1mzIPxkjtg==" spinCount="100000" sheet="1" objects="1" scenarios="1"/>
  <mergeCells count="18">
    <mergeCell ref="D39:H39"/>
    <mergeCell ref="D40:H40"/>
    <mergeCell ref="D41:H41"/>
    <mergeCell ref="D43:H43"/>
    <mergeCell ref="D44:H44"/>
    <mergeCell ref="D42:H42"/>
    <mergeCell ref="D38:H38"/>
    <mergeCell ref="B3:C3"/>
    <mergeCell ref="M3:N4"/>
    <mergeCell ref="B5:C5"/>
    <mergeCell ref="B20:C20"/>
    <mergeCell ref="D31:H31"/>
    <mergeCell ref="D32:H32"/>
    <mergeCell ref="D33:H33"/>
    <mergeCell ref="D34:H34"/>
    <mergeCell ref="D35:H35"/>
    <mergeCell ref="D36:H36"/>
    <mergeCell ref="D37:H37"/>
  </mergeCells>
  <conditionalFormatting sqref="J6:J11">
    <cfRule type="cellIs" dxfId="174" priority="5" operator="equal">
      <formula>0</formula>
    </cfRule>
  </conditionalFormatting>
  <conditionalFormatting sqref="J13">
    <cfRule type="cellIs" dxfId="173" priority="3" operator="equal">
      <formula>0</formula>
    </cfRule>
  </conditionalFormatting>
  <conditionalFormatting sqref="J15:J16">
    <cfRule type="cellIs" dxfId="172" priority="2" operator="equal">
      <formula>0</formula>
    </cfRule>
  </conditionalFormatting>
  <conditionalFormatting sqref="J18">
    <cfRule type="cellIs" dxfId="171" priority="1" operator="equal">
      <formula>0</formula>
    </cfRule>
  </conditionalFormatting>
  <conditionalFormatting sqref="J21:J22">
    <cfRule type="cellIs" dxfId="170" priority="4" operator="equal">
      <formula>2</formula>
    </cfRule>
  </conditionalFormatting>
  <printOptions horizontalCentered="1"/>
  <pageMargins left="0.39370078740157483" right="0.39370078740157483" top="0.78740157480314965" bottom="0.78740157480314965" header="0.31496062992125984" footer="0.31496062992125984"/>
  <pageSetup paperSize="9" scale="53" orientation="portrait" r:id="rId1"/>
  <headerFooter>
    <oddHeader>&amp;L&amp;9&amp;K857362Page &amp;P of &amp;N&amp;C&amp;9 &amp;K8573622017 annual performance report tables (May 2017) &amp;R&amp;9&amp;G</oddHeader>
    <oddFooter>&amp;L&amp;9&amp;K857362&amp;A&amp;R&amp;9&amp;K857362Printed: &amp;D &amp;T</oddFooter>
  </headerFooter>
  <rowBreaks count="1" manualBreakCount="1">
    <brk id="28" max="17"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70"/>
  <sheetViews>
    <sheetView showGridLines="0" zoomScale="90" zoomScaleNormal="90" workbookViewId="0">
      <selection activeCell="N17" sqref="N17"/>
    </sheetView>
  </sheetViews>
  <sheetFormatPr defaultColWidth="0" defaultRowHeight="14.25" zeroHeight="1" x14ac:dyDescent="0.2"/>
  <cols>
    <col min="1" max="1" width="1.625" style="83" customWidth="1"/>
    <col min="2" max="2" width="4.125" style="83" customWidth="1"/>
    <col min="3" max="3" width="38.125" style="83" customWidth="1"/>
    <col min="4" max="5" width="5.125" style="83" customWidth="1"/>
    <col min="6" max="12" width="12.625" style="83" customWidth="1"/>
    <col min="13" max="13" width="2.625" style="83" customWidth="1"/>
    <col min="14" max="14" width="36.75" style="87" customWidth="1"/>
    <col min="15" max="15" width="18.75" style="83" bestFit="1" customWidth="1"/>
    <col min="16" max="16" width="1.625" style="83" customWidth="1"/>
    <col min="17" max="17" width="1.625" style="84" hidden="1" customWidth="1"/>
    <col min="18" max="23" width="4.625" style="83" hidden="1" customWidth="1"/>
    <col min="24" max="24" width="1.625" style="84" hidden="1" customWidth="1"/>
    <col min="25" max="25" width="8" style="87" hidden="1" customWidth="1"/>
    <col min="26" max="26" width="1.625" style="84" hidden="1" customWidth="1"/>
    <col min="27" max="27" width="5.625" style="87" hidden="1" customWidth="1"/>
    <col min="28" max="28" width="5.25" style="87" hidden="1" customWidth="1"/>
    <col min="29" max="29" width="38.25" style="87" hidden="1" customWidth="1"/>
    <col min="30" max="30" width="1.625" style="84" hidden="1" customWidth="1"/>
    <col min="31" max="16384" width="9" style="83" hidden="1"/>
  </cols>
  <sheetData>
    <row r="1" spans="2:29" ht="20.25" x14ac:dyDescent="0.2">
      <c r="B1" s="79" t="s">
        <v>416</v>
      </c>
      <c r="C1" s="79"/>
      <c r="D1" s="79"/>
      <c r="E1" s="79"/>
      <c r="F1" s="79"/>
      <c r="G1" s="79"/>
      <c r="H1" s="79"/>
      <c r="I1" s="79"/>
      <c r="J1" s="79"/>
      <c r="K1" s="79"/>
      <c r="L1" s="81" t="str">
        <f>Validation!B3</f>
        <v>Yorkshire Water</v>
      </c>
      <c r="M1" s="79"/>
      <c r="N1" s="82"/>
      <c r="O1" s="82" t="s">
        <v>72</v>
      </c>
      <c r="Y1" s="83"/>
      <c r="AA1" s="83"/>
      <c r="AB1" s="83"/>
      <c r="AC1" s="83"/>
    </row>
    <row r="2" spans="2:29" ht="15" thickBot="1" x14ac:dyDescent="0.25">
      <c r="B2" s="86" t="s">
        <v>55</v>
      </c>
      <c r="N2" s="83"/>
      <c r="Y2" s="83"/>
      <c r="AA2" s="83"/>
      <c r="AB2" s="83"/>
      <c r="AC2" s="83"/>
    </row>
    <row r="3" spans="2:29" ht="14.65" customHeight="1" x14ac:dyDescent="0.2">
      <c r="B3" s="881" t="s">
        <v>73</v>
      </c>
      <c r="C3" s="882"/>
      <c r="D3" s="885" t="s">
        <v>74</v>
      </c>
      <c r="E3" s="887" t="s">
        <v>75</v>
      </c>
      <c r="F3" s="891" t="s">
        <v>293</v>
      </c>
      <c r="G3" s="909"/>
      <c r="H3" s="909"/>
      <c r="I3" s="893"/>
      <c r="J3" s="909" t="s">
        <v>292</v>
      </c>
      <c r="K3" s="910"/>
      <c r="L3" s="894" t="s">
        <v>257</v>
      </c>
      <c r="M3" s="383"/>
      <c r="N3" s="894" t="s">
        <v>294</v>
      </c>
      <c r="O3" s="894" t="s">
        <v>79</v>
      </c>
      <c r="R3" s="896" t="s">
        <v>83</v>
      </c>
      <c r="S3" s="896"/>
      <c r="T3" s="896"/>
      <c r="U3" s="896"/>
      <c r="V3" s="957"/>
      <c r="W3" s="957"/>
      <c r="Y3" s="896" t="s">
        <v>61</v>
      </c>
      <c r="AA3" s="934" t="s">
        <v>295</v>
      </c>
      <c r="AB3" s="934"/>
      <c r="AC3" s="934"/>
    </row>
    <row r="4" spans="2:29" ht="27.75" thickBot="1" x14ac:dyDescent="0.25">
      <c r="B4" s="883"/>
      <c r="C4" s="884"/>
      <c r="D4" s="886"/>
      <c r="E4" s="888"/>
      <c r="F4" s="384" t="s">
        <v>329</v>
      </c>
      <c r="G4" s="91" t="s">
        <v>299</v>
      </c>
      <c r="H4" s="665" t="s">
        <v>330</v>
      </c>
      <c r="I4" s="385" t="s">
        <v>302</v>
      </c>
      <c r="J4" s="386" t="s">
        <v>296</v>
      </c>
      <c r="K4" s="847" t="s">
        <v>297</v>
      </c>
      <c r="L4" s="895"/>
      <c r="M4" s="383"/>
      <c r="N4" s="895"/>
      <c r="O4" s="895"/>
      <c r="P4" s="92"/>
      <c r="R4" s="896"/>
      <c r="S4" s="896"/>
      <c r="T4" s="896"/>
      <c r="U4" s="896"/>
      <c r="V4" s="957"/>
      <c r="W4" s="957"/>
      <c r="Y4" s="896"/>
      <c r="AA4" s="934"/>
      <c r="AB4" s="934"/>
      <c r="AC4" s="934"/>
    </row>
    <row r="5" spans="2:29" ht="15" thickBot="1" x14ac:dyDescent="0.25">
      <c r="N5" s="137"/>
      <c r="R5" s="97" t="s">
        <v>84</v>
      </c>
      <c r="S5" s="97"/>
      <c r="T5" s="97"/>
    </row>
    <row r="6" spans="2:29" ht="15" thickBot="1" x14ac:dyDescent="0.25">
      <c r="B6" s="95" t="s">
        <v>134</v>
      </c>
      <c r="C6" s="96" t="s">
        <v>417</v>
      </c>
      <c r="N6" s="137"/>
      <c r="Y6" s="132"/>
      <c r="AA6" s="171"/>
      <c r="AB6" s="171"/>
      <c r="AC6" s="920"/>
    </row>
    <row r="7" spans="2:29" x14ac:dyDescent="0.2">
      <c r="B7" s="98">
        <v>1</v>
      </c>
      <c r="C7" s="128" t="s">
        <v>418</v>
      </c>
      <c r="D7" s="100" t="s">
        <v>86</v>
      </c>
      <c r="E7" s="101">
        <v>3</v>
      </c>
      <c r="F7" s="441">
        <v>409.09800000000001</v>
      </c>
      <c r="G7" s="505">
        <v>4422.1559999999999</v>
      </c>
      <c r="H7" s="452">
        <v>5013.6109999999999</v>
      </c>
      <c r="I7" s="509">
        <v>552.851</v>
      </c>
      <c r="J7" s="451">
        <v>70.936000000000007</v>
      </c>
      <c r="K7" s="487">
        <v>5.1349999999999998</v>
      </c>
      <c r="L7" s="209">
        <f>SUM(F7:K7)</f>
        <v>10473.787</v>
      </c>
      <c r="N7" s="137"/>
      <c r="O7" s="28">
        <f xml:space="preserve"> IF( SUM( Q7:X7 ) = 0, 0, $R$5 )</f>
        <v>0</v>
      </c>
      <c r="R7" s="105">
        <f t="shared" ref="R7:S10" si="0" xml:space="preserve"> IF( ISNUMBER( F7 ), 0, 1 )</f>
        <v>0</v>
      </c>
      <c r="S7" s="105">
        <f t="shared" si="0"/>
        <v>0</v>
      </c>
      <c r="T7" s="105">
        <f>IF(Validation!$H$3=1,0,IF(ISNUMBER(H7),0,1))</f>
        <v>0</v>
      </c>
      <c r="U7" s="105">
        <f>IF(Validation!$H$3=1,0,IF(ISNUMBER(I7),0,1))</f>
        <v>0</v>
      </c>
      <c r="V7" s="105">
        <f t="shared" ref="V7:W10" si="1" xml:space="preserve"> IF( ISNUMBER( J7 ), 0, 1 )</f>
        <v>0</v>
      </c>
      <c r="W7" s="105">
        <f t="shared" si="1"/>
        <v>0</v>
      </c>
      <c r="AC7" s="920"/>
    </row>
    <row r="8" spans="2:29" x14ac:dyDescent="0.2">
      <c r="B8" s="106">
        <f xml:space="preserve"> B7 + 1</f>
        <v>2</v>
      </c>
      <c r="C8" s="99" t="s">
        <v>419</v>
      </c>
      <c r="D8" s="107" t="s">
        <v>86</v>
      </c>
      <c r="E8" s="108">
        <v>3</v>
      </c>
      <c r="F8" s="439">
        <v>-1.5129999999999999</v>
      </c>
      <c r="G8" s="501">
        <v>-3.766</v>
      </c>
      <c r="H8" s="440">
        <v>-34.149000000000001</v>
      </c>
      <c r="I8" s="510">
        <v>-61.63</v>
      </c>
      <c r="J8" s="453">
        <v>-6.5000000000000002E-2</v>
      </c>
      <c r="K8" s="488">
        <v>-7.4999999999999997E-2</v>
      </c>
      <c r="L8" s="249">
        <f>SUM(F8:K8)</f>
        <v>-101.19799999999999</v>
      </c>
      <c r="N8" s="137"/>
      <c r="O8" s="28">
        <f t="shared" ref="O8:O10" si="2" xml:space="preserve"> IF( SUM( Q8:X8 ) = 0, 0, $R$5 )</f>
        <v>0</v>
      </c>
      <c r="R8" s="105">
        <f t="shared" si="0"/>
        <v>0</v>
      </c>
      <c r="S8" s="105">
        <f t="shared" si="0"/>
        <v>0</v>
      </c>
      <c r="T8" s="105">
        <f>IF(Validation!$H$3=1,0,IF(ISNUMBER(H8),0,1))</f>
        <v>0</v>
      </c>
      <c r="U8" s="105">
        <f>IF(Validation!$H$3=1,0,IF(ISNUMBER(I8),0,1))</f>
        <v>0</v>
      </c>
      <c r="V8" s="105">
        <f t="shared" si="1"/>
        <v>0</v>
      </c>
      <c r="W8" s="105">
        <f t="shared" si="1"/>
        <v>0</v>
      </c>
      <c r="Y8" s="132"/>
      <c r="AA8" s="171"/>
      <c r="AB8" s="171"/>
      <c r="AC8" s="844"/>
    </row>
    <row r="9" spans="2:29" x14ac:dyDescent="0.2">
      <c r="B9" s="106">
        <f t="shared" ref="B9:B16" si="3" xml:space="preserve"> B8 + 1</f>
        <v>3</v>
      </c>
      <c r="C9" s="99" t="s">
        <v>420</v>
      </c>
      <c r="D9" s="107" t="s">
        <v>86</v>
      </c>
      <c r="E9" s="108">
        <v>3</v>
      </c>
      <c r="F9" s="439">
        <v>23.584</v>
      </c>
      <c r="G9" s="501">
        <v>234.50299999999999</v>
      </c>
      <c r="H9" s="440">
        <v>325.68900000000002</v>
      </c>
      <c r="I9" s="510">
        <v>39.845999999999997</v>
      </c>
      <c r="J9" s="453">
        <v>5.7119999999999997</v>
      </c>
      <c r="K9" s="488">
        <v>0</v>
      </c>
      <c r="L9" s="249">
        <f>SUM(F9:K9)</f>
        <v>629.33400000000006</v>
      </c>
      <c r="N9" s="137"/>
      <c r="O9" s="28">
        <f t="shared" si="2"/>
        <v>0</v>
      </c>
      <c r="R9" s="105">
        <f t="shared" si="0"/>
        <v>0</v>
      </c>
      <c r="S9" s="105">
        <f t="shared" si="0"/>
        <v>0</v>
      </c>
      <c r="T9" s="105">
        <f>IF(Validation!$H$3=1,0,IF(ISNUMBER(H9),0,1))</f>
        <v>0</v>
      </c>
      <c r="U9" s="105">
        <f>IF(Validation!$H$3=1,0,IF(ISNUMBER(I9),0,1))</f>
        <v>0</v>
      </c>
      <c r="V9" s="105">
        <f t="shared" si="1"/>
        <v>0</v>
      </c>
      <c r="W9" s="105">
        <f t="shared" si="1"/>
        <v>0</v>
      </c>
      <c r="Y9" s="132"/>
      <c r="AA9" s="171"/>
      <c r="AB9" s="171"/>
      <c r="AC9" s="844"/>
    </row>
    <row r="10" spans="2:29" x14ac:dyDescent="0.2">
      <c r="B10" s="106">
        <f t="shared" si="3"/>
        <v>4</v>
      </c>
      <c r="C10" s="228" t="s">
        <v>421</v>
      </c>
      <c r="D10" s="107" t="s">
        <v>86</v>
      </c>
      <c r="E10" s="108">
        <v>3</v>
      </c>
      <c r="F10" s="503">
        <v>0</v>
      </c>
      <c r="G10" s="502">
        <v>0</v>
      </c>
      <c r="H10" s="504">
        <v>8.1319999999999997</v>
      </c>
      <c r="I10" s="745">
        <v>0</v>
      </c>
      <c r="J10" s="667">
        <v>0</v>
      </c>
      <c r="K10" s="668">
        <v>0</v>
      </c>
      <c r="L10" s="249">
        <f>SUM(F10:K10)</f>
        <v>8.1319999999999997</v>
      </c>
      <c r="N10" s="137"/>
      <c r="O10" s="28">
        <f t="shared" si="2"/>
        <v>0</v>
      </c>
      <c r="R10" s="105">
        <f t="shared" si="0"/>
        <v>0</v>
      </c>
      <c r="S10" s="105">
        <f t="shared" si="0"/>
        <v>0</v>
      </c>
      <c r="T10" s="105">
        <f>IF(Validation!$H$3=1,0,IF(ISNUMBER(H10),0,1))</f>
        <v>0</v>
      </c>
      <c r="U10" s="105">
        <f>IF(Validation!$H$3=1,0,IF(ISNUMBER(I10),0,1))</f>
        <v>0</v>
      </c>
      <c r="V10" s="105">
        <f t="shared" si="1"/>
        <v>0</v>
      </c>
      <c r="W10" s="105">
        <f t="shared" si="1"/>
        <v>0</v>
      </c>
      <c r="Y10" s="132"/>
      <c r="AA10" s="171"/>
      <c r="AB10" s="171"/>
      <c r="AC10" s="844"/>
    </row>
    <row r="11" spans="2:29" ht="15" thickBot="1" x14ac:dyDescent="0.25">
      <c r="B11" s="113">
        <f xml:space="preserve"> B10 + 1</f>
        <v>5</v>
      </c>
      <c r="C11" s="114" t="s">
        <v>422</v>
      </c>
      <c r="D11" s="115" t="s">
        <v>86</v>
      </c>
      <c r="E11" s="112">
        <v>3</v>
      </c>
      <c r="F11" s="203">
        <f t="shared" ref="F11:K11" si="4">SUM(F7:F10)</f>
        <v>431.16900000000004</v>
      </c>
      <c r="G11" s="666">
        <f t="shared" si="4"/>
        <v>4652.893</v>
      </c>
      <c r="H11" s="204">
        <f t="shared" si="4"/>
        <v>5313.2829999999994</v>
      </c>
      <c r="I11" s="208">
        <f t="shared" si="4"/>
        <v>531.06700000000001</v>
      </c>
      <c r="J11" s="250">
        <f t="shared" si="4"/>
        <v>76.583000000000013</v>
      </c>
      <c r="K11" s="373">
        <f t="shared" si="4"/>
        <v>5.0599999999999996</v>
      </c>
      <c r="L11" s="210">
        <f>SUM(F11:K11)</f>
        <v>11010.055</v>
      </c>
      <c r="N11" s="137"/>
      <c r="Y11" s="132"/>
      <c r="AA11" s="171"/>
      <c r="AB11" s="171"/>
      <c r="AC11" s="844"/>
    </row>
    <row r="12" spans="2:29" ht="15" thickBot="1" x14ac:dyDescent="0.25">
      <c r="N12" s="137"/>
    </row>
    <row r="13" spans="2:29" ht="15" thickBot="1" x14ac:dyDescent="0.25">
      <c r="B13" s="95" t="s">
        <v>143</v>
      </c>
      <c r="C13" s="96" t="s">
        <v>206</v>
      </c>
      <c r="N13" s="135"/>
    </row>
    <row r="14" spans="2:29" x14ac:dyDescent="0.2">
      <c r="B14" s="98">
        <f>B11+1</f>
        <v>6</v>
      </c>
      <c r="C14" s="128" t="s">
        <v>418</v>
      </c>
      <c r="D14" s="100" t="s">
        <v>86</v>
      </c>
      <c r="E14" s="101">
        <v>3</v>
      </c>
      <c r="F14" s="441">
        <v>-129.78399999999999</v>
      </c>
      <c r="G14" s="451">
        <v>-1694.6489999999999</v>
      </c>
      <c r="H14" s="452">
        <v>-1582.289</v>
      </c>
      <c r="I14" s="509">
        <v>-237.08</v>
      </c>
      <c r="J14" s="451">
        <v>-54.764000000000003</v>
      </c>
      <c r="K14" s="487">
        <v>-4.125</v>
      </c>
      <c r="L14" s="209">
        <f>SUM(F14:K14)</f>
        <v>-3702.6909999999998</v>
      </c>
      <c r="N14" s="135"/>
      <c r="O14" s="28">
        <f t="shared" ref="O14:O16" si="5" xml:space="preserve"> IF( SUM( Q14:X14 ) = 0, 0, $R$5 )</f>
        <v>0</v>
      </c>
      <c r="R14" s="105">
        <f t="shared" ref="R14:S16" si="6" xml:space="preserve"> IF( ISNUMBER( F14 ), 0, 1 )</f>
        <v>0</v>
      </c>
      <c r="S14" s="105">
        <f t="shared" si="6"/>
        <v>0</v>
      </c>
      <c r="T14" s="105">
        <f>IF(Validation!$H$3=1,0,IF(ISNUMBER(H14),0,1))</f>
        <v>0</v>
      </c>
      <c r="U14" s="105">
        <f>IF(Validation!$H$3=1,0,IF(ISNUMBER(I14),0,1))</f>
        <v>0</v>
      </c>
      <c r="V14" s="105">
        <f t="shared" ref="V14:W15" si="7" xml:space="preserve"> IF( ISNUMBER( J14 ), 0, 1 )</f>
        <v>0</v>
      </c>
      <c r="W14" s="105">
        <f t="shared" si="7"/>
        <v>0</v>
      </c>
    </row>
    <row r="15" spans="2:29" x14ac:dyDescent="0.2">
      <c r="B15" s="106">
        <f t="shared" si="3"/>
        <v>7</v>
      </c>
      <c r="C15" s="99" t="s">
        <v>419</v>
      </c>
      <c r="D15" s="107" t="s">
        <v>86</v>
      </c>
      <c r="E15" s="108">
        <v>3</v>
      </c>
      <c r="F15" s="439">
        <v>0.68899999999999995</v>
      </c>
      <c r="G15" s="453">
        <v>3.766</v>
      </c>
      <c r="H15" s="440">
        <v>34.053999999999995</v>
      </c>
      <c r="I15" s="510">
        <v>61.941000000000003</v>
      </c>
      <c r="J15" s="453">
        <v>6.5000000000000002E-2</v>
      </c>
      <c r="K15" s="488">
        <v>7.4999999999999997E-2</v>
      </c>
      <c r="L15" s="249">
        <f>SUM(F15:K15)</f>
        <v>100.58999999999999</v>
      </c>
      <c r="N15" s="135"/>
      <c r="O15" s="28">
        <f t="shared" si="5"/>
        <v>0</v>
      </c>
      <c r="R15" s="105">
        <f t="shared" si="6"/>
        <v>0</v>
      </c>
      <c r="S15" s="105">
        <f t="shared" si="6"/>
        <v>0</v>
      </c>
      <c r="T15" s="105">
        <f>IF(Validation!$H$3=1,0,IF(ISNUMBER(H15),0,1))</f>
        <v>0</v>
      </c>
      <c r="U15" s="105">
        <f>IF(Validation!$H$3=1,0,IF(ISNUMBER(I15),0,1))</f>
        <v>0</v>
      </c>
      <c r="V15" s="105">
        <f t="shared" si="7"/>
        <v>0</v>
      </c>
      <c r="W15" s="105">
        <f t="shared" si="7"/>
        <v>0</v>
      </c>
    </row>
    <row r="16" spans="2:29" x14ac:dyDescent="0.2">
      <c r="B16" s="106">
        <f t="shared" si="3"/>
        <v>8</v>
      </c>
      <c r="C16" s="99" t="s">
        <v>423</v>
      </c>
      <c r="D16" s="107" t="s">
        <v>86</v>
      </c>
      <c r="E16" s="108">
        <v>3</v>
      </c>
      <c r="F16" s="439">
        <v>-7.3330000000000002</v>
      </c>
      <c r="G16" s="453">
        <v>-93.846000000000004</v>
      </c>
      <c r="H16" s="440">
        <v>-114.248</v>
      </c>
      <c r="I16" s="510">
        <v>-42.343000000000004</v>
      </c>
      <c r="J16" s="453">
        <v>-2.923</v>
      </c>
      <c r="K16" s="488">
        <v>-0.04</v>
      </c>
      <c r="L16" s="249">
        <f>SUM(F16:K16)</f>
        <v>-260.73300000000006</v>
      </c>
      <c r="N16" s="135"/>
      <c r="O16" s="28">
        <f t="shared" si="5"/>
        <v>0</v>
      </c>
      <c r="R16" s="105">
        <f t="shared" si="6"/>
        <v>0</v>
      </c>
      <c r="S16" s="105">
        <f t="shared" si="6"/>
        <v>0</v>
      </c>
      <c r="T16" s="105">
        <f>IF(Validation!$H$3=1,0,IF(ISNUMBER(H16),0,1))</f>
        <v>0</v>
      </c>
      <c r="U16" s="105">
        <f>IF(Validation!$H$3=1,0,IF(ISNUMBER(I16),0,1))</f>
        <v>0</v>
      </c>
      <c r="V16" s="105">
        <f t="shared" ref="V16" si="8" xml:space="preserve"> IF( ISNUMBER( J16 ), 0, 1 )</f>
        <v>0</v>
      </c>
      <c r="W16" s="105">
        <f t="shared" ref="W16" si="9" xml:space="preserve"> IF( ISNUMBER( K16 ), 0, 1 )</f>
        <v>0</v>
      </c>
    </row>
    <row r="17" spans="2:30" ht="15" thickBot="1" x14ac:dyDescent="0.25">
      <c r="B17" s="113">
        <f>B16+1</f>
        <v>9</v>
      </c>
      <c r="C17" s="114" t="s">
        <v>422</v>
      </c>
      <c r="D17" s="115" t="s">
        <v>86</v>
      </c>
      <c r="E17" s="112">
        <v>3</v>
      </c>
      <c r="F17" s="203">
        <f t="shared" ref="F17:K17" si="10">SUM(F14:F16)</f>
        <v>-136.428</v>
      </c>
      <c r="G17" s="250">
        <f t="shared" si="10"/>
        <v>-1784.7289999999998</v>
      </c>
      <c r="H17" s="204">
        <f t="shared" si="10"/>
        <v>-1662.4829999999999</v>
      </c>
      <c r="I17" s="208">
        <f t="shared" si="10"/>
        <v>-217.48200000000003</v>
      </c>
      <c r="J17" s="250">
        <f t="shared" si="10"/>
        <v>-57.622000000000007</v>
      </c>
      <c r="K17" s="373">
        <f t="shared" si="10"/>
        <v>-4.09</v>
      </c>
      <c r="L17" s="210">
        <f>SUM(F17:K17)</f>
        <v>-3862.8339999999994</v>
      </c>
      <c r="N17" s="135"/>
      <c r="Y17" s="122"/>
      <c r="AA17" s="122"/>
      <c r="AB17" s="122"/>
      <c r="AC17" s="122"/>
    </row>
    <row r="18" spans="2:30" ht="15" thickBot="1" x14ac:dyDescent="0.25">
      <c r="N18" s="135"/>
      <c r="Y18" s="169"/>
      <c r="AA18" s="169"/>
      <c r="AB18" s="169"/>
      <c r="AC18" s="169"/>
    </row>
    <row r="19" spans="2:30" x14ac:dyDescent="0.2">
      <c r="B19" s="98">
        <f xml:space="preserve"> B17 + 1</f>
        <v>10</v>
      </c>
      <c r="C19" s="128" t="s">
        <v>424</v>
      </c>
      <c r="D19" s="100" t="s">
        <v>86</v>
      </c>
      <c r="E19" s="224">
        <v>3</v>
      </c>
      <c r="F19" s="197">
        <f xml:space="preserve"> F11 + F17</f>
        <v>294.74100000000004</v>
      </c>
      <c r="G19" s="198">
        <f t="shared" ref="G19:H19" si="11" xml:space="preserve"> G11 + G17</f>
        <v>2868.1640000000002</v>
      </c>
      <c r="H19" s="198">
        <f t="shared" si="11"/>
        <v>3650.7999999999993</v>
      </c>
      <c r="I19" s="206">
        <f t="shared" ref="I19:K19" si="12" xml:space="preserve"> I11 + I17</f>
        <v>313.58499999999998</v>
      </c>
      <c r="J19" s="197">
        <f t="shared" si="12"/>
        <v>18.961000000000006</v>
      </c>
      <c r="K19" s="199">
        <f t="shared" si="12"/>
        <v>0.96999999999999975</v>
      </c>
      <c r="L19" s="209">
        <f xml:space="preserve"> L11 + L17</f>
        <v>7147.2210000000014</v>
      </c>
      <c r="N19" s="135"/>
      <c r="Y19" s="169"/>
      <c r="AA19" s="169"/>
      <c r="AB19" s="169"/>
      <c r="AC19" s="169"/>
    </row>
    <row r="20" spans="2:30" ht="15" thickBot="1" x14ac:dyDescent="0.25">
      <c r="B20" s="113">
        <f>B19+1</f>
        <v>11</v>
      </c>
      <c r="C20" s="114" t="s">
        <v>425</v>
      </c>
      <c r="D20" s="115" t="s">
        <v>86</v>
      </c>
      <c r="E20" s="236">
        <v>3</v>
      </c>
      <c r="F20" s="203">
        <f t="shared" ref="F20:L20" si="13" xml:space="preserve"> F7 + F14</f>
        <v>279.31400000000002</v>
      </c>
      <c r="G20" s="204">
        <f t="shared" si="13"/>
        <v>2727.5070000000001</v>
      </c>
      <c r="H20" s="204">
        <f t="shared" si="13"/>
        <v>3431.3220000000001</v>
      </c>
      <c r="I20" s="208">
        <f t="shared" si="13"/>
        <v>315.77099999999996</v>
      </c>
      <c r="J20" s="203">
        <f t="shared" si="13"/>
        <v>16.172000000000004</v>
      </c>
      <c r="K20" s="205">
        <f t="shared" si="13"/>
        <v>1.0099999999999998</v>
      </c>
      <c r="L20" s="210">
        <f t="shared" si="13"/>
        <v>6771.0960000000005</v>
      </c>
      <c r="N20" s="135"/>
      <c r="Y20" s="169"/>
      <c r="AA20" s="169"/>
      <c r="AB20" s="169"/>
      <c r="AC20" s="169"/>
    </row>
    <row r="21" spans="2:30" ht="15" thickBot="1" x14ac:dyDescent="0.25">
      <c r="B21" s="122"/>
      <c r="C21" s="158"/>
      <c r="D21" s="122"/>
      <c r="E21" s="122"/>
      <c r="F21" s="169"/>
      <c r="G21" s="169"/>
      <c r="H21" s="169"/>
      <c r="I21" s="169"/>
      <c r="J21" s="122"/>
      <c r="K21" s="129"/>
      <c r="L21" s="129"/>
      <c r="N21" s="135"/>
      <c r="Y21" s="169"/>
      <c r="AA21" s="169"/>
      <c r="AB21" s="169"/>
      <c r="AC21" s="169"/>
    </row>
    <row r="22" spans="2:30" ht="15" thickBot="1" x14ac:dyDescent="0.25">
      <c r="B22" s="95" t="s">
        <v>158</v>
      </c>
      <c r="C22" s="96" t="s">
        <v>426</v>
      </c>
      <c r="N22" s="135"/>
      <c r="Y22" s="169"/>
      <c r="AA22" s="169"/>
      <c r="AB22" s="169"/>
      <c r="AC22" s="169"/>
    </row>
    <row r="23" spans="2:30" x14ac:dyDescent="0.2">
      <c r="B23" s="98">
        <f>B20+1</f>
        <v>12</v>
      </c>
      <c r="C23" s="128" t="s">
        <v>427</v>
      </c>
      <c r="D23" s="100" t="s">
        <v>86</v>
      </c>
      <c r="E23" s="101">
        <v>3</v>
      </c>
      <c r="F23" s="441">
        <v>-7.3330000000000002</v>
      </c>
      <c r="G23" s="451">
        <v>-93.846000000000004</v>
      </c>
      <c r="H23" s="452">
        <v>-114.248</v>
      </c>
      <c r="I23" s="509">
        <v>-42.343000000000004</v>
      </c>
      <c r="J23" s="451">
        <v>-2.923</v>
      </c>
      <c r="K23" s="487">
        <v>-0.04</v>
      </c>
      <c r="L23" s="209">
        <f>SUM(F23:K23)</f>
        <v>-260.73300000000006</v>
      </c>
      <c r="N23" s="135"/>
      <c r="O23" s="28">
        <f xml:space="preserve"> IF( SUM( Q23:X23 ) = 0, 0, $R$5 )</f>
        <v>0</v>
      </c>
      <c r="R23" s="105">
        <f t="shared" ref="R23:S24" si="14" xml:space="preserve"> IF( ISNUMBER( F23 ), 0, 1 )</f>
        <v>0</v>
      </c>
      <c r="S23" s="105">
        <f t="shared" si="14"/>
        <v>0</v>
      </c>
      <c r="T23" s="105">
        <f>IF(Validation!$H$3=1,0,IF(ISNUMBER(H23),0,1))</f>
        <v>0</v>
      </c>
      <c r="U23" s="105">
        <f>IF(Validation!$H$3=1,0,IF(ISNUMBER(I23),0,1))</f>
        <v>0</v>
      </c>
      <c r="V23" s="105">
        <f t="shared" ref="V23:V24" si="15" xml:space="preserve"> IF( ISNUMBER( J23 ), 0, 1 )</f>
        <v>0</v>
      </c>
      <c r="W23" s="105">
        <f t="shared" ref="W23:W24" si="16" xml:space="preserve"> IF( ISNUMBER( K23 ), 0, 1 )</f>
        <v>0</v>
      </c>
      <c r="Y23" s="169"/>
      <c r="AA23" s="169"/>
      <c r="AB23" s="169"/>
      <c r="AC23" s="169"/>
    </row>
    <row r="24" spans="2:30" x14ac:dyDescent="0.2">
      <c r="B24" s="106">
        <f t="shared" ref="B24:B25" si="17" xml:space="preserve"> B23 + 1</f>
        <v>13</v>
      </c>
      <c r="C24" s="99" t="s">
        <v>338</v>
      </c>
      <c r="D24" s="107" t="s">
        <v>86</v>
      </c>
      <c r="E24" s="108">
        <v>3</v>
      </c>
      <c r="F24" s="439">
        <v>0</v>
      </c>
      <c r="G24" s="453">
        <v>0</v>
      </c>
      <c r="H24" s="440">
        <v>0</v>
      </c>
      <c r="I24" s="510">
        <v>0</v>
      </c>
      <c r="J24" s="453">
        <v>0</v>
      </c>
      <c r="K24" s="488">
        <v>0</v>
      </c>
      <c r="L24" s="249">
        <f>SUM(F24:K24)</f>
        <v>0</v>
      </c>
      <c r="N24" s="135"/>
      <c r="O24" s="28">
        <f xml:space="preserve"> IF( SUM( Q24:X24 ) = 0, 0, $R$5 )</f>
        <v>0</v>
      </c>
      <c r="R24" s="105">
        <f t="shared" si="14"/>
        <v>0</v>
      </c>
      <c r="S24" s="105">
        <f t="shared" si="14"/>
        <v>0</v>
      </c>
      <c r="T24" s="105">
        <f>IF(Validation!$H$3=1,0,IF(ISNUMBER(H24),0,1))</f>
        <v>0</v>
      </c>
      <c r="U24" s="105">
        <f>IF(Validation!$H$3=1,0,IF(ISNUMBER(I24),0,1))</f>
        <v>0</v>
      </c>
      <c r="V24" s="105">
        <f t="shared" si="15"/>
        <v>0</v>
      </c>
      <c r="W24" s="105">
        <f t="shared" si="16"/>
        <v>0</v>
      </c>
      <c r="Y24" s="169"/>
      <c r="AA24" s="169"/>
      <c r="AB24" s="169"/>
      <c r="AC24" s="169"/>
    </row>
    <row r="25" spans="2:30" ht="15" thickBot="1" x14ac:dyDescent="0.25">
      <c r="B25" s="113">
        <f t="shared" si="17"/>
        <v>14</v>
      </c>
      <c r="C25" s="114" t="s">
        <v>257</v>
      </c>
      <c r="D25" s="115" t="s">
        <v>86</v>
      </c>
      <c r="E25" s="236">
        <v>3</v>
      </c>
      <c r="F25" s="203">
        <f>F23+F24</f>
        <v>-7.3330000000000002</v>
      </c>
      <c r="G25" s="204">
        <f t="shared" ref="G25:K25" si="18">G23+G24</f>
        <v>-93.846000000000004</v>
      </c>
      <c r="H25" s="204">
        <f t="shared" si="18"/>
        <v>-114.248</v>
      </c>
      <c r="I25" s="208">
        <f t="shared" si="18"/>
        <v>-42.343000000000004</v>
      </c>
      <c r="J25" s="250">
        <f t="shared" si="18"/>
        <v>-2.923</v>
      </c>
      <c r="K25" s="205">
        <f t="shared" si="18"/>
        <v>-0.04</v>
      </c>
      <c r="L25" s="210">
        <f>SUM(F25:K25)</f>
        <v>-260.73300000000006</v>
      </c>
      <c r="N25" s="843">
        <f xml:space="preserve"> IF( SUM( X25:Z25 ) = 0, 0, AC25 )</f>
        <v>0</v>
      </c>
      <c r="R25" s="132"/>
      <c r="S25" s="132"/>
      <c r="T25" s="132"/>
      <c r="U25" s="132"/>
      <c r="V25" s="132"/>
      <c r="W25" s="132"/>
      <c r="Y25" s="105">
        <f xml:space="preserve"> IF( (AA25 - AB25) = 0, 0, 1 )</f>
        <v>0</v>
      </c>
      <c r="AA25" s="171">
        <f xml:space="preserve"> ROUND( L25, 3)</f>
        <v>-260.733</v>
      </c>
      <c r="AB25" s="171">
        <f xml:space="preserve"> ROUND( L16, 3)</f>
        <v>-260.733</v>
      </c>
      <c r="AC25" s="844" t="s">
        <v>428</v>
      </c>
      <c r="AD25" s="133"/>
    </row>
    <row r="26" spans="2:30" x14ac:dyDescent="0.2">
      <c r="B26" s="122"/>
      <c r="C26" s="158"/>
      <c r="D26" s="122"/>
      <c r="E26" s="122"/>
      <c r="F26" s="169"/>
      <c r="G26" s="169"/>
      <c r="H26" s="169"/>
      <c r="I26" s="169"/>
      <c r="J26" s="122"/>
      <c r="K26" s="129"/>
      <c r="L26" s="129"/>
      <c r="N26" s="135"/>
      <c r="Y26" s="186"/>
      <c r="Z26" s="130"/>
      <c r="AA26" s="186"/>
      <c r="AB26" s="186"/>
      <c r="AC26" s="186"/>
      <c r="AD26" s="130"/>
    </row>
    <row r="27" spans="2:30" x14ac:dyDescent="0.2">
      <c r="B27" s="122"/>
      <c r="C27" s="158"/>
      <c r="D27" s="122"/>
      <c r="E27" s="122"/>
      <c r="F27" s="169"/>
      <c r="G27" s="169"/>
      <c r="H27" s="169"/>
      <c r="I27" s="169"/>
      <c r="J27" s="122"/>
      <c r="K27" s="129"/>
      <c r="L27" s="129"/>
      <c r="N27" s="131"/>
      <c r="Y27" s="122"/>
      <c r="Z27" s="130"/>
      <c r="AA27" s="122"/>
      <c r="AB27" s="122"/>
      <c r="AC27" s="122"/>
      <c r="AD27" s="130"/>
    </row>
    <row r="28" spans="2:30" x14ac:dyDescent="0.2">
      <c r="B28" s="122"/>
      <c r="C28" s="158"/>
      <c r="D28" s="122"/>
      <c r="E28" s="122"/>
      <c r="F28" s="169"/>
      <c r="G28" s="169"/>
      <c r="H28" s="169"/>
      <c r="I28" s="169"/>
      <c r="J28" s="122"/>
      <c r="K28" s="129"/>
      <c r="L28" s="129"/>
      <c r="N28" s="131"/>
      <c r="Y28" s="122"/>
      <c r="Z28" s="130"/>
      <c r="AA28" s="122"/>
      <c r="AB28" s="122"/>
      <c r="AC28" s="122"/>
      <c r="AD28" s="130"/>
    </row>
    <row r="29" spans="2:30" x14ac:dyDescent="0.2">
      <c r="B29" s="122"/>
      <c r="C29" s="158"/>
      <c r="D29" s="122"/>
      <c r="E29" s="122"/>
      <c r="F29" s="169"/>
      <c r="G29" s="169"/>
      <c r="H29" s="169"/>
      <c r="I29" s="169"/>
      <c r="J29" s="122"/>
      <c r="K29" s="129"/>
      <c r="L29" s="129"/>
      <c r="N29" s="137"/>
      <c r="Y29" s="186"/>
      <c r="Z29" s="130"/>
      <c r="AA29" s="186"/>
      <c r="AB29" s="186"/>
      <c r="AC29" s="186"/>
      <c r="AD29" s="130"/>
    </row>
    <row r="30" spans="2:30" x14ac:dyDescent="0.2">
      <c r="B30" s="897" t="s">
        <v>101</v>
      </c>
      <c r="C30" s="897"/>
      <c r="D30" s="169"/>
      <c r="E30" s="169"/>
      <c r="F30" s="169"/>
      <c r="G30" s="169"/>
      <c r="H30" s="169"/>
      <c r="I30" s="169"/>
      <c r="J30" s="169"/>
      <c r="K30" s="135"/>
      <c r="L30" s="135"/>
      <c r="N30" s="131"/>
      <c r="Y30" s="122"/>
      <c r="Z30" s="130"/>
      <c r="AA30" s="122"/>
      <c r="AB30" s="122"/>
      <c r="AC30" s="122"/>
      <c r="AD30" s="130"/>
    </row>
    <row r="31" spans="2:30" x14ac:dyDescent="0.2">
      <c r="B31" s="146"/>
      <c r="C31" s="147"/>
      <c r="D31" s="169"/>
      <c r="E31" s="169"/>
      <c r="F31" s="169"/>
      <c r="G31" s="169"/>
      <c r="H31" s="169"/>
      <c r="I31" s="169"/>
      <c r="J31" s="169"/>
      <c r="K31" s="135"/>
      <c r="L31" s="135"/>
      <c r="M31" s="129"/>
      <c r="N31" s="131"/>
      <c r="O31" s="131"/>
      <c r="P31" s="129"/>
      <c r="Y31" s="122"/>
      <c r="Z31" s="130"/>
      <c r="AA31" s="122"/>
      <c r="AB31" s="122"/>
      <c r="AC31" s="122"/>
      <c r="AD31" s="130"/>
    </row>
    <row r="32" spans="2:30" x14ac:dyDescent="0.2">
      <c r="B32" s="29"/>
      <c r="C32" s="148" t="s">
        <v>102</v>
      </c>
      <c r="D32" s="169"/>
      <c r="E32" s="169"/>
      <c r="F32" s="169"/>
      <c r="G32" s="169"/>
      <c r="H32" s="169"/>
      <c r="I32" s="169"/>
      <c r="J32" s="169"/>
      <c r="K32" s="135"/>
      <c r="L32" s="135"/>
      <c r="M32" s="135"/>
      <c r="N32" s="131"/>
      <c r="O32" s="135"/>
      <c r="P32" s="135"/>
      <c r="Q32" s="133"/>
      <c r="R32" s="135"/>
      <c r="S32" s="135"/>
      <c r="T32" s="135"/>
      <c r="U32" s="135"/>
      <c r="V32" s="135"/>
      <c r="W32" s="135"/>
      <c r="X32" s="133"/>
      <c r="Y32" s="122"/>
      <c r="Z32" s="130"/>
      <c r="AA32" s="122"/>
      <c r="AB32" s="122"/>
      <c r="AC32" s="122"/>
      <c r="AD32" s="130"/>
    </row>
    <row r="33" spans="1:30" x14ac:dyDescent="0.2">
      <c r="B33" s="146"/>
      <c r="C33" s="147"/>
      <c r="D33" s="169"/>
      <c r="E33" s="169"/>
      <c r="F33" s="169"/>
      <c r="G33" s="169"/>
      <c r="H33" s="169"/>
      <c r="I33" s="169"/>
      <c r="J33" s="169"/>
      <c r="K33" s="135"/>
      <c r="L33" s="135"/>
      <c r="M33" s="135"/>
      <c r="N33" s="131"/>
      <c r="O33" s="135"/>
      <c r="P33" s="135"/>
      <c r="Q33" s="130"/>
      <c r="R33" s="135"/>
      <c r="S33" s="135"/>
      <c r="T33" s="135"/>
      <c r="U33" s="135"/>
      <c r="V33" s="135"/>
      <c r="W33" s="135"/>
      <c r="X33" s="130"/>
      <c r="Y33" s="122"/>
      <c r="Z33" s="130"/>
      <c r="AA33" s="122"/>
      <c r="AB33" s="122"/>
      <c r="AC33" s="122"/>
      <c r="AD33" s="130"/>
    </row>
    <row r="34" spans="1:30" x14ac:dyDescent="0.2">
      <c r="B34" s="149"/>
      <c r="C34" s="148" t="s">
        <v>103</v>
      </c>
      <c r="D34" s="169"/>
      <c r="E34" s="169"/>
      <c r="F34" s="169"/>
      <c r="G34" s="169"/>
      <c r="H34" s="169"/>
      <c r="I34" s="169"/>
      <c r="J34" s="169"/>
      <c r="K34" s="135"/>
      <c r="L34" s="135"/>
      <c r="M34" s="135"/>
      <c r="N34" s="131"/>
      <c r="O34" s="135"/>
      <c r="P34" s="135"/>
      <c r="Q34" s="130"/>
      <c r="R34" s="135"/>
      <c r="S34" s="135"/>
      <c r="T34" s="135"/>
      <c r="U34" s="135"/>
      <c r="V34" s="135"/>
      <c r="W34" s="135"/>
      <c r="X34" s="130"/>
      <c r="Y34" s="122"/>
      <c r="Z34" s="130"/>
      <c r="AA34" s="122"/>
      <c r="AB34" s="122"/>
      <c r="AC34" s="122"/>
      <c r="AD34" s="130"/>
    </row>
    <row r="35" spans="1:30" x14ac:dyDescent="0.2">
      <c r="B35" s="150"/>
      <c r="C35" s="148"/>
      <c r="D35" s="169"/>
      <c r="E35" s="169"/>
      <c r="F35" s="169"/>
      <c r="G35" s="169"/>
      <c r="H35" s="169"/>
      <c r="I35" s="169"/>
      <c r="J35" s="169"/>
      <c r="K35" s="135"/>
      <c r="L35" s="135"/>
      <c r="M35" s="135"/>
      <c r="N35" s="131"/>
      <c r="O35" s="135"/>
      <c r="P35" s="135"/>
      <c r="Q35" s="130"/>
      <c r="R35" s="135"/>
      <c r="S35" s="135"/>
      <c r="T35" s="135"/>
      <c r="U35" s="135"/>
      <c r="V35" s="135"/>
      <c r="W35" s="135"/>
      <c r="X35" s="130"/>
      <c r="Y35" s="122"/>
      <c r="Z35" s="130"/>
      <c r="AA35" s="122"/>
      <c r="AB35" s="122"/>
      <c r="AC35" s="122"/>
      <c r="AD35" s="130"/>
    </row>
    <row r="36" spans="1:30" x14ac:dyDescent="0.2">
      <c r="B36" s="151"/>
      <c r="C36" s="148" t="s">
        <v>104</v>
      </c>
      <c r="D36" s="169"/>
      <c r="E36" s="169"/>
      <c r="F36" s="169"/>
      <c r="G36" s="169"/>
      <c r="H36" s="169"/>
      <c r="I36" s="169"/>
      <c r="J36" s="169"/>
      <c r="K36" s="135"/>
      <c r="L36" s="135"/>
      <c r="M36" s="135"/>
      <c r="N36" s="131"/>
      <c r="O36" s="135"/>
      <c r="P36" s="135"/>
      <c r="Q36" s="130"/>
      <c r="R36" s="135"/>
      <c r="S36" s="135"/>
      <c r="T36" s="135"/>
      <c r="U36" s="135"/>
      <c r="V36" s="135"/>
      <c r="W36" s="135"/>
      <c r="X36" s="130"/>
      <c r="Y36" s="122"/>
      <c r="Z36" s="130"/>
      <c r="AA36" s="122"/>
      <c r="AB36" s="122"/>
      <c r="AC36" s="122"/>
      <c r="AD36" s="130"/>
    </row>
    <row r="37" spans="1:30" x14ac:dyDescent="0.2">
      <c r="B37" s="156"/>
      <c r="C37" s="157"/>
      <c r="D37" s="186"/>
      <c r="E37" s="186"/>
      <c r="F37" s="186"/>
      <c r="G37" s="186"/>
      <c r="H37" s="186"/>
      <c r="I37" s="186"/>
      <c r="J37" s="186"/>
      <c r="K37" s="137"/>
      <c r="L37" s="137"/>
      <c r="M37" s="135"/>
      <c r="N37" s="131"/>
      <c r="O37" s="135"/>
      <c r="P37" s="135"/>
      <c r="Q37" s="130"/>
      <c r="R37" s="135"/>
      <c r="S37" s="135"/>
      <c r="T37" s="135"/>
      <c r="U37" s="135"/>
      <c r="V37" s="135"/>
      <c r="W37" s="135"/>
      <c r="X37" s="130"/>
      <c r="Y37" s="122"/>
      <c r="Z37" s="133"/>
      <c r="AA37" s="122"/>
      <c r="AB37" s="122"/>
      <c r="AC37" s="122"/>
      <c r="AD37" s="133"/>
    </row>
    <row r="38" spans="1:30" ht="15" thickBot="1" x14ac:dyDescent="0.25">
      <c r="B38" s="186"/>
      <c r="C38" s="187"/>
      <c r="D38" s="186"/>
      <c r="E38" s="186"/>
      <c r="F38" s="186"/>
      <c r="G38" s="186"/>
      <c r="H38" s="186"/>
      <c r="I38" s="186"/>
      <c r="J38" s="186"/>
      <c r="K38" s="137"/>
      <c r="L38" s="137"/>
      <c r="M38" s="135"/>
      <c r="N38" s="131"/>
      <c r="O38" s="135"/>
      <c r="P38" s="135"/>
      <c r="Q38" s="130"/>
      <c r="R38" s="135"/>
      <c r="S38" s="135"/>
      <c r="T38" s="135"/>
      <c r="U38" s="135"/>
      <c r="V38" s="135"/>
      <c r="W38" s="135"/>
      <c r="X38" s="130"/>
      <c r="Y38" s="122"/>
      <c r="Z38" s="133"/>
      <c r="AA38" s="122"/>
      <c r="AB38" s="122"/>
      <c r="AC38" s="122"/>
      <c r="AD38" s="133"/>
    </row>
    <row r="39" spans="1:30" s="122" customFormat="1" ht="20.65" customHeight="1" thickBot="1" x14ac:dyDescent="0.25">
      <c r="B39" s="152" t="str">
        <f ca="1" xml:space="preserve"> RIGHT(CELL("filename", $A$1), LEN(CELL("filename", $A$1)) - SEARCH("]", CELL("filename", $A$1)))&amp;" - Line definitions"</f>
        <v>2D - Line definitions</v>
      </c>
      <c r="C39" s="153"/>
      <c r="D39" s="154"/>
      <c r="E39" s="154"/>
      <c r="F39" s="154"/>
      <c r="G39" s="154"/>
      <c r="H39" s="154"/>
      <c r="I39" s="154"/>
      <c r="J39" s="154"/>
      <c r="K39" s="154"/>
      <c r="L39" s="160"/>
      <c r="M39" s="137"/>
      <c r="N39" s="131"/>
      <c r="O39" s="135"/>
      <c r="P39" s="135"/>
      <c r="Q39" s="130"/>
      <c r="R39" s="135"/>
      <c r="S39" s="135"/>
      <c r="T39" s="135"/>
      <c r="U39" s="135"/>
      <c r="V39" s="135"/>
      <c r="W39" s="135"/>
      <c r="X39" s="130"/>
      <c r="Z39" s="133"/>
      <c r="AD39" s="133"/>
    </row>
    <row r="40" spans="1:30" s="169" customFormat="1" ht="14.65" customHeight="1" thickBot="1" x14ac:dyDescent="0.25">
      <c r="B40" s="87"/>
      <c r="C40" s="161"/>
      <c r="D40" s="87"/>
      <c r="E40" s="87"/>
      <c r="F40" s="122"/>
      <c r="G40" s="122"/>
      <c r="H40" s="122"/>
      <c r="I40" s="122"/>
      <c r="J40" s="122"/>
      <c r="K40" s="129"/>
      <c r="L40" s="129"/>
      <c r="M40" s="137"/>
      <c r="N40" s="131"/>
      <c r="O40" s="135"/>
      <c r="P40" s="135"/>
      <c r="Q40" s="130"/>
      <c r="R40" s="135"/>
      <c r="S40" s="135"/>
      <c r="T40" s="135"/>
      <c r="U40" s="135"/>
      <c r="V40" s="135"/>
      <c r="W40" s="135"/>
      <c r="X40" s="130"/>
      <c r="Y40" s="122"/>
      <c r="Z40" s="133"/>
      <c r="AA40" s="122"/>
      <c r="AB40" s="122"/>
      <c r="AC40" s="122"/>
      <c r="AD40" s="133"/>
    </row>
    <row r="41" spans="1:30" s="169" customFormat="1" ht="15" thickBot="1" x14ac:dyDescent="0.25">
      <c r="B41" s="376" t="s">
        <v>105</v>
      </c>
      <c r="C41" s="377" t="s">
        <v>106</v>
      </c>
      <c r="D41" s="378"/>
      <c r="E41" s="378"/>
      <c r="F41" s="378"/>
      <c r="G41" s="378"/>
      <c r="H41" s="378"/>
      <c r="I41" s="378"/>
      <c r="J41" s="378"/>
      <c r="K41" s="378"/>
      <c r="L41" s="379"/>
      <c r="M41" s="129"/>
      <c r="N41" s="87"/>
      <c r="O41" s="131"/>
      <c r="P41" s="129"/>
      <c r="Q41" s="130"/>
      <c r="R41" s="97" t="s">
        <v>107</v>
      </c>
      <c r="S41" s="97"/>
      <c r="T41" s="97"/>
      <c r="U41" s="129"/>
      <c r="V41" s="129"/>
      <c r="W41" s="129"/>
      <c r="X41" s="130"/>
      <c r="Y41" s="87"/>
      <c r="Z41" s="133"/>
      <c r="AA41" s="87"/>
      <c r="AB41" s="87"/>
      <c r="AC41" s="87"/>
      <c r="AD41" s="133"/>
    </row>
    <row r="42" spans="1:30" s="169" customFormat="1" ht="14.1" customHeight="1" x14ac:dyDescent="0.2">
      <c r="B42" s="189">
        <f>B7</f>
        <v>1</v>
      </c>
      <c r="C42" s="898" t="s">
        <v>429</v>
      </c>
      <c r="D42" s="898"/>
      <c r="E42" s="898"/>
      <c r="F42" s="898"/>
      <c r="G42" s="898"/>
      <c r="H42" s="898"/>
      <c r="I42" s="898"/>
      <c r="J42" s="898"/>
      <c r="K42" s="898"/>
      <c r="L42" s="899"/>
      <c r="M42" s="129"/>
      <c r="N42" s="87"/>
      <c r="O42" s="131"/>
      <c r="P42" s="129"/>
      <c r="Q42" s="133"/>
      <c r="R42" s="168">
        <v>1</v>
      </c>
      <c r="S42" s="168"/>
      <c r="T42" s="168"/>
      <c r="U42" s="264"/>
      <c r="V42" s="129"/>
      <c r="W42" s="129"/>
      <c r="X42" s="133"/>
      <c r="Y42" s="87"/>
      <c r="Z42" s="133"/>
      <c r="AA42" s="87"/>
      <c r="AB42" s="87"/>
      <c r="AC42" s="87"/>
      <c r="AD42" s="133"/>
    </row>
    <row r="43" spans="1:30" s="169" customFormat="1" ht="14.1" customHeight="1" x14ac:dyDescent="0.2">
      <c r="B43" s="166">
        <f>B8</f>
        <v>2</v>
      </c>
      <c r="C43" s="877" t="s">
        <v>430</v>
      </c>
      <c r="D43" s="877"/>
      <c r="E43" s="877"/>
      <c r="F43" s="877"/>
      <c r="G43" s="877"/>
      <c r="H43" s="877"/>
      <c r="I43" s="877"/>
      <c r="J43" s="877"/>
      <c r="K43" s="877"/>
      <c r="L43" s="878"/>
      <c r="M43" s="352"/>
      <c r="N43" s="87"/>
      <c r="O43" s="137"/>
      <c r="P43" s="129"/>
      <c r="Q43" s="133"/>
      <c r="R43" s="264">
        <v>1</v>
      </c>
      <c r="S43" s="264"/>
      <c r="T43" s="264"/>
      <c r="U43" s="264"/>
      <c r="V43" s="129"/>
      <c r="W43" s="129"/>
      <c r="X43" s="133"/>
      <c r="Y43" s="87"/>
      <c r="Z43" s="133"/>
      <c r="AA43" s="87"/>
      <c r="AB43" s="87"/>
      <c r="AC43" s="87"/>
      <c r="AD43" s="133"/>
    </row>
    <row r="44" spans="1:30" s="169" customFormat="1" ht="14.1" customHeight="1" x14ac:dyDescent="0.2">
      <c r="B44" s="166">
        <f>B9</f>
        <v>3</v>
      </c>
      <c r="C44" s="877" t="s">
        <v>431</v>
      </c>
      <c r="D44" s="877"/>
      <c r="E44" s="877"/>
      <c r="F44" s="877"/>
      <c r="G44" s="877"/>
      <c r="H44" s="877"/>
      <c r="I44" s="877"/>
      <c r="J44" s="877"/>
      <c r="K44" s="877"/>
      <c r="L44" s="878"/>
      <c r="M44" s="355"/>
      <c r="N44" s="87"/>
      <c r="O44" s="131"/>
      <c r="P44" s="129"/>
      <c r="Q44" s="133"/>
      <c r="R44" s="264">
        <v>1</v>
      </c>
      <c r="S44" s="264"/>
      <c r="T44" s="264"/>
      <c r="U44" s="264"/>
      <c r="V44" s="129"/>
      <c r="W44" s="129"/>
      <c r="X44" s="133"/>
      <c r="Y44" s="87"/>
      <c r="Z44" s="133"/>
      <c r="AA44" s="87"/>
      <c r="AB44" s="87"/>
      <c r="AC44" s="87"/>
      <c r="AD44" s="133"/>
    </row>
    <row r="45" spans="1:30" s="169" customFormat="1" ht="14.1" customHeight="1" x14ac:dyDescent="0.2">
      <c r="B45" s="166">
        <f>B10</f>
        <v>4</v>
      </c>
      <c r="C45" s="877" t="s">
        <v>432</v>
      </c>
      <c r="D45" s="877"/>
      <c r="E45" s="877"/>
      <c r="F45" s="877"/>
      <c r="G45" s="877"/>
      <c r="H45" s="877"/>
      <c r="I45" s="877"/>
      <c r="J45" s="877"/>
      <c r="K45" s="877"/>
      <c r="L45" s="878"/>
      <c r="M45" s="355"/>
      <c r="N45" s="87"/>
      <c r="O45" s="131"/>
      <c r="P45" s="129"/>
      <c r="Q45" s="133"/>
      <c r="R45" s="264">
        <v>1</v>
      </c>
      <c r="S45" s="264"/>
      <c r="T45" s="264"/>
      <c r="U45" s="264"/>
      <c r="V45" s="129"/>
      <c r="W45" s="129"/>
      <c r="X45" s="133"/>
      <c r="Y45" s="87"/>
      <c r="Z45" s="133"/>
      <c r="AA45" s="87"/>
      <c r="AB45" s="87"/>
      <c r="AC45" s="87"/>
      <c r="AD45" s="133"/>
    </row>
    <row r="46" spans="1:30" s="169" customFormat="1" x14ac:dyDescent="0.2">
      <c r="B46" s="166">
        <f>B11</f>
        <v>5</v>
      </c>
      <c r="C46" s="877" t="s">
        <v>433</v>
      </c>
      <c r="D46" s="877"/>
      <c r="E46" s="877"/>
      <c r="F46" s="877"/>
      <c r="G46" s="877"/>
      <c r="H46" s="877"/>
      <c r="I46" s="877"/>
      <c r="J46" s="877"/>
      <c r="K46" s="877"/>
      <c r="L46" s="878"/>
      <c r="M46" s="355"/>
      <c r="N46" s="87"/>
      <c r="O46" s="122"/>
      <c r="P46" s="122"/>
      <c r="Q46" s="133"/>
      <c r="R46" s="264">
        <v>1</v>
      </c>
      <c r="S46" s="264"/>
      <c r="T46" s="264"/>
      <c r="U46" s="299"/>
      <c r="V46" s="122"/>
      <c r="W46" s="122"/>
      <c r="X46" s="133"/>
      <c r="Y46" s="87"/>
      <c r="Z46" s="84"/>
      <c r="AA46" s="87"/>
      <c r="AB46" s="87"/>
      <c r="AC46" s="87"/>
      <c r="AD46" s="84"/>
    </row>
    <row r="47" spans="1:30" s="169" customFormat="1" x14ac:dyDescent="0.2">
      <c r="B47" s="166">
        <f>B14</f>
        <v>6</v>
      </c>
      <c r="C47" s="877" t="s">
        <v>434</v>
      </c>
      <c r="D47" s="877"/>
      <c r="E47" s="877"/>
      <c r="F47" s="877"/>
      <c r="G47" s="877"/>
      <c r="H47" s="877"/>
      <c r="I47" s="877"/>
      <c r="J47" s="877"/>
      <c r="K47" s="877"/>
      <c r="L47" s="878"/>
      <c r="M47" s="355"/>
      <c r="N47" s="87"/>
      <c r="O47" s="122"/>
      <c r="P47" s="122"/>
      <c r="Q47" s="133"/>
      <c r="R47" s="264">
        <v>1</v>
      </c>
      <c r="S47" s="387"/>
      <c r="T47" s="387"/>
      <c r="U47" s="299"/>
      <c r="V47" s="122"/>
      <c r="W47" s="122"/>
      <c r="X47" s="133"/>
      <c r="Y47" s="87"/>
      <c r="Z47" s="84"/>
      <c r="AA47" s="87"/>
      <c r="AB47" s="87"/>
      <c r="AC47" s="87"/>
      <c r="AD47" s="84"/>
    </row>
    <row r="48" spans="1:30" s="186" customFormat="1" x14ac:dyDescent="0.2">
      <c r="A48" s="156"/>
      <c r="B48" s="166">
        <f>B15</f>
        <v>7</v>
      </c>
      <c r="C48" s="877" t="s">
        <v>435</v>
      </c>
      <c r="D48" s="877"/>
      <c r="E48" s="877"/>
      <c r="F48" s="877"/>
      <c r="G48" s="877"/>
      <c r="H48" s="877"/>
      <c r="I48" s="877"/>
      <c r="J48" s="877"/>
      <c r="K48" s="877"/>
      <c r="L48" s="878"/>
      <c r="M48" s="355"/>
      <c r="N48" s="87"/>
      <c r="O48" s="131"/>
      <c r="P48" s="131"/>
      <c r="Q48" s="133"/>
      <c r="R48" s="264">
        <v>1</v>
      </c>
      <c r="S48" s="264"/>
      <c r="T48" s="264"/>
      <c r="U48" s="264"/>
      <c r="V48" s="131"/>
      <c r="W48" s="131"/>
      <c r="X48" s="133"/>
      <c r="Y48" s="87"/>
      <c r="Z48" s="84"/>
      <c r="AA48" s="87"/>
      <c r="AB48" s="87"/>
      <c r="AC48" s="87"/>
      <c r="AD48" s="84"/>
    </row>
    <row r="49" spans="2:30" s="186" customFormat="1" ht="14.1" customHeight="1" x14ac:dyDescent="0.2">
      <c r="B49" s="166">
        <f>B16</f>
        <v>8</v>
      </c>
      <c r="C49" s="877" t="s">
        <v>436</v>
      </c>
      <c r="D49" s="877"/>
      <c r="E49" s="877"/>
      <c r="F49" s="877"/>
      <c r="G49" s="877"/>
      <c r="H49" s="877"/>
      <c r="I49" s="877"/>
      <c r="J49" s="877"/>
      <c r="K49" s="877"/>
      <c r="L49" s="878"/>
      <c r="M49" s="355"/>
      <c r="N49" s="87"/>
      <c r="O49" s="131"/>
      <c r="P49" s="131"/>
      <c r="Q49" s="133"/>
      <c r="R49" s="264">
        <v>1</v>
      </c>
      <c r="S49" s="264"/>
      <c r="T49" s="264"/>
      <c r="U49" s="264"/>
      <c r="V49" s="131"/>
      <c r="W49" s="131"/>
      <c r="X49" s="133"/>
      <c r="Y49" s="87"/>
      <c r="Z49" s="84"/>
      <c r="AA49" s="87"/>
      <c r="AB49" s="87"/>
      <c r="AC49" s="87"/>
      <c r="AD49" s="84"/>
    </row>
    <row r="50" spans="2:30" s="122" customFormat="1" ht="14.1" customHeight="1" x14ac:dyDescent="0.2">
      <c r="B50" s="166">
        <f>B17</f>
        <v>9</v>
      </c>
      <c r="C50" s="877" t="s">
        <v>437</v>
      </c>
      <c r="D50" s="877"/>
      <c r="E50" s="877"/>
      <c r="F50" s="877"/>
      <c r="G50" s="877"/>
      <c r="H50" s="877"/>
      <c r="I50" s="877"/>
      <c r="J50" s="877"/>
      <c r="K50" s="877"/>
      <c r="L50" s="878"/>
      <c r="M50" s="355"/>
      <c r="N50" s="87"/>
      <c r="O50" s="131"/>
      <c r="P50" s="131"/>
      <c r="Q50" s="133"/>
      <c r="R50" s="264">
        <v>1</v>
      </c>
      <c r="S50" s="264"/>
      <c r="T50" s="264"/>
      <c r="U50" s="264"/>
      <c r="V50" s="131"/>
      <c r="W50" s="131"/>
      <c r="X50" s="133"/>
      <c r="Y50" s="87"/>
      <c r="Z50" s="84"/>
      <c r="AA50" s="87"/>
      <c r="AB50" s="87"/>
      <c r="AC50" s="87"/>
      <c r="AD50" s="84"/>
    </row>
    <row r="51" spans="2:30" s="122" customFormat="1" x14ac:dyDescent="0.2">
      <c r="B51" s="166">
        <f>B19</f>
        <v>10</v>
      </c>
      <c r="C51" s="877" t="s">
        <v>438</v>
      </c>
      <c r="D51" s="877"/>
      <c r="E51" s="877"/>
      <c r="F51" s="877"/>
      <c r="G51" s="877"/>
      <c r="H51" s="877"/>
      <c r="I51" s="877"/>
      <c r="J51" s="877"/>
      <c r="K51" s="877"/>
      <c r="L51" s="878"/>
      <c r="M51" s="355"/>
      <c r="N51" s="87"/>
      <c r="O51" s="83"/>
      <c r="P51" s="83"/>
      <c r="Q51" s="133"/>
      <c r="R51" s="264">
        <v>1</v>
      </c>
      <c r="S51" s="168"/>
      <c r="T51" s="168"/>
      <c r="U51" s="388"/>
      <c r="V51" s="83"/>
      <c r="W51" s="83"/>
      <c r="X51" s="133"/>
      <c r="Y51" s="87"/>
      <c r="Z51" s="84"/>
      <c r="AA51" s="87"/>
      <c r="AB51" s="87"/>
      <c r="AC51" s="87"/>
      <c r="AD51" s="84"/>
    </row>
    <row r="52" spans="2:30" s="122" customFormat="1" ht="14.1" customHeight="1" x14ac:dyDescent="0.2">
      <c r="B52" s="166">
        <f>B20</f>
        <v>11</v>
      </c>
      <c r="C52" s="877" t="s">
        <v>439</v>
      </c>
      <c r="D52" s="877"/>
      <c r="E52" s="877"/>
      <c r="F52" s="877"/>
      <c r="G52" s="877"/>
      <c r="H52" s="877"/>
      <c r="I52" s="877"/>
      <c r="J52" s="877"/>
      <c r="K52" s="877"/>
      <c r="L52" s="878"/>
      <c r="M52" s="355"/>
      <c r="N52" s="87"/>
      <c r="O52" s="83"/>
      <c r="P52" s="83"/>
      <c r="Q52" s="84"/>
      <c r="R52" s="264">
        <v>1</v>
      </c>
      <c r="S52" s="165"/>
      <c r="T52" s="165"/>
      <c r="U52" s="388"/>
      <c r="V52" s="83"/>
      <c r="W52" s="83"/>
      <c r="X52" s="84"/>
      <c r="Y52" s="87"/>
      <c r="Z52" s="84"/>
      <c r="AA52" s="87"/>
      <c r="AB52" s="87"/>
      <c r="AC52" s="87"/>
      <c r="AD52" s="84"/>
    </row>
    <row r="53" spans="2:30" s="122" customFormat="1" ht="14.1" customHeight="1" x14ac:dyDescent="0.2">
      <c r="B53" s="166">
        <f>B23</f>
        <v>12</v>
      </c>
      <c r="C53" s="877" t="s">
        <v>440</v>
      </c>
      <c r="D53" s="877"/>
      <c r="E53" s="877"/>
      <c r="F53" s="877"/>
      <c r="G53" s="877"/>
      <c r="H53" s="877"/>
      <c r="I53" s="877"/>
      <c r="J53" s="877"/>
      <c r="K53" s="877"/>
      <c r="L53" s="878"/>
      <c r="M53" s="355"/>
      <c r="N53" s="87"/>
      <c r="O53" s="83"/>
      <c r="P53" s="83"/>
      <c r="Q53" s="84"/>
      <c r="R53" s="264">
        <v>1</v>
      </c>
      <c r="S53" s="165"/>
      <c r="T53" s="165"/>
      <c r="U53" s="388"/>
      <c r="V53" s="83"/>
      <c r="W53" s="83"/>
      <c r="X53" s="84"/>
      <c r="Y53" s="87"/>
      <c r="Z53" s="84"/>
      <c r="AA53" s="87"/>
      <c r="AB53" s="87"/>
      <c r="AC53" s="87"/>
      <c r="AD53" s="84"/>
    </row>
    <row r="54" spans="2:30" s="122" customFormat="1" ht="14.1" customHeight="1" x14ac:dyDescent="0.2">
      <c r="B54" s="166">
        <f t="shared" ref="B54:B55" si="19">B24</f>
        <v>13</v>
      </c>
      <c r="C54" s="877" t="s">
        <v>441</v>
      </c>
      <c r="D54" s="877"/>
      <c r="E54" s="877"/>
      <c r="F54" s="877"/>
      <c r="G54" s="877"/>
      <c r="H54" s="877"/>
      <c r="I54" s="877"/>
      <c r="J54" s="877"/>
      <c r="K54" s="877"/>
      <c r="L54" s="878"/>
      <c r="M54" s="355"/>
      <c r="N54" s="87"/>
      <c r="O54" s="83"/>
      <c r="P54" s="83"/>
      <c r="Q54" s="84"/>
      <c r="R54" s="264">
        <v>1</v>
      </c>
      <c r="S54" s="132"/>
      <c r="T54" s="132"/>
      <c r="U54" s="83"/>
      <c r="V54" s="83"/>
      <c r="W54" s="83"/>
      <c r="X54" s="84"/>
      <c r="Y54" s="87"/>
      <c r="Z54" s="84"/>
      <c r="AA54" s="87"/>
      <c r="AB54" s="87"/>
      <c r="AC54" s="87"/>
      <c r="AD54" s="84"/>
    </row>
    <row r="55" spans="2:30" s="122" customFormat="1" ht="15" thickBot="1" x14ac:dyDescent="0.25">
      <c r="B55" s="191">
        <f t="shared" si="19"/>
        <v>14</v>
      </c>
      <c r="C55" s="900" t="s">
        <v>442</v>
      </c>
      <c r="D55" s="900"/>
      <c r="E55" s="900"/>
      <c r="F55" s="900"/>
      <c r="G55" s="900"/>
      <c r="H55" s="900"/>
      <c r="I55" s="900"/>
      <c r="J55" s="900"/>
      <c r="K55" s="900"/>
      <c r="L55" s="901"/>
      <c r="M55" s="355"/>
      <c r="N55" s="87"/>
      <c r="O55" s="83"/>
      <c r="P55" s="83"/>
      <c r="Q55" s="84"/>
      <c r="R55" s="264">
        <v>1</v>
      </c>
      <c r="S55" s="132"/>
      <c r="T55" s="132"/>
      <c r="U55" s="83"/>
      <c r="V55" s="83"/>
      <c r="W55" s="83"/>
      <c r="X55" s="84"/>
      <c r="Y55" s="87"/>
      <c r="Z55" s="84"/>
      <c r="AA55" s="87"/>
      <c r="AB55" s="87"/>
      <c r="AC55" s="87"/>
      <c r="AD55" s="84"/>
    </row>
    <row r="56" spans="2:30" s="122" customFormat="1" x14ac:dyDescent="0.2">
      <c r="B56" s="83"/>
      <c r="C56" s="83"/>
      <c r="D56" s="83"/>
      <c r="E56" s="83"/>
      <c r="F56" s="83"/>
      <c r="G56" s="83"/>
      <c r="H56" s="83"/>
      <c r="I56" s="83"/>
      <c r="J56" s="83"/>
      <c r="K56" s="83"/>
      <c r="L56" s="83"/>
      <c r="M56" s="355"/>
      <c r="N56" s="87"/>
      <c r="O56" s="83"/>
      <c r="P56" s="83"/>
      <c r="Q56" s="84"/>
      <c r="R56" s="132"/>
      <c r="S56" s="132"/>
      <c r="T56" s="132"/>
      <c r="U56" s="83"/>
      <c r="V56" s="83"/>
      <c r="W56" s="83"/>
      <c r="X56" s="84"/>
      <c r="Y56" s="87"/>
      <c r="Z56" s="84"/>
      <c r="AA56" s="87"/>
      <c r="AB56" s="87"/>
      <c r="AC56" s="87"/>
      <c r="AD56" s="84"/>
    </row>
    <row r="57" spans="2:30" s="186" customFormat="1" hidden="1" x14ac:dyDescent="0.2">
      <c r="B57" s="83"/>
      <c r="C57" s="83"/>
      <c r="D57" s="83"/>
      <c r="E57" s="83"/>
      <c r="F57" s="83"/>
      <c r="G57" s="83"/>
      <c r="H57" s="83"/>
      <c r="I57" s="83"/>
      <c r="J57" s="83"/>
      <c r="K57" s="83"/>
      <c r="L57" s="83"/>
      <c r="M57" s="83"/>
      <c r="N57" s="87"/>
      <c r="O57" s="83"/>
      <c r="P57" s="83"/>
      <c r="Q57" s="84"/>
      <c r="R57" s="132"/>
      <c r="S57" s="132"/>
      <c r="T57" s="132"/>
      <c r="U57" s="83"/>
      <c r="V57" s="83"/>
      <c r="W57" s="83"/>
      <c r="X57" s="84"/>
      <c r="Y57" s="87"/>
      <c r="Z57" s="84"/>
      <c r="AA57" s="87"/>
      <c r="AB57" s="87"/>
      <c r="AC57" s="87"/>
      <c r="AD57" s="84"/>
    </row>
    <row r="58" spans="2:30" s="122" customFormat="1" hidden="1" x14ac:dyDescent="0.2">
      <c r="B58" s="83"/>
      <c r="C58" s="83"/>
      <c r="D58" s="83"/>
      <c r="E58" s="83"/>
      <c r="F58" s="83"/>
      <c r="G58" s="83"/>
      <c r="H58" s="83"/>
      <c r="I58" s="83"/>
      <c r="J58" s="83"/>
      <c r="K58" s="83"/>
      <c r="L58" s="83"/>
      <c r="M58" s="83"/>
      <c r="N58" s="87"/>
      <c r="O58" s="83"/>
      <c r="P58" s="83"/>
      <c r="Q58" s="84"/>
      <c r="R58" s="132"/>
      <c r="S58" s="132"/>
      <c r="T58" s="132"/>
      <c r="U58" s="83"/>
      <c r="V58" s="83"/>
      <c r="W58" s="83"/>
      <c r="X58" s="84"/>
      <c r="Y58" s="87"/>
      <c r="Z58" s="84"/>
      <c r="AA58" s="87"/>
      <c r="AB58" s="87"/>
      <c r="AC58" s="87"/>
      <c r="AD58" s="84"/>
    </row>
    <row r="59" spans="2:30" s="122" customFormat="1" hidden="1" x14ac:dyDescent="0.2">
      <c r="B59" s="83"/>
      <c r="C59" s="83"/>
      <c r="D59" s="83"/>
      <c r="E59" s="83"/>
      <c r="F59" s="83"/>
      <c r="G59" s="83"/>
      <c r="H59" s="83"/>
      <c r="I59" s="83"/>
      <c r="J59" s="83"/>
      <c r="K59" s="83"/>
      <c r="L59" s="83"/>
      <c r="M59" s="83"/>
      <c r="N59" s="87"/>
      <c r="O59" s="83"/>
      <c r="P59" s="83"/>
      <c r="Q59" s="84"/>
      <c r="R59" s="132"/>
      <c r="S59" s="132"/>
      <c r="T59" s="132"/>
      <c r="U59" s="83"/>
      <c r="V59" s="83"/>
      <c r="W59" s="83"/>
      <c r="X59" s="84"/>
      <c r="Y59" s="87"/>
      <c r="Z59" s="84"/>
      <c r="AA59" s="87"/>
      <c r="AB59" s="87"/>
      <c r="AC59" s="87"/>
      <c r="AD59" s="84"/>
    </row>
    <row r="60" spans="2:30" s="122" customFormat="1" hidden="1" x14ac:dyDescent="0.2">
      <c r="B60" s="83"/>
      <c r="C60" s="83"/>
      <c r="D60" s="83"/>
      <c r="E60" s="83"/>
      <c r="F60" s="83"/>
      <c r="G60" s="83"/>
      <c r="H60" s="83"/>
      <c r="I60" s="83"/>
      <c r="J60" s="83"/>
      <c r="K60" s="83"/>
      <c r="L60" s="83"/>
      <c r="M60" s="83"/>
      <c r="N60" s="87"/>
      <c r="O60" s="83"/>
      <c r="P60" s="83"/>
      <c r="Q60" s="84"/>
      <c r="R60" s="132"/>
      <c r="S60" s="132"/>
      <c r="T60" s="132"/>
      <c r="U60" s="83"/>
      <c r="V60" s="83"/>
      <c r="W60" s="83"/>
      <c r="X60" s="84"/>
      <c r="Y60" s="87"/>
      <c r="Z60" s="84"/>
      <c r="AA60" s="87"/>
      <c r="AB60" s="87"/>
      <c r="AC60" s="87"/>
      <c r="AD60" s="84"/>
    </row>
    <row r="61" spans="2:30" s="131" customFormat="1" hidden="1" x14ac:dyDescent="0.2">
      <c r="B61" s="83"/>
      <c r="C61" s="83"/>
      <c r="D61" s="83"/>
      <c r="E61" s="83"/>
      <c r="F61" s="83"/>
      <c r="G61" s="83"/>
      <c r="H61" s="83"/>
      <c r="I61" s="83"/>
      <c r="J61" s="83"/>
      <c r="K61" s="83"/>
      <c r="L61" s="83"/>
      <c r="M61" s="83"/>
      <c r="N61" s="87"/>
      <c r="O61" s="83"/>
      <c r="P61" s="83"/>
      <c r="Q61" s="84"/>
      <c r="R61" s="132"/>
      <c r="S61" s="132"/>
      <c r="T61" s="132"/>
      <c r="U61" s="83"/>
      <c r="V61" s="83"/>
      <c r="W61" s="83"/>
      <c r="X61" s="84"/>
      <c r="Y61" s="87"/>
      <c r="Z61" s="84"/>
      <c r="AA61" s="87"/>
      <c r="AB61" s="87"/>
      <c r="AC61" s="87"/>
      <c r="AD61" s="84"/>
    </row>
    <row r="62" spans="2:30" s="131" customFormat="1" hidden="1" x14ac:dyDescent="0.2">
      <c r="B62" s="83"/>
      <c r="C62" s="83"/>
      <c r="D62" s="83"/>
      <c r="E62" s="83"/>
      <c r="F62" s="83"/>
      <c r="G62" s="83"/>
      <c r="H62" s="83"/>
      <c r="I62" s="83"/>
      <c r="J62" s="83"/>
      <c r="K62" s="83"/>
      <c r="L62" s="83"/>
      <c r="M62" s="83"/>
      <c r="N62" s="87"/>
      <c r="O62" s="83"/>
      <c r="P62" s="83"/>
      <c r="Q62" s="84"/>
      <c r="R62" s="132"/>
      <c r="S62" s="132"/>
      <c r="T62" s="132"/>
      <c r="U62" s="83"/>
      <c r="V62" s="83"/>
      <c r="W62" s="83"/>
      <c r="X62" s="84"/>
      <c r="Y62" s="87"/>
      <c r="Z62" s="84"/>
      <c r="AA62" s="87"/>
      <c r="AB62" s="87"/>
      <c r="AC62" s="87"/>
      <c r="AD62" s="84"/>
    </row>
    <row r="63" spans="2:30" s="131" customFormat="1" hidden="1" x14ac:dyDescent="0.2">
      <c r="B63" s="83"/>
      <c r="C63" s="83"/>
      <c r="D63" s="83"/>
      <c r="E63" s="83"/>
      <c r="F63" s="83"/>
      <c r="G63" s="83"/>
      <c r="H63" s="83"/>
      <c r="I63" s="83"/>
      <c r="J63" s="83"/>
      <c r="K63" s="83"/>
      <c r="L63" s="83"/>
      <c r="M63" s="83"/>
      <c r="N63" s="87"/>
      <c r="O63" s="83"/>
      <c r="P63" s="83"/>
      <c r="Q63" s="84"/>
      <c r="R63" s="132"/>
      <c r="S63" s="132"/>
      <c r="T63" s="132"/>
      <c r="U63" s="83"/>
      <c r="V63" s="83"/>
      <c r="W63" s="83"/>
      <c r="X63" s="84"/>
      <c r="Y63" s="87"/>
      <c r="Z63" s="84"/>
      <c r="AA63" s="87"/>
      <c r="AB63" s="87"/>
      <c r="AC63" s="87"/>
      <c r="AD63" s="84"/>
    </row>
    <row r="64" spans="2:30" hidden="1" x14ac:dyDescent="0.2">
      <c r="R64" s="132"/>
      <c r="S64" s="132"/>
      <c r="T64" s="132"/>
    </row>
    <row r="65" spans="18:20" hidden="1" x14ac:dyDescent="0.2">
      <c r="R65" s="132"/>
      <c r="S65" s="132"/>
      <c r="T65" s="132"/>
    </row>
    <row r="66" spans="18:20" hidden="1" x14ac:dyDescent="0.2">
      <c r="R66" s="132"/>
      <c r="S66" s="132"/>
      <c r="T66" s="132"/>
    </row>
    <row r="67" spans="18:20" hidden="1" x14ac:dyDescent="0.2">
      <c r="R67" s="132"/>
      <c r="S67" s="132"/>
      <c r="T67" s="132"/>
    </row>
    <row r="68" spans="18:20" hidden="1" x14ac:dyDescent="0.2">
      <c r="R68" s="132"/>
      <c r="S68" s="132"/>
      <c r="T68" s="132"/>
    </row>
    <row r="69" spans="18:20" hidden="1" x14ac:dyDescent="0.2">
      <c r="R69" s="132"/>
      <c r="S69" s="132"/>
      <c r="T69" s="132"/>
    </row>
    <row r="70" spans="18:20" hidden="1" x14ac:dyDescent="0.2">
      <c r="R70" s="132"/>
      <c r="S70" s="132"/>
      <c r="T70" s="132"/>
    </row>
  </sheetData>
  <sheetProtection algorithmName="SHA-512" hashValue="LQWX7aUKXjNxv2jZGOccqOKLG11ZsqStFNtgtW0rBBAmW8CZYAP0CIb1S96+VKLp/nBqtwVORuWjL07wW4CBdg==" saltValue="RCnN/KMmEqN0HSRjjKmzrA==" spinCount="100000" sheet="1" objects="1" scenarios="1"/>
  <mergeCells count="27">
    <mergeCell ref="C55:L55"/>
    <mergeCell ref="C44:L44"/>
    <mergeCell ref="L3:L4"/>
    <mergeCell ref="C43:L43"/>
    <mergeCell ref="C52:L52"/>
    <mergeCell ref="C46:L46"/>
    <mergeCell ref="C47:L47"/>
    <mergeCell ref="C48:L48"/>
    <mergeCell ref="C49:L49"/>
    <mergeCell ref="C50:L50"/>
    <mergeCell ref="C51:L51"/>
    <mergeCell ref="C45:L45"/>
    <mergeCell ref="B30:C30"/>
    <mergeCell ref="C42:L42"/>
    <mergeCell ref="B3:C4"/>
    <mergeCell ref="D3:D4"/>
    <mergeCell ref="Y3:Y4"/>
    <mergeCell ref="AA3:AC4"/>
    <mergeCell ref="AC6:AC7"/>
    <mergeCell ref="C53:L53"/>
    <mergeCell ref="C54:L54"/>
    <mergeCell ref="O3:O4"/>
    <mergeCell ref="R3:W4"/>
    <mergeCell ref="E3:E4"/>
    <mergeCell ref="F3:I3"/>
    <mergeCell ref="J3:K3"/>
    <mergeCell ref="N3:N4"/>
  </mergeCells>
  <conditionalFormatting sqref="N25">
    <cfRule type="cellIs" dxfId="167" priority="4" operator="equal">
      <formula>0</formula>
    </cfRule>
  </conditionalFormatting>
  <conditionalFormatting sqref="O7:O10">
    <cfRule type="cellIs" dxfId="166" priority="18" operator="equal">
      <formula>0</formula>
    </cfRule>
  </conditionalFormatting>
  <conditionalFormatting sqref="O11:O13">
    <cfRule type="cellIs" dxfId="165" priority="6" operator="equal">
      <formula>2</formula>
    </cfRule>
  </conditionalFormatting>
  <conditionalFormatting sqref="O14:O16">
    <cfRule type="cellIs" dxfId="164" priority="14" operator="equal">
      <formula>0</formula>
    </cfRule>
  </conditionalFormatting>
  <conditionalFormatting sqref="O17:O22">
    <cfRule type="cellIs" dxfId="163" priority="7" operator="equal">
      <formula>2</formula>
    </cfRule>
  </conditionalFormatting>
  <conditionalFormatting sqref="O23:O24">
    <cfRule type="cellIs" dxfId="162" priority="10" operator="equal">
      <formula>0</formula>
    </cfRule>
  </conditionalFormatting>
  <conditionalFormatting sqref="O25:O30">
    <cfRule type="cellIs" dxfId="161" priority="8" operator="equal">
      <formula>2</formula>
    </cfRule>
  </conditionalFormatting>
  <printOptions horizontalCentered="1"/>
  <pageMargins left="0.39370078740157483" right="0.39370078740157483" top="0.78740157480314965" bottom="0.78740157480314965" header="0.31496062992125984" footer="0.31496062992125984"/>
  <pageSetup paperSize="9" scale="43"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3" id="{61D3A0C9-2F3B-4BA6-893D-C116FD8DDEA7}">
            <xm:f>Validation!$H$3=1</xm:f>
            <x14:dxf>
              <fill>
                <patternFill>
                  <bgColor rgb="FFE0DCD8"/>
                </patternFill>
              </fill>
            </x14:dxf>
          </x14:cfRule>
          <xm:sqref>H7:I11 H14:I17 H19:I20</xm:sqref>
        </x14:conditionalFormatting>
        <x14:conditionalFormatting xmlns:xm="http://schemas.microsoft.com/office/excel/2006/main">
          <x14:cfRule type="expression" priority="1" id="{BCF49CBA-F795-44ED-AAE8-8141055E3B3B}">
            <xm:f>Validation!$H$3=1</xm:f>
            <x14:dxf>
              <fill>
                <patternFill>
                  <bgColor rgb="FFE0DCD8"/>
                </patternFill>
              </fill>
            </x14:dxf>
          </x14:cfRule>
          <xm:sqref>H23:I25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68"/>
  <sheetViews>
    <sheetView showGridLines="0" workbookViewId="0">
      <selection activeCell="G12" activeCellId="1" sqref="G21 G12"/>
    </sheetView>
  </sheetViews>
  <sheetFormatPr defaultColWidth="0" defaultRowHeight="14.25" zeroHeight="1" x14ac:dyDescent="0.2"/>
  <cols>
    <col min="1" max="1" width="1.625" style="83" customWidth="1"/>
    <col min="2" max="2" width="4.125" style="83" customWidth="1"/>
    <col min="3" max="3" width="38.125" style="83" customWidth="1"/>
    <col min="4" max="5" width="5.125" style="83" customWidth="1"/>
    <col min="6" max="9" width="14.625" style="83" customWidth="1"/>
    <col min="10" max="10" width="2.625" style="83" customWidth="1"/>
    <col min="11" max="11" width="18.75" style="83" bestFit="1" customWidth="1"/>
    <col min="12" max="12" width="1.625" style="83" customWidth="1"/>
    <col min="13" max="13" width="1.625" style="84" hidden="1" customWidth="1"/>
    <col min="14" max="16" width="5.625" style="83" hidden="1" customWidth="1"/>
    <col min="17" max="17" width="1.625" style="84" hidden="1" customWidth="1"/>
    <col min="18" max="16384" width="8.75" hidden="1"/>
  </cols>
  <sheetData>
    <row r="1" spans="2:16" ht="20.25" x14ac:dyDescent="0.2">
      <c r="B1" s="79" t="s">
        <v>443</v>
      </c>
      <c r="C1" s="79"/>
      <c r="D1" s="79"/>
      <c r="E1" s="79"/>
      <c r="F1" s="79"/>
      <c r="G1" s="79"/>
      <c r="H1" s="79"/>
      <c r="I1" s="81" t="str">
        <f>Validation!B3</f>
        <v>Yorkshire Water</v>
      </c>
      <c r="J1" s="79"/>
      <c r="K1" s="82" t="s">
        <v>72</v>
      </c>
    </row>
    <row r="2" spans="2:16" ht="15" thickBot="1" x14ac:dyDescent="0.25">
      <c r="B2" s="86" t="s">
        <v>55</v>
      </c>
    </row>
    <row r="3" spans="2:16" ht="14.65" customHeight="1" x14ac:dyDescent="0.2">
      <c r="B3" s="959" t="s">
        <v>73</v>
      </c>
      <c r="C3" s="960"/>
      <c r="D3" s="963" t="s">
        <v>74</v>
      </c>
      <c r="E3" s="965" t="s">
        <v>75</v>
      </c>
      <c r="F3" s="891" t="s">
        <v>444</v>
      </c>
      <c r="G3" s="892"/>
      <c r="H3" s="892"/>
      <c r="I3" s="893"/>
      <c r="K3" s="894" t="s">
        <v>79</v>
      </c>
      <c r="N3" s="896" t="s">
        <v>83</v>
      </c>
      <c r="O3" s="896"/>
      <c r="P3" s="957"/>
    </row>
    <row r="4" spans="2:16" ht="41.25" thickBot="1" x14ac:dyDescent="0.25">
      <c r="B4" s="961"/>
      <c r="C4" s="962"/>
      <c r="D4" s="964"/>
      <c r="E4" s="966"/>
      <c r="F4" s="846" t="s">
        <v>445</v>
      </c>
      <c r="G4" s="91" t="s">
        <v>446</v>
      </c>
      <c r="H4" s="91" t="s">
        <v>447</v>
      </c>
      <c r="I4" s="847" t="s">
        <v>257</v>
      </c>
      <c r="K4" s="895"/>
      <c r="L4" s="92"/>
      <c r="N4" s="896"/>
      <c r="O4" s="896"/>
      <c r="P4" s="957"/>
    </row>
    <row r="5" spans="2:16" ht="15" thickBot="1" x14ac:dyDescent="0.25">
      <c r="N5" s="97" t="s">
        <v>84</v>
      </c>
    </row>
    <row r="6" spans="2:16" ht="15" thickBot="1" x14ac:dyDescent="0.25">
      <c r="B6" s="95" t="s">
        <v>134</v>
      </c>
      <c r="C6" s="96" t="s">
        <v>448</v>
      </c>
    </row>
    <row r="7" spans="2:16" x14ac:dyDescent="0.2">
      <c r="B7" s="98">
        <v>1</v>
      </c>
      <c r="C7" s="128" t="s">
        <v>449</v>
      </c>
      <c r="D7" s="100" t="s">
        <v>86</v>
      </c>
      <c r="E7" s="101">
        <v>3</v>
      </c>
      <c r="F7" s="441">
        <v>0</v>
      </c>
      <c r="G7" s="452">
        <v>7.2830000000000004</v>
      </c>
      <c r="H7" s="487">
        <v>0</v>
      </c>
      <c r="I7" s="199">
        <f>SUM(F7:H7)</f>
        <v>7.2830000000000004</v>
      </c>
      <c r="K7" s="28">
        <f xml:space="preserve"> IF( SUM( M7:Q7 ) = 0, 0, $N$5 )</f>
        <v>0</v>
      </c>
      <c r="N7" s="105">
        <f t="shared" ref="N7:P11" si="0" xml:space="preserve"> IF( ISNUMBER( F7 ), 0, 1 )</f>
        <v>0</v>
      </c>
      <c r="O7" s="105">
        <f t="shared" si="0"/>
        <v>0</v>
      </c>
      <c r="P7" s="105">
        <f t="shared" si="0"/>
        <v>0</v>
      </c>
    </row>
    <row r="8" spans="2:16" x14ac:dyDescent="0.2">
      <c r="B8" s="106">
        <f xml:space="preserve"> B7 + 1</f>
        <v>2</v>
      </c>
      <c r="C8" s="99" t="s">
        <v>450</v>
      </c>
      <c r="D8" s="107" t="s">
        <v>86</v>
      </c>
      <c r="E8" s="108">
        <v>3</v>
      </c>
      <c r="F8" s="439">
        <v>0</v>
      </c>
      <c r="G8" s="440">
        <v>5.6820000000000004</v>
      </c>
      <c r="H8" s="488">
        <v>0</v>
      </c>
      <c r="I8" s="202">
        <f t="shared" ref="I8:I12" si="1">SUM(F8:H8)</f>
        <v>5.6820000000000004</v>
      </c>
      <c r="K8" s="28">
        <f t="shared" ref="K8:K11" si="2" xml:space="preserve"> IF( SUM( M8:Q8 ) = 0, 0, $N$5 )</f>
        <v>0</v>
      </c>
      <c r="N8" s="105">
        <f t="shared" si="0"/>
        <v>0</v>
      </c>
      <c r="O8" s="105">
        <f t="shared" si="0"/>
        <v>0</v>
      </c>
      <c r="P8" s="105">
        <f t="shared" si="0"/>
        <v>0</v>
      </c>
    </row>
    <row r="9" spans="2:16" x14ac:dyDescent="0.2">
      <c r="B9" s="106">
        <f xml:space="preserve"> B8 + 1</f>
        <v>3</v>
      </c>
      <c r="C9" s="99" t="s">
        <v>451</v>
      </c>
      <c r="D9" s="107" t="s">
        <v>86</v>
      </c>
      <c r="E9" s="108">
        <v>3</v>
      </c>
      <c r="F9" s="439">
        <v>0</v>
      </c>
      <c r="G9" s="440">
        <v>1.393</v>
      </c>
      <c r="H9" s="488">
        <v>0</v>
      </c>
      <c r="I9" s="202">
        <f t="shared" si="1"/>
        <v>1.393</v>
      </c>
      <c r="K9" s="28">
        <f t="shared" si="2"/>
        <v>0</v>
      </c>
      <c r="N9" s="105">
        <f t="shared" si="0"/>
        <v>0</v>
      </c>
      <c r="O9" s="105">
        <f t="shared" si="0"/>
        <v>0</v>
      </c>
      <c r="P9" s="105">
        <f t="shared" si="0"/>
        <v>0</v>
      </c>
    </row>
    <row r="10" spans="2:16" x14ac:dyDescent="0.2">
      <c r="B10" s="106">
        <f xml:space="preserve"> B9 + 1</f>
        <v>4</v>
      </c>
      <c r="C10" s="99" t="s">
        <v>452</v>
      </c>
      <c r="D10" s="107" t="s">
        <v>86</v>
      </c>
      <c r="E10" s="108">
        <v>3</v>
      </c>
      <c r="F10" s="439">
        <v>0</v>
      </c>
      <c r="G10" s="440">
        <v>6.6000000000000003E-2</v>
      </c>
      <c r="H10" s="488">
        <v>0</v>
      </c>
      <c r="I10" s="202">
        <f t="shared" si="1"/>
        <v>6.6000000000000003E-2</v>
      </c>
      <c r="K10" s="28">
        <f t="shared" si="2"/>
        <v>0</v>
      </c>
      <c r="N10" s="105">
        <f t="shared" si="0"/>
        <v>0</v>
      </c>
      <c r="O10" s="105">
        <f t="shared" si="0"/>
        <v>0</v>
      </c>
      <c r="P10" s="105">
        <f t="shared" si="0"/>
        <v>0</v>
      </c>
    </row>
    <row r="11" spans="2:16" x14ac:dyDescent="0.2">
      <c r="B11" s="106">
        <f>B10+1</f>
        <v>5</v>
      </c>
      <c r="C11" s="99" t="s">
        <v>453</v>
      </c>
      <c r="D11" s="107" t="s">
        <v>86</v>
      </c>
      <c r="E11" s="108">
        <v>3</v>
      </c>
      <c r="F11" s="439">
        <v>0</v>
      </c>
      <c r="G11" s="440">
        <v>-8.9999999999999993E-3</v>
      </c>
      <c r="H11" s="488">
        <v>0</v>
      </c>
      <c r="I11" s="202">
        <f t="shared" si="1"/>
        <v>-8.9999999999999993E-3</v>
      </c>
      <c r="K11" s="28">
        <f t="shared" si="2"/>
        <v>0</v>
      </c>
      <c r="N11" s="105">
        <f t="shared" si="0"/>
        <v>0</v>
      </c>
      <c r="O11" s="105">
        <f t="shared" si="0"/>
        <v>0</v>
      </c>
      <c r="P11" s="105">
        <f t="shared" si="0"/>
        <v>0</v>
      </c>
    </row>
    <row r="12" spans="2:16" ht="15" thickBot="1" x14ac:dyDescent="0.25">
      <c r="B12" s="106">
        <f>B11+1</f>
        <v>6</v>
      </c>
      <c r="C12" s="99" t="s">
        <v>257</v>
      </c>
      <c r="D12" s="107" t="s">
        <v>86</v>
      </c>
      <c r="E12" s="108">
        <v>3</v>
      </c>
      <c r="F12" s="203">
        <f>SUM(F7:F11)</f>
        <v>0</v>
      </c>
      <c r="G12" s="691">
        <f>SUM(G7:G11)</f>
        <v>14.415000000000001</v>
      </c>
      <c r="H12" s="373">
        <f>SUM(H7:H11)</f>
        <v>0</v>
      </c>
      <c r="I12" s="693">
        <f t="shared" si="1"/>
        <v>14.415000000000001</v>
      </c>
      <c r="K12" s="137"/>
    </row>
    <row r="13" spans="2:16" ht="15" thickBot="1" x14ac:dyDescent="0.25">
      <c r="B13" s="113">
        <f>B12+1</f>
        <v>7</v>
      </c>
      <c r="C13" s="114" t="s">
        <v>454</v>
      </c>
      <c r="D13" s="115" t="s">
        <v>86</v>
      </c>
      <c r="E13" s="112">
        <v>3</v>
      </c>
      <c r="F13" s="171"/>
      <c r="G13" s="692">
        <v>0</v>
      </c>
      <c r="H13" s="171"/>
      <c r="I13" s="210">
        <f t="shared" ref="I13" si="3">SUM(F13:H13)</f>
        <v>0</v>
      </c>
      <c r="K13" s="28">
        <f xml:space="preserve"> IF( SUM( M13:Q13 ) = 0, 0, $N$5 )</f>
        <v>0</v>
      </c>
      <c r="O13" s="105">
        <f xml:space="preserve"> IF( ISNUMBER( G13 ), 0, 1 )</f>
        <v>0</v>
      </c>
    </row>
    <row r="14" spans="2:16" x14ac:dyDescent="0.2">
      <c r="B14" s="132"/>
      <c r="C14" s="86"/>
      <c r="D14" s="127"/>
      <c r="E14" s="127"/>
      <c r="F14" s="171"/>
      <c r="G14" s="171"/>
      <c r="H14" s="171"/>
      <c r="I14" s="171"/>
      <c r="K14" s="137"/>
    </row>
    <row r="15" spans="2:16" ht="15" thickBot="1" x14ac:dyDescent="0.25">
      <c r="K15" s="137"/>
    </row>
    <row r="16" spans="2:16" ht="15" thickBot="1" x14ac:dyDescent="0.25">
      <c r="B16" s="95" t="s">
        <v>143</v>
      </c>
      <c r="C16" s="96" t="s">
        <v>455</v>
      </c>
      <c r="K16" s="137"/>
    </row>
    <row r="17" spans="2:17" x14ac:dyDescent="0.2">
      <c r="B17" s="98">
        <f>B13+1</f>
        <v>8</v>
      </c>
      <c r="C17" s="128" t="s">
        <v>450</v>
      </c>
      <c r="D17" s="100" t="s">
        <v>86</v>
      </c>
      <c r="E17" s="101">
        <v>3</v>
      </c>
      <c r="F17" s="441">
        <v>0</v>
      </c>
      <c r="G17" s="452">
        <v>5.6189999999999998</v>
      </c>
      <c r="H17" s="487">
        <v>0</v>
      </c>
      <c r="I17" s="199">
        <f t="shared" ref="I17:I21" si="4">SUM(F17:H17)</f>
        <v>5.6189999999999998</v>
      </c>
      <c r="K17" s="28">
        <f t="shared" ref="K17:K20" si="5" xml:space="preserve"> IF( SUM( M17:Q17 ) = 0, 0, $N$5 )</f>
        <v>0</v>
      </c>
      <c r="N17" s="105">
        <f>IF(Validation!$H$3=1,0,IF(ISNUMBER(F17),0,1))</f>
        <v>0</v>
      </c>
      <c r="O17" s="105">
        <f>IF(Validation!$H$3=1,0,IF(ISNUMBER(G17),0,1))</f>
        <v>0</v>
      </c>
      <c r="P17" s="105">
        <f>IF(Validation!$H$3=1,0,IF(ISNUMBER(H17),0,1))</f>
        <v>0</v>
      </c>
    </row>
    <row r="18" spans="2:17" x14ac:dyDescent="0.2">
      <c r="B18" s="106">
        <f xml:space="preserve"> B17 + 1</f>
        <v>9</v>
      </c>
      <c r="C18" s="99" t="s">
        <v>456</v>
      </c>
      <c r="D18" s="107" t="s">
        <v>86</v>
      </c>
      <c r="E18" s="108">
        <v>3</v>
      </c>
      <c r="F18" s="439">
        <v>0</v>
      </c>
      <c r="G18" s="440">
        <v>1.0640000000000001</v>
      </c>
      <c r="H18" s="488">
        <v>0</v>
      </c>
      <c r="I18" s="202">
        <f t="shared" si="4"/>
        <v>1.0640000000000001</v>
      </c>
      <c r="K18" s="28">
        <f t="shared" si="5"/>
        <v>0</v>
      </c>
      <c r="N18" s="105">
        <f>IF(Validation!$H$3=1,0,IF(ISNUMBER(F18),0,1))</f>
        <v>0</v>
      </c>
      <c r="O18" s="105">
        <f>IF(Validation!$H$3=1,0,IF(ISNUMBER(G18),0,1))</f>
        <v>0</v>
      </c>
      <c r="P18" s="105">
        <f>IF(Validation!$H$3=1,0,IF(ISNUMBER(H18),0,1))</f>
        <v>0</v>
      </c>
    </row>
    <row r="19" spans="2:17" x14ac:dyDescent="0.2">
      <c r="B19" s="106">
        <f xml:space="preserve"> B18 + 1</f>
        <v>10</v>
      </c>
      <c r="C19" s="99" t="s">
        <v>452</v>
      </c>
      <c r="D19" s="107" t="s">
        <v>86</v>
      </c>
      <c r="E19" s="108">
        <v>3</v>
      </c>
      <c r="F19" s="439">
        <v>0</v>
      </c>
      <c r="G19" s="440">
        <v>1.5980000000000001</v>
      </c>
      <c r="H19" s="488">
        <v>0</v>
      </c>
      <c r="I19" s="202">
        <f t="shared" si="4"/>
        <v>1.5980000000000001</v>
      </c>
      <c r="K19" s="28">
        <f t="shared" si="5"/>
        <v>0</v>
      </c>
      <c r="N19" s="105">
        <f>IF(Validation!$H$3=1,0,IF(ISNUMBER(F19),0,1))</f>
        <v>0</v>
      </c>
      <c r="O19" s="105">
        <f>IF(Validation!$H$3=1,0,IF(ISNUMBER(G19),0,1))</f>
        <v>0</v>
      </c>
      <c r="P19" s="105">
        <f>IF(Validation!$H$3=1,0,IF(ISNUMBER(H19),0,1))</f>
        <v>0</v>
      </c>
    </row>
    <row r="20" spans="2:17" x14ac:dyDescent="0.2">
      <c r="B20" s="374">
        <f>B19+1</f>
        <v>11</v>
      </c>
      <c r="C20" s="228" t="s">
        <v>453</v>
      </c>
      <c r="D20" s="107" t="s">
        <v>86</v>
      </c>
      <c r="E20" s="108">
        <v>3</v>
      </c>
      <c r="F20" s="439">
        <v>0</v>
      </c>
      <c r="G20" s="440">
        <v>-5.3999999999999999E-2</v>
      </c>
      <c r="H20" s="488">
        <v>0</v>
      </c>
      <c r="I20" s="202">
        <f t="shared" si="4"/>
        <v>-5.3999999999999999E-2</v>
      </c>
      <c r="K20" s="28">
        <f t="shared" si="5"/>
        <v>0</v>
      </c>
      <c r="N20" s="105">
        <f>IF(Validation!$H$3=1,0,IF(ISNUMBER(F20),0,1))</f>
        <v>0</v>
      </c>
      <c r="O20" s="105">
        <f>IF(Validation!$H$3=1,0,IF(ISNUMBER(G20),0,1))</f>
        <v>0</v>
      </c>
      <c r="P20" s="105">
        <f>IF(Validation!$H$3=1,0,IF(ISNUMBER(H20),0,1))</f>
        <v>0</v>
      </c>
    </row>
    <row r="21" spans="2:17" ht="15" thickBot="1" x14ac:dyDescent="0.25">
      <c r="B21" s="106">
        <f>B20+1</f>
        <v>12</v>
      </c>
      <c r="C21" s="99" t="s">
        <v>257</v>
      </c>
      <c r="D21" s="107" t="s">
        <v>86</v>
      </c>
      <c r="E21" s="108">
        <v>3</v>
      </c>
      <c r="F21" s="203">
        <f>SUM(F17:F20)</f>
        <v>0</v>
      </c>
      <c r="G21" s="691">
        <f>SUM(G17:G20)</f>
        <v>8.2270000000000003</v>
      </c>
      <c r="H21" s="373">
        <f>SUM(H17:H20)</f>
        <v>0</v>
      </c>
      <c r="I21" s="693">
        <f t="shared" si="4"/>
        <v>8.2270000000000003</v>
      </c>
      <c r="K21" s="137"/>
    </row>
    <row r="22" spans="2:17" ht="15" thickBot="1" x14ac:dyDescent="0.25">
      <c r="B22" s="113">
        <f>B21+1</f>
        <v>13</v>
      </c>
      <c r="C22" s="114" t="s">
        <v>454</v>
      </c>
      <c r="D22" s="115" t="s">
        <v>86</v>
      </c>
      <c r="E22" s="112">
        <v>3</v>
      </c>
      <c r="F22" s="171"/>
      <c r="G22" s="692">
        <v>8.1319999999999997</v>
      </c>
      <c r="H22" s="171"/>
      <c r="I22" s="210">
        <f t="shared" ref="I22" si="6">SUM(F22:H22)</f>
        <v>8.1319999999999997</v>
      </c>
      <c r="K22" s="28">
        <f xml:space="preserve"> IF( SUM( M22:Q22 ) = 0, 0, $N$5 )</f>
        <v>0</v>
      </c>
      <c r="O22" s="105">
        <f>IF(Validation!$H$3=1,0,IF(ISNUMBER(G22),0,1))</f>
        <v>0</v>
      </c>
    </row>
    <row r="23" spans="2:17" x14ac:dyDescent="0.2">
      <c r="K23" s="137"/>
    </row>
    <row r="24" spans="2:17" ht="15" thickBot="1" x14ac:dyDescent="0.25">
      <c r="K24" s="137"/>
    </row>
    <row r="25" spans="2:17" x14ac:dyDescent="0.2">
      <c r="G25" s="891" t="str">
        <f>F3</f>
        <v>Current year</v>
      </c>
      <c r="H25" s="892"/>
      <c r="I25" s="893"/>
      <c r="J25" s="129"/>
      <c r="K25" s="137"/>
      <c r="L25" s="129"/>
    </row>
    <row r="26" spans="2:17" ht="15" thickBot="1" x14ac:dyDescent="0.25">
      <c r="G26" s="846" t="s">
        <v>457</v>
      </c>
      <c r="H26" s="91" t="s">
        <v>458</v>
      </c>
      <c r="I26" s="847" t="s">
        <v>257</v>
      </c>
      <c r="J26" s="135"/>
      <c r="K26" s="137"/>
      <c r="L26" s="135"/>
      <c r="M26" s="133"/>
      <c r="N26" s="135"/>
      <c r="O26" s="135"/>
      <c r="P26" s="135"/>
      <c r="Q26" s="133"/>
    </row>
    <row r="27" spans="2:17" ht="15" thickBot="1" x14ac:dyDescent="0.25">
      <c r="B27" s="125" t="s">
        <v>149</v>
      </c>
      <c r="C27" s="126" t="s">
        <v>459</v>
      </c>
      <c r="J27" s="135"/>
      <c r="K27" s="137"/>
      <c r="L27" s="135"/>
      <c r="M27" s="130"/>
      <c r="N27" s="135"/>
      <c r="O27" s="135"/>
      <c r="P27" s="135"/>
      <c r="Q27" s="130"/>
    </row>
    <row r="28" spans="2:17" x14ac:dyDescent="0.2">
      <c r="B28" s="98">
        <f xml:space="preserve"> B22 + 1</f>
        <v>14</v>
      </c>
      <c r="C28" s="128" t="s">
        <v>460</v>
      </c>
      <c r="D28" s="100" t="s">
        <v>86</v>
      </c>
      <c r="E28" s="101">
        <v>3</v>
      </c>
      <c r="F28" s="375"/>
      <c r="G28" s="441">
        <v>137.01199999999997</v>
      </c>
      <c r="H28" s="452">
        <v>263.01</v>
      </c>
      <c r="I28" s="199">
        <f>SUM(G28:H28)</f>
        <v>400.02199999999993</v>
      </c>
      <c r="J28" s="135"/>
      <c r="K28" s="28">
        <f t="shared" ref="K28" si="7" xml:space="preserve"> IF( SUM( M28:Q28 ) = 0, 0, $N$5 )</f>
        <v>0</v>
      </c>
      <c r="L28" s="135"/>
      <c r="M28" s="130"/>
      <c r="N28" s="132"/>
      <c r="O28" s="105">
        <f xml:space="preserve"> IF( ISNUMBER( G28 ), 0, 1 )</f>
        <v>0</v>
      </c>
      <c r="P28" s="105">
        <f>IF(Validation!$H$3=1,0,IF(ISNUMBER(H28),0,1))</f>
        <v>0</v>
      </c>
      <c r="Q28" s="130"/>
    </row>
    <row r="29" spans="2:17" x14ac:dyDescent="0.2">
      <c r="B29" s="106">
        <f>B28+1</f>
        <v>15</v>
      </c>
      <c r="C29" s="99" t="s">
        <v>461</v>
      </c>
      <c r="D29" s="107" t="s">
        <v>86</v>
      </c>
      <c r="E29" s="108">
        <v>3</v>
      </c>
      <c r="G29" s="200">
        <f>G12</f>
        <v>14.415000000000001</v>
      </c>
      <c r="H29" s="201">
        <f>G21</f>
        <v>8.2270000000000003</v>
      </c>
      <c r="I29" s="202">
        <f t="shared" ref="I29:I31" si="8">SUM(G29:H29)</f>
        <v>22.642000000000003</v>
      </c>
      <c r="J29" s="135"/>
      <c r="K29" s="137"/>
      <c r="L29" s="135"/>
      <c r="M29" s="130"/>
      <c r="N29" s="132"/>
      <c r="O29" s="132"/>
      <c r="P29" s="132"/>
      <c r="Q29" s="130"/>
    </row>
    <row r="30" spans="2:17" x14ac:dyDescent="0.2">
      <c r="B30" s="106">
        <f>B29+1</f>
        <v>16</v>
      </c>
      <c r="C30" s="99" t="s">
        <v>462</v>
      </c>
      <c r="D30" s="107" t="s">
        <v>86</v>
      </c>
      <c r="E30" s="108">
        <v>3</v>
      </c>
      <c r="G30" s="439">
        <v>-3.5589999999999997</v>
      </c>
      <c r="H30" s="440">
        <v>-4.6100000000000003</v>
      </c>
      <c r="I30" s="202">
        <f t="shared" si="8"/>
        <v>-8.1690000000000005</v>
      </c>
      <c r="J30" s="135"/>
      <c r="K30" s="28">
        <f t="shared" ref="K30" si="9" xml:space="preserve"> IF( SUM( M30:Q30 ) = 0, 0, $N$5 )</f>
        <v>0</v>
      </c>
      <c r="L30" s="135"/>
      <c r="M30" s="130"/>
      <c r="N30" s="132"/>
      <c r="O30" s="105">
        <f xml:space="preserve"> IF( ISNUMBER( G30 ), 0, 1 )</f>
        <v>0</v>
      </c>
      <c r="P30" s="105">
        <f>IF(Validation!$H$3=1,0,IF(ISNUMBER(H30),0,1))</f>
        <v>0</v>
      </c>
      <c r="Q30" s="130"/>
    </row>
    <row r="31" spans="2:17" ht="15" thickBot="1" x14ac:dyDescent="0.25">
      <c r="B31" s="113">
        <f>B30+1</f>
        <v>17</v>
      </c>
      <c r="C31" s="114" t="s">
        <v>463</v>
      </c>
      <c r="D31" s="115" t="s">
        <v>86</v>
      </c>
      <c r="E31" s="112">
        <v>3</v>
      </c>
      <c r="G31" s="203">
        <f>SUM(G28:G30)</f>
        <v>147.86799999999997</v>
      </c>
      <c r="H31" s="204">
        <f>SUM(H28:H30)</f>
        <v>266.62699999999995</v>
      </c>
      <c r="I31" s="205">
        <f t="shared" si="8"/>
        <v>414.49499999999989</v>
      </c>
      <c r="J31" s="135"/>
      <c r="K31" s="137"/>
      <c r="L31" s="135"/>
      <c r="M31" s="130"/>
      <c r="N31" s="135"/>
      <c r="O31" s="135"/>
      <c r="P31" s="135"/>
      <c r="Q31" s="130"/>
    </row>
    <row r="32" spans="2:17" ht="15" thickBot="1" x14ac:dyDescent="0.25">
      <c r="B32" s="122"/>
      <c r="C32" s="158"/>
      <c r="D32" s="122"/>
      <c r="E32" s="122"/>
      <c r="G32" s="169"/>
      <c r="H32" s="169"/>
      <c r="I32" s="129"/>
      <c r="J32" s="135"/>
      <c r="K32" s="137"/>
      <c r="L32" s="135"/>
      <c r="M32" s="130"/>
      <c r="N32" s="135"/>
      <c r="O32" s="135"/>
      <c r="P32" s="135"/>
      <c r="Q32" s="130"/>
    </row>
    <row r="33" spans="1:17" ht="15" thickBot="1" x14ac:dyDescent="0.25">
      <c r="B33" s="95" t="s">
        <v>158</v>
      </c>
      <c r="C33" s="96" t="s">
        <v>464</v>
      </c>
      <c r="J33" s="137"/>
      <c r="K33" s="137"/>
      <c r="L33" s="135"/>
      <c r="M33" s="130"/>
      <c r="N33" s="135"/>
      <c r="O33" s="135"/>
      <c r="P33" s="135"/>
      <c r="Q33" s="130"/>
    </row>
    <row r="34" spans="1:17" ht="15" thickBot="1" x14ac:dyDescent="0.25">
      <c r="B34" s="138">
        <f>B31+1</f>
        <v>18</v>
      </c>
      <c r="C34" s="139" t="s">
        <v>465</v>
      </c>
      <c r="D34" s="140" t="s">
        <v>86</v>
      </c>
      <c r="E34" s="141">
        <v>3</v>
      </c>
      <c r="G34" s="489">
        <v>0.72099999999999997</v>
      </c>
      <c r="H34" s="490">
        <v>0.224</v>
      </c>
      <c r="I34" s="255">
        <f>G34+H34</f>
        <v>0.94499999999999995</v>
      </c>
      <c r="J34" s="137"/>
      <c r="K34" s="28">
        <f t="shared" ref="K34" si="10" xml:space="preserve"> IF( SUM( M34:Q34 ) = 0, 0, $N$5 )</f>
        <v>0</v>
      </c>
      <c r="L34" s="135"/>
      <c r="M34" s="130"/>
      <c r="N34" s="132"/>
      <c r="O34" s="105">
        <f t="shared" ref="O34" si="11" xml:space="preserve"> IF( ISNUMBER( G34 ), 0, 1 )</f>
        <v>0</v>
      </c>
      <c r="P34" s="105">
        <f>IF(Validation!$H$3=1,0,IF(ISNUMBER(H34),0,1))</f>
        <v>0</v>
      </c>
      <c r="Q34" s="130"/>
    </row>
    <row r="35" spans="1:17" x14ac:dyDescent="0.2">
      <c r="B35" s="122"/>
      <c r="C35" s="158"/>
      <c r="D35" s="122"/>
      <c r="E35" s="122"/>
      <c r="G35" s="169"/>
      <c r="H35" s="169"/>
      <c r="I35" s="129"/>
      <c r="J35" s="129"/>
      <c r="K35" s="131"/>
      <c r="L35" s="129"/>
      <c r="M35" s="130"/>
      <c r="N35" s="131"/>
      <c r="O35" s="129"/>
      <c r="P35" s="129"/>
      <c r="Q35" s="130"/>
    </row>
    <row r="36" spans="1:17" x14ac:dyDescent="0.2">
      <c r="B36" s="897" t="s">
        <v>101</v>
      </c>
      <c r="C36" s="897"/>
      <c r="D36" s="169"/>
      <c r="E36" s="169"/>
      <c r="F36" s="169"/>
      <c r="G36" s="169"/>
      <c r="H36" s="169"/>
      <c r="I36" s="135"/>
      <c r="J36" s="129"/>
      <c r="K36" s="131"/>
      <c r="L36" s="129"/>
      <c r="M36" s="133"/>
      <c r="N36" s="131"/>
      <c r="O36" s="129"/>
      <c r="P36" s="129"/>
      <c r="Q36" s="133"/>
    </row>
    <row r="37" spans="1:17" x14ac:dyDescent="0.2">
      <c r="B37" s="146"/>
      <c r="C37" s="147"/>
      <c r="D37" s="169"/>
      <c r="E37" s="169"/>
      <c r="F37" s="169"/>
      <c r="G37" s="169"/>
      <c r="H37" s="169"/>
      <c r="I37" s="135"/>
      <c r="J37" s="352"/>
      <c r="K37" s="137"/>
      <c r="L37" s="129"/>
      <c r="M37" s="133"/>
      <c r="N37" s="137"/>
      <c r="O37" s="129"/>
      <c r="P37" s="129"/>
      <c r="Q37" s="133"/>
    </row>
    <row r="38" spans="1:17" x14ac:dyDescent="0.2">
      <c r="B38" s="29"/>
      <c r="C38" s="148" t="s">
        <v>102</v>
      </c>
      <c r="D38" s="169"/>
      <c r="E38" s="169"/>
      <c r="F38" s="169"/>
      <c r="G38" s="169"/>
      <c r="H38" s="169"/>
      <c r="I38" s="135"/>
      <c r="J38" s="355"/>
      <c r="K38" s="131"/>
      <c r="L38" s="129"/>
      <c r="M38" s="133"/>
      <c r="N38" s="131"/>
      <c r="O38" s="129"/>
      <c r="P38" s="129"/>
      <c r="Q38" s="133"/>
    </row>
    <row r="39" spans="1:17" x14ac:dyDescent="0.2">
      <c r="B39" s="146"/>
      <c r="C39" s="147"/>
      <c r="D39" s="169"/>
      <c r="E39" s="169"/>
      <c r="F39" s="169"/>
      <c r="G39" s="169"/>
      <c r="H39" s="169"/>
      <c r="I39" s="135"/>
      <c r="J39" s="355"/>
      <c r="K39" s="122"/>
      <c r="L39" s="122"/>
      <c r="M39" s="133"/>
      <c r="N39" s="122"/>
      <c r="O39" s="122"/>
      <c r="P39" s="122"/>
      <c r="Q39" s="133"/>
    </row>
    <row r="40" spans="1:17" x14ac:dyDescent="0.2">
      <c r="B40" s="149"/>
      <c r="C40" s="148" t="s">
        <v>103</v>
      </c>
      <c r="D40" s="169"/>
      <c r="E40" s="169"/>
      <c r="F40" s="169"/>
      <c r="G40" s="169"/>
      <c r="H40" s="169"/>
      <c r="I40" s="135"/>
      <c r="J40" s="355"/>
      <c r="K40" s="122"/>
      <c r="L40" s="122"/>
      <c r="M40" s="133"/>
      <c r="N40" s="122"/>
      <c r="O40" s="122"/>
      <c r="P40" s="122"/>
      <c r="Q40" s="133"/>
    </row>
    <row r="41" spans="1:17" x14ac:dyDescent="0.2">
      <c r="B41" s="150"/>
      <c r="C41" s="148"/>
      <c r="D41" s="169"/>
      <c r="E41" s="169"/>
      <c r="F41" s="169"/>
      <c r="G41" s="169"/>
      <c r="H41" s="169"/>
      <c r="I41" s="135"/>
      <c r="J41" s="355"/>
      <c r="K41" s="131"/>
      <c r="L41" s="131"/>
      <c r="M41" s="133"/>
      <c r="N41" s="131"/>
      <c r="O41" s="131"/>
      <c r="P41" s="131"/>
      <c r="Q41" s="133"/>
    </row>
    <row r="42" spans="1:17" x14ac:dyDescent="0.2">
      <c r="A42" s="122"/>
      <c r="B42" s="151"/>
      <c r="C42" s="148" t="s">
        <v>104</v>
      </c>
      <c r="D42" s="169"/>
      <c r="E42" s="169"/>
      <c r="F42" s="169"/>
      <c r="G42" s="169"/>
      <c r="H42" s="169"/>
      <c r="I42" s="135"/>
      <c r="J42" s="355"/>
      <c r="K42" s="131"/>
      <c r="L42" s="131"/>
      <c r="M42" s="133"/>
      <c r="N42" s="131"/>
      <c r="O42" s="131"/>
      <c r="P42" s="131"/>
      <c r="Q42" s="133"/>
    </row>
    <row r="43" spans="1:17" x14ac:dyDescent="0.2">
      <c r="A43" s="169"/>
      <c r="B43" s="156"/>
      <c r="C43" s="157"/>
      <c r="D43" s="186"/>
      <c r="E43" s="186"/>
      <c r="F43" s="186"/>
      <c r="G43" s="186"/>
      <c r="H43" s="186"/>
      <c r="I43" s="137"/>
      <c r="J43" s="355"/>
      <c r="K43" s="131"/>
      <c r="L43" s="131"/>
      <c r="M43" s="133"/>
      <c r="N43" s="131"/>
      <c r="O43" s="131"/>
      <c r="P43" s="131"/>
      <c r="Q43" s="133"/>
    </row>
    <row r="44" spans="1:17" ht="15" thickBot="1" x14ac:dyDescent="0.25">
      <c r="A44" s="169"/>
      <c r="B44" s="186"/>
      <c r="C44" s="187"/>
      <c r="D44" s="186"/>
      <c r="E44" s="186"/>
      <c r="F44" s="186"/>
      <c r="G44" s="186"/>
      <c r="H44" s="186"/>
      <c r="I44" s="137"/>
      <c r="J44" s="355"/>
      <c r="M44" s="133"/>
      <c r="Q44" s="133"/>
    </row>
    <row r="45" spans="1:17" ht="20.65" customHeight="1" thickBot="1" x14ac:dyDescent="0.25">
      <c r="A45" s="156"/>
      <c r="B45" s="152" t="str">
        <f ca="1" xml:space="preserve"> RIGHT(CELL("filename", $A$1), LEN(CELL("filename", $A$1)) - SEARCH("]", CELL("filename", $A$1)))&amp;" - Line definitions"</f>
        <v>2E - Line definitions</v>
      </c>
      <c r="C45" s="153"/>
      <c r="D45" s="154"/>
      <c r="E45" s="154"/>
      <c r="F45" s="154"/>
      <c r="G45" s="154"/>
      <c r="H45" s="154"/>
      <c r="I45" s="260"/>
      <c r="J45" s="355"/>
    </row>
    <row r="46" spans="1:17" ht="14.65" customHeight="1" thickBot="1" x14ac:dyDescent="0.25">
      <c r="A46" s="186"/>
      <c r="B46" s="87"/>
      <c r="C46" s="161"/>
      <c r="D46" s="87"/>
      <c r="E46" s="87"/>
      <c r="F46" s="122"/>
      <c r="G46" s="122"/>
      <c r="H46" s="122"/>
      <c r="I46" s="129"/>
      <c r="J46" s="355"/>
    </row>
    <row r="47" spans="1:17" ht="15" thickBot="1" x14ac:dyDescent="0.25">
      <c r="A47" s="122"/>
      <c r="B47" s="376" t="s">
        <v>105</v>
      </c>
      <c r="C47" s="377" t="s">
        <v>106</v>
      </c>
      <c r="D47" s="378"/>
      <c r="E47" s="378"/>
      <c r="F47" s="378"/>
      <c r="G47" s="378"/>
      <c r="H47" s="378"/>
      <c r="I47" s="403"/>
      <c r="J47" s="355"/>
      <c r="N47" s="97" t="s">
        <v>107</v>
      </c>
    </row>
    <row r="48" spans="1:17" ht="14.1" customHeight="1" x14ac:dyDescent="0.2">
      <c r="A48" s="122"/>
      <c r="B48" s="380">
        <f t="shared" ref="B48:B54" si="12">B7</f>
        <v>1</v>
      </c>
      <c r="C48" s="967" t="s">
        <v>466</v>
      </c>
      <c r="D48" s="914"/>
      <c r="E48" s="914"/>
      <c r="F48" s="914"/>
      <c r="G48" s="914"/>
      <c r="H48" s="914"/>
      <c r="I48" s="915"/>
      <c r="J48" s="355"/>
      <c r="N48" s="168">
        <v>1</v>
      </c>
    </row>
    <row r="49" spans="1:14" ht="25.5" x14ac:dyDescent="0.2">
      <c r="A49" s="122"/>
      <c r="B49" s="381">
        <f t="shared" si="12"/>
        <v>2</v>
      </c>
      <c r="C49" s="958" t="s">
        <v>467</v>
      </c>
      <c r="D49" s="906"/>
      <c r="E49" s="906"/>
      <c r="F49" s="906"/>
      <c r="G49" s="906"/>
      <c r="H49" s="906"/>
      <c r="I49" s="907"/>
      <c r="J49" s="355"/>
      <c r="N49" s="168" t="s">
        <v>112</v>
      </c>
    </row>
    <row r="50" spans="1:14" ht="14.1" customHeight="1" x14ac:dyDescent="0.2">
      <c r="A50" s="122"/>
      <c r="B50" s="381">
        <f t="shared" si="12"/>
        <v>3</v>
      </c>
      <c r="C50" s="958" t="s">
        <v>468</v>
      </c>
      <c r="D50" s="906"/>
      <c r="E50" s="906"/>
      <c r="F50" s="906"/>
      <c r="G50" s="906"/>
      <c r="H50" s="906"/>
      <c r="I50" s="907"/>
      <c r="N50" s="165">
        <v>1</v>
      </c>
    </row>
    <row r="51" spans="1:14" ht="14.1" customHeight="1" x14ac:dyDescent="0.2">
      <c r="A51" s="122"/>
      <c r="B51" s="381">
        <f t="shared" si="12"/>
        <v>4</v>
      </c>
      <c r="C51" s="958" t="s">
        <v>469</v>
      </c>
      <c r="D51" s="906"/>
      <c r="E51" s="906"/>
      <c r="F51" s="906"/>
      <c r="G51" s="906"/>
      <c r="H51" s="906"/>
      <c r="I51" s="907"/>
      <c r="N51" s="165">
        <v>1</v>
      </c>
    </row>
    <row r="52" spans="1:14" ht="25.5" x14ac:dyDescent="0.2">
      <c r="A52" s="122"/>
      <c r="B52" s="381">
        <f t="shared" si="12"/>
        <v>5</v>
      </c>
      <c r="C52" s="958" t="s">
        <v>470</v>
      </c>
      <c r="D52" s="906"/>
      <c r="E52" s="906"/>
      <c r="F52" s="906"/>
      <c r="G52" s="906"/>
      <c r="H52" s="906"/>
      <c r="I52" s="907"/>
      <c r="N52" s="168" t="s">
        <v>112</v>
      </c>
    </row>
    <row r="53" spans="1:14" ht="14.1" customHeight="1" x14ac:dyDescent="0.2">
      <c r="A53" s="122"/>
      <c r="B53" s="381">
        <f t="shared" si="12"/>
        <v>6</v>
      </c>
      <c r="C53" s="958" t="s">
        <v>471</v>
      </c>
      <c r="D53" s="906"/>
      <c r="E53" s="906"/>
      <c r="F53" s="906"/>
      <c r="G53" s="906"/>
      <c r="H53" s="906"/>
      <c r="I53" s="907"/>
      <c r="N53" s="165">
        <v>1</v>
      </c>
    </row>
    <row r="54" spans="1:14" ht="14.1" customHeight="1" x14ac:dyDescent="0.2">
      <c r="A54" s="122"/>
      <c r="B54" s="381">
        <f t="shared" si="12"/>
        <v>7</v>
      </c>
      <c r="C54" s="958" t="s">
        <v>472</v>
      </c>
      <c r="D54" s="906"/>
      <c r="E54" s="906"/>
      <c r="F54" s="906"/>
      <c r="G54" s="906"/>
      <c r="H54" s="906"/>
      <c r="I54" s="907"/>
      <c r="N54" s="165">
        <v>1</v>
      </c>
    </row>
    <row r="55" spans="1:14" ht="25.5" x14ac:dyDescent="0.2">
      <c r="A55" s="186"/>
      <c r="B55" s="381">
        <f t="shared" ref="B55:B60" si="13">B17</f>
        <v>8</v>
      </c>
      <c r="C55" s="958" t="s">
        <v>473</v>
      </c>
      <c r="D55" s="906"/>
      <c r="E55" s="906"/>
      <c r="F55" s="906"/>
      <c r="G55" s="906"/>
      <c r="H55" s="906"/>
      <c r="I55" s="907"/>
      <c r="N55" s="168" t="s">
        <v>112</v>
      </c>
    </row>
    <row r="56" spans="1:14" ht="14.1" customHeight="1" x14ac:dyDescent="0.2">
      <c r="A56" s="122"/>
      <c r="B56" s="381">
        <f t="shared" si="13"/>
        <v>9</v>
      </c>
      <c r="C56" s="958" t="s">
        <v>474</v>
      </c>
      <c r="D56" s="906"/>
      <c r="E56" s="906"/>
      <c r="F56" s="906"/>
      <c r="G56" s="906"/>
      <c r="H56" s="906"/>
      <c r="I56" s="907"/>
      <c r="N56" s="165">
        <v>1</v>
      </c>
    </row>
    <row r="57" spans="1:14" x14ac:dyDescent="0.2">
      <c r="A57" s="122"/>
      <c r="B57" s="381">
        <f t="shared" si="13"/>
        <v>10</v>
      </c>
      <c r="C57" s="958" t="s">
        <v>475</v>
      </c>
      <c r="D57" s="906"/>
      <c r="E57" s="906"/>
      <c r="F57" s="906"/>
      <c r="G57" s="906"/>
      <c r="H57" s="906"/>
      <c r="I57" s="907"/>
      <c r="N57" s="165">
        <v>1</v>
      </c>
    </row>
    <row r="58" spans="1:14" ht="23.1" customHeight="1" x14ac:dyDescent="0.2">
      <c r="A58" s="122"/>
      <c r="B58" s="381">
        <f t="shared" si="13"/>
        <v>11</v>
      </c>
      <c r="C58" s="958" t="s">
        <v>476</v>
      </c>
      <c r="D58" s="906"/>
      <c r="E58" s="906"/>
      <c r="F58" s="906"/>
      <c r="G58" s="906"/>
      <c r="H58" s="906"/>
      <c r="I58" s="907"/>
      <c r="N58" s="168" t="s">
        <v>112</v>
      </c>
    </row>
    <row r="59" spans="1:14" x14ac:dyDescent="0.2">
      <c r="A59" s="122"/>
      <c r="B59" s="381">
        <f t="shared" si="13"/>
        <v>12</v>
      </c>
      <c r="C59" s="958" t="s">
        <v>477</v>
      </c>
      <c r="D59" s="906"/>
      <c r="E59" s="906"/>
      <c r="F59" s="906"/>
      <c r="G59" s="906"/>
      <c r="H59" s="906"/>
      <c r="I59" s="907"/>
      <c r="N59" s="165">
        <v>1</v>
      </c>
    </row>
    <row r="60" spans="1:14" x14ac:dyDescent="0.2">
      <c r="A60" s="122"/>
      <c r="B60" s="381">
        <f t="shared" si="13"/>
        <v>13</v>
      </c>
      <c r="C60" s="958" t="s">
        <v>478</v>
      </c>
      <c r="D60" s="906"/>
      <c r="E60" s="906"/>
      <c r="F60" s="906"/>
      <c r="G60" s="906"/>
      <c r="H60" s="906"/>
      <c r="I60" s="907"/>
      <c r="N60" s="165">
        <v>1</v>
      </c>
    </row>
    <row r="61" spans="1:14" x14ac:dyDescent="0.2">
      <c r="A61" s="122"/>
      <c r="B61" s="381">
        <f>B28</f>
        <v>14</v>
      </c>
      <c r="C61" s="958" t="s">
        <v>479</v>
      </c>
      <c r="D61" s="906"/>
      <c r="E61" s="906"/>
      <c r="F61" s="906"/>
      <c r="G61" s="906"/>
      <c r="H61" s="906"/>
      <c r="I61" s="907"/>
      <c r="N61" s="165">
        <v>1</v>
      </c>
    </row>
    <row r="62" spans="1:14" x14ac:dyDescent="0.2">
      <c r="A62" s="122"/>
      <c r="B62" s="381">
        <f>B29</f>
        <v>15</v>
      </c>
      <c r="C62" s="958" t="s">
        <v>480</v>
      </c>
      <c r="D62" s="906"/>
      <c r="E62" s="906"/>
      <c r="F62" s="906"/>
      <c r="G62" s="906"/>
      <c r="H62" s="906"/>
      <c r="I62" s="907"/>
      <c r="N62" s="165">
        <v>1</v>
      </c>
    </row>
    <row r="63" spans="1:14" x14ac:dyDescent="0.2">
      <c r="A63" s="122"/>
      <c r="B63" s="381">
        <f>B30</f>
        <v>16</v>
      </c>
      <c r="C63" s="958" t="s">
        <v>481</v>
      </c>
      <c r="D63" s="906"/>
      <c r="E63" s="906"/>
      <c r="F63" s="906"/>
      <c r="G63" s="906"/>
      <c r="H63" s="906"/>
      <c r="I63" s="907"/>
      <c r="N63" s="165">
        <v>1</v>
      </c>
    </row>
    <row r="64" spans="1:14" ht="25.5" x14ac:dyDescent="0.2">
      <c r="A64" s="122"/>
      <c r="B64" s="381">
        <f>B31</f>
        <v>17</v>
      </c>
      <c r="C64" s="958" t="s">
        <v>482</v>
      </c>
      <c r="D64" s="906"/>
      <c r="E64" s="906"/>
      <c r="F64" s="906"/>
      <c r="G64" s="906"/>
      <c r="H64" s="906"/>
      <c r="I64" s="907"/>
      <c r="N64" s="168" t="s">
        <v>112</v>
      </c>
    </row>
    <row r="65" spans="1:14" ht="26.25" thickBot="1" x14ac:dyDescent="0.25">
      <c r="A65" s="122"/>
      <c r="B65" s="382">
        <f>B34</f>
        <v>18</v>
      </c>
      <c r="C65" s="968" t="s">
        <v>483</v>
      </c>
      <c r="D65" s="917"/>
      <c r="E65" s="917"/>
      <c r="F65" s="917"/>
      <c r="G65" s="917"/>
      <c r="H65" s="917"/>
      <c r="I65" s="918"/>
      <c r="N65" s="168" t="s">
        <v>112</v>
      </c>
    </row>
    <row r="66" spans="1:14" x14ac:dyDescent="0.2">
      <c r="A66" s="131"/>
    </row>
    <row r="67" spans="1:14" hidden="1" x14ac:dyDescent="0.2">
      <c r="A67" s="131"/>
    </row>
    <row r="68" spans="1:14" hidden="1" x14ac:dyDescent="0.2">
      <c r="A68" s="131"/>
    </row>
  </sheetData>
  <sheetProtection algorithmName="SHA-512" hashValue="iRhWQLCAoreTV6S60S2bGCWIreKfp6EJOMAT3vuQfsKoFpjMFCQwu5raG4UqYoaqh/U6bWXnTHyKqJjUWosLtA==" saltValue="qE1X00fwjKWjCg1telfpHA==" spinCount="100000" sheet="1" objects="1" scenarios="1"/>
  <mergeCells count="26">
    <mergeCell ref="C53:I53"/>
    <mergeCell ref="C55:I55"/>
    <mergeCell ref="C64:I64"/>
    <mergeCell ref="C65:I65"/>
    <mergeCell ref="C57:I57"/>
    <mergeCell ref="C58:I58"/>
    <mergeCell ref="C59:I59"/>
    <mergeCell ref="C61:I61"/>
    <mergeCell ref="C62:I62"/>
    <mergeCell ref="C63:I63"/>
    <mergeCell ref="C56:I56"/>
    <mergeCell ref="C54:I54"/>
    <mergeCell ref="C60:I60"/>
    <mergeCell ref="N3:P4"/>
    <mergeCell ref="G25:I25"/>
    <mergeCell ref="B36:C36"/>
    <mergeCell ref="C48:I48"/>
    <mergeCell ref="K3:K4"/>
    <mergeCell ref="C50:I50"/>
    <mergeCell ref="C51:I51"/>
    <mergeCell ref="C52:I52"/>
    <mergeCell ref="C49:I49"/>
    <mergeCell ref="B3:C4"/>
    <mergeCell ref="D3:D4"/>
    <mergeCell ref="E3:E4"/>
    <mergeCell ref="F3:I3"/>
  </mergeCells>
  <conditionalFormatting sqref="K7:K11">
    <cfRule type="cellIs" dxfId="158" priority="12" operator="equal">
      <formula>0</formula>
    </cfRule>
  </conditionalFormatting>
  <conditionalFormatting sqref="K13">
    <cfRule type="cellIs" dxfId="157" priority="3" operator="equal">
      <formula>0</formula>
    </cfRule>
  </conditionalFormatting>
  <conditionalFormatting sqref="K17:K20">
    <cfRule type="cellIs" dxfId="156" priority="9" operator="equal">
      <formula>0</formula>
    </cfRule>
  </conditionalFormatting>
  <conditionalFormatting sqref="K22">
    <cfRule type="cellIs" dxfId="155" priority="2" operator="equal">
      <formula>0</formula>
    </cfRule>
  </conditionalFormatting>
  <conditionalFormatting sqref="K28">
    <cfRule type="cellIs" dxfId="154" priority="5" operator="equal">
      <formula>0</formula>
    </cfRule>
  </conditionalFormatting>
  <conditionalFormatting sqref="K30">
    <cfRule type="cellIs" dxfId="153" priority="8" operator="equal">
      <formula>0</formula>
    </cfRule>
  </conditionalFormatting>
  <conditionalFormatting sqref="K34">
    <cfRule type="cellIs" dxfId="152" priority="7" operator="equal">
      <formula>0</formula>
    </cfRule>
  </conditionalFormatting>
  <printOptions horizontalCentered="1"/>
  <pageMargins left="0.39370078740157483" right="0.39370078740157483" top="0.78740157480314965" bottom="0.78740157480314965" header="0.31496062992125984" footer="0.31496062992125984"/>
  <pageSetup paperSize="9" scale="64"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id="{429FCC6C-ED21-40C3-AB35-125F0856F654}">
            <xm:f>Validation!$H$3=1</xm:f>
            <x14:dxf>
              <fill>
                <patternFill>
                  <bgColor theme="0" tint="-0.14996795556505021"/>
                </patternFill>
              </fill>
            </x14:dxf>
          </x14:cfRule>
          <xm:sqref>F17:I21 G22 I22</xm:sqref>
        </x14:conditionalFormatting>
        <x14:conditionalFormatting xmlns:xm="http://schemas.microsoft.com/office/excel/2006/main">
          <x14:cfRule type="expression" priority="26" id="{8CBECD36-7E8D-491A-87AA-A7EE4D10527A}">
            <xm:f>Validation!$H$3=1</xm:f>
            <x14:dxf>
              <fill>
                <patternFill>
                  <bgColor rgb="FFE0DCD8"/>
                </patternFill>
              </fill>
            </x14:dxf>
          </x14:cfRule>
          <xm:sqref>H28:H31 H34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48"/>
  <sheetViews>
    <sheetView showGridLines="0" workbookViewId="0">
      <selection activeCell="G8" activeCellId="1" sqref="G10 G8"/>
    </sheetView>
  </sheetViews>
  <sheetFormatPr defaultColWidth="0" defaultRowHeight="14.25" zeroHeight="1" x14ac:dyDescent="0.2"/>
  <cols>
    <col min="1" max="1" width="2.25" customWidth="1"/>
    <col min="2" max="2" width="4.125" customWidth="1"/>
    <col min="3" max="3" width="38.125" customWidth="1"/>
    <col min="4" max="8" width="14.625" customWidth="1"/>
    <col min="9" max="9" width="2.625" style="83" customWidth="1"/>
    <col min="10" max="10" width="18.75" style="83" bestFit="1" customWidth="1"/>
    <col min="11" max="11" width="1.625" style="83" customWidth="1"/>
    <col min="12" max="12" width="1.625" style="84" hidden="1" customWidth="1"/>
    <col min="13" max="16" width="5.625" style="83" hidden="1" customWidth="1"/>
    <col min="17" max="17" width="1.625" style="84" hidden="1" customWidth="1"/>
    <col min="18" max="18" width="8.75" style="83" hidden="1" customWidth="1"/>
    <col min="19" max="16384" width="8.75" hidden="1"/>
  </cols>
  <sheetData>
    <row r="1" spans="2:16" ht="20.25" x14ac:dyDescent="0.2">
      <c r="B1" s="79" t="s">
        <v>484</v>
      </c>
      <c r="C1" s="79"/>
      <c r="D1" s="79"/>
      <c r="E1" s="79"/>
      <c r="F1" s="81"/>
      <c r="G1" s="79"/>
      <c r="H1" s="81" t="str">
        <f>Validation!B3</f>
        <v>Yorkshire Water</v>
      </c>
      <c r="I1" s="79"/>
      <c r="J1" s="82" t="s">
        <v>72</v>
      </c>
    </row>
    <row r="2" spans="2:16" ht="15" thickBot="1" x14ac:dyDescent="0.25">
      <c r="B2" s="86" t="s">
        <v>55</v>
      </c>
      <c r="C2" s="83"/>
      <c r="D2" s="83"/>
      <c r="E2" s="83"/>
      <c r="F2" s="83"/>
      <c r="G2" s="83"/>
      <c r="H2" s="83"/>
    </row>
    <row r="3" spans="2:16" ht="54.75" thickBot="1" x14ac:dyDescent="0.25">
      <c r="B3" s="971" t="s">
        <v>73</v>
      </c>
      <c r="C3" s="972"/>
      <c r="D3" s="194" t="s">
        <v>485</v>
      </c>
      <c r="E3" s="369" t="s">
        <v>486</v>
      </c>
      <c r="F3" s="195" t="s">
        <v>487</v>
      </c>
      <c r="G3" s="194" t="s">
        <v>488</v>
      </c>
      <c r="H3" s="195" t="s">
        <v>489</v>
      </c>
      <c r="J3" s="196" t="s">
        <v>79</v>
      </c>
      <c r="M3" s="896" t="s">
        <v>83</v>
      </c>
      <c r="N3" s="957"/>
      <c r="O3" s="957"/>
      <c r="P3" s="957"/>
    </row>
    <row r="4" spans="2:16" ht="14.65" customHeight="1" thickBot="1" x14ac:dyDescent="0.25">
      <c r="B4" s="83"/>
      <c r="C4" s="83"/>
      <c r="D4" s="83"/>
      <c r="E4" s="83"/>
      <c r="F4" s="83"/>
      <c r="G4" s="83"/>
      <c r="H4" s="83"/>
      <c r="M4" s="97" t="s">
        <v>84</v>
      </c>
      <c r="N4" s="132"/>
      <c r="O4" s="132"/>
      <c r="P4" s="132"/>
    </row>
    <row r="5" spans="2:16" x14ac:dyDescent="0.2">
      <c r="B5" s="98">
        <v>1</v>
      </c>
      <c r="C5" s="370" t="s">
        <v>490</v>
      </c>
      <c r="D5" s="441">
        <v>12.584</v>
      </c>
      <c r="E5" s="452">
        <v>0.74299999999999999</v>
      </c>
      <c r="F5" s="199">
        <f>SUM(D5:E5)</f>
        <v>13.327</v>
      </c>
      <c r="G5" s="441">
        <v>58.396186301369873</v>
      </c>
      <c r="H5" s="199">
        <f t="shared" ref="H5:H11" si="0">IF(G5=0,0,E5/G5 * 1000)</f>
        <v>12.723433618858952</v>
      </c>
      <c r="J5" s="28">
        <f t="shared" ref="J5:J10" si="1" xml:space="preserve"> IF( SUM( L5:Q5 ) = 0, 0, $M$4 )</f>
        <v>0</v>
      </c>
      <c r="M5" s="105">
        <f xml:space="preserve"> IF( ISNUMBER( D5 ), 0, 1 )</f>
        <v>0</v>
      </c>
      <c r="N5" s="105">
        <f xml:space="preserve"> IF( ISNUMBER( E5 ), 0, 1 )</f>
        <v>0</v>
      </c>
      <c r="O5" s="132"/>
      <c r="P5" s="105">
        <f xml:space="preserve"> IF( ISNUMBER( G5 ), 0, 1 )</f>
        <v>0</v>
      </c>
    </row>
    <row r="6" spans="2:16" x14ac:dyDescent="0.2">
      <c r="B6" s="106">
        <f xml:space="preserve"> B5 + 1</f>
        <v>2</v>
      </c>
      <c r="C6" s="371" t="s">
        <v>491</v>
      </c>
      <c r="D6" s="439">
        <v>15.521000000000001</v>
      </c>
      <c r="E6" s="440">
        <v>0.94499999999999995</v>
      </c>
      <c r="F6" s="202">
        <f t="shared" ref="F6:F10" si="2">SUM(D6:E6)</f>
        <v>16.466000000000001</v>
      </c>
      <c r="G6" s="439">
        <v>64.362205479452086</v>
      </c>
      <c r="H6" s="202">
        <f t="shared" si="0"/>
        <v>14.682529800842442</v>
      </c>
      <c r="J6" s="28">
        <f t="shared" si="1"/>
        <v>0</v>
      </c>
      <c r="M6" s="105">
        <f>IF(Validation!$H$3=1,0,IF(ISNUMBER(D6),0,1))</f>
        <v>0</v>
      </c>
      <c r="N6" s="105">
        <f>IF(Validation!$H$3=1,0,IF(ISNUMBER(E6),0,1))</f>
        <v>0</v>
      </c>
      <c r="O6" s="132"/>
      <c r="P6" s="105">
        <f>IF(Validation!$H$3=1,0,IF(ISNUMBER(G6),0,1))</f>
        <v>0</v>
      </c>
    </row>
    <row r="7" spans="2:16" x14ac:dyDescent="0.2">
      <c r="B7" s="106">
        <f t="shared" ref="B7:B11" si="3" xml:space="preserve"> B6 + 1</f>
        <v>3</v>
      </c>
      <c r="C7" s="371" t="s">
        <v>492</v>
      </c>
      <c r="D7" s="439">
        <v>374.58600000000001</v>
      </c>
      <c r="E7" s="440">
        <v>25.785</v>
      </c>
      <c r="F7" s="202">
        <f t="shared" si="2"/>
        <v>400.37100000000004</v>
      </c>
      <c r="G7" s="439">
        <v>936.48681506849334</v>
      </c>
      <c r="H7" s="202">
        <f t="shared" si="0"/>
        <v>27.533756573085466</v>
      </c>
      <c r="J7" s="28">
        <f t="shared" si="1"/>
        <v>0</v>
      </c>
      <c r="M7" s="105">
        <f>IF(Validation!$H$3=1,0,IF(ISNUMBER(D7),0,1))</f>
        <v>0</v>
      </c>
      <c r="N7" s="105">
        <f>IF(Validation!$H$3=1,0,IF(ISNUMBER(E7),0,1))</f>
        <v>0</v>
      </c>
      <c r="O7" s="132"/>
      <c r="P7" s="105">
        <f>IF(Validation!$H$3=1,0,IF(ISNUMBER(G7),0,1))</f>
        <v>0</v>
      </c>
    </row>
    <row r="8" spans="2:16" x14ac:dyDescent="0.2">
      <c r="B8" s="106">
        <f t="shared" si="3"/>
        <v>4</v>
      </c>
      <c r="C8" s="371" t="s">
        <v>493</v>
      </c>
      <c r="D8" s="439">
        <v>6.7919999999999998</v>
      </c>
      <c r="E8" s="440">
        <v>0.65400000000000003</v>
      </c>
      <c r="F8" s="202">
        <f t="shared" si="2"/>
        <v>7.4459999999999997</v>
      </c>
      <c r="G8" s="439">
        <v>49.068134246575333</v>
      </c>
      <c r="H8" s="202">
        <f t="shared" si="0"/>
        <v>13.328405696323076</v>
      </c>
      <c r="J8" s="28">
        <f t="shared" si="1"/>
        <v>0</v>
      </c>
      <c r="M8" s="105">
        <f t="shared" ref="M8:P8" si="4" xml:space="preserve"> IF( ISNUMBER( D8 ), 0, 1 )</f>
        <v>0</v>
      </c>
      <c r="N8" s="105">
        <f t="shared" si="4"/>
        <v>0</v>
      </c>
      <c r="O8" s="132"/>
      <c r="P8" s="105">
        <f t="shared" si="4"/>
        <v>0</v>
      </c>
    </row>
    <row r="9" spans="2:16" x14ac:dyDescent="0.2">
      <c r="B9" s="106">
        <f t="shared" si="3"/>
        <v>5</v>
      </c>
      <c r="C9" s="371" t="s">
        <v>494</v>
      </c>
      <c r="D9" s="439">
        <v>7.2759999999999998</v>
      </c>
      <c r="E9" s="440">
        <v>0.82</v>
      </c>
      <c r="F9" s="202">
        <f t="shared" si="2"/>
        <v>8.0960000000000001</v>
      </c>
      <c r="G9" s="439">
        <v>49.55483013698629</v>
      </c>
      <c r="H9" s="202">
        <f t="shared" si="0"/>
        <v>16.547327429702474</v>
      </c>
      <c r="J9" s="28">
        <f t="shared" si="1"/>
        <v>0</v>
      </c>
      <c r="M9" s="105">
        <f>IF(Validation!$H$3=1,0,IF(ISNUMBER(D9),0,1))</f>
        <v>0</v>
      </c>
      <c r="N9" s="105">
        <f>IF(Validation!$H$3=1,0,IF(ISNUMBER(E9),0,1))</f>
        <v>0</v>
      </c>
      <c r="O9" s="132"/>
      <c r="P9" s="105">
        <f>IF(Validation!$H$3=1,0,IF(ISNUMBER(G9),0,1))</f>
        <v>0</v>
      </c>
    </row>
    <row r="10" spans="2:16" x14ac:dyDescent="0.2">
      <c r="B10" s="106">
        <f t="shared" si="3"/>
        <v>6</v>
      </c>
      <c r="C10" s="371" t="s">
        <v>495</v>
      </c>
      <c r="D10" s="439">
        <v>274.15800000000002</v>
      </c>
      <c r="E10" s="440">
        <v>31.765000000000001</v>
      </c>
      <c r="F10" s="202">
        <f t="shared" si="2"/>
        <v>305.923</v>
      </c>
      <c r="G10" s="439">
        <v>995.19599315068501</v>
      </c>
      <c r="H10" s="202">
        <f t="shared" si="0"/>
        <v>31.918335904303007</v>
      </c>
      <c r="J10" s="28">
        <f t="shared" si="1"/>
        <v>0</v>
      </c>
      <c r="M10" s="105">
        <f>IF(Validation!$H$3=1,0,IF(ISNUMBER(D10),0,1))</f>
        <v>0</v>
      </c>
      <c r="N10" s="105">
        <f>IF(Validation!$H$3=1,0,IF(ISNUMBER(E10),0,1))</f>
        <v>0</v>
      </c>
      <c r="O10" s="132"/>
      <c r="P10" s="105">
        <f>IF(Validation!$H$3=1,0,IF(ISNUMBER(G10),0,1))</f>
        <v>0</v>
      </c>
    </row>
    <row r="11" spans="2:16" ht="15" thickBot="1" x14ac:dyDescent="0.25">
      <c r="B11" s="113">
        <f t="shared" si="3"/>
        <v>7</v>
      </c>
      <c r="C11" s="372" t="s">
        <v>257</v>
      </c>
      <c r="D11" s="203">
        <f>SUM(D5:D10)</f>
        <v>690.91700000000003</v>
      </c>
      <c r="E11" s="204">
        <f>SUM(E5:E10)</f>
        <v>60.712000000000003</v>
      </c>
      <c r="F11" s="205">
        <f>SUM(F5:F10)</f>
        <v>751.62900000000013</v>
      </c>
      <c r="G11" s="203">
        <f>SUM(G5:G10)</f>
        <v>2153.064164383562</v>
      </c>
      <c r="H11" s="205">
        <f t="shared" si="0"/>
        <v>28.197952018481665</v>
      </c>
      <c r="J11" s="135"/>
      <c r="M11" s="290"/>
      <c r="N11" s="122"/>
      <c r="O11" s="122"/>
      <c r="P11" s="122"/>
    </row>
    <row r="12" spans="2:16" x14ac:dyDescent="0.2">
      <c r="B12" s="83"/>
      <c r="C12" s="83"/>
      <c r="D12" s="83"/>
      <c r="E12" s="83"/>
      <c r="F12" s="83"/>
      <c r="G12" s="83"/>
      <c r="H12" s="83"/>
      <c r="J12" s="135"/>
      <c r="M12" s="290"/>
      <c r="N12" s="122"/>
      <c r="O12" s="122"/>
      <c r="P12" s="122"/>
    </row>
    <row r="13" spans="2:16" x14ac:dyDescent="0.2">
      <c r="B13" s="897" t="s">
        <v>101</v>
      </c>
      <c r="C13" s="897"/>
      <c r="D13" s="169"/>
      <c r="E13" s="169"/>
      <c r="F13" s="169"/>
      <c r="G13" s="135"/>
      <c r="H13" s="83"/>
      <c r="J13" s="135"/>
      <c r="M13" s="290"/>
      <c r="N13" s="122"/>
      <c r="O13" s="122"/>
      <c r="P13" s="122"/>
    </row>
    <row r="14" spans="2:16" x14ac:dyDescent="0.2">
      <c r="B14" s="146"/>
      <c r="C14" s="147"/>
      <c r="D14" s="169"/>
      <c r="E14" s="169"/>
      <c r="F14" s="169"/>
      <c r="G14" s="135"/>
      <c r="H14" s="83"/>
      <c r="J14" s="135"/>
      <c r="M14" s="290"/>
      <c r="N14" s="122"/>
      <c r="O14" s="122"/>
      <c r="P14" s="122"/>
    </row>
    <row r="15" spans="2:16" x14ac:dyDescent="0.2">
      <c r="B15" s="29"/>
      <c r="C15" s="148" t="s">
        <v>102</v>
      </c>
      <c r="D15" s="169"/>
      <c r="E15" s="169"/>
      <c r="F15" s="169"/>
      <c r="G15" s="135"/>
      <c r="H15" s="83"/>
      <c r="J15" s="135"/>
      <c r="M15" s="290"/>
      <c r="N15" s="122"/>
      <c r="O15" s="122"/>
      <c r="P15" s="122"/>
    </row>
    <row r="16" spans="2:16" x14ac:dyDescent="0.2">
      <c r="B16" s="146"/>
      <c r="C16" s="147"/>
      <c r="D16" s="169"/>
      <c r="E16" s="169"/>
      <c r="F16" s="169"/>
      <c r="G16" s="135"/>
      <c r="H16" s="83"/>
      <c r="J16" s="135"/>
      <c r="M16" s="290"/>
      <c r="N16" s="122"/>
      <c r="O16" s="122"/>
      <c r="P16" s="122"/>
    </row>
    <row r="17" spans="2:18" x14ac:dyDescent="0.2">
      <c r="B17" s="149"/>
      <c r="C17" s="148" t="s">
        <v>103</v>
      </c>
      <c r="D17" s="169"/>
      <c r="E17" s="169"/>
      <c r="F17" s="169"/>
      <c r="G17" s="135"/>
      <c r="H17" s="83"/>
      <c r="J17" s="135"/>
      <c r="M17" s="290"/>
      <c r="N17" s="122"/>
      <c r="O17" s="122"/>
      <c r="P17" s="122"/>
    </row>
    <row r="18" spans="2:18" x14ac:dyDescent="0.2">
      <c r="B18" s="150"/>
      <c r="C18" s="148"/>
      <c r="D18" s="169"/>
      <c r="E18" s="169"/>
      <c r="F18" s="169"/>
      <c r="G18" s="135"/>
      <c r="H18" s="129"/>
      <c r="J18" s="135"/>
      <c r="M18" s="290"/>
      <c r="N18" s="122"/>
      <c r="O18" s="122"/>
      <c r="P18" s="122"/>
    </row>
    <row r="19" spans="2:18" x14ac:dyDescent="0.2">
      <c r="B19" s="151"/>
      <c r="C19" s="148" t="s">
        <v>104</v>
      </c>
      <c r="D19" s="169"/>
      <c r="E19" s="169"/>
      <c r="F19" s="169"/>
      <c r="G19" s="135"/>
      <c r="H19" s="135"/>
      <c r="J19" s="135"/>
      <c r="M19" s="290"/>
      <c r="N19" s="122"/>
      <c r="O19" s="122"/>
      <c r="P19" s="122"/>
    </row>
    <row r="20" spans="2:18" x14ac:dyDescent="0.2">
      <c r="B20" s="156"/>
      <c r="C20" s="157"/>
      <c r="D20" s="186"/>
      <c r="E20" s="186"/>
      <c r="F20" s="186"/>
      <c r="G20" s="137"/>
      <c r="H20" s="135"/>
      <c r="J20" s="135"/>
      <c r="M20" s="290"/>
      <c r="N20" s="122"/>
      <c r="O20" s="122"/>
      <c r="P20" s="122"/>
    </row>
    <row r="21" spans="2:18" ht="15" thickBot="1" x14ac:dyDescent="0.25">
      <c r="B21" s="186"/>
      <c r="C21" s="187"/>
      <c r="D21" s="186"/>
      <c r="E21" s="186"/>
      <c r="F21" s="186"/>
      <c r="G21" s="137"/>
      <c r="H21" s="135"/>
      <c r="J21" s="135"/>
      <c r="M21" s="290"/>
      <c r="N21" s="122"/>
      <c r="O21" s="122"/>
      <c r="P21" s="122"/>
    </row>
    <row r="22" spans="2:18" ht="16.5" thickBot="1" x14ac:dyDescent="0.25">
      <c r="B22" s="152" t="str">
        <f ca="1" xml:space="preserve"> RIGHT(CELL("filename", $A$1), LEN(CELL("filename", $A$1)) - SEARCH("]", CELL("filename", $A$1)))&amp;" - Line definitions"</f>
        <v>2F - Line definitions</v>
      </c>
      <c r="C22" s="153"/>
      <c r="D22" s="154"/>
      <c r="E22" s="154"/>
      <c r="F22" s="154"/>
      <c r="G22" s="154"/>
      <c r="H22" s="260"/>
      <c r="I22" s="129"/>
      <c r="J22" s="135"/>
      <c r="K22" s="129"/>
      <c r="L22" s="133"/>
      <c r="M22" s="290"/>
      <c r="N22" s="122"/>
      <c r="O22" s="122"/>
      <c r="P22" s="122"/>
      <c r="Q22" s="133"/>
      <c r="R22" s="122"/>
    </row>
    <row r="23" spans="2:18" ht="15" thickBot="1" x14ac:dyDescent="0.25">
      <c r="B23" s="87"/>
      <c r="C23" s="161"/>
      <c r="D23" s="122"/>
      <c r="E23" s="122"/>
      <c r="F23" s="122"/>
      <c r="G23" s="129"/>
      <c r="H23" s="122"/>
      <c r="I23" s="135"/>
      <c r="J23" s="135"/>
      <c r="K23" s="135"/>
      <c r="L23" s="130"/>
      <c r="M23" s="212"/>
      <c r="N23" s="169"/>
      <c r="O23" s="169"/>
      <c r="P23" s="169"/>
      <c r="Q23" s="130"/>
      <c r="R23" s="169"/>
    </row>
    <row r="24" spans="2:18" ht="15" thickBot="1" x14ac:dyDescent="0.25">
      <c r="B24" s="162" t="s">
        <v>105</v>
      </c>
      <c r="C24" s="863" t="s">
        <v>106</v>
      </c>
      <c r="D24" s="855"/>
      <c r="E24" s="855"/>
      <c r="F24" s="855"/>
      <c r="G24" s="855"/>
      <c r="H24" s="856"/>
      <c r="I24" s="135"/>
      <c r="J24" s="135"/>
      <c r="K24" s="135"/>
      <c r="L24" s="130"/>
      <c r="M24" s="97" t="s">
        <v>107</v>
      </c>
      <c r="N24" s="169"/>
      <c r="O24" s="169"/>
      <c r="P24" s="169"/>
      <c r="Q24" s="130"/>
      <c r="R24" s="169"/>
    </row>
    <row r="25" spans="2:18" s="12" customFormat="1" ht="14.1" customHeight="1" x14ac:dyDescent="0.2">
      <c r="B25" s="331">
        <f>B5</f>
        <v>1</v>
      </c>
      <c r="C25" s="969" t="s">
        <v>496</v>
      </c>
      <c r="D25" s="969"/>
      <c r="E25" s="969"/>
      <c r="F25" s="969"/>
      <c r="G25" s="969"/>
      <c r="H25" s="970"/>
      <c r="I25" s="135"/>
      <c r="J25" s="135"/>
      <c r="K25" s="135"/>
      <c r="L25" s="130"/>
      <c r="M25" s="168">
        <v>1</v>
      </c>
      <c r="N25" s="169"/>
      <c r="O25" s="169"/>
      <c r="P25" s="169"/>
      <c r="Q25" s="130"/>
      <c r="R25" s="169"/>
    </row>
    <row r="26" spans="2:18" s="12" customFormat="1" ht="14.1" customHeight="1" x14ac:dyDescent="0.2">
      <c r="B26" s="297">
        <f t="shared" ref="B26:B31" si="5">B6</f>
        <v>2</v>
      </c>
      <c r="C26" s="877" t="s">
        <v>497</v>
      </c>
      <c r="D26" s="877"/>
      <c r="E26" s="877"/>
      <c r="F26" s="877"/>
      <c r="G26" s="877"/>
      <c r="H26" s="878"/>
      <c r="I26" s="135"/>
      <c r="J26" s="135"/>
      <c r="K26" s="135"/>
      <c r="L26" s="130"/>
      <c r="M26" s="168">
        <v>1</v>
      </c>
      <c r="N26" s="169"/>
      <c r="O26" s="169"/>
      <c r="P26" s="169"/>
      <c r="Q26" s="130"/>
      <c r="R26" s="169"/>
    </row>
    <row r="27" spans="2:18" s="12" customFormat="1" ht="25.5" x14ac:dyDescent="0.2">
      <c r="B27" s="297">
        <f t="shared" si="5"/>
        <v>3</v>
      </c>
      <c r="C27" s="877" t="s">
        <v>498</v>
      </c>
      <c r="D27" s="877"/>
      <c r="E27" s="877"/>
      <c r="F27" s="877"/>
      <c r="G27" s="877"/>
      <c r="H27" s="878"/>
      <c r="I27" s="135"/>
      <c r="J27" s="135"/>
      <c r="K27" s="135"/>
      <c r="L27" s="130"/>
      <c r="M27" s="168" t="s">
        <v>112</v>
      </c>
      <c r="N27" s="169"/>
      <c r="O27" s="169"/>
      <c r="P27" s="169"/>
      <c r="Q27" s="130"/>
      <c r="R27" s="169"/>
    </row>
    <row r="28" spans="2:18" s="12" customFormat="1" ht="14.1" customHeight="1" x14ac:dyDescent="0.2">
      <c r="B28" s="297">
        <f t="shared" si="5"/>
        <v>4</v>
      </c>
      <c r="C28" s="877" t="s">
        <v>499</v>
      </c>
      <c r="D28" s="877"/>
      <c r="E28" s="877"/>
      <c r="F28" s="877"/>
      <c r="G28" s="877"/>
      <c r="H28" s="878"/>
      <c r="I28" s="135"/>
      <c r="J28" s="135"/>
      <c r="K28" s="135"/>
      <c r="L28" s="130"/>
      <c r="M28" s="168">
        <v>1</v>
      </c>
      <c r="N28" s="169"/>
      <c r="O28" s="169"/>
      <c r="P28" s="169"/>
      <c r="Q28" s="130"/>
      <c r="R28" s="169"/>
    </row>
    <row r="29" spans="2:18" s="12" customFormat="1" ht="14.1" customHeight="1" x14ac:dyDescent="0.2">
      <c r="B29" s="297">
        <f t="shared" si="5"/>
        <v>5</v>
      </c>
      <c r="C29" s="877" t="s">
        <v>500</v>
      </c>
      <c r="D29" s="877"/>
      <c r="E29" s="877"/>
      <c r="F29" s="877"/>
      <c r="G29" s="877"/>
      <c r="H29" s="878"/>
      <c r="I29" s="135"/>
      <c r="J29" s="135"/>
      <c r="K29" s="135"/>
      <c r="L29" s="130"/>
      <c r="M29" s="168">
        <v>1</v>
      </c>
      <c r="N29" s="169"/>
      <c r="O29" s="169"/>
      <c r="P29" s="169"/>
      <c r="Q29" s="130"/>
      <c r="R29" s="169"/>
    </row>
    <row r="30" spans="2:18" s="12" customFormat="1" ht="25.5" x14ac:dyDescent="0.2">
      <c r="B30" s="297">
        <f t="shared" si="5"/>
        <v>6</v>
      </c>
      <c r="C30" s="877" t="s">
        <v>501</v>
      </c>
      <c r="D30" s="877"/>
      <c r="E30" s="877"/>
      <c r="F30" s="877"/>
      <c r="G30" s="877"/>
      <c r="H30" s="878"/>
      <c r="I30" s="137"/>
      <c r="J30" s="135"/>
      <c r="K30" s="135"/>
      <c r="L30" s="130"/>
      <c r="M30" s="168" t="s">
        <v>112</v>
      </c>
      <c r="N30" s="186"/>
      <c r="O30" s="186"/>
      <c r="P30" s="186"/>
      <c r="Q30" s="130"/>
      <c r="R30" s="186"/>
    </row>
    <row r="31" spans="2:18" s="12" customFormat="1" ht="15" thickBot="1" x14ac:dyDescent="0.25">
      <c r="B31" s="298">
        <f t="shared" si="5"/>
        <v>7</v>
      </c>
      <c r="C31" s="900" t="s">
        <v>502</v>
      </c>
      <c r="D31" s="900"/>
      <c r="E31" s="900"/>
      <c r="F31" s="900"/>
      <c r="G31" s="900"/>
      <c r="H31" s="901"/>
      <c r="I31" s="137"/>
      <c r="J31" s="135"/>
      <c r="K31" s="135"/>
      <c r="L31" s="130"/>
      <c r="M31" s="168">
        <v>1</v>
      </c>
      <c r="N31" s="186"/>
      <c r="O31" s="186"/>
      <c r="P31" s="186"/>
      <c r="Q31" s="130"/>
      <c r="R31" s="186"/>
    </row>
    <row r="32" spans="2:18" x14ac:dyDescent="0.2">
      <c r="I32" s="129"/>
      <c r="J32" s="131"/>
      <c r="K32" s="129"/>
      <c r="L32" s="133"/>
      <c r="M32" s="267"/>
      <c r="N32" s="122"/>
      <c r="O32" s="122"/>
      <c r="P32" s="122"/>
      <c r="Q32" s="133"/>
      <c r="R32" s="122"/>
    </row>
    <row r="33" spans="9:18" hidden="1" x14ac:dyDescent="0.2">
      <c r="I33" s="129"/>
      <c r="J33" s="131"/>
      <c r="K33" s="129"/>
      <c r="L33" s="133"/>
      <c r="M33" s="267"/>
      <c r="N33" s="122"/>
      <c r="O33" s="122"/>
      <c r="P33" s="122"/>
      <c r="Q33" s="133"/>
      <c r="R33" s="122"/>
    </row>
    <row r="34" spans="9:18" hidden="1" x14ac:dyDescent="0.2">
      <c r="I34" s="352"/>
      <c r="J34" s="137"/>
      <c r="K34" s="129"/>
      <c r="L34" s="133"/>
      <c r="M34" s="186"/>
      <c r="N34" s="186"/>
      <c r="O34" s="186"/>
      <c r="P34" s="186"/>
      <c r="Q34" s="133"/>
      <c r="R34" s="186"/>
    </row>
    <row r="35" spans="9:18" hidden="1" x14ac:dyDescent="0.2">
      <c r="I35" s="355"/>
      <c r="J35" s="131"/>
      <c r="K35" s="129"/>
      <c r="L35" s="133"/>
      <c r="M35" s="290"/>
      <c r="N35" s="122"/>
      <c r="O35" s="122"/>
      <c r="P35" s="122"/>
      <c r="Q35" s="133"/>
      <c r="R35" s="122"/>
    </row>
    <row r="36" spans="9:18" hidden="1" x14ac:dyDescent="0.2">
      <c r="I36" s="356"/>
      <c r="J36" s="131"/>
      <c r="K36" s="129"/>
      <c r="L36" s="133"/>
      <c r="M36" s="290"/>
      <c r="N36" s="122"/>
      <c r="O36" s="122"/>
      <c r="P36" s="122"/>
      <c r="Q36" s="133"/>
      <c r="R36" s="122"/>
    </row>
    <row r="37" spans="9:18" hidden="1" x14ac:dyDescent="0.2">
      <c r="I37" s="355"/>
      <c r="J37" s="131"/>
      <c r="K37" s="129"/>
      <c r="L37" s="133"/>
      <c r="M37" s="290"/>
      <c r="N37" s="122"/>
      <c r="O37" s="122"/>
      <c r="P37" s="122"/>
      <c r="Q37" s="133"/>
      <c r="R37" s="122"/>
    </row>
    <row r="38" spans="9:18" hidden="1" x14ac:dyDescent="0.2">
      <c r="I38" s="356"/>
      <c r="J38" s="131"/>
      <c r="K38" s="129"/>
      <c r="L38" s="133"/>
      <c r="M38" s="290"/>
      <c r="N38" s="131"/>
      <c r="O38" s="131"/>
      <c r="P38" s="131"/>
      <c r="Q38" s="133"/>
      <c r="R38" s="131"/>
    </row>
    <row r="39" spans="9:18" hidden="1" x14ac:dyDescent="0.2">
      <c r="I39" s="356"/>
      <c r="J39" s="131"/>
      <c r="K39" s="129"/>
      <c r="L39" s="133"/>
      <c r="M39" s="290"/>
      <c r="N39" s="131"/>
      <c r="O39" s="131"/>
      <c r="P39" s="131"/>
      <c r="Q39" s="133"/>
      <c r="R39" s="131"/>
    </row>
    <row r="40" spans="9:18" hidden="1" x14ac:dyDescent="0.2">
      <c r="I40" s="356"/>
      <c r="J40" s="131"/>
      <c r="K40" s="129"/>
      <c r="L40" s="133"/>
      <c r="M40" s="290"/>
      <c r="N40" s="131"/>
      <c r="O40" s="131"/>
      <c r="P40" s="131"/>
      <c r="Q40" s="133"/>
      <c r="R40" s="131"/>
    </row>
    <row r="41" spans="9:18" hidden="1" x14ac:dyDescent="0.2">
      <c r="I41" s="324"/>
    </row>
    <row r="42" spans="9:18" hidden="1" x14ac:dyDescent="0.2">
      <c r="I42" s="323"/>
    </row>
    <row r="43" spans="9:18" hidden="1" x14ac:dyDescent="0.2">
      <c r="I43" s="324"/>
    </row>
    <row r="44" spans="9:18" hidden="1" x14ac:dyDescent="0.2">
      <c r="I44" s="324"/>
    </row>
    <row r="45" spans="9:18" hidden="1" x14ac:dyDescent="0.2">
      <c r="I45" s="324"/>
    </row>
    <row r="46" spans="9:18" hidden="1" x14ac:dyDescent="0.2">
      <c r="I46" s="323"/>
    </row>
    <row r="47" spans="9:18" hidden="1" x14ac:dyDescent="0.2">
      <c r="I47" s="324"/>
    </row>
    <row r="48" spans="9:18" hidden="1" x14ac:dyDescent="0.2">
      <c r="I48" s="324"/>
    </row>
  </sheetData>
  <sheetProtection algorithmName="SHA-512" hashValue="DK6el7O9+QeVJgYLLrYxxaXEj/52roLE/hWEXQBWP+capAdKNqPh0jji5mw+tClCuwEWRJbos+aSpL7PMONcDg==" saltValue="Z9K/dw5jtHrZ7tllF5MoWg==" spinCount="100000" sheet="1" objects="1" scenarios="1"/>
  <mergeCells count="10">
    <mergeCell ref="C28:H28"/>
    <mergeCell ref="C29:H29"/>
    <mergeCell ref="C30:H30"/>
    <mergeCell ref="C31:H31"/>
    <mergeCell ref="B3:C3"/>
    <mergeCell ref="M3:P3"/>
    <mergeCell ref="B13:C13"/>
    <mergeCell ref="C25:H25"/>
    <mergeCell ref="C26:H26"/>
    <mergeCell ref="C27:H27"/>
  </mergeCells>
  <conditionalFormatting sqref="J5:J10">
    <cfRule type="cellIs" dxfId="145" priority="7" operator="equal">
      <formula>0</formula>
    </cfRule>
  </conditionalFormatting>
  <printOptions horizontalCentered="1"/>
  <pageMargins left="0.39370078740157483" right="0.39370078740157483" top="0.78740157480314965" bottom="0.78740157480314965" header="0.31496062992125984" footer="0.31496062992125984"/>
  <pageSetup paperSize="9" scale="62"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4" id="{28D62454-D0F2-4E3A-AE4E-3A82D810800D}">
            <xm:f>'C:\Temp\notes6888BE\[2016-17 APR tables (April 2017).xlsx]Validation'!#REF!=1</xm:f>
            <x14:dxf>
              <fill>
                <patternFill>
                  <bgColor theme="0" tint="-0.14996795556505021"/>
                </patternFill>
              </fill>
            </x14:dxf>
          </x14:cfRule>
          <xm:sqref>D6:E7</xm:sqref>
        </x14:conditionalFormatting>
        <x14:conditionalFormatting xmlns:xm="http://schemas.microsoft.com/office/excel/2006/main">
          <x14:cfRule type="expression" priority="3" id="{11508369-7595-4251-9FDA-9E59074BFBFD}">
            <xm:f>'C:\Temp\notes6888BE\[2016-17 APR tables (April 2017).xlsx]Validation'!#REF!=1</xm:f>
            <x14:dxf>
              <fill>
                <patternFill>
                  <bgColor theme="0" tint="-0.14996795556505021"/>
                </patternFill>
              </fill>
            </x14:dxf>
          </x14:cfRule>
          <xm:sqref>D9:E10</xm:sqref>
        </x14:conditionalFormatting>
        <x14:conditionalFormatting xmlns:xm="http://schemas.microsoft.com/office/excel/2006/main">
          <x14:cfRule type="expression" priority="6" id="{41CB9379-10BB-4B14-9436-8755E14FAF6F}">
            <xm:f>Validation!$H$3=1</xm:f>
            <x14:dxf>
              <fill>
                <patternFill>
                  <bgColor theme="0" tint="-0.14996795556505021"/>
                </patternFill>
              </fill>
            </x14:dxf>
          </x14:cfRule>
          <xm:sqref>F6:F7 H6:H7</xm:sqref>
        </x14:conditionalFormatting>
        <x14:conditionalFormatting xmlns:xm="http://schemas.microsoft.com/office/excel/2006/main">
          <x14:cfRule type="expression" priority="5" id="{119F0494-3BDA-4747-A792-A487ADE5298D}">
            <xm:f>Validation!$H$3=1</xm:f>
            <x14:dxf>
              <fill>
                <patternFill>
                  <bgColor theme="0" tint="-0.14996795556505021"/>
                </patternFill>
              </fill>
            </x14:dxf>
          </x14:cfRule>
          <xm:sqref>F9:F10 H9:H10</xm:sqref>
        </x14:conditionalFormatting>
        <x14:conditionalFormatting xmlns:xm="http://schemas.microsoft.com/office/excel/2006/main">
          <x14:cfRule type="expression" priority="2" id="{7F3D29B1-F546-433A-BEDF-B86F6ECE160B}">
            <xm:f>'C:\Regulatory Strategy\Annual Performance Report\2016-17\Ofwat Gudiance\[2016-17-APR-tables.xlsx]Validation'!#REF!=1</xm:f>
            <x14:dxf>
              <fill>
                <patternFill>
                  <bgColor theme="0" tint="-0.14996795556505021"/>
                </patternFill>
              </fill>
            </x14:dxf>
          </x14:cfRule>
          <xm:sqref>G6:G7</xm:sqref>
        </x14:conditionalFormatting>
        <x14:conditionalFormatting xmlns:xm="http://schemas.microsoft.com/office/excel/2006/main">
          <x14:cfRule type="expression" priority="1" id="{04A4DE16-AFA3-44D0-8977-91C5EACBAAD5}">
            <xm:f>'C:\Regulatory Strategy\Annual Performance Report\2016-17\Ofwat Gudiance\[2016-17-APR-tables.xlsx]Validation'!#REF!=1</xm:f>
            <x14:dxf>
              <fill>
                <patternFill>
                  <bgColor theme="0" tint="-0.14996795556505021"/>
                </patternFill>
              </fill>
            </x14:dxf>
          </x14:cfRule>
          <xm:sqref>G9:G10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X77"/>
  <sheetViews>
    <sheetView showGridLines="0" zoomScale="90" zoomScaleNormal="90" workbookViewId="0">
      <selection activeCell="F37" sqref="F37"/>
    </sheetView>
  </sheetViews>
  <sheetFormatPr defaultColWidth="0" defaultRowHeight="14.25" zeroHeight="1" x14ac:dyDescent="0.2"/>
  <cols>
    <col min="1" max="1" width="1.625" customWidth="1"/>
    <col min="2" max="2" width="5.25" customWidth="1"/>
    <col min="3" max="3" width="44" bestFit="1" customWidth="1"/>
    <col min="4" max="8" width="12.625" customWidth="1"/>
    <col min="9" max="9" width="2.625" style="83" customWidth="1"/>
    <col min="10" max="10" width="46.25" style="87" customWidth="1"/>
    <col min="11" max="11" width="18.75" style="83" bestFit="1" customWidth="1"/>
    <col min="12" max="12" width="1.625" style="83" customWidth="1"/>
    <col min="13" max="13" width="1.625" style="84" hidden="1" customWidth="1"/>
    <col min="14" max="16" width="5.625" style="83" hidden="1" customWidth="1"/>
    <col min="17" max="17" width="1.625" style="84" hidden="1" customWidth="1"/>
    <col min="18" max="18" width="8.75" style="87" hidden="1" customWidth="1"/>
    <col min="19" max="19" width="1.625" style="84" hidden="1" customWidth="1"/>
    <col min="20" max="21" width="8.75" style="87" hidden="1" customWidth="1"/>
    <col min="22" max="22" width="56.125" style="87" hidden="1" customWidth="1"/>
    <col min="23" max="23" width="1.625" style="84" hidden="1" customWidth="1"/>
    <col min="24" max="24" width="8.75" style="83" hidden="1" customWidth="1"/>
    <col min="25" max="16384" width="8.75" hidden="1"/>
  </cols>
  <sheetData>
    <row r="1" spans="1:24" s="88" customFormat="1" ht="20.25" x14ac:dyDescent="0.2">
      <c r="A1" s="87"/>
      <c r="B1" s="79" t="s">
        <v>503</v>
      </c>
      <c r="C1" s="79"/>
      <c r="D1" s="79"/>
      <c r="E1" s="79"/>
      <c r="F1" s="79"/>
      <c r="G1" s="79"/>
      <c r="H1" s="81" t="str">
        <f>Validation!B3</f>
        <v>Yorkshire Water</v>
      </c>
      <c r="I1" s="79"/>
      <c r="J1" s="82"/>
      <c r="K1" s="82" t="s">
        <v>72</v>
      </c>
      <c r="L1" s="83"/>
      <c r="M1" s="84"/>
      <c r="N1" s="83"/>
      <c r="O1" s="83"/>
      <c r="P1" s="83"/>
      <c r="Q1" s="84"/>
      <c r="R1" s="83"/>
      <c r="S1" s="84"/>
      <c r="T1"/>
      <c r="U1"/>
      <c r="V1"/>
      <c r="W1" s="84"/>
      <c r="X1" s="83"/>
    </row>
    <row r="2" spans="1:24" s="88" customFormat="1" ht="15" customHeight="1" thickBot="1" x14ac:dyDescent="0.25">
      <c r="A2" s="87"/>
      <c r="B2" s="86" t="s">
        <v>55</v>
      </c>
      <c r="C2" s="311"/>
      <c r="D2" s="87"/>
      <c r="E2" s="87"/>
      <c r="F2" s="87"/>
      <c r="G2" s="87"/>
      <c r="H2" s="87"/>
      <c r="I2" s="83"/>
      <c r="J2" s="83"/>
      <c r="K2" s="83"/>
      <c r="L2" s="83"/>
      <c r="M2" s="84"/>
      <c r="N2" s="83"/>
      <c r="O2" s="83"/>
      <c r="P2" s="83"/>
      <c r="Q2" s="84"/>
      <c r="R2" s="83"/>
      <c r="S2" s="84"/>
      <c r="T2" s="87"/>
      <c r="U2" s="87"/>
      <c r="V2" s="87"/>
      <c r="W2" s="84"/>
      <c r="X2" s="83"/>
    </row>
    <row r="3" spans="1:24" s="88" customFormat="1" ht="54.75" thickBot="1" x14ac:dyDescent="0.25">
      <c r="A3" s="87"/>
      <c r="B3" s="946" t="s">
        <v>73</v>
      </c>
      <c r="C3" s="947"/>
      <c r="D3" s="304" t="s">
        <v>504</v>
      </c>
      <c r="E3" s="314" t="s">
        <v>505</v>
      </c>
      <c r="F3" s="305" t="s">
        <v>506</v>
      </c>
      <c r="G3" s="357" t="s">
        <v>507</v>
      </c>
      <c r="H3" s="357" t="s">
        <v>508</v>
      </c>
      <c r="I3" s="358"/>
      <c r="J3" s="194" t="s">
        <v>294</v>
      </c>
      <c r="K3" s="196" t="s">
        <v>79</v>
      </c>
      <c r="L3" s="83"/>
      <c r="M3" s="84"/>
      <c r="N3" s="896" t="s">
        <v>83</v>
      </c>
      <c r="O3" s="957"/>
      <c r="P3" s="957"/>
      <c r="Q3" s="84"/>
      <c r="R3" s="842" t="s">
        <v>61</v>
      </c>
      <c r="S3" s="84"/>
      <c r="T3" s="842" t="s">
        <v>295</v>
      </c>
      <c r="U3" s="842"/>
      <c r="V3" s="842"/>
      <c r="W3" s="84"/>
      <c r="X3" s="83"/>
    </row>
    <row r="4" spans="1:24" s="88" customFormat="1" ht="15" customHeight="1" thickBot="1" x14ac:dyDescent="0.25">
      <c r="A4" s="87"/>
      <c r="B4" s="87"/>
      <c r="C4" s="359"/>
      <c r="D4" s="87"/>
      <c r="E4" s="87"/>
      <c r="F4" s="87"/>
      <c r="G4" s="87"/>
      <c r="H4" s="87"/>
      <c r="I4" s="83"/>
      <c r="J4" s="83"/>
      <c r="K4" s="83"/>
      <c r="L4" s="83"/>
      <c r="M4" s="84"/>
      <c r="Q4" s="84"/>
      <c r="R4" s="254"/>
      <c r="S4" s="84"/>
      <c r="T4" s="254"/>
      <c r="U4" s="254"/>
      <c r="V4" s="254"/>
      <c r="W4" s="84"/>
      <c r="X4" s="83"/>
    </row>
    <row r="5" spans="1:24" s="88" customFormat="1" ht="17.100000000000001" customHeight="1" thickBot="1" x14ac:dyDescent="0.25">
      <c r="A5" s="87"/>
      <c r="B5" s="272" t="s">
        <v>134</v>
      </c>
      <c r="C5" s="30" t="s">
        <v>509</v>
      </c>
      <c r="D5" s="87"/>
      <c r="E5" s="87"/>
      <c r="F5" s="87"/>
      <c r="G5" s="87"/>
      <c r="H5" s="87"/>
      <c r="I5" s="83"/>
      <c r="J5" s="135"/>
      <c r="K5" s="83"/>
      <c r="L5" s="83"/>
      <c r="M5" s="84"/>
      <c r="N5" s="97" t="s">
        <v>84</v>
      </c>
      <c r="O5" s="132"/>
      <c r="P5" s="132"/>
      <c r="Q5" s="84"/>
      <c r="R5"/>
      <c r="S5" s="84"/>
      <c r="T5" s="87"/>
      <c r="U5" s="87"/>
      <c r="V5" s="87"/>
      <c r="W5" s="84"/>
      <c r="X5" s="83"/>
    </row>
    <row r="6" spans="1:24" s="88" customFormat="1" ht="17.100000000000001" customHeight="1" thickBot="1" x14ac:dyDescent="0.25">
      <c r="A6" s="87"/>
      <c r="B6" s="360">
        <v>1</v>
      </c>
      <c r="C6" s="31" t="s">
        <v>510</v>
      </c>
      <c r="D6" s="481">
        <v>0</v>
      </c>
      <c r="E6" s="482">
        <v>0</v>
      </c>
      <c r="F6" s="346">
        <f xml:space="preserve"> E6 + D6</f>
        <v>0</v>
      </c>
      <c r="G6" s="675">
        <v>0</v>
      </c>
      <c r="H6" s="670">
        <f xml:space="preserve"> IF( G6 = 0, 0, E6 / G6 * 1000 )</f>
        <v>0</v>
      </c>
      <c r="I6" s="83"/>
      <c r="J6" s="135"/>
      <c r="K6" s="28">
        <f xml:space="preserve"> IF( SUM( M6:Q6 ) = 0, 0, $N$5 )</f>
        <v>0</v>
      </c>
      <c r="L6" s="83"/>
      <c r="M6" s="84"/>
      <c r="N6" s="105">
        <f>IF($C6="",0,IF(ISNUMBER(D6),0,1))</f>
        <v>0</v>
      </c>
      <c r="O6" s="105">
        <f>IF($C6="",0,IF(ISNUMBER(E6),0,1))</f>
        <v>0</v>
      </c>
      <c r="P6" s="105">
        <f>IF($C6="",0,IF(ISNUMBER(G6),0,1))</f>
        <v>0</v>
      </c>
      <c r="Q6" s="84"/>
      <c r="R6"/>
      <c r="S6" s="84"/>
      <c r="T6" s="87"/>
      <c r="U6" s="87"/>
      <c r="V6" s="87"/>
      <c r="W6" s="84"/>
      <c r="X6" s="83"/>
    </row>
    <row r="7" spans="1:24" s="88" customFormat="1" ht="15" customHeight="1" thickBot="1" x14ac:dyDescent="0.25">
      <c r="A7" s="87"/>
      <c r="B7" s="87"/>
      <c r="C7" s="367"/>
      <c r="D7" s="146"/>
      <c r="E7" s="146"/>
      <c r="F7" s="146"/>
      <c r="G7" s="407"/>
      <c r="H7" s="671"/>
      <c r="I7" s="146"/>
      <c r="J7" s="135"/>
      <c r="K7" s="146"/>
      <c r="L7" s="83"/>
      <c r="M7" s="84"/>
      <c r="Q7" s="84"/>
      <c r="R7"/>
      <c r="S7" s="84"/>
      <c r="T7" s="87"/>
      <c r="U7" s="87"/>
      <c r="V7" s="87"/>
      <c r="W7" s="84"/>
      <c r="X7" s="83"/>
    </row>
    <row r="8" spans="1:24" s="88" customFormat="1" ht="15" customHeight="1" thickBot="1" x14ac:dyDescent="0.25">
      <c r="A8" s="87"/>
      <c r="B8" s="272" t="s">
        <v>143</v>
      </c>
      <c r="C8" s="30" t="s">
        <v>511</v>
      </c>
      <c r="D8" s="146"/>
      <c r="E8" s="146"/>
      <c r="F8" s="146"/>
      <c r="G8" s="407"/>
      <c r="H8" s="671"/>
      <c r="I8" s="146"/>
      <c r="J8" s="135"/>
      <c r="K8" s="146"/>
      <c r="L8" s="83"/>
      <c r="M8" s="84"/>
      <c r="Q8" s="84"/>
      <c r="R8"/>
      <c r="S8" s="84"/>
      <c r="T8" s="87"/>
      <c r="U8" s="87"/>
      <c r="V8" s="87"/>
      <c r="W8" s="84"/>
      <c r="X8" s="83"/>
    </row>
    <row r="9" spans="1:24" s="88" customFormat="1" ht="15" customHeight="1" x14ac:dyDescent="0.2">
      <c r="A9" s="87"/>
      <c r="B9" s="361">
        <f xml:space="preserve"> B6 + 1</f>
        <v>2</v>
      </c>
      <c r="C9" s="32" t="str">
        <f>IF($H$1="Select company","",IF(HLOOKUP((VLOOKUP($H$1,Lists!$B$4:$C$22,2,FALSE)),Water!$A$1:$S$20,'2G'!B9+1,FALSE)=0,"",HLOOKUP((VLOOKUP($H$1,Lists!$B$4:$C$22,2,FALSE)),Water!$A$1:$S$20,'2G'!B9+1,FALSE)))</f>
        <v>Tariff band 1  ≤50 Ml/a water metered</v>
      </c>
      <c r="D9" s="483">
        <v>75.09</v>
      </c>
      <c r="E9" s="464">
        <v>4.835</v>
      </c>
      <c r="F9" s="335">
        <f xml:space="preserve"> E9 + D9</f>
        <v>79.924999999999997</v>
      </c>
      <c r="G9" s="676">
        <v>109.387</v>
      </c>
      <c r="H9" s="672">
        <f t="shared" ref="H9:H27" si="0" xml:space="preserve"> IF( G9 = 0, 0, E9 / G9 * 1000 )</f>
        <v>44.200864819402668</v>
      </c>
      <c r="I9" s="83"/>
      <c r="J9" s="135"/>
      <c r="K9" s="28">
        <f xml:space="preserve"> IF( SUM( M9:Q9 ) = 0, 0, $N$5 )</f>
        <v>0</v>
      </c>
      <c r="L9" s="83"/>
      <c r="M9" s="84"/>
      <c r="N9" s="105">
        <f t="shared" ref="N9:O26" si="1">IF($C9="",0,IF(ISNUMBER(D9),0,1))</f>
        <v>0</v>
      </c>
      <c r="O9" s="105">
        <f t="shared" si="1"/>
        <v>0</v>
      </c>
      <c r="P9" s="105">
        <f t="shared" ref="P9:P26" si="2">IF($C9="",0,IF(ISNUMBER(G9),0,1))</f>
        <v>0</v>
      </c>
      <c r="Q9" s="84"/>
      <c r="R9"/>
      <c r="S9" s="84"/>
      <c r="T9" s="87"/>
      <c r="U9" s="87"/>
      <c r="V9" s="87"/>
      <c r="W9" s="84"/>
      <c r="X9" s="83"/>
    </row>
    <row r="10" spans="1:24" s="88" customFormat="1" ht="15" customHeight="1" x14ac:dyDescent="0.2">
      <c r="A10" s="87"/>
      <c r="B10" s="363">
        <f xml:space="preserve"> B9 + 1</f>
        <v>3</v>
      </c>
      <c r="C10" s="33" t="str">
        <f>IF($H$1="Select company","",IF(HLOOKUP((VLOOKUP($H$1,Lists!$B$4:$C$22,2,FALSE)),Water!$A$1:$S$20,'2G'!B10+1,FALSE)=0,"",HLOOKUP((VLOOKUP($H$1,Lists!$B$4:$C$22,2,FALSE)),Water!$A$1:$S$20,'2G'!B10+1,FALSE)))</f>
        <v>Tariff band 2 &gt; 50 ≤ 250 Ml/a water metered</v>
      </c>
      <c r="D10" s="484">
        <v>12.848000000000001</v>
      </c>
      <c r="E10" s="465">
        <v>0.183</v>
      </c>
      <c r="F10" s="336">
        <f t="shared" ref="F10:F26" si="3" xml:space="preserve"> E10 + D10</f>
        <v>13.031000000000001</v>
      </c>
      <c r="G10" s="677">
        <v>8.3000000000000004E-2</v>
      </c>
      <c r="H10" s="673">
        <f t="shared" si="0"/>
        <v>2204.8192771084337</v>
      </c>
      <c r="I10" s="83"/>
      <c r="J10" s="135"/>
      <c r="K10" s="28">
        <f xml:space="preserve"> IF( SUM( M10:Q10 ) = 0, 0, $N$5 )</f>
        <v>0</v>
      </c>
      <c r="L10" s="83"/>
      <c r="M10" s="84"/>
      <c r="N10" s="105">
        <f t="shared" si="1"/>
        <v>0</v>
      </c>
      <c r="O10" s="105">
        <f t="shared" si="1"/>
        <v>0</v>
      </c>
      <c r="P10" s="105">
        <f t="shared" si="2"/>
        <v>0</v>
      </c>
      <c r="Q10" s="84"/>
      <c r="R10"/>
      <c r="S10" s="84"/>
      <c r="T10" s="87"/>
      <c r="U10" s="87"/>
      <c r="V10" s="87"/>
      <c r="W10" s="84"/>
      <c r="X10" s="83"/>
    </row>
    <row r="11" spans="1:24" s="88" customFormat="1" ht="15" customHeight="1" x14ac:dyDescent="0.2">
      <c r="A11" s="87"/>
      <c r="B11" s="363">
        <f t="shared" ref="B11:B26" si="4" xml:space="preserve"> B10 + 1</f>
        <v>4</v>
      </c>
      <c r="C11" s="34" t="str">
        <f>IF($H$1="Select company","",IF(HLOOKUP((VLOOKUP($H$1,Lists!$B$4:$C$22,2,FALSE)),Water!$A$1:$S$20,'2G'!B11+1,FALSE)=0,"",HLOOKUP((VLOOKUP($H$1,Lists!$B$4:$C$22,2,FALSE)),Water!$A$1:$S$20,'2G'!B11+1,FALSE)))</f>
        <v>Tariff band 3  &gt; 250 Ml/a water metered</v>
      </c>
      <c r="D11" s="484">
        <v>12.675000000000001</v>
      </c>
      <c r="E11" s="465">
        <v>0.159</v>
      </c>
      <c r="F11" s="336">
        <f t="shared" si="3"/>
        <v>12.834000000000001</v>
      </c>
      <c r="G11" s="677">
        <v>3.2000000000000001E-2</v>
      </c>
      <c r="H11" s="673">
        <f t="shared" si="0"/>
        <v>4968.75</v>
      </c>
      <c r="I11" s="83"/>
      <c r="J11" s="135"/>
      <c r="K11" s="28">
        <f t="shared" ref="K11:K23" si="5" xml:space="preserve"> IF( SUM( M11:Q11 ) = 0, 0, $N$5 )</f>
        <v>0</v>
      </c>
      <c r="L11" s="83"/>
      <c r="M11" s="84"/>
      <c r="N11" s="105">
        <f t="shared" si="1"/>
        <v>0</v>
      </c>
      <c r="O11" s="105">
        <f t="shared" si="1"/>
        <v>0</v>
      </c>
      <c r="P11" s="105">
        <f t="shared" si="2"/>
        <v>0</v>
      </c>
      <c r="Q11" s="84"/>
      <c r="R11"/>
      <c r="S11" s="84"/>
      <c r="T11" s="87"/>
      <c r="U11" s="87"/>
      <c r="V11" s="87"/>
      <c r="W11" s="84"/>
      <c r="X11" s="83"/>
    </row>
    <row r="12" spans="1:24" s="88" customFormat="1" ht="15" customHeight="1" x14ac:dyDescent="0.2">
      <c r="A12" s="87"/>
      <c r="B12" s="363">
        <f t="shared" si="4"/>
        <v>5</v>
      </c>
      <c r="C12" s="34" t="str">
        <f>IF($H$1="Select company","",IF(HLOOKUP((VLOOKUP($H$1,Lists!$B$4:$C$22,2,FALSE)),Water!$A$1:$S$20,'2G'!B12+1,FALSE)=0,"",HLOOKUP((VLOOKUP($H$1,Lists!$B$4:$C$22,2,FALSE)),Water!$A$1:$S$20,'2G'!B12+1,FALSE)))</f>
        <v>Tariff band 4 water unmetered</v>
      </c>
      <c r="D12" s="484">
        <v>1.131</v>
      </c>
      <c r="E12" s="465">
        <v>0.36899999999999999</v>
      </c>
      <c r="F12" s="336">
        <f t="shared" si="3"/>
        <v>1.5</v>
      </c>
      <c r="G12" s="677">
        <v>14.960071232876709</v>
      </c>
      <c r="H12" s="673">
        <f t="shared" si="0"/>
        <v>24.665657954159627</v>
      </c>
      <c r="I12" s="83"/>
      <c r="J12" s="135"/>
      <c r="K12" s="28">
        <f t="shared" si="5"/>
        <v>0</v>
      </c>
      <c r="L12" s="83"/>
      <c r="M12" s="84"/>
      <c r="N12" s="105">
        <f t="shared" si="1"/>
        <v>0</v>
      </c>
      <c r="O12" s="105">
        <f t="shared" si="1"/>
        <v>0</v>
      </c>
      <c r="P12" s="105">
        <f t="shared" si="2"/>
        <v>0</v>
      </c>
      <c r="Q12" s="84"/>
      <c r="R12"/>
      <c r="S12" s="84"/>
      <c r="T12" s="87"/>
      <c r="U12" s="87"/>
      <c r="V12" s="87"/>
      <c r="W12" s="84"/>
      <c r="X12" s="83"/>
    </row>
    <row r="13" spans="1:24" s="88" customFormat="1" ht="15" customHeight="1" x14ac:dyDescent="0.2">
      <c r="A13" s="87"/>
      <c r="B13" s="363">
        <f t="shared" si="4"/>
        <v>6</v>
      </c>
      <c r="C13" s="34" t="str">
        <f>IF($H$1="Select company","",IF(HLOOKUP((VLOOKUP($H$1,Lists!$B$4:$C$22,2,FALSE)),Water!$A$1:$S$20,'2G'!B13+1,FALSE)=0,"",HLOOKUP((VLOOKUP($H$1,Lists!$B$4:$C$22,2,FALSE)),Water!$A$1:$S$20,'2G'!B13+1,FALSE)))</f>
        <v/>
      </c>
      <c r="D13" s="484"/>
      <c r="E13" s="465"/>
      <c r="F13" s="336">
        <f t="shared" si="3"/>
        <v>0</v>
      </c>
      <c r="G13" s="677"/>
      <c r="H13" s="673">
        <f t="shared" si="0"/>
        <v>0</v>
      </c>
      <c r="I13" s="83"/>
      <c r="J13" s="135"/>
      <c r="K13" s="28">
        <f t="shared" si="5"/>
        <v>0</v>
      </c>
      <c r="L13" s="83"/>
      <c r="M13" s="84"/>
      <c r="N13" s="105">
        <f t="shared" si="1"/>
        <v>0</v>
      </c>
      <c r="O13" s="105">
        <f t="shared" si="1"/>
        <v>0</v>
      </c>
      <c r="P13" s="105">
        <f t="shared" si="2"/>
        <v>0</v>
      </c>
      <c r="Q13" s="84"/>
      <c r="R13"/>
      <c r="S13" s="84"/>
      <c r="T13" s="87"/>
      <c r="U13" s="87"/>
      <c r="V13" s="87"/>
      <c r="W13" s="84"/>
      <c r="X13" s="83"/>
    </row>
    <row r="14" spans="1:24" s="88" customFormat="1" ht="15" customHeight="1" x14ac:dyDescent="0.2">
      <c r="A14" s="87"/>
      <c r="B14" s="363">
        <f t="shared" si="4"/>
        <v>7</v>
      </c>
      <c r="C14" s="34" t="str">
        <f>IF($H$1="Select company","",IF(HLOOKUP((VLOOKUP($H$1,Lists!$B$4:$C$22,2,FALSE)),Water!$A$1:$S$20,'2G'!B14+1,FALSE)=0,"",HLOOKUP((VLOOKUP($H$1,Lists!$B$4:$C$22,2,FALSE)),Water!$A$1:$S$20,'2G'!B14+1,FALSE)))</f>
        <v/>
      </c>
      <c r="D14" s="484"/>
      <c r="E14" s="465"/>
      <c r="F14" s="336">
        <f t="shared" si="3"/>
        <v>0</v>
      </c>
      <c r="G14" s="677"/>
      <c r="H14" s="673">
        <f t="shared" si="0"/>
        <v>0</v>
      </c>
      <c r="I14" s="83"/>
      <c r="J14" s="135"/>
      <c r="K14" s="28">
        <f t="shared" si="5"/>
        <v>0</v>
      </c>
      <c r="L14" s="83"/>
      <c r="M14" s="84"/>
      <c r="N14" s="105">
        <f t="shared" si="1"/>
        <v>0</v>
      </c>
      <c r="O14" s="105">
        <f t="shared" si="1"/>
        <v>0</v>
      </c>
      <c r="P14" s="105">
        <f t="shared" si="2"/>
        <v>0</v>
      </c>
      <c r="Q14" s="84"/>
      <c r="R14"/>
      <c r="S14" s="84"/>
      <c r="T14" s="87"/>
      <c r="U14" s="87"/>
      <c r="V14" s="87"/>
      <c r="W14" s="84"/>
      <c r="X14" s="83"/>
    </row>
    <row r="15" spans="1:24" s="88" customFormat="1" ht="15" customHeight="1" x14ac:dyDescent="0.2">
      <c r="A15" s="87"/>
      <c r="B15" s="363">
        <f t="shared" si="4"/>
        <v>8</v>
      </c>
      <c r="C15" s="34" t="str">
        <f>IF($H$1="Select company","",IF(HLOOKUP((VLOOKUP($H$1,Lists!$B$4:$C$22,2,FALSE)),Water!$A$1:$S$20,'2G'!B15+1,FALSE)=0,"",HLOOKUP((VLOOKUP($H$1,Lists!$B$4:$C$22,2,FALSE)),Water!$A$1:$S$20,'2G'!B15+1,FALSE)))</f>
        <v/>
      </c>
      <c r="D15" s="484"/>
      <c r="E15" s="465"/>
      <c r="F15" s="336">
        <f t="shared" si="3"/>
        <v>0</v>
      </c>
      <c r="G15" s="677"/>
      <c r="H15" s="673">
        <f t="shared" si="0"/>
        <v>0</v>
      </c>
      <c r="I15" s="83"/>
      <c r="J15" s="135"/>
      <c r="K15" s="28">
        <f t="shared" si="5"/>
        <v>0</v>
      </c>
      <c r="L15" s="83"/>
      <c r="M15" s="84"/>
      <c r="N15" s="105">
        <f t="shared" si="1"/>
        <v>0</v>
      </c>
      <c r="O15" s="105">
        <f t="shared" si="1"/>
        <v>0</v>
      </c>
      <c r="P15" s="105">
        <f t="shared" si="2"/>
        <v>0</v>
      </c>
      <c r="Q15" s="84"/>
      <c r="R15"/>
      <c r="S15" s="84"/>
      <c r="T15" s="87"/>
      <c r="U15" s="87"/>
      <c r="V15" s="87"/>
      <c r="W15" s="84"/>
      <c r="X15" s="83"/>
    </row>
    <row r="16" spans="1:24" s="88" customFormat="1" ht="15" customHeight="1" x14ac:dyDescent="0.2">
      <c r="A16" s="87"/>
      <c r="B16" s="363">
        <f t="shared" si="4"/>
        <v>9</v>
      </c>
      <c r="C16" s="34" t="str">
        <f>IF($H$1="Select company","",IF(HLOOKUP((VLOOKUP($H$1,Lists!$B$4:$C$22,2,FALSE)),Water!$A$1:$S$20,'2G'!B16+1,FALSE)=0,"",HLOOKUP((VLOOKUP($H$1,Lists!$B$4:$C$22,2,FALSE)),Water!$A$1:$S$20,'2G'!B16+1,FALSE)))</f>
        <v/>
      </c>
      <c r="D16" s="484"/>
      <c r="E16" s="465"/>
      <c r="F16" s="336">
        <f t="shared" si="3"/>
        <v>0</v>
      </c>
      <c r="G16" s="677"/>
      <c r="H16" s="673">
        <f t="shared" si="0"/>
        <v>0</v>
      </c>
      <c r="I16" s="83"/>
      <c r="J16" s="135"/>
      <c r="K16" s="28">
        <f t="shared" si="5"/>
        <v>0</v>
      </c>
      <c r="L16" s="83"/>
      <c r="M16" s="84"/>
      <c r="N16" s="105">
        <f t="shared" si="1"/>
        <v>0</v>
      </c>
      <c r="O16" s="105">
        <f t="shared" si="1"/>
        <v>0</v>
      </c>
      <c r="P16" s="105">
        <f t="shared" si="2"/>
        <v>0</v>
      </c>
      <c r="Q16" s="84"/>
      <c r="R16"/>
      <c r="S16" s="84"/>
      <c r="T16" s="87"/>
      <c r="U16" s="87"/>
      <c r="V16" s="87"/>
      <c r="W16" s="84"/>
      <c r="X16" s="83"/>
    </row>
    <row r="17" spans="1:24" s="88" customFormat="1" ht="15" customHeight="1" x14ac:dyDescent="0.2">
      <c r="A17" s="87"/>
      <c r="B17" s="363">
        <f t="shared" si="4"/>
        <v>10</v>
      </c>
      <c r="C17" s="34" t="str">
        <f>IF($H$1="Select company","",IF(HLOOKUP((VLOOKUP($H$1,Lists!$B$4:$C$22,2,FALSE)),Water!$A$1:$S$20,'2G'!B17+1,FALSE)=0,"",HLOOKUP((VLOOKUP($H$1,Lists!$B$4:$C$22,2,FALSE)),Water!$A$1:$S$20,'2G'!B17+1,FALSE)))</f>
        <v/>
      </c>
      <c r="D17" s="484"/>
      <c r="E17" s="465"/>
      <c r="F17" s="336">
        <f t="shared" si="3"/>
        <v>0</v>
      </c>
      <c r="G17" s="677"/>
      <c r="H17" s="673">
        <f t="shared" si="0"/>
        <v>0</v>
      </c>
      <c r="I17" s="83"/>
      <c r="J17" s="135"/>
      <c r="K17" s="28">
        <f t="shared" si="5"/>
        <v>0</v>
      </c>
      <c r="L17" s="83"/>
      <c r="M17" s="84"/>
      <c r="N17" s="105">
        <f t="shared" si="1"/>
        <v>0</v>
      </c>
      <c r="O17" s="105">
        <f t="shared" si="1"/>
        <v>0</v>
      </c>
      <c r="P17" s="105">
        <f t="shared" si="2"/>
        <v>0</v>
      </c>
      <c r="Q17" s="84"/>
      <c r="R17"/>
      <c r="S17" s="84"/>
      <c r="T17" s="87"/>
      <c r="U17" s="87"/>
      <c r="V17" s="87"/>
      <c r="W17" s="84"/>
      <c r="X17" s="83"/>
    </row>
    <row r="18" spans="1:24" s="88" customFormat="1" ht="15" customHeight="1" x14ac:dyDescent="0.2">
      <c r="A18" s="87"/>
      <c r="B18" s="363">
        <f t="shared" si="4"/>
        <v>11</v>
      </c>
      <c r="C18" s="34" t="str">
        <f>IF($H$1="Select company","",IF(HLOOKUP((VLOOKUP($H$1,Lists!$B$4:$C$22,2,FALSE)),Water!$A$1:$S$20,'2G'!B18+1,FALSE)=0,"",HLOOKUP((VLOOKUP($H$1,Lists!$B$4:$C$22,2,FALSE)),Water!$A$1:$S$20,'2G'!B18+1,FALSE)))</f>
        <v/>
      </c>
      <c r="D18" s="484"/>
      <c r="E18" s="465"/>
      <c r="F18" s="336">
        <f t="shared" si="3"/>
        <v>0</v>
      </c>
      <c r="G18" s="677"/>
      <c r="H18" s="673">
        <f t="shared" si="0"/>
        <v>0</v>
      </c>
      <c r="I18" s="83"/>
      <c r="J18" s="135"/>
      <c r="K18" s="28">
        <f t="shared" si="5"/>
        <v>0</v>
      </c>
      <c r="L18" s="83"/>
      <c r="M18" s="84"/>
      <c r="N18" s="105">
        <f t="shared" si="1"/>
        <v>0</v>
      </c>
      <c r="O18" s="105">
        <f t="shared" si="1"/>
        <v>0</v>
      </c>
      <c r="P18" s="105">
        <f t="shared" si="2"/>
        <v>0</v>
      </c>
      <c r="Q18" s="84"/>
      <c r="R18"/>
      <c r="S18" s="84"/>
      <c r="T18" s="87"/>
      <c r="U18" s="87"/>
      <c r="V18" s="87"/>
      <c r="W18" s="84"/>
      <c r="X18" s="83"/>
    </row>
    <row r="19" spans="1:24" s="88" customFormat="1" ht="15" customHeight="1" x14ac:dyDescent="0.2">
      <c r="A19" s="87"/>
      <c r="B19" s="363">
        <f t="shared" si="4"/>
        <v>12</v>
      </c>
      <c r="C19" s="34" t="str">
        <f>IF($H$1="Select company","",IF(HLOOKUP((VLOOKUP($H$1,Lists!$B$4:$C$22,2,FALSE)),Water!$A$1:$S$20,'2G'!B19+1,FALSE)=0,"",HLOOKUP((VLOOKUP($H$1,Lists!$B$4:$C$22,2,FALSE)),Water!$A$1:$S$20,'2G'!B19+1,FALSE)))</f>
        <v/>
      </c>
      <c r="D19" s="484"/>
      <c r="E19" s="465"/>
      <c r="F19" s="336">
        <f t="shared" si="3"/>
        <v>0</v>
      </c>
      <c r="G19" s="677"/>
      <c r="H19" s="673">
        <f t="shared" si="0"/>
        <v>0</v>
      </c>
      <c r="I19" s="83"/>
      <c r="J19" s="135"/>
      <c r="K19" s="28">
        <f t="shared" si="5"/>
        <v>0</v>
      </c>
      <c r="L19" s="83"/>
      <c r="M19" s="84"/>
      <c r="N19" s="105">
        <f t="shared" si="1"/>
        <v>0</v>
      </c>
      <c r="O19" s="105">
        <f t="shared" si="1"/>
        <v>0</v>
      </c>
      <c r="P19" s="105">
        <f t="shared" si="2"/>
        <v>0</v>
      </c>
      <c r="Q19" s="84"/>
      <c r="R19"/>
      <c r="S19" s="84"/>
      <c r="T19" s="87"/>
      <c r="U19" s="87"/>
      <c r="V19" s="87"/>
      <c r="W19" s="84"/>
      <c r="X19" s="83"/>
    </row>
    <row r="20" spans="1:24" s="88" customFormat="1" ht="15" customHeight="1" x14ac:dyDescent="0.2">
      <c r="A20" s="87"/>
      <c r="B20" s="363">
        <f t="shared" si="4"/>
        <v>13</v>
      </c>
      <c r="C20" s="34" t="str">
        <f>IF($H$1="Select company","",IF(HLOOKUP((VLOOKUP($H$1,Lists!$B$4:$C$22,2,FALSE)),Water!$A$1:$S$20,'2G'!B20+1,FALSE)=0,"",HLOOKUP((VLOOKUP($H$1,Lists!$B$4:$C$22,2,FALSE)),Water!$A$1:$S$20,'2G'!B20+1,FALSE)))</f>
        <v/>
      </c>
      <c r="D20" s="484"/>
      <c r="E20" s="465"/>
      <c r="F20" s="336">
        <f t="shared" si="3"/>
        <v>0</v>
      </c>
      <c r="G20" s="677"/>
      <c r="H20" s="673">
        <f t="shared" si="0"/>
        <v>0</v>
      </c>
      <c r="I20" s="83"/>
      <c r="J20" s="135"/>
      <c r="K20" s="28">
        <f t="shared" si="5"/>
        <v>0</v>
      </c>
      <c r="L20" s="83"/>
      <c r="M20" s="84"/>
      <c r="N20" s="105">
        <f t="shared" si="1"/>
        <v>0</v>
      </c>
      <c r="O20" s="105">
        <f t="shared" si="1"/>
        <v>0</v>
      </c>
      <c r="P20" s="105">
        <f t="shared" si="2"/>
        <v>0</v>
      </c>
      <c r="Q20" s="84"/>
      <c r="R20"/>
      <c r="S20" s="84"/>
      <c r="T20" s="87"/>
      <c r="U20" s="87"/>
      <c r="V20" s="87"/>
      <c r="W20" s="84"/>
      <c r="X20" s="83"/>
    </row>
    <row r="21" spans="1:24" s="88" customFormat="1" ht="15" customHeight="1" x14ac:dyDescent="0.2">
      <c r="A21" s="87"/>
      <c r="B21" s="363">
        <f t="shared" si="4"/>
        <v>14</v>
      </c>
      <c r="C21" s="34" t="str">
        <f>IF($H$1="Select company","",IF(HLOOKUP((VLOOKUP($H$1,Lists!$B$4:$C$22,2,FALSE)),Water!$A$1:$S$20,'2G'!B21+1,FALSE)=0,"",HLOOKUP((VLOOKUP($H$1,Lists!$B$4:$C$22,2,FALSE)),Water!$A$1:$S$20,'2G'!B21+1,FALSE)))</f>
        <v/>
      </c>
      <c r="D21" s="484"/>
      <c r="E21" s="465"/>
      <c r="F21" s="336">
        <f t="shared" si="3"/>
        <v>0</v>
      </c>
      <c r="G21" s="677"/>
      <c r="H21" s="673">
        <f t="shared" si="0"/>
        <v>0</v>
      </c>
      <c r="I21" s="83"/>
      <c r="J21" s="135"/>
      <c r="K21" s="28">
        <f t="shared" si="5"/>
        <v>0</v>
      </c>
      <c r="L21" s="83"/>
      <c r="M21" s="84"/>
      <c r="N21" s="105">
        <f t="shared" si="1"/>
        <v>0</v>
      </c>
      <c r="O21" s="105">
        <f t="shared" si="1"/>
        <v>0</v>
      </c>
      <c r="P21" s="105">
        <f t="shared" si="2"/>
        <v>0</v>
      </c>
      <c r="Q21" s="84"/>
      <c r="R21"/>
      <c r="S21" s="84"/>
      <c r="T21" s="87"/>
      <c r="U21" s="87"/>
      <c r="V21" s="87"/>
      <c r="W21" s="84"/>
      <c r="X21" s="83"/>
    </row>
    <row r="22" spans="1:24" s="88" customFormat="1" ht="15" customHeight="1" x14ac:dyDescent="0.2">
      <c r="A22" s="87"/>
      <c r="B22" s="363">
        <f t="shared" si="4"/>
        <v>15</v>
      </c>
      <c r="C22" s="34" t="str">
        <f>IF($H$1="Select company","",IF(HLOOKUP((VLOOKUP($H$1,Lists!$B$4:$C$22,2,FALSE)),Water!$A$1:$S$20,'2G'!B22+1,FALSE)=0,"",HLOOKUP((VLOOKUP($H$1,Lists!$B$4:$C$22,2,FALSE)),Water!$A$1:$S$20,'2G'!B22+1,FALSE)))</f>
        <v/>
      </c>
      <c r="D22" s="484"/>
      <c r="E22" s="465"/>
      <c r="F22" s="336">
        <f t="shared" si="3"/>
        <v>0</v>
      </c>
      <c r="G22" s="677"/>
      <c r="H22" s="673">
        <f t="shared" si="0"/>
        <v>0</v>
      </c>
      <c r="I22" s="129"/>
      <c r="J22" s="135"/>
      <c r="K22" s="28">
        <f t="shared" si="5"/>
        <v>0</v>
      </c>
      <c r="L22" s="83"/>
      <c r="M22" s="84"/>
      <c r="N22" s="105">
        <f t="shared" si="1"/>
        <v>0</v>
      </c>
      <c r="O22" s="105">
        <f t="shared" si="1"/>
        <v>0</v>
      </c>
      <c r="P22" s="105">
        <f t="shared" si="2"/>
        <v>0</v>
      </c>
      <c r="Q22" s="84"/>
      <c r="R22"/>
      <c r="S22" s="84"/>
      <c r="T22" s="87"/>
      <c r="U22" s="87"/>
      <c r="V22" s="87"/>
      <c r="W22" s="84"/>
      <c r="X22" s="122"/>
    </row>
    <row r="23" spans="1:24" s="88" customFormat="1" ht="15" customHeight="1" x14ac:dyDescent="0.2">
      <c r="A23" s="87"/>
      <c r="B23" s="363">
        <f t="shared" si="4"/>
        <v>16</v>
      </c>
      <c r="C23" s="34" t="str">
        <f>IF($H$1="Select company","",IF(HLOOKUP((VLOOKUP($H$1,Lists!$B$4:$C$22,2,FALSE)),Water!$A$1:$S$20,'2G'!B23+1,FALSE)=0,"",HLOOKUP((VLOOKUP($H$1,Lists!$B$4:$C$22,2,FALSE)),Water!$A$1:$S$20,'2G'!B23+1,FALSE)))</f>
        <v/>
      </c>
      <c r="D23" s="484"/>
      <c r="E23" s="465"/>
      <c r="F23" s="336">
        <f t="shared" si="3"/>
        <v>0</v>
      </c>
      <c r="G23" s="677"/>
      <c r="H23" s="673">
        <f t="shared" si="0"/>
        <v>0</v>
      </c>
      <c r="I23" s="135"/>
      <c r="J23" s="135"/>
      <c r="K23" s="28">
        <f t="shared" si="5"/>
        <v>0</v>
      </c>
      <c r="L23" s="83"/>
      <c r="M23" s="84"/>
      <c r="N23" s="105">
        <f t="shared" si="1"/>
        <v>0</v>
      </c>
      <c r="O23" s="105">
        <f t="shared" si="1"/>
        <v>0</v>
      </c>
      <c r="P23" s="105">
        <f t="shared" si="2"/>
        <v>0</v>
      </c>
      <c r="Q23" s="84"/>
      <c r="R23" s="132"/>
      <c r="S23" s="133"/>
      <c r="T23" s="171"/>
      <c r="U23" s="171"/>
      <c r="V23" s="87"/>
      <c r="W23" s="133"/>
      <c r="X23" s="169"/>
    </row>
    <row r="24" spans="1:24" s="88" customFormat="1" ht="15" customHeight="1" x14ac:dyDescent="0.2">
      <c r="A24" s="87"/>
      <c r="B24" s="363">
        <f t="shared" si="4"/>
        <v>17</v>
      </c>
      <c r="C24" s="34" t="str">
        <f>IF($H$1="Select company","",IF(HLOOKUP((VLOOKUP($H$1,Lists!$B$4:$C$22,2,FALSE)),Water!$A$1:$S$20,'2G'!B24+1,FALSE)=0,"",HLOOKUP((VLOOKUP($H$1,Lists!$B$4:$C$22,2,FALSE)),Water!$A$1:$S$20,'2G'!B24+1,FALSE)))</f>
        <v/>
      </c>
      <c r="D24" s="484"/>
      <c r="E24" s="465"/>
      <c r="F24" s="336">
        <f t="shared" si="3"/>
        <v>0</v>
      </c>
      <c r="G24" s="677"/>
      <c r="H24" s="673">
        <f t="shared" si="0"/>
        <v>0</v>
      </c>
      <c r="I24" s="135"/>
      <c r="J24" s="135"/>
      <c r="K24" s="28">
        <f t="shared" ref="K24:K25" si="6" xml:space="preserve"> IF( SUM( M24:Q24 ) = 0, 0, $N$5 )</f>
        <v>0</v>
      </c>
      <c r="L24" s="83"/>
      <c r="M24" s="84"/>
      <c r="N24" s="105">
        <f t="shared" si="1"/>
        <v>0</v>
      </c>
      <c r="O24" s="105">
        <f t="shared" si="1"/>
        <v>0</v>
      </c>
      <c r="P24" s="105">
        <f t="shared" si="2"/>
        <v>0</v>
      </c>
      <c r="Q24" s="84"/>
      <c r="R24"/>
      <c r="S24" s="130"/>
      <c r="T24" s="87"/>
      <c r="U24" s="87"/>
      <c r="V24" s="87"/>
      <c r="W24" s="130"/>
      <c r="X24" s="169"/>
    </row>
    <row r="25" spans="1:24" s="88" customFormat="1" ht="15" customHeight="1" x14ac:dyDescent="0.2">
      <c r="A25" s="87"/>
      <c r="B25" s="363">
        <f t="shared" si="4"/>
        <v>18</v>
      </c>
      <c r="C25" s="33" t="str">
        <f>IF($H$1="Select company","",IF(HLOOKUP((VLOOKUP($H$1,Lists!$B$4:$C$22,2,FALSE)),Water!$A$1:$S$20,'2G'!B25+1,FALSE)=0,"",HLOOKUP((VLOOKUP($H$1,Lists!$B$4:$C$22,2,FALSE)),Water!$A$1:$S$20,'2G'!B25+1,FALSE)))</f>
        <v/>
      </c>
      <c r="D25" s="484"/>
      <c r="E25" s="465"/>
      <c r="F25" s="336">
        <f t="shared" si="3"/>
        <v>0</v>
      </c>
      <c r="G25" s="677"/>
      <c r="H25" s="673">
        <f t="shared" si="0"/>
        <v>0</v>
      </c>
      <c r="I25" s="135"/>
      <c r="J25" s="135"/>
      <c r="K25" s="28">
        <f t="shared" si="6"/>
        <v>0</v>
      </c>
      <c r="L25" s="83"/>
      <c r="M25" s="84"/>
      <c r="N25" s="105">
        <f t="shared" si="1"/>
        <v>0</v>
      </c>
      <c r="O25" s="105">
        <f t="shared" si="1"/>
        <v>0</v>
      </c>
      <c r="P25" s="105">
        <f t="shared" si="2"/>
        <v>0</v>
      </c>
      <c r="Q25" s="84"/>
      <c r="R25"/>
      <c r="S25" s="130"/>
      <c r="T25" s="87"/>
      <c r="U25" s="87"/>
      <c r="V25" s="87"/>
      <c r="W25" s="130"/>
      <c r="X25" s="169"/>
    </row>
    <row r="26" spans="1:24" s="88" customFormat="1" ht="15" customHeight="1" x14ac:dyDescent="0.2">
      <c r="A26" s="87"/>
      <c r="B26" s="363">
        <f t="shared" si="4"/>
        <v>19</v>
      </c>
      <c r="C26" s="33"/>
      <c r="D26" s="485"/>
      <c r="E26" s="486"/>
      <c r="F26" s="336">
        <f t="shared" si="3"/>
        <v>0</v>
      </c>
      <c r="G26" s="677"/>
      <c r="H26" s="673">
        <f t="shared" si="0"/>
        <v>0</v>
      </c>
      <c r="I26" s="135"/>
      <c r="J26" s="135"/>
      <c r="K26" s="28">
        <f xml:space="preserve"> IF( SUM( M26:Q26 ) = 0, 0, $N$5 )</f>
        <v>0</v>
      </c>
      <c r="L26" s="83"/>
      <c r="M26" s="84"/>
      <c r="N26" s="105">
        <f t="shared" si="1"/>
        <v>0</v>
      </c>
      <c r="O26" s="105">
        <f t="shared" si="1"/>
        <v>0</v>
      </c>
      <c r="P26" s="105">
        <f t="shared" si="2"/>
        <v>0</v>
      </c>
      <c r="Q26" s="84"/>
      <c r="R26"/>
      <c r="S26" s="130"/>
      <c r="T26" s="87"/>
      <c r="U26" s="87"/>
      <c r="V26" s="87"/>
      <c r="W26" s="130"/>
      <c r="X26" s="169"/>
    </row>
    <row r="27" spans="1:24" s="88" customFormat="1" ht="17.100000000000001" customHeight="1" thickBot="1" x14ac:dyDescent="0.25">
      <c r="A27" s="87"/>
      <c r="B27" s="364">
        <f xml:space="preserve"> B26 + 1</f>
        <v>20</v>
      </c>
      <c r="C27" s="35" t="s">
        <v>512</v>
      </c>
      <c r="D27" s="337">
        <f xml:space="preserve"> SUM( D9:D26 )</f>
        <v>101.744</v>
      </c>
      <c r="E27" s="338">
        <f xml:space="preserve"> SUM( E9:E26 )</f>
        <v>5.5459999999999994</v>
      </c>
      <c r="F27" s="339">
        <f xml:space="preserve"> SUM( F9:F26 )</f>
        <v>107.29</v>
      </c>
      <c r="G27" s="347">
        <f xml:space="preserve"> SUM( G9:G26 )</f>
        <v>124.46207123287671</v>
      </c>
      <c r="H27" s="513">
        <f t="shared" si="0"/>
        <v>44.559759813277324</v>
      </c>
      <c r="I27" s="135"/>
      <c r="J27" s="135"/>
      <c r="K27" s="135"/>
      <c r="L27" s="135"/>
      <c r="M27" s="130"/>
      <c r="N27" s="168"/>
      <c r="O27" s="169"/>
      <c r="P27" s="169"/>
      <c r="Q27" s="130"/>
      <c r="R27"/>
      <c r="S27" s="130"/>
      <c r="T27" s="87"/>
      <c r="U27" s="87"/>
      <c r="V27" s="87"/>
      <c r="W27" s="130"/>
      <c r="X27" s="169"/>
    </row>
    <row r="28" spans="1:24" s="83" customFormat="1" ht="15" thickBot="1" x14ac:dyDescent="0.25">
      <c r="D28" s="92"/>
      <c r="E28" s="169"/>
      <c r="F28" s="92"/>
      <c r="G28" s="678"/>
      <c r="H28" s="674"/>
      <c r="I28" s="135"/>
      <c r="J28" s="135"/>
      <c r="K28" s="135"/>
      <c r="L28" s="135"/>
      <c r="M28" s="130"/>
      <c r="N28" s="168"/>
      <c r="O28" s="169"/>
      <c r="P28" s="169"/>
      <c r="Q28" s="130"/>
      <c r="R28" s="132"/>
      <c r="S28" s="130"/>
      <c r="T28" s="171"/>
      <c r="U28" s="171"/>
      <c r="V28" s="87"/>
      <c r="W28" s="130"/>
      <c r="X28" s="169"/>
    </row>
    <row r="29" spans="1:24" s="88" customFormat="1" ht="17.100000000000001" customHeight="1" thickBot="1" x14ac:dyDescent="0.25">
      <c r="A29" s="87"/>
      <c r="B29" s="360">
        <f xml:space="preserve"> B27 + 1</f>
        <v>21</v>
      </c>
      <c r="C29" s="31" t="s">
        <v>257</v>
      </c>
      <c r="D29" s="344">
        <f xml:space="preserve"> D27 + D6</f>
        <v>101.744</v>
      </c>
      <c r="E29" s="345">
        <f xml:space="preserve"> E27 + E6</f>
        <v>5.5459999999999994</v>
      </c>
      <c r="F29" s="346">
        <f xml:space="preserve"> F27 + F6</f>
        <v>107.29</v>
      </c>
      <c r="G29" s="679">
        <f xml:space="preserve"> G27 + G6</f>
        <v>124.46207123287671</v>
      </c>
      <c r="H29" s="670">
        <f xml:space="preserve"> IF( G29 = 0, 0, E29 / G29 * 1000 )</f>
        <v>44.559759813277324</v>
      </c>
      <c r="I29" s="135"/>
      <c r="J29" s="843">
        <f xml:space="preserve"> IF( SUM( Q29:S29 ) = 0, 0, V29 )</f>
        <v>0</v>
      </c>
      <c r="K29" s="135"/>
      <c r="L29" s="135"/>
      <c r="M29" s="130"/>
      <c r="N29" s="168"/>
      <c r="O29" s="169"/>
      <c r="P29" s="169"/>
      <c r="Q29" s="130"/>
      <c r="R29" s="105">
        <f xml:space="preserve"> IF( (T29 - U29) = 0, 0, 1 )</f>
        <v>0</v>
      </c>
      <c r="S29" s="130"/>
      <c r="T29" s="171">
        <f xml:space="preserve"> ROUND(D29, 3)</f>
        <v>101.744</v>
      </c>
      <c r="U29" s="171">
        <f xml:space="preserve"> ROUND( SUM( '2I'!G6:G7 ), 3)</f>
        <v>101.744</v>
      </c>
      <c r="V29" s="87" t="s">
        <v>513</v>
      </c>
      <c r="W29" s="130"/>
      <c r="X29" s="169"/>
    </row>
    <row r="30" spans="1:24" s="83" customFormat="1" ht="15" thickBot="1" x14ac:dyDescent="0.25">
      <c r="E30" s="169"/>
      <c r="G30" s="135"/>
      <c r="I30" s="137"/>
      <c r="J30" s="135"/>
      <c r="K30" s="135"/>
      <c r="L30" s="135"/>
      <c r="M30" s="130"/>
      <c r="N30" s="168"/>
      <c r="O30" s="186"/>
      <c r="P30" s="186"/>
      <c r="Q30" s="130"/>
      <c r="R30"/>
      <c r="S30" s="130"/>
      <c r="T30" s="87"/>
      <c r="U30" s="87"/>
      <c r="V30" s="87"/>
      <c r="W30" s="130"/>
      <c r="X30" s="186"/>
    </row>
    <row r="31" spans="1:24" s="83" customFormat="1" ht="54.75" thickBot="1" x14ac:dyDescent="0.25">
      <c r="E31" s="169"/>
      <c r="G31" s="357" t="s">
        <v>514</v>
      </c>
      <c r="H31" s="357" t="s">
        <v>515</v>
      </c>
      <c r="I31" s="137"/>
      <c r="J31" s="135"/>
      <c r="K31" s="135"/>
      <c r="L31" s="135"/>
      <c r="M31" s="130"/>
      <c r="N31" s="168"/>
      <c r="O31" s="186"/>
      <c r="P31" s="186"/>
      <c r="Q31" s="130"/>
      <c r="R31"/>
      <c r="S31" s="130"/>
      <c r="T31" s="87"/>
      <c r="U31" s="87"/>
      <c r="V31" s="87"/>
      <c r="W31" s="130"/>
      <c r="X31" s="186"/>
    </row>
    <row r="32" spans="1:24" s="88" customFormat="1" ht="15" customHeight="1" thickBot="1" x14ac:dyDescent="0.25">
      <c r="A32" s="87"/>
      <c r="B32" s="272" t="s">
        <v>149</v>
      </c>
      <c r="C32" s="30" t="s">
        <v>516</v>
      </c>
      <c r="D32" s="146"/>
      <c r="E32" s="146"/>
      <c r="F32" s="146"/>
      <c r="G32" s="407"/>
      <c r="H32" s="671"/>
      <c r="I32" s="146"/>
      <c r="J32" s="135"/>
      <c r="K32" s="146"/>
      <c r="L32" s="83"/>
      <c r="M32" s="84"/>
      <c r="N32" s="186"/>
      <c r="O32" s="186"/>
      <c r="P32" s="186"/>
      <c r="Q32" s="84"/>
      <c r="R32"/>
      <c r="S32" s="84"/>
      <c r="T32" s="87"/>
      <c r="U32" s="87"/>
      <c r="V32" s="87"/>
      <c r="W32" s="84"/>
      <c r="X32" s="83"/>
    </row>
    <row r="33" spans="1:24" s="88" customFormat="1" ht="15" customHeight="1" thickBot="1" x14ac:dyDescent="0.25">
      <c r="A33" s="87"/>
      <c r="B33" s="686">
        <f xml:space="preserve"> B29 + 1</f>
        <v>22</v>
      </c>
      <c r="C33" s="687" t="s">
        <v>257</v>
      </c>
      <c r="D33" s="83"/>
      <c r="E33" s="83"/>
      <c r="F33" s="83"/>
      <c r="G33" s="675">
        <f>+G29</f>
        <v>124.46207123287671</v>
      </c>
      <c r="H33" s="670">
        <f xml:space="preserve"> IF( G33 = 0, 0, E29 / G33 * 1000 )</f>
        <v>44.559759813277324</v>
      </c>
      <c r="I33" s="83"/>
      <c r="J33" s="135"/>
      <c r="K33" s="28">
        <f xml:space="preserve"> IF( SUM( M33:Q33 ) = 0, 0, $N$5 )</f>
        <v>0</v>
      </c>
      <c r="L33" s="83"/>
      <c r="M33" s="84"/>
      <c r="N33" s="132"/>
      <c r="O33" s="132"/>
      <c r="P33" s="105">
        <f>IF( ISNUMBER( G33 ), 0, 1 )</f>
        <v>0</v>
      </c>
      <c r="Q33" s="84"/>
      <c r="R33"/>
      <c r="S33" s="84"/>
      <c r="T33" s="87"/>
      <c r="U33" s="87"/>
      <c r="V33" s="87"/>
      <c r="W33" s="84"/>
      <c r="X33" s="83"/>
    </row>
    <row r="34" spans="1:24" s="83" customFormat="1" x14ac:dyDescent="0.2">
      <c r="B34" s="87"/>
      <c r="C34" s="367"/>
      <c r="E34" s="169"/>
      <c r="G34" s="135"/>
      <c r="I34" s="137"/>
      <c r="J34" s="135"/>
      <c r="K34" s="135"/>
      <c r="L34" s="135"/>
      <c r="M34" s="130"/>
      <c r="N34" s="168"/>
      <c r="O34" s="186"/>
      <c r="P34" s="186"/>
      <c r="Q34" s="130"/>
      <c r="R34"/>
      <c r="S34" s="130"/>
      <c r="T34" s="87"/>
      <c r="U34" s="87"/>
      <c r="V34" s="87"/>
      <c r="W34" s="130"/>
      <c r="X34" s="186"/>
    </row>
    <row r="35" spans="1:24" s="169" customFormat="1" x14ac:dyDescent="0.2">
      <c r="B35" s="897" t="s">
        <v>101</v>
      </c>
      <c r="C35" s="897"/>
      <c r="G35" s="135"/>
      <c r="H35" s="83"/>
      <c r="I35" s="137"/>
      <c r="J35" s="135"/>
      <c r="K35" s="135"/>
      <c r="L35" s="135"/>
      <c r="M35" s="130"/>
      <c r="N35" s="168"/>
      <c r="O35" s="186"/>
      <c r="P35" s="186"/>
      <c r="Q35" s="130"/>
      <c r="R35"/>
      <c r="S35" s="130"/>
      <c r="T35" s="87"/>
      <c r="U35" s="87"/>
      <c r="V35" s="87"/>
      <c r="W35" s="130"/>
      <c r="X35" s="186"/>
    </row>
    <row r="36" spans="1:24" s="169" customFormat="1" x14ac:dyDescent="0.2">
      <c r="B36" s="146"/>
      <c r="C36" s="147"/>
      <c r="G36" s="135"/>
      <c r="H36" s="83"/>
      <c r="I36" s="129"/>
      <c r="J36" s="135"/>
      <c r="K36" s="131"/>
      <c r="L36" s="129"/>
      <c r="M36" s="133"/>
      <c r="N36" s="267"/>
      <c r="O36" s="122"/>
      <c r="P36" s="122"/>
      <c r="Q36" s="133"/>
      <c r="R36"/>
      <c r="S36" s="130"/>
      <c r="T36" s="87"/>
      <c r="U36" s="87"/>
      <c r="V36" s="87"/>
      <c r="W36" s="130"/>
      <c r="X36" s="122"/>
    </row>
    <row r="37" spans="1:24" s="169" customFormat="1" x14ac:dyDescent="0.2">
      <c r="B37" s="29"/>
      <c r="C37" s="148" t="s">
        <v>102</v>
      </c>
      <c r="G37" s="135"/>
      <c r="H37" s="83"/>
      <c r="I37" s="129"/>
      <c r="J37" s="135"/>
      <c r="K37" s="131"/>
      <c r="L37" s="129"/>
      <c r="M37" s="133"/>
      <c r="N37" s="267"/>
      <c r="O37" s="122"/>
      <c r="P37" s="122"/>
      <c r="Q37" s="133"/>
      <c r="R37"/>
      <c r="S37" s="133"/>
      <c r="T37" s="87"/>
      <c r="U37" s="87"/>
      <c r="V37" s="87"/>
      <c r="W37" s="133"/>
      <c r="X37" s="122"/>
    </row>
    <row r="38" spans="1:24" s="169" customFormat="1" x14ac:dyDescent="0.2">
      <c r="B38" s="146"/>
      <c r="C38" s="147"/>
      <c r="G38" s="135"/>
      <c r="H38" s="83"/>
      <c r="I38" s="352"/>
      <c r="J38" s="135"/>
      <c r="K38" s="137"/>
      <c r="L38" s="129"/>
      <c r="M38" s="133"/>
      <c r="N38" s="186"/>
      <c r="O38" s="186"/>
      <c r="P38" s="186"/>
      <c r="Q38" s="133"/>
      <c r="R38"/>
      <c r="S38" s="133"/>
      <c r="T38" s="87"/>
      <c r="U38" s="87"/>
      <c r="V38" s="87"/>
      <c r="W38" s="133"/>
      <c r="X38" s="186"/>
    </row>
    <row r="39" spans="1:24" s="169" customFormat="1" x14ac:dyDescent="0.2">
      <c r="B39" s="149"/>
      <c r="C39" s="148" t="s">
        <v>103</v>
      </c>
      <c r="G39" s="135"/>
      <c r="H39" s="83"/>
      <c r="I39" s="355"/>
      <c r="J39" s="135"/>
      <c r="K39" s="131"/>
      <c r="L39" s="129"/>
      <c r="M39" s="133"/>
      <c r="N39" s="290"/>
      <c r="O39" s="122"/>
      <c r="P39" s="122"/>
      <c r="Q39" s="133"/>
      <c r="R39"/>
      <c r="S39" s="133"/>
      <c r="T39" s="87"/>
      <c r="U39" s="87"/>
      <c r="V39" s="87"/>
      <c r="W39" s="133"/>
      <c r="X39" s="122"/>
    </row>
    <row r="40" spans="1:24" s="169" customFormat="1" x14ac:dyDescent="0.2">
      <c r="B40" s="150"/>
      <c r="C40" s="148"/>
      <c r="G40" s="135"/>
      <c r="H40" s="129"/>
      <c r="I40" s="356"/>
      <c r="J40" s="135"/>
      <c r="K40" s="131"/>
      <c r="L40" s="129"/>
      <c r="M40" s="133"/>
      <c r="N40" s="290"/>
      <c r="O40" s="122"/>
      <c r="P40" s="122"/>
      <c r="Q40" s="133"/>
      <c r="R40" s="122"/>
      <c r="S40" s="133"/>
      <c r="T40" s="87"/>
      <c r="U40" s="87"/>
      <c r="V40" s="87"/>
      <c r="W40" s="133"/>
      <c r="X40" s="122"/>
    </row>
    <row r="41" spans="1:24" s="169" customFormat="1" x14ac:dyDescent="0.2">
      <c r="B41" s="151"/>
      <c r="C41" s="148" t="s">
        <v>104</v>
      </c>
      <c r="G41" s="135"/>
      <c r="H41" s="135"/>
      <c r="I41" s="355"/>
      <c r="J41" s="135"/>
      <c r="K41" s="131"/>
      <c r="L41" s="129"/>
      <c r="M41" s="133"/>
      <c r="N41" s="290"/>
      <c r="O41" s="122"/>
      <c r="P41" s="122"/>
      <c r="Q41" s="133"/>
      <c r="R41" s="87"/>
      <c r="S41" s="133"/>
      <c r="T41" s="87"/>
      <c r="U41" s="87"/>
      <c r="V41" s="87"/>
      <c r="W41" s="133"/>
      <c r="X41" s="122"/>
    </row>
    <row r="42" spans="1:24" s="186" customFormat="1" x14ac:dyDescent="0.2">
      <c r="A42" s="156"/>
      <c r="B42" s="156"/>
      <c r="C42" s="157"/>
      <c r="G42" s="137"/>
      <c r="H42" s="135"/>
      <c r="I42" s="356"/>
      <c r="J42" s="135"/>
      <c r="K42" s="131"/>
      <c r="L42" s="129"/>
      <c r="M42" s="133"/>
      <c r="N42" s="290"/>
      <c r="O42" s="131"/>
      <c r="P42" s="131"/>
      <c r="Q42" s="133"/>
      <c r="R42" s="87"/>
      <c r="S42" s="133"/>
      <c r="T42" s="87"/>
      <c r="U42" s="87"/>
      <c r="V42" s="87"/>
      <c r="W42" s="133"/>
      <c r="X42" s="131"/>
    </row>
    <row r="43" spans="1:24" s="186" customFormat="1" ht="15" thickBot="1" x14ac:dyDescent="0.25">
      <c r="C43" s="187"/>
      <c r="G43" s="137"/>
      <c r="H43" s="135"/>
      <c r="I43" s="356"/>
      <c r="J43" s="135"/>
      <c r="K43" s="131"/>
      <c r="L43" s="129"/>
      <c r="M43" s="133"/>
      <c r="N43" s="290"/>
      <c r="O43" s="131"/>
      <c r="P43" s="131"/>
      <c r="Q43" s="133"/>
      <c r="R43" s="87"/>
      <c r="S43" s="133"/>
      <c r="T43" s="83"/>
      <c r="U43" s="83"/>
      <c r="V43" s="83"/>
      <c r="W43" s="133"/>
      <c r="X43" s="131"/>
    </row>
    <row r="44" spans="1:24" s="122" customFormat="1" ht="16.5" thickBot="1" x14ac:dyDescent="0.25">
      <c r="B44" s="152" t="str">
        <f ca="1" xml:space="preserve"> RIGHT(CELL("filename", $A$1), LEN(CELL("filename", $A$1)) - SEARCH("]", CELL("filename", $A$1)))&amp;" - Line definitions"</f>
        <v>2G - Line definitions</v>
      </c>
      <c r="C44" s="153"/>
      <c r="D44" s="154"/>
      <c r="E44" s="154"/>
      <c r="F44" s="154"/>
      <c r="G44" s="154"/>
      <c r="H44" s="260"/>
      <c r="I44" s="356"/>
      <c r="J44" s="87"/>
      <c r="K44" s="131"/>
      <c r="L44" s="129"/>
      <c r="M44" s="133"/>
      <c r="N44" s="290"/>
      <c r="O44" s="131"/>
      <c r="P44" s="131"/>
      <c r="Q44" s="133"/>
      <c r="R44" s="87"/>
      <c r="S44" s="133"/>
      <c r="T44" s="169"/>
      <c r="U44" s="169"/>
      <c r="V44" s="169"/>
      <c r="W44" s="133"/>
      <c r="X44" s="131"/>
    </row>
    <row r="45" spans="1:24" s="122" customFormat="1" ht="15" thickBot="1" x14ac:dyDescent="0.25">
      <c r="B45" s="365"/>
      <c r="D45" s="87"/>
      <c r="G45" s="129"/>
      <c r="H45" s="135"/>
      <c r="I45" s="324"/>
      <c r="J45" s="87"/>
      <c r="K45" s="83"/>
      <c r="L45" s="83"/>
      <c r="M45" s="84"/>
      <c r="N45" s="97" t="s">
        <v>107</v>
      </c>
      <c r="O45" s="83"/>
      <c r="P45" s="83"/>
      <c r="Q45" s="84"/>
      <c r="R45" s="87"/>
      <c r="S45" s="133"/>
      <c r="T45" s="169"/>
      <c r="U45" s="169"/>
      <c r="V45" s="169"/>
      <c r="W45" s="133"/>
      <c r="X45" s="83"/>
    </row>
    <row r="46" spans="1:24" s="186" customFormat="1" ht="15" thickBot="1" x14ac:dyDescent="0.25">
      <c r="B46" s="162" t="s">
        <v>105</v>
      </c>
      <c r="C46" s="977" t="s">
        <v>106</v>
      </c>
      <c r="D46" s="977"/>
      <c r="E46" s="977"/>
      <c r="F46" s="977"/>
      <c r="G46" s="977"/>
      <c r="H46" s="978"/>
      <c r="I46" s="323"/>
      <c r="J46" s="87"/>
      <c r="K46" s="83"/>
      <c r="L46" s="83"/>
      <c r="M46" s="84"/>
      <c r="N46" s="83">
        <v>1</v>
      </c>
      <c r="O46" s="83"/>
      <c r="P46" s="83"/>
      <c r="Q46" s="84"/>
      <c r="R46" s="87"/>
      <c r="S46" s="84"/>
      <c r="T46" s="169"/>
      <c r="U46" s="169"/>
      <c r="V46" s="169"/>
      <c r="W46" s="84"/>
      <c r="X46" s="83"/>
    </row>
    <row r="47" spans="1:24" s="122" customFormat="1" ht="14.1" customHeight="1" x14ac:dyDescent="0.2">
      <c r="B47" s="331">
        <v>1</v>
      </c>
      <c r="C47" s="979" t="s">
        <v>517</v>
      </c>
      <c r="D47" s="979"/>
      <c r="E47" s="979"/>
      <c r="F47" s="979"/>
      <c r="G47" s="979"/>
      <c r="H47" s="980"/>
      <c r="I47" s="324"/>
      <c r="J47" s="87"/>
      <c r="K47" s="83"/>
      <c r="L47" s="83"/>
      <c r="M47" s="84"/>
      <c r="N47" s="83">
        <v>1</v>
      </c>
      <c r="O47" s="83"/>
      <c r="P47" s="83"/>
      <c r="Q47" s="84"/>
      <c r="R47" s="87"/>
      <c r="S47" s="84"/>
      <c r="T47" s="169"/>
      <c r="U47" s="169"/>
      <c r="V47" s="169"/>
      <c r="W47" s="84"/>
      <c r="X47" s="83"/>
    </row>
    <row r="48" spans="1:24" s="122" customFormat="1" ht="14.1" customHeight="1" x14ac:dyDescent="0.2">
      <c r="B48" s="368" t="s">
        <v>518</v>
      </c>
      <c r="C48" s="975" t="s">
        <v>519</v>
      </c>
      <c r="D48" s="975"/>
      <c r="E48" s="975"/>
      <c r="F48" s="975"/>
      <c r="G48" s="975"/>
      <c r="H48" s="976"/>
      <c r="I48" s="324"/>
      <c r="J48" s="87"/>
      <c r="K48" s="83"/>
      <c r="L48" s="83"/>
      <c r="M48" s="84"/>
      <c r="N48" s="83">
        <v>1</v>
      </c>
      <c r="O48" s="83"/>
      <c r="P48" s="83"/>
      <c r="Q48" s="84"/>
      <c r="R48" s="87"/>
      <c r="S48" s="84"/>
      <c r="T48" s="169"/>
      <c r="U48" s="169"/>
      <c r="V48" s="169"/>
      <c r="W48" s="84"/>
      <c r="X48" s="83"/>
    </row>
    <row r="49" spans="2:24" s="122" customFormat="1" ht="14.1" customHeight="1" x14ac:dyDescent="0.2">
      <c r="B49" s="297">
        <v>20</v>
      </c>
      <c r="C49" s="975" t="s">
        <v>520</v>
      </c>
      <c r="D49" s="975"/>
      <c r="E49" s="975"/>
      <c r="F49" s="975"/>
      <c r="G49" s="975"/>
      <c r="H49" s="976"/>
      <c r="I49" s="324"/>
      <c r="J49" s="87"/>
      <c r="K49" s="83"/>
      <c r="L49" s="83"/>
      <c r="M49" s="84"/>
      <c r="N49" s="83">
        <v>1</v>
      </c>
      <c r="O49" s="83"/>
      <c r="P49" s="83"/>
      <c r="Q49" s="84"/>
      <c r="R49" s="87"/>
      <c r="S49" s="84"/>
      <c r="T49" s="169"/>
      <c r="U49" s="169"/>
      <c r="V49" s="169"/>
      <c r="W49" s="84"/>
      <c r="X49" s="83"/>
    </row>
    <row r="50" spans="2:24" s="122" customFormat="1" ht="14.1" customHeight="1" x14ac:dyDescent="0.2">
      <c r="B50" s="297">
        <v>21</v>
      </c>
      <c r="C50" s="975" t="s">
        <v>521</v>
      </c>
      <c r="D50" s="975"/>
      <c r="E50" s="975"/>
      <c r="F50" s="975"/>
      <c r="G50" s="975"/>
      <c r="H50" s="976"/>
      <c r="I50" s="323"/>
      <c r="J50" s="87"/>
      <c r="K50" s="83"/>
      <c r="L50" s="83"/>
      <c r="M50" s="84"/>
      <c r="N50" s="83">
        <v>1</v>
      </c>
      <c r="O50" s="83"/>
      <c r="P50" s="83"/>
      <c r="Q50" s="84"/>
      <c r="R50" s="87"/>
      <c r="S50" s="84"/>
      <c r="T50" s="169"/>
      <c r="U50" s="169"/>
      <c r="V50" s="169"/>
      <c r="W50" s="84"/>
      <c r="X50" s="83"/>
    </row>
    <row r="51" spans="2:24" ht="15" thickBot="1" x14ac:dyDescent="0.25">
      <c r="B51" s="298">
        <v>22</v>
      </c>
      <c r="C51" s="973" t="s">
        <v>521</v>
      </c>
      <c r="D51" s="973"/>
      <c r="E51" s="973"/>
      <c r="F51" s="973"/>
      <c r="G51" s="973"/>
      <c r="H51" s="974"/>
      <c r="I51" s="324"/>
      <c r="T51" s="186"/>
      <c r="U51" s="186"/>
      <c r="V51" s="186"/>
    </row>
    <row r="52" spans="2:24" x14ac:dyDescent="0.2">
      <c r="T52" s="186"/>
      <c r="U52" s="186"/>
      <c r="V52" s="186"/>
    </row>
    <row r="53" spans="2:24" hidden="1" x14ac:dyDescent="0.2">
      <c r="T53" s="122"/>
      <c r="U53" s="122"/>
      <c r="V53" s="122"/>
    </row>
    <row r="54" spans="2:24" hidden="1" x14ac:dyDescent="0.2">
      <c r="T54" s="122"/>
      <c r="U54" s="122"/>
      <c r="V54" s="122"/>
    </row>
    <row r="55" spans="2:24" hidden="1" x14ac:dyDescent="0.2">
      <c r="T55" s="186"/>
      <c r="U55" s="186"/>
      <c r="V55" s="186"/>
    </row>
    <row r="56" spans="2:24" hidden="1" x14ac:dyDescent="0.2">
      <c r="T56" s="122"/>
      <c r="U56" s="122"/>
      <c r="V56" s="122"/>
    </row>
    <row r="57" spans="2:24" hidden="1" x14ac:dyDescent="0.2">
      <c r="T57" s="122"/>
      <c r="U57" s="122"/>
      <c r="V57" s="122"/>
    </row>
    <row r="58" spans="2:24" hidden="1" x14ac:dyDescent="0.2">
      <c r="T58" s="122"/>
      <c r="U58" s="122"/>
      <c r="V58" s="122"/>
    </row>
    <row r="59" spans="2:24" hidden="1" x14ac:dyDescent="0.2">
      <c r="T59" s="122"/>
      <c r="U59" s="122"/>
      <c r="V59" s="122"/>
    </row>
    <row r="60" spans="2:24" hidden="1" x14ac:dyDescent="0.2">
      <c r="T60" s="122"/>
      <c r="U60" s="122"/>
      <c r="V60" s="122"/>
    </row>
    <row r="61" spans="2:24" hidden="1" x14ac:dyDescent="0.2">
      <c r="T61" s="122"/>
      <c r="U61" s="122"/>
      <c r="V61" s="122"/>
    </row>
    <row r="62" spans="2:24" hidden="1" x14ac:dyDescent="0.2">
      <c r="T62" s="122"/>
      <c r="U62" s="122"/>
      <c r="V62" s="122"/>
    </row>
    <row r="63" spans="2:24" hidden="1" x14ac:dyDescent="0.2">
      <c r="T63" s="122"/>
      <c r="U63" s="122"/>
      <c r="V63" s="122"/>
    </row>
    <row r="64" spans="2:24" hidden="1" x14ac:dyDescent="0.2">
      <c r="T64" s="122"/>
      <c r="U64" s="122"/>
      <c r="V64" s="122"/>
    </row>
    <row r="65" spans="20:22" hidden="1" x14ac:dyDescent="0.2">
      <c r="T65" s="122"/>
      <c r="U65" s="122"/>
      <c r="V65" s="122"/>
    </row>
    <row r="66" spans="20:22" hidden="1" x14ac:dyDescent="0.2">
      <c r="T66" s="122"/>
      <c r="U66" s="122"/>
      <c r="V66" s="122"/>
    </row>
    <row r="67" spans="20:22" hidden="1" x14ac:dyDescent="0.2">
      <c r="T67" s="122"/>
      <c r="U67" s="122"/>
      <c r="V67" s="122"/>
    </row>
    <row r="68" spans="20:22" hidden="1" x14ac:dyDescent="0.2">
      <c r="T68" s="122"/>
      <c r="U68" s="122"/>
      <c r="V68" s="122"/>
    </row>
    <row r="69" spans="20:22" hidden="1" x14ac:dyDescent="0.2">
      <c r="T69" s="122"/>
      <c r="U69" s="122"/>
      <c r="V69" s="122"/>
    </row>
    <row r="70" spans="20:22" hidden="1" x14ac:dyDescent="0.2">
      <c r="T70" s="122"/>
      <c r="U70" s="122"/>
      <c r="V70" s="122"/>
    </row>
    <row r="71" spans="20:22" hidden="1" x14ac:dyDescent="0.2">
      <c r="T71" s="122"/>
      <c r="U71" s="122"/>
      <c r="V71" s="122"/>
    </row>
    <row r="72" spans="20:22" hidden="1" x14ac:dyDescent="0.2">
      <c r="T72" s="122"/>
      <c r="U72" s="122"/>
      <c r="V72" s="122"/>
    </row>
    <row r="73" spans="20:22" hidden="1" x14ac:dyDescent="0.2">
      <c r="T73" s="122"/>
      <c r="U73" s="122"/>
      <c r="V73" s="122"/>
    </row>
    <row r="74" spans="20:22" hidden="1" x14ac:dyDescent="0.2">
      <c r="T74" s="122"/>
      <c r="U74" s="122"/>
      <c r="V74" s="122"/>
    </row>
    <row r="75" spans="20:22" hidden="1" x14ac:dyDescent="0.2">
      <c r="T75" s="122"/>
      <c r="U75" s="122"/>
      <c r="V75" s="122"/>
    </row>
    <row r="76" spans="20:22" hidden="1" x14ac:dyDescent="0.2">
      <c r="T76" s="122"/>
      <c r="U76" s="122"/>
      <c r="V76" s="122"/>
    </row>
    <row r="77" spans="20:22" hidden="1" x14ac:dyDescent="0.2">
      <c r="T77" s="122"/>
      <c r="U77" s="122"/>
      <c r="V77" s="122"/>
    </row>
  </sheetData>
  <sheetProtection algorithmName="SHA-512" hashValue="OfhjRezSZWPxoTUp1NK5Yu+sNQwwGzlnNp3ZiqW3uu/qzkyuATpLIaQBK5t6NvIlAme9BoKzrqrEA31+DDurAw==" saltValue="bM2ZscKeNGGZ5rM1uRuXmA==" spinCount="100000" sheet="1" objects="1" scenarios="1"/>
  <mergeCells count="9">
    <mergeCell ref="C51:H51"/>
    <mergeCell ref="C49:H49"/>
    <mergeCell ref="C50:H50"/>
    <mergeCell ref="B3:C3"/>
    <mergeCell ref="N3:P3"/>
    <mergeCell ref="B35:C35"/>
    <mergeCell ref="C46:H46"/>
    <mergeCell ref="C47:H47"/>
    <mergeCell ref="C48:H48"/>
  </mergeCells>
  <conditionalFormatting sqref="J29">
    <cfRule type="cellIs" dxfId="144" priority="3" operator="equal">
      <formula>0</formula>
    </cfRule>
  </conditionalFormatting>
  <conditionalFormatting sqref="K6 K9:K26">
    <cfRule type="cellIs" dxfId="143" priority="5" operator="equal">
      <formula>0</formula>
    </cfRule>
  </conditionalFormatting>
  <conditionalFormatting sqref="K33">
    <cfRule type="cellIs" dxfId="142" priority="2" operator="equal">
      <formula>0</formula>
    </cfRule>
  </conditionalFormatting>
  <printOptions horizontalCentered="1"/>
  <pageMargins left="0.39370078740157483" right="0.39370078740157483" top="0.78740157480314965" bottom="0.78740157480314965" header="0.31496062992125984" footer="0.31496062992125984"/>
  <pageSetup paperSize="9" scale="47"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77"/>
  <sheetViews>
    <sheetView showGridLines="0" zoomScale="90" zoomScaleNormal="90" workbookViewId="0">
      <selection activeCell="E39" sqref="E39"/>
    </sheetView>
  </sheetViews>
  <sheetFormatPr defaultColWidth="0" defaultRowHeight="14.25" zeroHeight="1" x14ac:dyDescent="0.2"/>
  <cols>
    <col min="1" max="1" width="1.625" customWidth="1"/>
    <col min="2" max="2" width="5.125" customWidth="1"/>
    <col min="3" max="3" width="44" bestFit="1" customWidth="1"/>
    <col min="4" max="8" width="12.625" customWidth="1"/>
    <col min="9" max="9" width="2.625" style="83" customWidth="1"/>
    <col min="10" max="10" width="46" style="87" bestFit="1" customWidth="1"/>
    <col min="11" max="11" width="18.75" style="83" bestFit="1" customWidth="1"/>
    <col min="12" max="12" width="1.625" style="83" customWidth="1"/>
    <col min="13" max="13" width="1.625" style="84" hidden="1" customWidth="1"/>
    <col min="14" max="16" width="5.625" style="83" hidden="1" customWidth="1"/>
    <col min="17" max="17" width="1.625" style="84" hidden="1" customWidth="1"/>
    <col min="18" max="18" width="8.75" style="87" hidden="1" customWidth="1"/>
    <col min="19" max="19" width="1.625" style="84" hidden="1" customWidth="1"/>
    <col min="20" max="21" width="8.75" style="87" hidden="1" customWidth="1"/>
    <col min="22" max="22" width="56.125" style="87" hidden="1" customWidth="1"/>
    <col min="23" max="23" width="1.625" style="84" hidden="1" customWidth="1"/>
    <col min="24" max="24" width="0" hidden="1" customWidth="1"/>
    <col min="25" max="16384" width="8.75" hidden="1"/>
  </cols>
  <sheetData>
    <row r="1" spans="1:23" s="88" customFormat="1" ht="20.25" x14ac:dyDescent="0.2">
      <c r="A1" s="87"/>
      <c r="B1" s="79" t="s">
        <v>522</v>
      </c>
      <c r="C1" s="79"/>
      <c r="D1" s="79"/>
      <c r="E1" s="79"/>
      <c r="F1" s="79"/>
      <c r="G1" s="79"/>
      <c r="H1" s="81" t="str">
        <f>Validation!B3</f>
        <v>Yorkshire Water</v>
      </c>
      <c r="I1" s="79"/>
      <c r="J1" s="82"/>
      <c r="K1" s="82" t="s">
        <v>72</v>
      </c>
      <c r="L1" s="83"/>
      <c r="M1" s="84"/>
      <c r="N1" s="83"/>
      <c r="O1" s="83"/>
      <c r="P1" s="83"/>
      <c r="Q1" s="84"/>
      <c r="R1" s="83"/>
      <c r="S1" s="84"/>
      <c r="T1"/>
      <c r="U1"/>
      <c r="V1"/>
      <c r="W1" s="84"/>
    </row>
    <row r="2" spans="1:23" s="88" customFormat="1" ht="15" customHeight="1" thickBot="1" x14ac:dyDescent="0.25">
      <c r="A2" s="87"/>
      <c r="B2" s="86" t="s">
        <v>55</v>
      </c>
      <c r="C2" s="311"/>
      <c r="D2" s="87"/>
      <c r="E2" s="87"/>
      <c r="F2" s="87"/>
      <c r="G2" s="87"/>
      <c r="H2" s="87"/>
      <c r="I2" s="83"/>
      <c r="J2" s="83"/>
      <c r="K2" s="83"/>
      <c r="L2" s="83"/>
      <c r="M2" s="84"/>
      <c r="N2" s="83"/>
      <c r="O2" s="83"/>
      <c r="P2" s="83"/>
      <c r="Q2" s="84"/>
      <c r="R2" s="83"/>
      <c r="S2" s="84"/>
      <c r="T2" s="87"/>
      <c r="U2" s="87"/>
      <c r="V2" s="87"/>
      <c r="W2" s="84"/>
    </row>
    <row r="3" spans="1:23" s="88" customFormat="1" ht="54.75" thickBot="1" x14ac:dyDescent="0.25">
      <c r="A3" s="87"/>
      <c r="B3" s="981" t="s">
        <v>73</v>
      </c>
      <c r="C3" s="982"/>
      <c r="D3" s="304" t="s">
        <v>504</v>
      </c>
      <c r="E3" s="314" t="s">
        <v>505</v>
      </c>
      <c r="F3" s="305" t="s">
        <v>506</v>
      </c>
      <c r="G3" s="357" t="s">
        <v>507</v>
      </c>
      <c r="H3" s="357" t="s">
        <v>508</v>
      </c>
      <c r="I3" s="358"/>
      <c r="J3" s="194" t="s">
        <v>294</v>
      </c>
      <c r="K3" s="196" t="s">
        <v>79</v>
      </c>
      <c r="L3" s="83"/>
      <c r="M3" s="84"/>
      <c r="N3" s="896" t="s">
        <v>83</v>
      </c>
      <c r="O3" s="957"/>
      <c r="P3" s="957"/>
      <c r="Q3" s="84"/>
      <c r="R3" s="842" t="s">
        <v>61</v>
      </c>
      <c r="S3" s="84"/>
      <c r="T3" s="842" t="s">
        <v>295</v>
      </c>
      <c r="U3" s="842"/>
      <c r="V3" s="842"/>
      <c r="W3" s="84"/>
    </row>
    <row r="4" spans="1:23" s="88" customFormat="1" ht="15" customHeight="1" thickBot="1" x14ac:dyDescent="0.25">
      <c r="A4" s="87"/>
      <c r="B4" s="87"/>
      <c r="C4" s="359"/>
      <c r="D4" s="87"/>
      <c r="E4" s="87"/>
      <c r="F4" s="87"/>
      <c r="G4" s="87"/>
      <c r="H4" s="87"/>
      <c r="I4" s="83"/>
      <c r="J4" s="83"/>
      <c r="K4" s="83"/>
      <c r="L4" s="83"/>
      <c r="M4" s="84"/>
      <c r="Q4" s="84"/>
      <c r="R4" s="254"/>
      <c r="S4" s="84"/>
      <c r="T4" s="254"/>
      <c r="U4" s="254"/>
      <c r="V4" s="254"/>
      <c r="W4" s="84"/>
    </row>
    <row r="5" spans="1:23" s="88" customFormat="1" ht="17.100000000000001" customHeight="1" thickBot="1" x14ac:dyDescent="0.25">
      <c r="A5" s="87"/>
      <c r="B5" s="272" t="s">
        <v>134</v>
      </c>
      <c r="C5" s="30" t="s">
        <v>509</v>
      </c>
      <c r="D5" s="87"/>
      <c r="E5" s="87"/>
      <c r="F5" s="87"/>
      <c r="G5" s="87"/>
      <c r="H5" s="87"/>
      <c r="I5" s="83"/>
      <c r="J5" s="87"/>
      <c r="K5" s="83"/>
      <c r="L5" s="83"/>
      <c r="M5" s="84"/>
      <c r="N5" s="97" t="s">
        <v>84</v>
      </c>
      <c r="O5" s="132"/>
      <c r="P5" s="132"/>
      <c r="Q5" s="84"/>
      <c r="R5"/>
      <c r="S5" s="84"/>
      <c r="T5" s="87"/>
      <c r="U5" s="87"/>
      <c r="V5" s="87"/>
      <c r="W5" s="84"/>
    </row>
    <row r="6" spans="1:23" s="88" customFormat="1" ht="17.100000000000001" customHeight="1" thickBot="1" x14ac:dyDescent="0.25">
      <c r="A6" s="87"/>
      <c r="B6" s="360">
        <v>1</v>
      </c>
      <c r="C6" s="31" t="s">
        <v>510</v>
      </c>
      <c r="D6" s="473">
        <v>0</v>
      </c>
      <c r="E6" s="474">
        <v>0</v>
      </c>
      <c r="F6" s="144">
        <f xml:space="preserve"> E6 + D6</f>
        <v>0</v>
      </c>
      <c r="G6" s="683">
        <v>0</v>
      </c>
      <c r="H6" s="680">
        <f xml:space="preserve"> IF( G6 = 0, 0, E6 / G6 * 1000 )</f>
        <v>0</v>
      </c>
      <c r="I6" s="83"/>
      <c r="J6" s="87"/>
      <c r="K6" s="28">
        <f>IF(Validation!$H$3=1,0,IF(SUM(M6:Q6)=0,0,$N$5))</f>
        <v>0</v>
      </c>
      <c r="L6" s="83"/>
      <c r="M6" s="84"/>
      <c r="N6" s="105">
        <f>IF($C6="",0,IF(ISNUMBER(D6),0,1))</f>
        <v>0</v>
      </c>
      <c r="O6" s="105">
        <f>IF($C6="",0,IF(ISNUMBER(E6),0,1))</f>
        <v>0</v>
      </c>
      <c r="P6" s="105">
        <f>IF($C6="",0,IF(ISNUMBER(G6),0,1))</f>
        <v>0</v>
      </c>
      <c r="Q6" s="84"/>
      <c r="R6"/>
      <c r="S6" s="84"/>
      <c r="T6" s="87"/>
      <c r="U6" s="87"/>
      <c r="V6" s="87"/>
      <c r="W6" s="84"/>
    </row>
    <row r="7" spans="1:23" s="88" customFormat="1" ht="15" customHeight="1" thickBot="1" x14ac:dyDescent="0.25">
      <c r="A7" s="87"/>
      <c r="B7" s="87"/>
      <c r="C7" s="359"/>
      <c r="D7" s="146"/>
      <c r="E7" s="146"/>
      <c r="F7" s="146"/>
      <c r="G7" s="407"/>
      <c r="H7" s="671"/>
      <c r="I7" s="146"/>
      <c r="J7" s="87"/>
      <c r="K7" s="146"/>
      <c r="L7" s="83"/>
      <c r="M7" s="84"/>
      <c r="Q7" s="84"/>
      <c r="R7"/>
      <c r="S7" s="84"/>
      <c r="T7" s="87"/>
      <c r="U7" s="87"/>
      <c r="V7" s="87"/>
      <c r="W7" s="84"/>
    </row>
    <row r="8" spans="1:23" s="88" customFormat="1" ht="15" customHeight="1" thickBot="1" x14ac:dyDescent="0.25">
      <c r="A8" s="87"/>
      <c r="B8" s="272" t="s">
        <v>143</v>
      </c>
      <c r="C8" s="30" t="s">
        <v>511</v>
      </c>
      <c r="D8" s="146"/>
      <c r="E8" s="146"/>
      <c r="F8" s="146"/>
      <c r="G8" s="407"/>
      <c r="H8" s="671"/>
      <c r="I8" s="83"/>
      <c r="J8" s="87"/>
      <c r="K8" s="146"/>
      <c r="L8" s="83"/>
      <c r="M8" s="84"/>
      <c r="Q8" s="84"/>
      <c r="R8"/>
      <c r="S8" s="84"/>
      <c r="T8" s="87"/>
      <c r="U8" s="87"/>
      <c r="V8" s="87"/>
      <c r="W8" s="84"/>
    </row>
    <row r="9" spans="1:23" s="88" customFormat="1" ht="15" customHeight="1" x14ac:dyDescent="0.2">
      <c r="A9" s="87"/>
      <c r="B9" s="361">
        <f xml:space="preserve"> B6 + 1</f>
        <v>2</v>
      </c>
      <c r="C9" s="36" t="str">
        <f>IF($H$1="Select company","",IF(Validation!$H$3=1,"",(IF(HLOOKUP((VLOOKUP($H$1,Lists!$B$4:$C$22,2,FALSE)),Sewerage!$A$1:$S$25,'2H'!B9+1,FALSE)=0,"",HLOOKUP((VLOOKUP($H$1,Lists!$B$4:$C$22,2,FALSE)),Sewerage!$A$1:$S$25,'2H'!B9+1,FALSE)))))</f>
        <v>Tariff band 5  ≤50 Ml/a sewerage metered</v>
      </c>
      <c r="D9" s="475">
        <v>73.738</v>
      </c>
      <c r="E9" s="476">
        <v>4.4660000000000002</v>
      </c>
      <c r="F9" s="362">
        <f xml:space="preserve"> E9 + D9</f>
        <v>78.203999999999994</v>
      </c>
      <c r="G9" s="684">
        <v>90.465000000000003</v>
      </c>
      <c r="H9" s="681">
        <f t="shared" ref="H9:H29" si="0" xml:space="preserve"> IF( G9 = 0, 0, E9 / G9 * 1000 )</f>
        <v>49.367158569612563</v>
      </c>
      <c r="I9" s="83"/>
      <c r="J9" s="87"/>
      <c r="K9" s="28">
        <f t="shared" ref="K9:K28" si="1" xml:space="preserve"> IF( SUM( M9:Q9 ) = 0, 0, $N$5 )</f>
        <v>0</v>
      </c>
      <c r="L9" s="83"/>
      <c r="M9" s="84"/>
      <c r="N9" s="105">
        <f t="shared" ref="N9:O28" si="2">IF($C9="",0,IF(ISNUMBER(D9),0,1))</f>
        <v>0</v>
      </c>
      <c r="O9" s="105">
        <f t="shared" si="2"/>
        <v>0</v>
      </c>
      <c r="P9" s="105">
        <f t="shared" ref="P9:P28" si="3">IF($C9="",0,IF(ISNUMBER(G9),0,1))</f>
        <v>0</v>
      </c>
      <c r="Q9" s="84"/>
      <c r="R9"/>
      <c r="S9" s="84"/>
      <c r="T9" s="87"/>
      <c r="U9" s="87"/>
      <c r="V9" s="87"/>
      <c r="W9" s="84"/>
    </row>
    <row r="10" spans="1:23" s="88" customFormat="1" ht="15" customHeight="1" x14ac:dyDescent="0.2">
      <c r="A10" s="87"/>
      <c r="B10" s="363">
        <f xml:space="preserve"> B9 + 1</f>
        <v>3</v>
      </c>
      <c r="C10" s="37" t="str">
        <f>IF($H$1="Select company","",IF(Validation!$H$3=1,"",(IF(HLOOKUP((VLOOKUP($H$1,Lists!$B$4:$C$22,2,FALSE)),Sewerage!$A$1:$S$25,'2H'!B10+1,FALSE)=0,"",HLOOKUP((VLOOKUP($H$1,Lists!$B$4:$C$22,2,FALSE)),Sewerage!$A$1:$S$25,'2H'!B10+1,FALSE)))))</f>
        <v>Tariff band 6  &gt; 50 ≤ 250 Ml/a sewerage metered</v>
      </c>
      <c r="D10" s="477">
        <v>5.8579999999999997</v>
      </c>
      <c r="E10" s="478">
        <v>8.1000000000000003E-2</v>
      </c>
      <c r="F10" s="289">
        <f t="shared" ref="F10:F28" si="4" xml:space="preserve"> E10 + D10</f>
        <v>5.9390000000000001</v>
      </c>
      <c r="G10" s="685">
        <v>2.8000000000000001E-2</v>
      </c>
      <c r="H10" s="682">
        <f t="shared" si="0"/>
        <v>2892.8571428571427</v>
      </c>
      <c r="I10" s="83"/>
      <c r="J10" s="87"/>
      <c r="K10" s="28">
        <f t="shared" si="1"/>
        <v>0</v>
      </c>
      <c r="L10" s="83"/>
      <c r="M10" s="84"/>
      <c r="N10" s="105">
        <f t="shared" si="2"/>
        <v>0</v>
      </c>
      <c r="O10" s="105">
        <f t="shared" si="2"/>
        <v>0</v>
      </c>
      <c r="P10" s="105">
        <f t="shared" si="3"/>
        <v>0</v>
      </c>
      <c r="Q10" s="84"/>
      <c r="R10"/>
      <c r="S10" s="84"/>
      <c r="T10" s="87"/>
      <c r="U10" s="87"/>
      <c r="V10" s="87"/>
      <c r="W10" s="84"/>
    </row>
    <row r="11" spans="1:23" s="88" customFormat="1" ht="15" customHeight="1" x14ac:dyDescent="0.2">
      <c r="A11" s="87"/>
      <c r="B11" s="363">
        <f t="shared" ref="B11:B28" si="5" xml:space="preserve"> B10 + 1</f>
        <v>4</v>
      </c>
      <c r="C11" s="37" t="str">
        <f>IF($H$1="Select company","",IF(Validation!$H$3=1,"",(IF(HLOOKUP((VLOOKUP($H$1,Lists!$B$4:$C$22,2,FALSE)),Sewerage!$A$1:$S$25,'2H'!B11+1,FALSE)=0,"",HLOOKUP((VLOOKUP($H$1,Lists!$B$4:$C$22,2,FALSE)),Sewerage!$A$1:$S$25,'2H'!B11+1,FALSE)))))</f>
        <v>Tariff band 7  &gt; 250 Ml/a sewerage metered</v>
      </c>
      <c r="D11" s="477">
        <v>1.629</v>
      </c>
      <c r="E11" s="478">
        <v>1.9E-2</v>
      </c>
      <c r="F11" s="289">
        <f t="shared" si="4"/>
        <v>1.6479999999999999</v>
      </c>
      <c r="G11" s="685">
        <v>6.0000000000000001E-3</v>
      </c>
      <c r="H11" s="682">
        <f t="shared" si="0"/>
        <v>3166.6666666666665</v>
      </c>
      <c r="I11" s="83"/>
      <c r="J11" s="87"/>
      <c r="K11" s="28">
        <f t="shared" si="1"/>
        <v>0</v>
      </c>
      <c r="L11" s="83"/>
      <c r="M11" s="84"/>
      <c r="N11" s="105">
        <f t="shared" si="2"/>
        <v>0</v>
      </c>
      <c r="O11" s="105">
        <f t="shared" si="2"/>
        <v>0</v>
      </c>
      <c r="P11" s="105">
        <f t="shared" si="3"/>
        <v>0</v>
      </c>
      <c r="Q11" s="84"/>
      <c r="R11"/>
      <c r="S11" s="84"/>
      <c r="T11" s="87"/>
      <c r="U11" s="87"/>
      <c r="V11" s="87"/>
      <c r="W11" s="84"/>
    </row>
    <row r="12" spans="1:23" s="88" customFormat="1" ht="15" customHeight="1" x14ac:dyDescent="0.2">
      <c r="A12" s="87"/>
      <c r="B12" s="363">
        <f t="shared" si="5"/>
        <v>5</v>
      </c>
      <c r="C12" s="37" t="str">
        <f>IF($H$1="Select company","",IF(Validation!$H$3=1,"",(IF(HLOOKUP((VLOOKUP($H$1,Lists!$B$4:$C$22,2,FALSE)),Sewerage!$A$1:$S$25,'2H'!B12+1,FALSE)=0,"",HLOOKUP((VLOOKUP($H$1,Lists!$B$4:$C$22,2,FALSE)),Sewerage!$A$1:$S$25,'2H'!B12+1,FALSE)))))</f>
        <v>Tariff band 8 sewerage unmetered</v>
      </c>
      <c r="D12" s="477">
        <v>2.0830000000000002</v>
      </c>
      <c r="E12" s="478">
        <v>0.36499999999999999</v>
      </c>
      <c r="F12" s="289">
        <f t="shared" si="4"/>
        <v>2.4480000000000004</v>
      </c>
      <c r="G12" s="685">
        <v>16.674312328767122</v>
      </c>
      <c r="H12" s="682">
        <f t="shared" si="0"/>
        <v>21.889958206569567</v>
      </c>
      <c r="I12" s="83"/>
      <c r="J12" s="87"/>
      <c r="K12" s="28">
        <f t="shared" si="1"/>
        <v>0</v>
      </c>
      <c r="L12" s="83"/>
      <c r="M12" s="84"/>
      <c r="N12" s="105">
        <f t="shared" si="2"/>
        <v>0</v>
      </c>
      <c r="O12" s="105">
        <f t="shared" si="2"/>
        <v>0</v>
      </c>
      <c r="P12" s="105">
        <f t="shared" si="3"/>
        <v>0</v>
      </c>
      <c r="Q12" s="84"/>
      <c r="R12"/>
      <c r="S12" s="84"/>
      <c r="T12" s="87"/>
      <c r="U12" s="87"/>
      <c r="V12" s="87"/>
      <c r="W12" s="84"/>
    </row>
    <row r="13" spans="1:23" s="88" customFormat="1" ht="15" customHeight="1" x14ac:dyDescent="0.2">
      <c r="A13" s="87"/>
      <c r="B13" s="363">
        <f t="shared" si="5"/>
        <v>6</v>
      </c>
      <c r="C13" s="37" t="str">
        <f>IF($H$1="Select company","",IF(Validation!$H$3=1,"",(IF(HLOOKUP((VLOOKUP($H$1,Lists!$B$4:$C$22,2,FALSE)),Sewerage!$A$1:$S$25,'2H'!B13+1,FALSE)=0,"",HLOOKUP((VLOOKUP($H$1,Lists!$B$4:$C$22,2,FALSE)),Sewerage!$A$1:$S$25,'2H'!B13+1,FALSE)))))</f>
        <v>Tariff band 9  ≤50 Ml/a trade effluent metered</v>
      </c>
      <c r="D13" s="477">
        <v>10.852</v>
      </c>
      <c r="E13" s="478">
        <v>0.185</v>
      </c>
      <c r="F13" s="289">
        <f t="shared" si="4"/>
        <v>11.037000000000001</v>
      </c>
      <c r="G13" s="685">
        <v>2.4089999999999998</v>
      </c>
      <c r="H13" s="682">
        <f t="shared" si="0"/>
        <v>76.795350767953522</v>
      </c>
      <c r="I13" s="83"/>
      <c r="J13" s="87"/>
      <c r="K13" s="28">
        <f t="shared" si="1"/>
        <v>0</v>
      </c>
      <c r="L13" s="83"/>
      <c r="M13" s="84"/>
      <c r="N13" s="105">
        <f t="shared" si="2"/>
        <v>0</v>
      </c>
      <c r="O13" s="105">
        <f t="shared" si="2"/>
        <v>0</v>
      </c>
      <c r="P13" s="105">
        <f t="shared" si="3"/>
        <v>0</v>
      </c>
      <c r="Q13" s="84"/>
      <c r="R13"/>
      <c r="S13" s="84"/>
      <c r="T13" s="87"/>
      <c r="U13" s="87"/>
      <c r="V13" s="87"/>
      <c r="W13" s="84"/>
    </row>
    <row r="14" spans="1:23" s="88" customFormat="1" ht="15" customHeight="1" x14ac:dyDescent="0.2">
      <c r="A14" s="87"/>
      <c r="B14" s="363">
        <f t="shared" si="5"/>
        <v>7</v>
      </c>
      <c r="C14" s="37" t="str">
        <f>IF($H$1="Select company","",IF(Validation!$H$3=1,"",(IF(HLOOKUP((VLOOKUP($H$1,Lists!$B$4:$C$22,2,FALSE)),Sewerage!$A$1:$S$25,'2H'!B14+1,FALSE)=0,"",HLOOKUP((VLOOKUP($H$1,Lists!$B$4:$C$22,2,FALSE)),Sewerage!$A$1:$S$25,'2H'!B14+1,FALSE)))))</f>
        <v>Tariff band 10  &gt; 50 ≤ 250 Ml/a trade effleunt metered</v>
      </c>
      <c r="D14" s="477">
        <v>14.62</v>
      </c>
      <c r="E14" s="478">
        <v>0.20100000000000001</v>
      </c>
      <c r="F14" s="289">
        <f t="shared" si="4"/>
        <v>14.821</v>
      </c>
      <c r="G14" s="685">
        <v>7.5999999999999998E-2</v>
      </c>
      <c r="H14" s="682">
        <f t="shared" si="0"/>
        <v>2644.7368421052633</v>
      </c>
      <c r="I14" s="83"/>
      <c r="J14" s="87"/>
      <c r="K14" s="28">
        <f t="shared" si="1"/>
        <v>0</v>
      </c>
      <c r="L14" s="83"/>
      <c r="M14" s="84"/>
      <c r="N14" s="105">
        <f t="shared" si="2"/>
        <v>0</v>
      </c>
      <c r="O14" s="105">
        <f t="shared" si="2"/>
        <v>0</v>
      </c>
      <c r="P14" s="105">
        <f t="shared" si="3"/>
        <v>0</v>
      </c>
      <c r="Q14" s="84"/>
      <c r="R14"/>
      <c r="S14" s="84"/>
      <c r="T14" s="87"/>
      <c r="U14" s="87"/>
      <c r="V14" s="87"/>
      <c r="W14" s="84"/>
    </row>
    <row r="15" spans="1:23" s="88" customFormat="1" ht="15" customHeight="1" x14ac:dyDescent="0.2">
      <c r="A15" s="87"/>
      <c r="B15" s="363">
        <f t="shared" si="5"/>
        <v>8</v>
      </c>
      <c r="C15" s="37" t="str">
        <f>IF($H$1="Select company","",IF(Validation!$H$3=1,"",(IF(HLOOKUP((VLOOKUP($H$1,Lists!$B$4:$C$22,2,FALSE)),Sewerage!$A$1:$S$25,'2H'!B15+1,FALSE)=0,"",HLOOKUP((VLOOKUP($H$1,Lists!$B$4:$C$22,2,FALSE)),Sewerage!$A$1:$S$25,'2H'!B15+1,FALSE)))))</f>
        <v>Tariff band 11  &gt; 250 Ml/a trade effluent metered</v>
      </c>
      <c r="D15" s="477">
        <v>6.71</v>
      </c>
      <c r="E15" s="478">
        <v>8.4000000000000005E-2</v>
      </c>
      <c r="F15" s="289">
        <f t="shared" si="4"/>
        <v>6.7939999999999996</v>
      </c>
      <c r="G15" s="685">
        <v>1.2999999999999999E-2</v>
      </c>
      <c r="H15" s="682">
        <f t="shared" si="0"/>
        <v>6461.5384615384628</v>
      </c>
      <c r="I15" s="83"/>
      <c r="J15" s="87"/>
      <c r="K15" s="28">
        <f t="shared" si="1"/>
        <v>0</v>
      </c>
      <c r="L15" s="83"/>
      <c r="M15" s="84"/>
      <c r="N15" s="105">
        <f t="shared" si="2"/>
        <v>0</v>
      </c>
      <c r="O15" s="105">
        <f t="shared" si="2"/>
        <v>0</v>
      </c>
      <c r="P15" s="105">
        <f t="shared" si="3"/>
        <v>0</v>
      </c>
      <c r="Q15" s="84"/>
      <c r="R15"/>
      <c r="S15" s="84"/>
      <c r="T15" s="87"/>
      <c r="U15" s="87"/>
      <c r="V15" s="87"/>
      <c r="W15" s="84"/>
    </row>
    <row r="16" spans="1:23" s="88" customFormat="1" ht="15" customHeight="1" x14ac:dyDescent="0.2">
      <c r="A16" s="87"/>
      <c r="B16" s="363">
        <f t="shared" si="5"/>
        <v>9</v>
      </c>
      <c r="C16" s="37" t="str">
        <f>IF($H$1="Select company","",IF(Validation!$H$3=1,"",(IF(HLOOKUP((VLOOKUP($H$1,Lists!$B$4:$C$22,2,FALSE)),Sewerage!$A$1:$S$25,'2H'!B16+1,FALSE)=0,"",HLOOKUP((VLOOKUP($H$1,Lists!$B$4:$C$22,2,FALSE)),Sewerage!$A$1:$S$25,'2H'!B16+1,FALSE)))))</f>
        <v/>
      </c>
      <c r="D16" s="477"/>
      <c r="E16" s="478"/>
      <c r="F16" s="289">
        <f t="shared" si="4"/>
        <v>0</v>
      </c>
      <c r="G16" s="685"/>
      <c r="H16" s="682">
        <f t="shared" si="0"/>
        <v>0</v>
      </c>
      <c r="I16" s="83"/>
      <c r="J16" s="87"/>
      <c r="K16" s="28">
        <f t="shared" si="1"/>
        <v>0</v>
      </c>
      <c r="L16" s="83"/>
      <c r="M16" s="84"/>
      <c r="N16" s="105">
        <f t="shared" si="2"/>
        <v>0</v>
      </c>
      <c r="O16" s="105">
        <f t="shared" si="2"/>
        <v>0</v>
      </c>
      <c r="P16" s="105">
        <f t="shared" si="3"/>
        <v>0</v>
      </c>
      <c r="Q16" s="84"/>
      <c r="R16"/>
      <c r="S16" s="84"/>
      <c r="T16" s="87"/>
      <c r="U16" s="87"/>
      <c r="V16" s="87"/>
      <c r="W16" s="84"/>
    </row>
    <row r="17" spans="1:23" s="88" customFormat="1" ht="15" customHeight="1" x14ac:dyDescent="0.2">
      <c r="A17" s="87"/>
      <c r="B17" s="363">
        <f t="shared" si="5"/>
        <v>10</v>
      </c>
      <c r="C17" s="37" t="str">
        <f>IF($H$1="Select company","",IF(Validation!$H$3=1,"",(IF(HLOOKUP((VLOOKUP($H$1,Lists!$B$4:$C$22,2,FALSE)),Sewerage!$A$1:$S$25,'2H'!B17+1,FALSE)=0,"",HLOOKUP((VLOOKUP($H$1,Lists!$B$4:$C$22,2,FALSE)),Sewerage!$A$1:$S$25,'2H'!B17+1,FALSE)))))</f>
        <v/>
      </c>
      <c r="D17" s="477"/>
      <c r="E17" s="478"/>
      <c r="F17" s="289">
        <f t="shared" si="4"/>
        <v>0</v>
      </c>
      <c r="G17" s="685"/>
      <c r="H17" s="682">
        <f t="shared" si="0"/>
        <v>0</v>
      </c>
      <c r="I17" s="83"/>
      <c r="J17" s="87"/>
      <c r="K17" s="28">
        <f t="shared" si="1"/>
        <v>0</v>
      </c>
      <c r="L17" s="83"/>
      <c r="M17" s="84"/>
      <c r="N17" s="105">
        <f t="shared" si="2"/>
        <v>0</v>
      </c>
      <c r="O17" s="105">
        <f t="shared" si="2"/>
        <v>0</v>
      </c>
      <c r="P17" s="105">
        <f t="shared" si="3"/>
        <v>0</v>
      </c>
      <c r="Q17" s="84"/>
      <c r="R17"/>
      <c r="S17" s="84"/>
      <c r="T17" s="87"/>
      <c r="U17" s="87"/>
      <c r="V17" s="87"/>
      <c r="W17" s="84"/>
    </row>
    <row r="18" spans="1:23" s="88" customFormat="1" ht="15" customHeight="1" x14ac:dyDescent="0.2">
      <c r="A18" s="87"/>
      <c r="B18" s="363">
        <f t="shared" si="5"/>
        <v>11</v>
      </c>
      <c r="C18" s="37" t="str">
        <f>IF($H$1="Select company","",IF(Validation!$H$3=1,"",(IF(HLOOKUP((VLOOKUP($H$1,Lists!$B$4:$C$22,2,FALSE)),Sewerage!$A$1:$S$25,'2H'!B18+1,FALSE)=0,"",HLOOKUP((VLOOKUP($H$1,Lists!$B$4:$C$22,2,FALSE)),Sewerage!$A$1:$S$25,'2H'!B18+1,FALSE)))))</f>
        <v/>
      </c>
      <c r="D18" s="477"/>
      <c r="E18" s="478"/>
      <c r="F18" s="289">
        <f t="shared" si="4"/>
        <v>0</v>
      </c>
      <c r="G18" s="685"/>
      <c r="H18" s="682">
        <f t="shared" si="0"/>
        <v>0</v>
      </c>
      <c r="I18" s="83"/>
      <c r="J18" s="87"/>
      <c r="K18" s="28">
        <f t="shared" si="1"/>
        <v>0</v>
      </c>
      <c r="L18" s="83"/>
      <c r="M18" s="84"/>
      <c r="N18" s="105">
        <f t="shared" si="2"/>
        <v>0</v>
      </c>
      <c r="O18" s="105">
        <f t="shared" si="2"/>
        <v>0</v>
      </c>
      <c r="P18" s="105">
        <f t="shared" si="3"/>
        <v>0</v>
      </c>
      <c r="Q18" s="84"/>
      <c r="R18"/>
      <c r="S18" s="84"/>
      <c r="T18" s="87"/>
      <c r="U18" s="87"/>
      <c r="V18" s="87"/>
      <c r="W18" s="84"/>
    </row>
    <row r="19" spans="1:23" s="88" customFormat="1" ht="15" customHeight="1" x14ac:dyDescent="0.2">
      <c r="A19" s="87"/>
      <c r="B19" s="363">
        <f t="shared" si="5"/>
        <v>12</v>
      </c>
      <c r="C19" s="37" t="str">
        <f>IF($H$1="Select company","",IF(Validation!$H$3=1,"",(IF(HLOOKUP((VLOOKUP($H$1,Lists!$B$4:$C$22,2,FALSE)),Sewerage!$A$1:$S$25,'2H'!B19+1,FALSE)=0,"",HLOOKUP((VLOOKUP($H$1,Lists!$B$4:$C$22,2,FALSE)),Sewerage!$A$1:$S$25,'2H'!B19+1,FALSE)))))</f>
        <v/>
      </c>
      <c r="D19" s="477"/>
      <c r="E19" s="478"/>
      <c r="F19" s="289">
        <f t="shared" si="4"/>
        <v>0</v>
      </c>
      <c r="G19" s="685"/>
      <c r="H19" s="682">
        <f t="shared" si="0"/>
        <v>0</v>
      </c>
      <c r="I19" s="83"/>
      <c r="J19" s="87"/>
      <c r="K19" s="28">
        <f t="shared" si="1"/>
        <v>0</v>
      </c>
      <c r="L19" s="83"/>
      <c r="M19" s="84"/>
      <c r="N19" s="105">
        <f t="shared" si="2"/>
        <v>0</v>
      </c>
      <c r="O19" s="105">
        <f t="shared" si="2"/>
        <v>0</v>
      </c>
      <c r="P19" s="105">
        <f t="shared" si="3"/>
        <v>0</v>
      </c>
      <c r="Q19" s="84"/>
      <c r="R19"/>
      <c r="S19" s="84"/>
      <c r="T19" s="87"/>
      <c r="U19" s="87"/>
      <c r="V19" s="87"/>
      <c r="W19" s="84"/>
    </row>
    <row r="20" spans="1:23" s="88" customFormat="1" ht="15" customHeight="1" x14ac:dyDescent="0.2">
      <c r="A20" s="87"/>
      <c r="B20" s="363">
        <f t="shared" si="5"/>
        <v>13</v>
      </c>
      <c r="C20" s="37" t="str">
        <f>IF($H$1="Select company","",IF(Validation!$H$3=1,"",(IF(HLOOKUP((VLOOKUP($H$1,Lists!$B$4:$C$22,2,FALSE)),Sewerage!$A$1:$S$25,'2H'!B20+1,FALSE)=0,"",HLOOKUP((VLOOKUP($H$1,Lists!$B$4:$C$22,2,FALSE)),Sewerage!$A$1:$S$25,'2H'!B20+1,FALSE)))))</f>
        <v/>
      </c>
      <c r="D20" s="477"/>
      <c r="E20" s="478"/>
      <c r="F20" s="289">
        <f t="shared" si="4"/>
        <v>0</v>
      </c>
      <c r="G20" s="685"/>
      <c r="H20" s="682">
        <f t="shared" si="0"/>
        <v>0</v>
      </c>
      <c r="I20" s="83"/>
      <c r="J20" s="87"/>
      <c r="K20" s="28">
        <f t="shared" si="1"/>
        <v>0</v>
      </c>
      <c r="L20" s="83"/>
      <c r="M20" s="84"/>
      <c r="N20" s="105">
        <f t="shared" si="2"/>
        <v>0</v>
      </c>
      <c r="O20" s="105">
        <f t="shared" si="2"/>
        <v>0</v>
      </c>
      <c r="P20" s="105">
        <f t="shared" si="3"/>
        <v>0</v>
      </c>
      <c r="Q20" s="84"/>
      <c r="R20"/>
      <c r="S20" s="84"/>
      <c r="T20" s="87"/>
      <c r="U20" s="87"/>
      <c r="V20" s="87"/>
      <c r="W20" s="84"/>
    </row>
    <row r="21" spans="1:23" s="88" customFormat="1" ht="15" customHeight="1" x14ac:dyDescent="0.2">
      <c r="A21" s="87"/>
      <c r="B21" s="363">
        <f t="shared" si="5"/>
        <v>14</v>
      </c>
      <c r="C21" s="37" t="str">
        <f>IF($H$1="Select company","",IF(Validation!$H$3=1,"",(IF(HLOOKUP((VLOOKUP($H$1,Lists!$B$4:$C$22,2,FALSE)),Sewerage!$A$1:$S$25,'2H'!B21+1,FALSE)=0,"",HLOOKUP((VLOOKUP($H$1,Lists!$B$4:$C$22,2,FALSE)),Sewerage!$A$1:$S$25,'2H'!B21+1,FALSE)))))</f>
        <v/>
      </c>
      <c r="D21" s="477"/>
      <c r="E21" s="478"/>
      <c r="F21" s="289">
        <f t="shared" si="4"/>
        <v>0</v>
      </c>
      <c r="G21" s="685"/>
      <c r="H21" s="682">
        <f t="shared" si="0"/>
        <v>0</v>
      </c>
      <c r="I21" s="83"/>
      <c r="J21" s="87"/>
      <c r="K21" s="28">
        <f t="shared" si="1"/>
        <v>0</v>
      </c>
      <c r="L21" s="83"/>
      <c r="M21" s="84"/>
      <c r="N21" s="105">
        <f t="shared" si="2"/>
        <v>0</v>
      </c>
      <c r="O21" s="105">
        <f t="shared" si="2"/>
        <v>0</v>
      </c>
      <c r="P21" s="105">
        <f t="shared" si="3"/>
        <v>0</v>
      </c>
      <c r="Q21" s="84"/>
      <c r="R21"/>
      <c r="S21" s="84"/>
      <c r="T21" s="87"/>
      <c r="U21" s="87"/>
      <c r="V21" s="87"/>
      <c r="W21" s="84"/>
    </row>
    <row r="22" spans="1:23" s="88" customFormat="1" ht="15" customHeight="1" x14ac:dyDescent="0.2">
      <c r="A22" s="87"/>
      <c r="B22" s="363">
        <f t="shared" si="5"/>
        <v>15</v>
      </c>
      <c r="C22" s="37" t="str">
        <f>IF($H$1="Select company","",IF(Validation!$H$3=1,"",(IF(HLOOKUP((VLOOKUP($H$1,Lists!$B$4:$C$22,2,FALSE)),Sewerage!$A$1:$S$25,'2H'!B22+1,FALSE)=0,"",HLOOKUP((VLOOKUP($H$1,Lists!$B$4:$C$22,2,FALSE)),Sewerage!$A$1:$S$25,'2H'!B22+1,FALSE)))))</f>
        <v/>
      </c>
      <c r="D22" s="477"/>
      <c r="E22" s="478"/>
      <c r="F22" s="289">
        <f t="shared" si="4"/>
        <v>0</v>
      </c>
      <c r="G22" s="685"/>
      <c r="H22" s="682">
        <f t="shared" si="0"/>
        <v>0</v>
      </c>
      <c r="I22" s="129"/>
      <c r="J22" s="87"/>
      <c r="K22" s="28">
        <f t="shared" si="1"/>
        <v>0</v>
      </c>
      <c r="L22" s="83"/>
      <c r="M22" s="84"/>
      <c r="N22" s="105">
        <f t="shared" si="2"/>
        <v>0</v>
      </c>
      <c r="O22" s="105">
        <f t="shared" si="2"/>
        <v>0</v>
      </c>
      <c r="P22" s="105">
        <f t="shared" si="3"/>
        <v>0</v>
      </c>
      <c r="Q22" s="84"/>
      <c r="R22"/>
      <c r="S22" s="84"/>
      <c r="T22" s="87"/>
      <c r="U22" s="87"/>
      <c r="V22" s="87"/>
      <c r="W22" s="84"/>
    </row>
    <row r="23" spans="1:23" s="88" customFormat="1" ht="15" customHeight="1" x14ac:dyDescent="0.2">
      <c r="A23" s="87"/>
      <c r="B23" s="363">
        <f t="shared" si="5"/>
        <v>16</v>
      </c>
      <c r="C23" s="37" t="str">
        <f>IF($H$1="Select company","",IF(Validation!$H$3=1,"",(IF(HLOOKUP((VLOOKUP($H$1,Lists!$B$4:$C$22,2,FALSE)),Sewerage!$A$1:$S$25,'2H'!B23+1,FALSE)=0,"",HLOOKUP((VLOOKUP($H$1,Lists!$B$4:$C$22,2,FALSE)),Sewerage!$A$1:$S$25,'2H'!B23+1,FALSE)))))</f>
        <v/>
      </c>
      <c r="D23" s="477"/>
      <c r="E23" s="478"/>
      <c r="F23" s="289">
        <f t="shared" si="4"/>
        <v>0</v>
      </c>
      <c r="G23" s="685"/>
      <c r="H23" s="682">
        <f t="shared" si="0"/>
        <v>0</v>
      </c>
      <c r="I23" s="135"/>
      <c r="J23" s="87"/>
      <c r="K23" s="28">
        <f t="shared" si="1"/>
        <v>0</v>
      </c>
      <c r="L23" s="83"/>
      <c r="M23" s="84"/>
      <c r="N23" s="105">
        <f t="shared" si="2"/>
        <v>0</v>
      </c>
      <c r="O23" s="105">
        <f t="shared" si="2"/>
        <v>0</v>
      </c>
      <c r="P23" s="105">
        <f t="shared" si="3"/>
        <v>0</v>
      </c>
      <c r="Q23" s="84"/>
      <c r="R23" s="132"/>
      <c r="S23" s="133"/>
      <c r="T23" s="171"/>
      <c r="U23" s="171"/>
      <c r="V23" s="87"/>
      <c r="W23" s="133"/>
    </row>
    <row r="24" spans="1:23" s="88" customFormat="1" ht="15" customHeight="1" x14ac:dyDescent="0.2">
      <c r="A24" s="87"/>
      <c r="B24" s="363">
        <f t="shared" si="5"/>
        <v>17</v>
      </c>
      <c r="C24" s="37" t="str">
        <f>IF($H$1="Select company","",IF(Validation!$H$3=1,"",(IF(HLOOKUP((VLOOKUP($H$1,Lists!$B$4:$C$22,2,FALSE)),Sewerage!$A$1:$S$25,'2H'!B24+1,FALSE)=0,"",HLOOKUP((VLOOKUP($H$1,Lists!$B$4:$C$22,2,FALSE)),Sewerage!$A$1:$S$25,'2H'!B24+1,FALSE)))))</f>
        <v/>
      </c>
      <c r="D24" s="477"/>
      <c r="E24" s="478"/>
      <c r="F24" s="289">
        <f t="shared" si="4"/>
        <v>0</v>
      </c>
      <c r="G24" s="685"/>
      <c r="H24" s="682">
        <f t="shared" si="0"/>
        <v>0</v>
      </c>
      <c r="I24" s="135"/>
      <c r="J24" s="87"/>
      <c r="K24" s="28">
        <f t="shared" si="1"/>
        <v>0</v>
      </c>
      <c r="L24" s="83"/>
      <c r="M24" s="84"/>
      <c r="N24" s="105">
        <f t="shared" si="2"/>
        <v>0</v>
      </c>
      <c r="O24" s="105">
        <f t="shared" si="2"/>
        <v>0</v>
      </c>
      <c r="P24" s="105">
        <f t="shared" si="3"/>
        <v>0</v>
      </c>
      <c r="Q24" s="84"/>
      <c r="R24"/>
      <c r="S24" s="130"/>
      <c r="T24" s="87"/>
      <c r="U24" s="87"/>
      <c r="V24" s="87"/>
      <c r="W24" s="130"/>
    </row>
    <row r="25" spans="1:23" s="88" customFormat="1" ht="15" customHeight="1" x14ac:dyDescent="0.2">
      <c r="A25" s="87"/>
      <c r="B25" s="363">
        <f t="shared" si="5"/>
        <v>18</v>
      </c>
      <c r="C25" s="37" t="str">
        <f>IF($H$1="Select company","",IF(Validation!$H$3=1,"",(IF(HLOOKUP((VLOOKUP($H$1,Lists!$B$4:$C$22,2,FALSE)),Sewerage!$A$1:$S$25,'2H'!B25+1,FALSE)=0,"",HLOOKUP((VLOOKUP($H$1,Lists!$B$4:$C$22,2,FALSE)),Sewerage!$A$1:$S$25,'2H'!B25+1,FALSE)))))</f>
        <v/>
      </c>
      <c r="D25" s="477"/>
      <c r="E25" s="478"/>
      <c r="F25" s="289">
        <f t="shared" si="4"/>
        <v>0</v>
      </c>
      <c r="G25" s="685"/>
      <c r="H25" s="682">
        <f t="shared" si="0"/>
        <v>0</v>
      </c>
      <c r="I25" s="135"/>
      <c r="J25" s="87"/>
      <c r="K25" s="28">
        <f t="shared" si="1"/>
        <v>0</v>
      </c>
      <c r="L25" s="83"/>
      <c r="M25" s="84"/>
      <c r="N25" s="105">
        <f t="shared" si="2"/>
        <v>0</v>
      </c>
      <c r="O25" s="105">
        <f t="shared" si="2"/>
        <v>0</v>
      </c>
      <c r="P25" s="105">
        <f t="shared" si="3"/>
        <v>0</v>
      </c>
      <c r="Q25" s="84"/>
      <c r="R25"/>
      <c r="S25" s="130"/>
      <c r="T25" s="87"/>
      <c r="U25" s="87"/>
      <c r="V25" s="87"/>
      <c r="W25" s="130"/>
    </row>
    <row r="26" spans="1:23" s="88" customFormat="1" ht="15" customHeight="1" x14ac:dyDescent="0.2">
      <c r="A26" s="87"/>
      <c r="B26" s="363">
        <f t="shared" si="5"/>
        <v>19</v>
      </c>
      <c r="C26" s="37" t="str">
        <f>IF($H$1="Select company","",IF(Validation!$H$3=1,"",(IF(HLOOKUP((VLOOKUP($H$1,Lists!$B$4:$C$22,2,FALSE)),Sewerage!$A$1:$S$25,'2H'!B26+1,FALSE)=0,"",HLOOKUP((VLOOKUP($H$1,Lists!$B$4:$C$22,2,FALSE)),Sewerage!$A$1:$S$25,'2H'!B26+1,FALSE)))))</f>
        <v/>
      </c>
      <c r="D26" s="479"/>
      <c r="E26" s="480"/>
      <c r="F26" s="289">
        <f t="shared" si="4"/>
        <v>0</v>
      </c>
      <c r="G26" s="685"/>
      <c r="H26" s="682">
        <f t="shared" si="0"/>
        <v>0</v>
      </c>
      <c r="I26" s="135"/>
      <c r="J26" s="87"/>
      <c r="K26" s="28">
        <f t="shared" si="1"/>
        <v>0</v>
      </c>
      <c r="L26" s="83"/>
      <c r="M26" s="84"/>
      <c r="N26" s="105">
        <f t="shared" si="2"/>
        <v>0</v>
      </c>
      <c r="O26" s="105">
        <f t="shared" si="2"/>
        <v>0</v>
      </c>
      <c r="P26" s="105">
        <f t="shared" si="3"/>
        <v>0</v>
      </c>
      <c r="Q26" s="84"/>
      <c r="R26"/>
      <c r="S26" s="130"/>
      <c r="T26" s="87"/>
      <c r="U26" s="87"/>
      <c r="V26" s="87"/>
      <c r="W26" s="130"/>
    </row>
    <row r="27" spans="1:23" s="88" customFormat="1" ht="15" customHeight="1" x14ac:dyDescent="0.2">
      <c r="A27" s="87"/>
      <c r="B27" s="363">
        <f t="shared" si="5"/>
        <v>20</v>
      </c>
      <c r="C27" s="37" t="str">
        <f>IF($H$1="Select company","",IF(Validation!$H$3=1,"",(IF(HLOOKUP((VLOOKUP($H$1,Lists!$B$4:$C$22,2,FALSE)),Sewerage!$A$1:$S$25,'2H'!B27+1,FALSE)=0,"",HLOOKUP((VLOOKUP($H$1,Lists!$B$4:$C$22,2,FALSE)),Sewerage!$A$1:$S$25,'2H'!B27+1,FALSE)))))</f>
        <v/>
      </c>
      <c r="D27" s="479"/>
      <c r="E27" s="480"/>
      <c r="F27" s="289">
        <f t="shared" si="4"/>
        <v>0</v>
      </c>
      <c r="G27" s="685"/>
      <c r="H27" s="682">
        <f t="shared" si="0"/>
        <v>0</v>
      </c>
      <c r="I27" s="135"/>
      <c r="J27" s="87"/>
      <c r="K27" s="28">
        <f t="shared" si="1"/>
        <v>0</v>
      </c>
      <c r="L27" s="83"/>
      <c r="M27" s="84"/>
      <c r="N27" s="105">
        <f t="shared" si="2"/>
        <v>0</v>
      </c>
      <c r="O27" s="105">
        <f t="shared" si="2"/>
        <v>0</v>
      </c>
      <c r="P27" s="105">
        <f t="shared" si="3"/>
        <v>0</v>
      </c>
      <c r="Q27" s="84"/>
      <c r="R27"/>
      <c r="S27" s="130"/>
      <c r="T27" s="87"/>
      <c r="U27" s="87"/>
      <c r="V27" s="87"/>
      <c r="W27" s="130"/>
    </row>
    <row r="28" spans="1:23" s="88" customFormat="1" ht="15" customHeight="1" x14ac:dyDescent="0.2">
      <c r="A28" s="87"/>
      <c r="B28" s="363">
        <f t="shared" si="5"/>
        <v>21</v>
      </c>
      <c r="C28" s="37" t="str">
        <f>IF($H$1="Select company","",IF(Validation!$H$3=1,"",(IF(HLOOKUP((VLOOKUP($H$1,Lists!$B$4:$C$22,2,FALSE)),Sewerage!$A$1:$S$25,'2H'!B28+1,FALSE)=0,"",HLOOKUP((VLOOKUP($H$1,Lists!$B$4:$C$22,2,FALSE)),Sewerage!$A$1:$S$25,'2H'!B28+1,FALSE)))))</f>
        <v/>
      </c>
      <c r="D28" s="479"/>
      <c r="E28" s="480"/>
      <c r="F28" s="289">
        <f t="shared" si="4"/>
        <v>0</v>
      </c>
      <c r="G28" s="685"/>
      <c r="H28" s="682">
        <f t="shared" si="0"/>
        <v>0</v>
      </c>
      <c r="I28" s="135"/>
      <c r="J28" s="87"/>
      <c r="K28" s="28">
        <f t="shared" si="1"/>
        <v>0</v>
      </c>
      <c r="L28" s="83"/>
      <c r="M28" s="84"/>
      <c r="N28" s="105">
        <f t="shared" si="2"/>
        <v>0</v>
      </c>
      <c r="O28" s="105">
        <f t="shared" si="2"/>
        <v>0</v>
      </c>
      <c r="P28" s="105">
        <f t="shared" si="3"/>
        <v>0</v>
      </c>
      <c r="Q28" s="84"/>
      <c r="R28" s="132"/>
      <c r="S28" s="130"/>
      <c r="T28" s="171"/>
      <c r="U28" s="171"/>
      <c r="V28" s="87"/>
      <c r="W28" s="130"/>
    </row>
    <row r="29" spans="1:23" s="88" customFormat="1" ht="17.100000000000001" customHeight="1" thickBot="1" x14ac:dyDescent="0.25">
      <c r="A29" s="87"/>
      <c r="B29" s="364">
        <f>B28 + 1</f>
        <v>22</v>
      </c>
      <c r="C29" s="35" t="s">
        <v>512</v>
      </c>
      <c r="D29" s="116">
        <f xml:space="preserve"> SUM( D9:D28 )</f>
        <v>115.49000000000001</v>
      </c>
      <c r="E29" s="117">
        <f xml:space="preserve"> SUM( E9:E28 )</f>
        <v>5.4009999999999998</v>
      </c>
      <c r="F29" s="118">
        <f xml:space="preserve"> SUM( F9:F28 )</f>
        <v>120.89100000000001</v>
      </c>
      <c r="G29" s="119">
        <f xml:space="preserve"> SUM( G9:G28 )</f>
        <v>109.67131232876714</v>
      </c>
      <c r="H29" s="512">
        <f t="shared" si="0"/>
        <v>49.247153930365613</v>
      </c>
      <c r="I29" s="135"/>
      <c r="J29" s="87"/>
      <c r="K29" s="135"/>
      <c r="L29" s="135"/>
      <c r="M29" s="130"/>
      <c r="N29" s="168"/>
      <c r="O29" s="169"/>
      <c r="P29" s="169"/>
      <c r="Q29" s="130"/>
      <c r="R29" s="132"/>
      <c r="S29" s="130"/>
      <c r="T29" s="171"/>
      <c r="U29" s="171"/>
      <c r="V29" s="87"/>
      <c r="W29" s="130"/>
    </row>
    <row r="30" spans="1:23" s="83" customFormat="1" ht="15" thickBot="1" x14ac:dyDescent="0.25">
      <c r="D30" s="92"/>
      <c r="E30" s="169"/>
      <c r="F30" s="92"/>
      <c r="G30" s="678"/>
      <c r="H30" s="674"/>
      <c r="I30" s="137"/>
      <c r="J30" s="87"/>
      <c r="K30" s="135"/>
      <c r="L30" s="135"/>
      <c r="M30" s="130"/>
      <c r="N30" s="168"/>
      <c r="O30" s="186"/>
      <c r="P30" s="186"/>
      <c r="Q30" s="130"/>
      <c r="R30"/>
      <c r="S30" s="130"/>
      <c r="T30" s="87"/>
      <c r="U30" s="87"/>
      <c r="V30" s="87"/>
      <c r="W30" s="130"/>
    </row>
    <row r="31" spans="1:23" s="88" customFormat="1" ht="17.100000000000001" customHeight="1" thickBot="1" x14ac:dyDescent="0.25">
      <c r="A31" s="87"/>
      <c r="B31" s="360">
        <f xml:space="preserve"> B29 + 1</f>
        <v>23</v>
      </c>
      <c r="C31" s="31" t="s">
        <v>257</v>
      </c>
      <c r="D31" s="142">
        <f xml:space="preserve"> D29 + D6</f>
        <v>115.49000000000001</v>
      </c>
      <c r="E31" s="143">
        <f xml:space="preserve"> E29 + E6</f>
        <v>5.4009999999999998</v>
      </c>
      <c r="F31" s="144">
        <f xml:space="preserve"> F29 + F6</f>
        <v>120.89100000000001</v>
      </c>
      <c r="G31" s="145">
        <f xml:space="preserve"> G29 + G6</f>
        <v>109.67131232876714</v>
      </c>
      <c r="H31" s="680">
        <f xml:space="preserve"> IF( G31 = 0, 0, E31 / G31 * 1000 )</f>
        <v>49.247153930365613</v>
      </c>
      <c r="I31" s="137"/>
      <c r="J31" s="843">
        <f xml:space="preserve"> IF( SUM( Q31:S31 ) = 0, 0, V31 )</f>
        <v>0</v>
      </c>
      <c r="K31" s="135"/>
      <c r="L31" s="135"/>
      <c r="M31" s="130"/>
      <c r="N31" s="168"/>
      <c r="O31" s="169"/>
      <c r="P31" s="169"/>
      <c r="Q31" s="130"/>
      <c r="R31" s="105">
        <f xml:space="preserve"> IF( (T31 - U31) = 0, 0, 1 )</f>
        <v>0</v>
      </c>
      <c r="S31" s="130"/>
      <c r="T31" s="171">
        <f xml:space="preserve"> ROUND(D31, 3)</f>
        <v>115.49</v>
      </c>
      <c r="U31" s="171">
        <f xml:space="preserve"> ROUND( SUM( '2I'!G12:G13 ), 3)</f>
        <v>115.49</v>
      </c>
      <c r="V31" s="87" t="s">
        <v>523</v>
      </c>
      <c r="W31" s="130"/>
    </row>
    <row r="32" spans="1:23" s="87" customFormat="1" ht="17.100000000000001" customHeight="1" thickBot="1" x14ac:dyDescent="0.25">
      <c r="B32" s="279"/>
      <c r="I32" s="137"/>
      <c r="K32" s="135"/>
      <c r="L32" s="135"/>
      <c r="M32" s="130"/>
      <c r="N32" s="168"/>
      <c r="O32" s="169"/>
      <c r="P32" s="169"/>
      <c r="Q32" s="130"/>
      <c r="R32" s="132"/>
      <c r="S32" s="130"/>
      <c r="T32" s="171"/>
      <c r="U32" s="171"/>
      <c r="W32" s="130"/>
    </row>
    <row r="33" spans="1:24" s="83" customFormat="1" ht="54.75" thickBot="1" x14ac:dyDescent="0.25">
      <c r="E33" s="169"/>
      <c r="G33" s="357" t="s">
        <v>514</v>
      </c>
      <c r="H33" s="357" t="s">
        <v>515</v>
      </c>
      <c r="I33" s="137"/>
      <c r="J33" s="87"/>
      <c r="K33" s="135"/>
      <c r="L33" s="135"/>
      <c r="M33" s="130"/>
      <c r="N33" s="168"/>
      <c r="O33" s="186"/>
      <c r="P33" s="186"/>
      <c r="Q33" s="130"/>
      <c r="R33"/>
      <c r="S33" s="130"/>
      <c r="T33" s="87"/>
      <c r="U33" s="87"/>
      <c r="V33" s="87"/>
      <c r="W33" s="130"/>
      <c r="X33" s="186"/>
    </row>
    <row r="34" spans="1:24" s="88" customFormat="1" ht="15" customHeight="1" thickBot="1" x14ac:dyDescent="0.25">
      <c r="A34" s="87"/>
      <c r="B34" s="272" t="s">
        <v>149</v>
      </c>
      <c r="C34" s="30" t="s">
        <v>516</v>
      </c>
      <c r="D34" s="146"/>
      <c r="E34" s="146"/>
      <c r="F34" s="146"/>
      <c r="G34" s="407"/>
      <c r="H34" s="671"/>
      <c r="I34" s="146"/>
      <c r="J34" s="87"/>
      <c r="K34" s="146"/>
      <c r="L34" s="83"/>
      <c r="M34" s="84"/>
      <c r="N34" s="168"/>
      <c r="O34" s="186"/>
      <c r="P34" s="186"/>
      <c r="Q34" s="84"/>
      <c r="R34"/>
      <c r="S34" s="84"/>
      <c r="T34" s="87"/>
      <c r="U34" s="87"/>
      <c r="V34" s="87"/>
      <c r="W34" s="84"/>
      <c r="X34" s="83"/>
    </row>
    <row r="35" spans="1:24" s="88" customFormat="1" ht="15" customHeight="1" thickBot="1" x14ac:dyDescent="0.25">
      <c r="A35" s="87"/>
      <c r="B35" s="686">
        <f xml:space="preserve"> B31 + 1</f>
        <v>24</v>
      </c>
      <c r="C35" s="687" t="s">
        <v>257</v>
      </c>
      <c r="D35" s="83"/>
      <c r="E35" s="83"/>
      <c r="F35" s="83"/>
      <c r="G35" s="683">
        <f>+G31</f>
        <v>109.67131232876714</v>
      </c>
      <c r="H35" s="680">
        <f xml:space="preserve"> IF( G35 = 0, 0, E31 / G35 * 1000 )</f>
        <v>49.247153930365613</v>
      </c>
      <c r="I35" s="83"/>
      <c r="J35" s="87"/>
      <c r="K35" s="28">
        <f xml:space="preserve"> IF( SUM( M35:Q35 ) = 0, 0, $N$5 )</f>
        <v>0</v>
      </c>
      <c r="L35" s="83"/>
      <c r="M35" s="84"/>
      <c r="N35" s="132"/>
      <c r="O35" s="132"/>
      <c r="P35" s="105">
        <f>IF(Validation!$H$3=1,0,IF(ISNUMBER(G35),0,1))</f>
        <v>0</v>
      </c>
      <c r="Q35" s="84"/>
      <c r="R35"/>
      <c r="S35" s="84"/>
      <c r="T35" s="87"/>
      <c r="U35" s="87"/>
      <c r="V35" s="87"/>
      <c r="W35" s="84"/>
      <c r="X35" s="83"/>
    </row>
    <row r="36" spans="1:24" s="88" customFormat="1" ht="15" customHeight="1" x14ac:dyDescent="0.2">
      <c r="A36" s="87"/>
      <c r="B36" s="688"/>
      <c r="C36" s="87"/>
      <c r="D36" s="83"/>
      <c r="E36" s="83"/>
      <c r="F36" s="83"/>
      <c r="G36" s="689"/>
      <c r="H36" s="671"/>
      <c r="I36" s="83"/>
      <c r="J36" s="87"/>
      <c r="K36" s="87"/>
      <c r="L36" s="83"/>
      <c r="M36" s="84"/>
      <c r="N36" s="132"/>
      <c r="O36" s="132"/>
      <c r="P36" s="132"/>
      <c r="Q36" s="84"/>
      <c r="R36"/>
      <c r="S36" s="84"/>
      <c r="T36" s="87"/>
      <c r="U36" s="87"/>
      <c r="V36" s="87"/>
      <c r="W36" s="84"/>
      <c r="X36" s="83"/>
    </row>
    <row r="37" spans="1:24" s="169" customFormat="1" x14ac:dyDescent="0.2">
      <c r="B37" s="897" t="s">
        <v>101</v>
      </c>
      <c r="C37" s="897"/>
      <c r="G37" s="135"/>
      <c r="H37" s="83"/>
      <c r="I37" s="129"/>
      <c r="J37" s="87"/>
      <c r="K37" s="87"/>
      <c r="L37" s="129"/>
      <c r="M37" s="133"/>
      <c r="N37" s="267"/>
      <c r="O37" s="122"/>
      <c r="P37" s="122"/>
      <c r="Q37" s="133"/>
      <c r="R37"/>
      <c r="S37" s="133"/>
      <c r="T37" s="87"/>
      <c r="U37" s="87"/>
      <c r="V37" s="87"/>
      <c r="W37" s="133"/>
    </row>
    <row r="38" spans="1:24" s="169" customFormat="1" x14ac:dyDescent="0.2">
      <c r="B38" s="146"/>
      <c r="C38" s="147"/>
      <c r="G38" s="135"/>
      <c r="H38" s="83"/>
      <c r="I38" s="352"/>
      <c r="J38" s="87"/>
      <c r="K38" s="87"/>
      <c r="L38" s="129"/>
      <c r="M38" s="133"/>
      <c r="N38" s="186"/>
      <c r="O38" s="186"/>
      <c r="P38" s="186"/>
      <c r="Q38" s="133"/>
      <c r="R38"/>
      <c r="S38" s="133"/>
      <c r="T38" s="87"/>
      <c r="U38" s="87"/>
      <c r="V38" s="87"/>
      <c r="W38" s="133"/>
    </row>
    <row r="39" spans="1:24" s="169" customFormat="1" x14ac:dyDescent="0.2">
      <c r="B39" s="29"/>
      <c r="C39" s="148" t="s">
        <v>102</v>
      </c>
      <c r="G39" s="135"/>
      <c r="H39" s="83"/>
      <c r="I39" s="355"/>
      <c r="J39" s="87"/>
      <c r="K39" s="87"/>
      <c r="L39" s="129"/>
      <c r="M39" s="133"/>
      <c r="N39" s="290"/>
      <c r="O39" s="122"/>
      <c r="P39" s="122"/>
      <c r="Q39" s="133"/>
      <c r="R39"/>
      <c r="S39" s="133"/>
      <c r="T39" s="87"/>
      <c r="U39" s="87"/>
      <c r="V39" s="87"/>
      <c r="W39" s="133"/>
    </row>
    <row r="40" spans="1:24" s="169" customFormat="1" x14ac:dyDescent="0.2">
      <c r="B40" s="146"/>
      <c r="C40" s="147"/>
      <c r="G40" s="135"/>
      <c r="H40" s="83"/>
      <c r="I40" s="356"/>
      <c r="J40" s="87"/>
      <c r="K40" s="131"/>
      <c r="L40" s="129"/>
      <c r="M40" s="133"/>
      <c r="N40" s="290"/>
      <c r="O40" s="122"/>
      <c r="P40" s="122"/>
      <c r="Q40" s="133"/>
      <c r="R40" s="122"/>
      <c r="S40" s="133"/>
      <c r="T40" s="87"/>
      <c r="U40" s="87"/>
      <c r="V40" s="87"/>
      <c r="W40" s="133"/>
    </row>
    <row r="41" spans="1:24" s="169" customFormat="1" x14ac:dyDescent="0.2">
      <c r="B41" s="149"/>
      <c r="C41" s="148" t="s">
        <v>103</v>
      </c>
      <c r="G41" s="135"/>
      <c r="H41" s="83"/>
      <c r="I41" s="355"/>
      <c r="J41" s="87"/>
      <c r="K41" s="131"/>
      <c r="L41" s="129"/>
      <c r="M41" s="133"/>
      <c r="N41" s="290"/>
      <c r="O41" s="122"/>
      <c r="P41" s="122"/>
      <c r="Q41" s="133"/>
      <c r="R41" s="87"/>
      <c r="S41" s="133"/>
      <c r="T41" s="87"/>
      <c r="U41" s="87"/>
      <c r="V41" s="87"/>
      <c r="W41" s="133"/>
    </row>
    <row r="42" spans="1:24" s="169" customFormat="1" x14ac:dyDescent="0.2">
      <c r="B42" s="150"/>
      <c r="C42" s="148"/>
      <c r="G42" s="135"/>
      <c r="H42" s="129"/>
      <c r="I42" s="356"/>
      <c r="J42" s="87"/>
      <c r="K42" s="131"/>
      <c r="L42" s="129"/>
      <c r="M42" s="133"/>
      <c r="N42" s="290"/>
      <c r="O42" s="131"/>
      <c r="P42" s="131"/>
      <c r="Q42" s="133"/>
      <c r="R42" s="87"/>
      <c r="S42" s="133"/>
      <c r="T42" s="87"/>
      <c r="U42" s="87"/>
      <c r="V42" s="87"/>
      <c r="W42" s="133"/>
    </row>
    <row r="43" spans="1:24" s="169" customFormat="1" x14ac:dyDescent="0.2">
      <c r="B43" s="151"/>
      <c r="C43" s="148" t="s">
        <v>104</v>
      </c>
      <c r="G43" s="135"/>
      <c r="H43" s="135"/>
      <c r="I43" s="356"/>
      <c r="J43" s="87"/>
      <c r="K43" s="131"/>
      <c r="L43" s="129"/>
      <c r="M43" s="133"/>
      <c r="N43" s="290"/>
      <c r="O43" s="131"/>
      <c r="P43" s="131"/>
      <c r="Q43" s="133"/>
      <c r="R43" s="87"/>
      <c r="S43" s="133"/>
      <c r="T43" s="83"/>
      <c r="U43" s="83"/>
      <c r="V43" s="83"/>
      <c r="W43" s="133"/>
    </row>
    <row r="44" spans="1:24" s="186" customFormat="1" x14ac:dyDescent="0.2">
      <c r="A44" s="156"/>
      <c r="B44" s="156"/>
      <c r="C44" s="157"/>
      <c r="G44" s="137"/>
      <c r="H44" s="135"/>
      <c r="I44" s="356"/>
      <c r="J44" s="87"/>
      <c r="K44" s="131"/>
      <c r="L44" s="129"/>
      <c r="M44" s="133"/>
      <c r="N44" s="290"/>
      <c r="O44" s="131"/>
      <c r="P44" s="131"/>
      <c r="Q44" s="133"/>
      <c r="R44" s="87"/>
      <c r="S44" s="133"/>
      <c r="T44" s="169"/>
      <c r="U44" s="169"/>
      <c r="V44" s="169"/>
      <c r="W44" s="133"/>
    </row>
    <row r="45" spans="1:24" s="186" customFormat="1" ht="15" thickBot="1" x14ac:dyDescent="0.25">
      <c r="C45" s="187"/>
      <c r="G45" s="137"/>
      <c r="H45" s="135"/>
      <c r="I45" s="324"/>
      <c r="J45" s="87"/>
      <c r="K45" s="83"/>
      <c r="L45" s="83"/>
      <c r="M45" s="84"/>
      <c r="N45" s="83"/>
      <c r="O45" s="83"/>
      <c r="P45" s="83"/>
      <c r="Q45" s="84"/>
      <c r="R45" s="87"/>
      <c r="S45" s="133"/>
      <c r="T45" s="169"/>
      <c r="U45" s="169"/>
      <c r="V45" s="169"/>
      <c r="W45" s="133"/>
    </row>
    <row r="46" spans="1:24" s="122" customFormat="1" ht="16.5" thickBot="1" x14ac:dyDescent="0.25">
      <c r="B46" s="152" t="str">
        <f ca="1" xml:space="preserve"> RIGHT(CELL("filename", $A$1), LEN(CELL("filename", $A$1)) - SEARCH("]", CELL("filename", $A$1)))&amp;" - Line definitions"</f>
        <v>2H - Line definitions</v>
      </c>
      <c r="C46" s="153"/>
      <c r="D46" s="154"/>
      <c r="E46" s="154"/>
      <c r="F46" s="154"/>
      <c r="G46" s="154"/>
      <c r="H46" s="260"/>
      <c r="I46" s="323"/>
      <c r="J46" s="87"/>
      <c r="K46" s="83"/>
      <c r="L46" s="83"/>
      <c r="M46" s="84"/>
      <c r="N46" s="83"/>
      <c r="O46" s="83"/>
      <c r="P46" s="83"/>
      <c r="Q46" s="84"/>
      <c r="R46" s="87"/>
      <c r="S46" s="84"/>
      <c r="T46" s="169"/>
      <c r="U46" s="169"/>
      <c r="V46" s="169"/>
      <c r="W46" s="84"/>
    </row>
    <row r="47" spans="1:24" s="122" customFormat="1" ht="15" thickBot="1" x14ac:dyDescent="0.25">
      <c r="B47" s="365"/>
      <c r="D47" s="87"/>
      <c r="G47" s="129"/>
      <c r="H47" s="135"/>
      <c r="I47" s="324"/>
      <c r="J47" s="87"/>
      <c r="K47" s="83"/>
      <c r="L47" s="83"/>
      <c r="M47" s="84"/>
      <c r="N47" s="97" t="s">
        <v>107</v>
      </c>
      <c r="O47" s="83"/>
      <c r="P47" s="83"/>
      <c r="Q47" s="84"/>
      <c r="R47" s="87"/>
      <c r="S47" s="84"/>
      <c r="T47" s="169"/>
      <c r="U47" s="169"/>
      <c r="V47" s="169"/>
      <c r="W47" s="84"/>
    </row>
    <row r="48" spans="1:24" s="186" customFormat="1" x14ac:dyDescent="0.2">
      <c r="B48" s="366" t="s">
        <v>105</v>
      </c>
      <c r="C48" s="983" t="s">
        <v>106</v>
      </c>
      <c r="D48" s="983"/>
      <c r="E48" s="983"/>
      <c r="F48" s="983"/>
      <c r="G48" s="983"/>
      <c r="H48" s="984"/>
      <c r="I48" s="324"/>
      <c r="J48" s="87"/>
      <c r="K48" s="83"/>
      <c r="L48" s="83"/>
      <c r="M48" s="84"/>
      <c r="N48" s="83">
        <v>1</v>
      </c>
      <c r="O48" s="83"/>
      <c r="P48" s="83"/>
      <c r="Q48" s="84"/>
      <c r="R48" s="87"/>
      <c r="S48" s="84"/>
      <c r="T48" s="169"/>
      <c r="U48" s="169"/>
      <c r="V48" s="169"/>
      <c r="W48" s="84"/>
    </row>
    <row r="49" spans="2:23" s="122" customFormat="1" ht="14.1" customHeight="1" x14ac:dyDescent="0.2">
      <c r="B49" s="331">
        <v>1</v>
      </c>
      <c r="C49" s="979" t="s">
        <v>517</v>
      </c>
      <c r="D49" s="979"/>
      <c r="E49" s="979"/>
      <c r="F49" s="979"/>
      <c r="G49" s="979"/>
      <c r="H49" s="980"/>
      <c r="I49" s="324"/>
      <c r="J49" s="87"/>
      <c r="K49" s="83"/>
      <c r="L49" s="83"/>
      <c r="M49" s="84"/>
      <c r="N49" s="83">
        <v>1</v>
      </c>
      <c r="O49" s="83"/>
      <c r="P49" s="83"/>
      <c r="Q49" s="84"/>
      <c r="R49" s="87"/>
      <c r="S49" s="84"/>
      <c r="T49" s="169"/>
      <c r="U49" s="169"/>
      <c r="V49" s="169"/>
      <c r="W49" s="84"/>
    </row>
    <row r="50" spans="2:23" s="122" customFormat="1" ht="14.1" customHeight="1" x14ac:dyDescent="0.2">
      <c r="B50" s="368" t="s">
        <v>524</v>
      </c>
      <c r="C50" s="975" t="s">
        <v>519</v>
      </c>
      <c r="D50" s="975"/>
      <c r="E50" s="975"/>
      <c r="F50" s="975"/>
      <c r="G50" s="975"/>
      <c r="H50" s="976"/>
      <c r="I50" s="323"/>
      <c r="J50" s="87"/>
      <c r="K50" s="83"/>
      <c r="L50" s="83"/>
      <c r="M50" s="84"/>
      <c r="N50" s="83">
        <v>1</v>
      </c>
      <c r="O50" s="83"/>
      <c r="P50" s="83"/>
      <c r="Q50" s="84"/>
      <c r="R50" s="87"/>
      <c r="S50" s="84"/>
      <c r="T50" s="169"/>
      <c r="U50" s="169"/>
      <c r="V50" s="169"/>
      <c r="W50" s="84"/>
    </row>
    <row r="51" spans="2:23" s="122" customFormat="1" ht="14.1" customHeight="1" x14ac:dyDescent="0.2">
      <c r="B51" s="297">
        <v>22</v>
      </c>
      <c r="C51" s="975" t="s">
        <v>520</v>
      </c>
      <c r="D51" s="975"/>
      <c r="E51" s="975"/>
      <c r="F51" s="975"/>
      <c r="G51" s="975"/>
      <c r="H51" s="976"/>
      <c r="I51" s="324"/>
      <c r="J51" s="87"/>
      <c r="K51" s="83"/>
      <c r="L51" s="83"/>
      <c r="M51" s="84"/>
      <c r="N51" s="83">
        <v>1</v>
      </c>
      <c r="O51" s="83"/>
      <c r="P51" s="83"/>
      <c r="Q51" s="84"/>
      <c r="R51" s="87"/>
      <c r="S51" s="84"/>
      <c r="T51" s="186"/>
      <c r="U51" s="186"/>
      <c r="V51" s="186"/>
      <c r="W51" s="84"/>
    </row>
    <row r="52" spans="2:23" s="122" customFormat="1" x14ac:dyDescent="0.2">
      <c r="B52" s="297">
        <v>23</v>
      </c>
      <c r="C52" s="975" t="s">
        <v>521</v>
      </c>
      <c r="D52" s="975"/>
      <c r="E52" s="975"/>
      <c r="F52" s="975"/>
      <c r="G52" s="975"/>
      <c r="H52" s="976"/>
      <c r="I52" s="83"/>
      <c r="J52" s="87"/>
      <c r="K52" s="83"/>
      <c r="L52" s="83"/>
      <c r="M52" s="84"/>
      <c r="N52" s="83">
        <v>1</v>
      </c>
      <c r="O52" s="83"/>
      <c r="P52" s="83"/>
      <c r="Q52" s="84"/>
      <c r="R52" s="87"/>
      <c r="S52" s="84"/>
      <c r="T52" s="186"/>
      <c r="U52" s="186"/>
      <c r="V52" s="186"/>
      <c r="W52" s="84"/>
    </row>
    <row r="53" spans="2:23" ht="15" thickBot="1" x14ac:dyDescent="0.25">
      <c r="B53" s="298">
        <v>24</v>
      </c>
      <c r="C53" s="973" t="s">
        <v>521</v>
      </c>
      <c r="D53" s="973"/>
      <c r="E53" s="973"/>
      <c r="F53" s="973"/>
      <c r="G53" s="973"/>
      <c r="H53" s="974"/>
      <c r="T53" s="122"/>
      <c r="U53" s="122"/>
      <c r="V53" s="122"/>
    </row>
    <row r="54" spans="2:23" hidden="1" x14ac:dyDescent="0.2">
      <c r="T54" s="122"/>
      <c r="U54" s="122"/>
      <c r="V54" s="122"/>
    </row>
    <row r="55" spans="2:23" hidden="1" x14ac:dyDescent="0.2">
      <c r="T55" s="186"/>
      <c r="U55" s="186"/>
      <c r="V55" s="186"/>
    </row>
    <row r="56" spans="2:23" hidden="1" x14ac:dyDescent="0.2">
      <c r="T56" s="122"/>
      <c r="U56" s="122"/>
      <c r="V56" s="122"/>
    </row>
    <row r="57" spans="2:23" hidden="1" x14ac:dyDescent="0.2">
      <c r="T57" s="122"/>
      <c r="U57" s="122"/>
      <c r="V57" s="122"/>
    </row>
    <row r="58" spans="2:23" hidden="1" x14ac:dyDescent="0.2">
      <c r="T58" s="122"/>
      <c r="U58" s="122"/>
      <c r="V58" s="122"/>
    </row>
    <row r="59" spans="2:23" hidden="1" x14ac:dyDescent="0.2">
      <c r="T59" s="122"/>
      <c r="U59" s="122"/>
      <c r="V59" s="122"/>
    </row>
    <row r="60" spans="2:23" hidden="1" x14ac:dyDescent="0.2">
      <c r="T60" s="122"/>
      <c r="U60" s="122"/>
      <c r="V60" s="122"/>
    </row>
    <row r="61" spans="2:23" hidden="1" x14ac:dyDescent="0.2">
      <c r="T61" s="122"/>
      <c r="U61" s="122"/>
      <c r="V61" s="122"/>
    </row>
    <row r="62" spans="2:23" hidden="1" x14ac:dyDescent="0.2">
      <c r="T62" s="122"/>
      <c r="U62" s="122"/>
      <c r="V62" s="122"/>
    </row>
    <row r="63" spans="2:23" hidden="1" x14ac:dyDescent="0.2">
      <c r="T63" s="122"/>
      <c r="U63" s="122"/>
      <c r="V63" s="122"/>
    </row>
    <row r="64" spans="2:23" hidden="1" x14ac:dyDescent="0.2">
      <c r="T64" s="122"/>
      <c r="U64" s="122"/>
      <c r="V64" s="122"/>
    </row>
    <row r="65" spans="20:22" hidden="1" x14ac:dyDescent="0.2">
      <c r="T65" s="122"/>
      <c r="U65" s="122"/>
      <c r="V65" s="122"/>
    </row>
    <row r="66" spans="20:22" hidden="1" x14ac:dyDescent="0.2">
      <c r="T66" s="122"/>
      <c r="U66" s="122"/>
      <c r="V66" s="122"/>
    </row>
    <row r="67" spans="20:22" hidden="1" x14ac:dyDescent="0.2">
      <c r="T67" s="122"/>
      <c r="U67" s="122"/>
      <c r="V67" s="122"/>
    </row>
    <row r="68" spans="20:22" hidden="1" x14ac:dyDescent="0.2">
      <c r="T68" s="122"/>
      <c r="U68" s="122"/>
      <c r="V68" s="122"/>
    </row>
    <row r="69" spans="20:22" hidden="1" x14ac:dyDescent="0.2">
      <c r="T69" s="122"/>
      <c r="U69" s="122"/>
      <c r="V69" s="122"/>
    </row>
    <row r="70" spans="20:22" hidden="1" x14ac:dyDescent="0.2">
      <c r="T70" s="122"/>
      <c r="U70" s="122"/>
      <c r="V70" s="122"/>
    </row>
    <row r="71" spans="20:22" hidden="1" x14ac:dyDescent="0.2">
      <c r="T71" s="122"/>
      <c r="U71" s="122"/>
      <c r="V71" s="122"/>
    </row>
    <row r="72" spans="20:22" hidden="1" x14ac:dyDescent="0.2">
      <c r="T72" s="122"/>
      <c r="U72" s="122"/>
      <c r="V72" s="122"/>
    </row>
    <row r="73" spans="20:22" hidden="1" x14ac:dyDescent="0.2">
      <c r="T73" s="122"/>
      <c r="U73" s="122"/>
      <c r="V73" s="122"/>
    </row>
    <row r="74" spans="20:22" hidden="1" x14ac:dyDescent="0.2">
      <c r="T74" s="122"/>
      <c r="U74" s="122"/>
      <c r="V74" s="122"/>
    </row>
    <row r="75" spans="20:22" hidden="1" x14ac:dyDescent="0.2">
      <c r="T75" s="122"/>
      <c r="U75" s="122"/>
      <c r="V75" s="122"/>
    </row>
    <row r="76" spans="20:22" hidden="1" x14ac:dyDescent="0.2">
      <c r="T76" s="122"/>
      <c r="U76" s="122"/>
      <c r="V76" s="122"/>
    </row>
    <row r="77" spans="20:22" hidden="1" x14ac:dyDescent="0.2">
      <c r="T77" s="122"/>
      <c r="U77" s="122"/>
      <c r="V77" s="122"/>
    </row>
  </sheetData>
  <sheetProtection algorithmName="SHA-512" hashValue="cJ0f3BQPfFqnrTOvs2OrB8269jEpwopZ6ZJl51nkupUMFFVynGUEwN+k+j+dlECsXdFPGfZ/GKRoIZ8qL9HBTw==" saltValue="TULsW09hDvTYMDh5m/o8nQ==" spinCount="100000" sheet="1" objects="1" scenarios="1"/>
  <mergeCells count="9">
    <mergeCell ref="C53:H53"/>
    <mergeCell ref="C51:H51"/>
    <mergeCell ref="C52:H52"/>
    <mergeCell ref="B3:C3"/>
    <mergeCell ref="N3:P3"/>
    <mergeCell ref="B37:C37"/>
    <mergeCell ref="C48:H48"/>
    <mergeCell ref="C49:H49"/>
    <mergeCell ref="C50:H50"/>
  </mergeCells>
  <conditionalFormatting sqref="J31">
    <cfRule type="cellIs" dxfId="136" priority="10" operator="equal">
      <formula>0</formula>
    </cfRule>
  </conditionalFormatting>
  <conditionalFormatting sqref="K6">
    <cfRule type="cellIs" dxfId="135" priority="15" operator="equal">
      <formula>0</formula>
    </cfRule>
  </conditionalFormatting>
  <conditionalFormatting sqref="K9:K28">
    <cfRule type="cellIs" dxfId="134" priority="14" operator="equal">
      <formula>0</formula>
    </cfRule>
  </conditionalFormatting>
  <conditionalFormatting sqref="K35">
    <cfRule type="cellIs" dxfId="133" priority="8" operator="equal">
      <formula>0</formula>
    </cfRule>
  </conditionalFormatting>
  <printOptions horizontalCentered="1"/>
  <pageMargins left="0.39370078740157483" right="0.39370078740157483" top="0.78740157480314965" bottom="0.78740157480314965" header="0.31496062992125984" footer="0.31496062992125984"/>
  <pageSetup paperSize="9" scale="48"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4" id="{9A8CF18C-22CA-4C1F-9739-27485DB141FC}">
            <xm:f>'C:\Temp\notes6888BE\[2016-17 APR tables (April 2017).xlsx]Validation'!#REF!=1</xm:f>
            <x14:dxf>
              <fill>
                <patternFill>
                  <bgColor rgb="FFE0DCD8"/>
                </patternFill>
              </fill>
            </x14:dxf>
          </x14:cfRule>
          <xm:sqref>D9:E15</xm:sqref>
        </x14:conditionalFormatting>
        <x14:conditionalFormatting xmlns:xm="http://schemas.microsoft.com/office/excel/2006/main">
          <x14:cfRule type="expression" priority="34" id="{5C635D32-5544-482B-B5AA-50CD07BD0F9C}">
            <xm:f>Validation!$H$3=1</xm:f>
            <x14:dxf>
              <fill>
                <patternFill>
                  <bgColor rgb="FFE0DCD8"/>
                </patternFill>
              </fill>
            </x14:dxf>
          </x14:cfRule>
          <xm:sqref>D6:H6 F9:F15 H9:H15 D16:H29 D31:H31</xm:sqref>
        </x14:conditionalFormatting>
        <x14:conditionalFormatting xmlns:xm="http://schemas.microsoft.com/office/excel/2006/main">
          <x14:cfRule type="expression" priority="2" id="{C4EEA865-C9F6-4A53-808E-4491D3F6741E}">
            <xm:f>'W:\Regulatory Strategy\Annual Performance Report\2016-17\Ofwat Gudiance\[2016-17-APR-tables.xlsx]Validation'!#REF!=1</xm:f>
            <x14:dxf>
              <fill>
                <patternFill>
                  <bgColor rgb="FFE0DCD8"/>
                </patternFill>
              </fill>
            </x14:dxf>
          </x14:cfRule>
          <xm:sqref>G9:G15</xm:sqref>
        </x14:conditionalFormatting>
        <x14:conditionalFormatting xmlns:xm="http://schemas.microsoft.com/office/excel/2006/main">
          <x14:cfRule type="expression" priority="1" id="{57DFAF8F-1CA9-4F6B-86E5-E8BE6A8DC222}">
            <xm:f>'W:\Regulatory Strategy\Annual Performance Report\2016-17\Ofwat Gudiance\[2016-17-APR-tables.xlsx]Validation'!#REF!=1</xm:f>
            <x14:dxf>
              <fill>
                <patternFill>
                  <bgColor rgb="FFE0DCD8"/>
                </patternFill>
              </fill>
            </x14:dxf>
          </x14:cfRule>
          <xm:sqref>G35</xm:sqref>
        </x14:conditionalFormatting>
        <x14:conditionalFormatting xmlns:xm="http://schemas.microsoft.com/office/excel/2006/main">
          <x14:cfRule type="expression" priority="6" id="{0B2B3098-F914-4F9A-9FAB-D971364EABA1}">
            <xm:f>Validation!$H$3=1</xm:f>
            <x14:dxf>
              <fill>
                <patternFill>
                  <bgColor rgb="FFE0DCD8"/>
                </patternFill>
              </fill>
            </x14:dxf>
          </x14:cfRule>
          <xm:sqref>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479"/>
    <pageSetUpPr fitToPage="1"/>
  </sheetPr>
  <dimension ref="A1:W53"/>
  <sheetViews>
    <sheetView showGridLines="0" zoomScale="70" zoomScaleNormal="70" workbookViewId="0">
      <selection sqref="A1:C1"/>
    </sheetView>
  </sheetViews>
  <sheetFormatPr defaultColWidth="0" defaultRowHeight="14.25" zeroHeight="1" x14ac:dyDescent="0.2"/>
  <cols>
    <col min="1" max="1" width="2.125" style="2" customWidth="1"/>
    <col min="2" max="2" width="104" customWidth="1"/>
    <col min="3" max="3" width="2.125" style="2" customWidth="1"/>
    <col min="4" max="4" width="8.25" style="2" hidden="1" customWidth="1"/>
    <col min="5" max="16384" width="9" style="2" hidden="1"/>
  </cols>
  <sheetData>
    <row r="1" spans="1:23" ht="20.25" x14ac:dyDescent="0.35">
      <c r="A1" s="1" t="s">
        <v>34</v>
      </c>
      <c r="B1" s="1"/>
      <c r="C1" s="1"/>
      <c r="M1" s="430"/>
      <c r="N1" s="430"/>
      <c r="O1" s="430"/>
      <c r="P1" s="430"/>
      <c r="Q1" s="430"/>
      <c r="R1" s="430"/>
      <c r="S1" s="430"/>
      <c r="T1" s="430"/>
      <c r="U1" s="430"/>
      <c r="V1" s="430"/>
      <c r="W1" s="430"/>
    </row>
    <row r="2" spans="1:23" ht="21" x14ac:dyDescent="0.35">
      <c r="A2" s="3"/>
      <c r="B2" s="2"/>
    </row>
    <row r="3" spans="1:23" ht="15" x14ac:dyDescent="0.25">
      <c r="A3" s="431" t="s">
        <v>35</v>
      </c>
      <c r="B3" s="431"/>
      <c r="C3" s="431"/>
    </row>
    <row r="4" spans="1:23" x14ac:dyDescent="0.2">
      <c r="A4" s="4"/>
      <c r="B4" s="2"/>
    </row>
    <row r="5" spans="1:23" ht="51" x14ac:dyDescent="0.2">
      <c r="B5" s="432" t="s">
        <v>36</v>
      </c>
    </row>
    <row r="6" spans="1:23" x14ac:dyDescent="0.2">
      <c r="B6" s="432"/>
    </row>
    <row r="7" spans="1:23" x14ac:dyDescent="0.2">
      <c r="B7" s="762" t="s">
        <v>37</v>
      </c>
    </row>
    <row r="8" spans="1:23" x14ac:dyDescent="0.2">
      <c r="B8" s="432"/>
    </row>
    <row r="9" spans="1:23" ht="15" x14ac:dyDescent="0.25">
      <c r="A9" s="431" t="s">
        <v>38</v>
      </c>
      <c r="B9" s="431"/>
      <c r="C9" s="431"/>
    </row>
    <row r="10" spans="1:23" x14ac:dyDescent="0.2">
      <c r="B10" s="432"/>
    </row>
    <row r="11" spans="1:23" x14ac:dyDescent="0.2">
      <c r="B11" s="432" t="s">
        <v>39</v>
      </c>
    </row>
    <row r="12" spans="1:23" x14ac:dyDescent="0.2">
      <c r="B12" s="432"/>
    </row>
    <row r="13" spans="1:23" x14ac:dyDescent="0.2">
      <c r="B13" s="432" t="s">
        <v>40</v>
      </c>
    </row>
    <row r="14" spans="1:23" x14ac:dyDescent="0.2">
      <c r="B14" s="432"/>
    </row>
    <row r="15" spans="1:23" ht="25.5" x14ac:dyDescent="0.2">
      <c r="B15" s="432" t="s">
        <v>41</v>
      </c>
    </row>
    <row r="16" spans="1:23" x14ac:dyDescent="0.2">
      <c r="B16" s="432"/>
    </row>
    <row r="17" spans="1:3" x14ac:dyDescent="0.2">
      <c r="B17" s="432" t="s">
        <v>42</v>
      </c>
    </row>
    <row r="18" spans="1:3" x14ac:dyDescent="0.2">
      <c r="B18" s="432"/>
    </row>
    <row r="19" spans="1:3" ht="50.65" customHeight="1" x14ac:dyDescent="0.2">
      <c r="B19" s="762" t="s">
        <v>43</v>
      </c>
    </row>
    <row r="20" spans="1:3" x14ac:dyDescent="0.2">
      <c r="B20" s="432"/>
    </row>
    <row r="21" spans="1:3" ht="15" x14ac:dyDescent="0.25">
      <c r="A21" s="431" t="s">
        <v>44</v>
      </c>
      <c r="B21" s="431"/>
      <c r="C21" s="431"/>
    </row>
    <row r="22" spans="1:3" x14ac:dyDescent="0.2">
      <c r="B22" s="432"/>
    </row>
    <row r="23" spans="1:3" x14ac:dyDescent="0.2">
      <c r="B23" s="432" t="s">
        <v>45</v>
      </c>
    </row>
    <row r="24" spans="1:3" x14ac:dyDescent="0.2">
      <c r="B24" s="432"/>
    </row>
    <row r="25" spans="1:3" ht="25.5" x14ac:dyDescent="0.2">
      <c r="B25" s="432" t="s">
        <v>46</v>
      </c>
    </row>
    <row r="26" spans="1:3" x14ac:dyDescent="0.2">
      <c r="B26" s="432"/>
    </row>
    <row r="27" spans="1:3" ht="25.5" x14ac:dyDescent="0.2">
      <c r="B27" s="432" t="s">
        <v>47</v>
      </c>
    </row>
    <row r="28" spans="1:3" x14ac:dyDescent="0.2">
      <c r="B28" s="432"/>
    </row>
    <row r="29" spans="1:3" x14ac:dyDescent="0.2">
      <c r="B29" s="432" t="s">
        <v>48</v>
      </c>
    </row>
    <row r="30" spans="1:3" x14ac:dyDescent="0.2">
      <c r="B30" s="433" t="s">
        <v>49</v>
      </c>
    </row>
    <row r="31" spans="1:3" x14ac:dyDescent="0.2">
      <c r="A31" s="4"/>
      <c r="B31" s="2"/>
    </row>
    <row r="32" spans="1:3" ht="15" x14ac:dyDescent="0.25">
      <c r="A32" s="431" t="s">
        <v>50</v>
      </c>
      <c r="B32" s="431"/>
      <c r="C32" s="431"/>
    </row>
    <row r="33" spans="1:9" x14ac:dyDescent="0.2">
      <c r="A33" s="4"/>
      <c r="B33" s="2"/>
    </row>
    <row r="34" spans="1:9" ht="14.1" customHeight="1" x14ac:dyDescent="0.25">
      <c r="A34" s="5"/>
      <c r="B34" s="653" t="s">
        <v>51</v>
      </c>
    </row>
    <row r="35" spans="1:9" ht="14.1" customHeight="1" x14ac:dyDescent="0.25">
      <c r="A35" s="5"/>
      <c r="B35" s="653" t="s">
        <v>52</v>
      </c>
    </row>
    <row r="36" spans="1:9" ht="14.1" customHeight="1" x14ac:dyDescent="0.2">
      <c r="A36" s="6"/>
      <c r="B36" s="653" t="s">
        <v>53</v>
      </c>
      <c r="C36" s="7"/>
      <c r="D36" s="7"/>
      <c r="E36" s="7"/>
      <c r="F36" s="7"/>
      <c r="G36" s="7"/>
      <c r="H36" s="7"/>
      <c r="I36" s="7"/>
    </row>
    <row r="37" spans="1:9" s="9" customFormat="1" ht="14.1" hidden="1" customHeight="1" x14ac:dyDescent="0.25">
      <c r="A37" s="5"/>
      <c r="B37" s="8"/>
      <c r="C37" s="8"/>
      <c r="D37" s="8"/>
      <c r="E37" s="8"/>
      <c r="F37" s="8"/>
      <c r="G37" s="8"/>
      <c r="H37" s="8"/>
      <c r="I37" s="8"/>
    </row>
    <row r="38" spans="1:9" s="9" customFormat="1" ht="14.1" hidden="1" customHeight="1" x14ac:dyDescent="0.25">
      <c r="A38" s="6"/>
      <c r="B38" s="434"/>
      <c r="C38" s="8"/>
      <c r="D38" s="8"/>
      <c r="E38" s="8"/>
      <c r="F38" s="8"/>
      <c r="G38" s="8"/>
      <c r="H38" s="8"/>
      <c r="I38" s="8"/>
    </row>
    <row r="39" spans="1:9" ht="14.1" hidden="1" customHeight="1" x14ac:dyDescent="0.2">
      <c r="A39" s="435"/>
      <c r="B39" s="434"/>
      <c r="C39" s="7"/>
      <c r="D39" s="7"/>
      <c r="E39" s="7"/>
      <c r="F39" s="7"/>
      <c r="G39" s="7"/>
      <c r="H39" s="7"/>
      <c r="I39" s="7"/>
    </row>
    <row r="40" spans="1:9" ht="14.1" hidden="1" customHeight="1" x14ac:dyDescent="0.2">
      <c r="A40" s="435"/>
      <c r="B40" s="434"/>
      <c r="C40" s="7"/>
      <c r="D40" s="7"/>
      <c r="E40" s="7"/>
      <c r="F40" s="7"/>
      <c r="G40" s="7"/>
      <c r="H40" s="7"/>
      <c r="I40" s="7"/>
    </row>
    <row r="41" spans="1:9" ht="14.1" hidden="1" customHeight="1" x14ac:dyDescent="0.2">
      <c r="A41" s="435"/>
      <c r="B41" s="434"/>
      <c r="C41" s="7"/>
      <c r="D41" s="7"/>
      <c r="E41" s="7"/>
      <c r="F41" s="7"/>
      <c r="G41" s="7"/>
      <c r="H41" s="7"/>
      <c r="I41" s="7"/>
    </row>
    <row r="42" spans="1:9" ht="14.1" hidden="1" customHeight="1" x14ac:dyDescent="0.2">
      <c r="A42" s="435"/>
      <c r="B42" s="434"/>
      <c r="C42" s="7"/>
      <c r="D42" s="7"/>
      <c r="E42" s="7"/>
      <c r="F42" s="7"/>
      <c r="G42" s="7"/>
      <c r="H42" s="7"/>
      <c r="I42" s="7"/>
    </row>
    <row r="43" spans="1:9" s="9" customFormat="1" ht="14.1" hidden="1" customHeight="1" x14ac:dyDescent="0.25">
      <c r="A43" s="5"/>
      <c r="B43" s="436"/>
      <c r="C43" s="8"/>
      <c r="D43" s="8"/>
      <c r="E43" s="8"/>
      <c r="F43" s="8"/>
      <c r="G43" s="8"/>
      <c r="H43" s="8"/>
      <c r="I43" s="8"/>
    </row>
    <row r="44" spans="1:9" ht="14.1" hidden="1" customHeight="1" x14ac:dyDescent="0.2">
      <c r="A44" s="4"/>
      <c r="B44" s="434"/>
      <c r="C44" s="7"/>
      <c r="D44" s="7"/>
      <c r="E44" s="7"/>
      <c r="F44" s="7"/>
      <c r="G44" s="7"/>
      <c r="H44" s="7"/>
      <c r="I44" s="7"/>
    </row>
    <row r="45" spans="1:9" ht="14.1" hidden="1" customHeight="1" x14ac:dyDescent="0.2">
      <c r="A45" s="4"/>
      <c r="B45" s="434"/>
      <c r="C45" s="7"/>
      <c r="D45" s="7"/>
      <c r="E45" s="7"/>
      <c r="F45" s="7"/>
      <c r="G45" s="7"/>
      <c r="H45" s="7"/>
      <c r="I45" s="7"/>
    </row>
    <row r="46" spans="1:9" ht="14.1" hidden="1" customHeight="1" x14ac:dyDescent="0.2">
      <c r="A46" s="4"/>
      <c r="B46" s="875"/>
      <c r="C46" s="875"/>
      <c r="D46" s="875"/>
      <c r="E46" s="875"/>
      <c r="F46" s="875"/>
      <c r="G46" s="875"/>
      <c r="H46" s="875"/>
      <c r="I46" s="875"/>
    </row>
    <row r="53" x14ac:dyDescent="0.2"/>
  </sheetData>
  <sheetProtection algorithmName="SHA-512" hashValue="uVgzjjMOr+ETdS7YT1mEqqli2z4XQE1DBxAtCEM4rqnOwWVlZqO+vjLaI/LCZ0VUUv9T5DCWLPJ+0Tlc+1PIbQ==" saltValue="QGelw8DMLkTYdsMFOsC++w==" spinCount="100000" sheet="1" objects="1" scenarios="1"/>
  <mergeCells count="1">
    <mergeCell ref="B46:I46"/>
  </mergeCells>
  <hyperlinks>
    <hyperlink ref="B30" r:id="rId1" xr:uid="{00000000-0004-0000-0100-000000000000}"/>
    <hyperlink ref="B34" r:id="rId2" xr:uid="{00000000-0004-0000-0100-000001000000}"/>
    <hyperlink ref="B35" r:id="rId3" xr:uid="{00000000-0004-0000-0100-000002000000}"/>
    <hyperlink ref="B36" r:id="rId4" xr:uid="{00000000-0004-0000-0100-000003000000}"/>
  </hyperlinks>
  <printOptions horizontalCentered="1"/>
  <pageMargins left="0.39370078740157483" right="0.39370078740157483" top="0.78740157480314965" bottom="0.78740157480314965" header="0.31496062992125984" footer="0.31496062992125984"/>
  <pageSetup paperSize="9" scale="81" orientation="portrait" r:id="rId5"/>
  <headerFooter>
    <oddHeader>&amp;L&amp;9&amp;K857362Page &amp;P of &amp;N&amp;C&amp;9 &amp;K8573622017 annual performance report tables (May 2017) &amp;R&amp;9&amp;G</oddHeader>
    <oddFooter>&amp;L&amp;9&amp;K857362&amp;A&amp;R&amp;9&amp;K857362Printed: &amp;D &amp;T</oddFooter>
  </headerFooter>
  <legacyDrawingHF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84"/>
  <sheetViews>
    <sheetView showGridLines="0" workbookViewId="0">
      <selection activeCell="J47" sqref="J47"/>
    </sheetView>
  </sheetViews>
  <sheetFormatPr defaultColWidth="0" defaultRowHeight="14.25" zeroHeight="1" x14ac:dyDescent="0.2"/>
  <cols>
    <col min="1" max="1" width="2.25" style="87" customWidth="1"/>
    <col min="2" max="2" width="4.125" style="87" customWidth="1"/>
    <col min="3" max="3" width="38" style="87" bestFit="1" customWidth="1"/>
    <col min="4" max="5" width="5.125" style="87" customWidth="1"/>
    <col min="6" max="8" width="14.625" style="87" customWidth="1"/>
    <col min="9" max="9" width="2.625" style="83" customWidth="1"/>
    <col min="10" max="10" width="39.75" style="87" customWidth="1"/>
    <col min="11" max="11" width="18.75" style="83" bestFit="1" customWidth="1"/>
    <col min="12" max="12" width="1.625" style="83" customWidth="1"/>
    <col min="13" max="13" width="1.625" style="84" hidden="1" customWidth="1"/>
    <col min="14" max="16" width="8.625" style="83" hidden="1" customWidth="1"/>
    <col min="17" max="17" width="1.625" style="84" hidden="1" customWidth="1"/>
    <col min="18" max="18" width="8" style="87" hidden="1" customWidth="1"/>
    <col min="19" max="19" width="1.625" style="84" hidden="1" customWidth="1"/>
    <col min="20" max="21" width="8" style="87" hidden="1" customWidth="1"/>
    <col min="22" max="22" width="50.25" style="87" hidden="1" customWidth="1"/>
    <col min="23" max="23" width="1.625" style="84" hidden="1" customWidth="1"/>
    <col min="24" max="16384" width="8" style="87" hidden="1"/>
  </cols>
  <sheetData>
    <row r="1" spans="2:23" customFormat="1" ht="20.25" x14ac:dyDescent="0.2">
      <c r="B1" s="79" t="s">
        <v>525</v>
      </c>
      <c r="C1" s="79"/>
      <c r="D1" s="79"/>
      <c r="E1" s="79"/>
      <c r="F1" s="79"/>
      <c r="G1" s="81"/>
      <c r="H1" s="81" t="str">
        <f>Validation!B3</f>
        <v>Yorkshire Water</v>
      </c>
      <c r="I1" s="79"/>
      <c r="J1" s="82"/>
      <c r="K1" s="82" t="s">
        <v>72</v>
      </c>
      <c r="L1" s="83"/>
      <c r="M1" s="84"/>
      <c r="N1" s="83"/>
      <c r="O1" s="83"/>
      <c r="P1" s="83"/>
      <c r="Q1" s="84"/>
      <c r="R1" s="83"/>
      <c r="S1" s="84"/>
      <c r="W1" s="84"/>
    </row>
    <row r="2" spans="2:23" ht="15" thickBot="1" x14ac:dyDescent="0.25">
      <c r="B2" s="86" t="s">
        <v>55</v>
      </c>
      <c r="C2" s="268"/>
      <c r="J2" s="83"/>
      <c r="R2" s="83"/>
      <c r="T2" s="896" t="s">
        <v>295</v>
      </c>
    </row>
    <row r="3" spans="2:23" ht="15" thickBot="1" x14ac:dyDescent="0.25">
      <c r="B3" s="985" t="s">
        <v>73</v>
      </c>
      <c r="C3" s="986"/>
      <c r="D3" s="389" t="s">
        <v>74</v>
      </c>
      <c r="E3" s="390" t="s">
        <v>75</v>
      </c>
      <c r="F3" s="304" t="s">
        <v>296</v>
      </c>
      <c r="G3" s="314" t="s">
        <v>377</v>
      </c>
      <c r="H3" s="390" t="s">
        <v>257</v>
      </c>
      <c r="J3" s="194" t="s">
        <v>294</v>
      </c>
      <c r="K3" s="196" t="s">
        <v>79</v>
      </c>
      <c r="R3" s="896" t="s">
        <v>61</v>
      </c>
      <c r="T3" s="896"/>
    </row>
    <row r="4" spans="2:23" ht="15" thickBot="1" x14ac:dyDescent="0.25">
      <c r="C4" s="334"/>
      <c r="J4" s="83"/>
      <c r="N4" s="896" t="s">
        <v>83</v>
      </c>
      <c r="O4" s="896"/>
      <c r="P4" s="842"/>
      <c r="R4" s="896"/>
      <c r="T4" s="896"/>
      <c r="U4" s="842"/>
      <c r="V4" s="842"/>
    </row>
    <row r="5" spans="2:23" ht="15" thickBot="1" x14ac:dyDescent="0.25">
      <c r="B5" s="864" t="s">
        <v>134</v>
      </c>
      <c r="C5" s="96" t="s">
        <v>526</v>
      </c>
      <c r="N5" s="97" t="s">
        <v>84</v>
      </c>
      <c r="O5" s="132"/>
      <c r="P5" s="132"/>
      <c r="R5"/>
    </row>
    <row r="6" spans="2:23" ht="14.65" customHeight="1" x14ac:dyDescent="0.2">
      <c r="B6" s="296">
        <v>1</v>
      </c>
      <c r="C6" s="282" t="s">
        <v>527</v>
      </c>
      <c r="D6" s="307" t="s">
        <v>86</v>
      </c>
      <c r="E6" s="284">
        <v>3</v>
      </c>
      <c r="F6" s="466">
        <v>182.767</v>
      </c>
      <c r="G6" s="467">
        <v>1.131</v>
      </c>
      <c r="H6" s="335">
        <f>+G6+F6</f>
        <v>183.898</v>
      </c>
      <c r="K6" s="28">
        <f xml:space="preserve"> IF( SUM( M6:Q6 ) = 0, 0, N$5 )</f>
        <v>0</v>
      </c>
      <c r="N6" s="105">
        <f xml:space="preserve"> IF( ISNUMBER( F6 ), 0, 1 )</f>
        <v>0</v>
      </c>
      <c r="O6" s="105">
        <f xml:space="preserve"> IF( ISNUMBER( G6 ), 0, 1 )</f>
        <v>0</v>
      </c>
      <c r="P6" s="132"/>
      <c r="R6"/>
    </row>
    <row r="7" spans="2:23" ht="14.65" customHeight="1" x14ac:dyDescent="0.2">
      <c r="B7" s="297">
        <v>2</v>
      </c>
      <c r="C7" s="286" t="s">
        <v>528</v>
      </c>
      <c r="D7" s="308" t="s">
        <v>86</v>
      </c>
      <c r="E7" s="288">
        <v>3</v>
      </c>
      <c r="F7" s="468">
        <v>124.261</v>
      </c>
      <c r="G7" s="469">
        <v>100.613</v>
      </c>
      <c r="H7" s="336">
        <f>+G7+F7</f>
        <v>224.874</v>
      </c>
      <c r="K7" s="28">
        <f t="shared" ref="K7" si="0" xml:space="preserve"> IF( SUM( M7:Q7 ) = 0, 0, N$5 )</f>
        <v>0</v>
      </c>
      <c r="N7" s="105">
        <f t="shared" ref="N7:O8" si="1" xml:space="preserve"> IF( ISNUMBER( F7 ), 0, 1 )</f>
        <v>0</v>
      </c>
      <c r="O7" s="105">
        <f t="shared" si="1"/>
        <v>0</v>
      </c>
      <c r="P7" s="132"/>
      <c r="R7"/>
    </row>
    <row r="8" spans="2:23" ht="14.65" customHeight="1" x14ac:dyDescent="0.2">
      <c r="B8" s="297">
        <v>3</v>
      </c>
      <c r="C8" s="286" t="s">
        <v>529</v>
      </c>
      <c r="D8" s="308" t="s">
        <v>86</v>
      </c>
      <c r="E8" s="288">
        <v>3</v>
      </c>
      <c r="F8" s="468">
        <v>0</v>
      </c>
      <c r="G8" s="469">
        <v>0</v>
      </c>
      <c r="H8" s="336">
        <f>+G8+F8</f>
        <v>0</v>
      </c>
      <c r="K8" s="28">
        <f xml:space="preserve"> IF( SUM( M8:Q8 ) = 0, 0, N$5 )</f>
        <v>0</v>
      </c>
      <c r="N8" s="105">
        <f t="shared" si="1"/>
        <v>0</v>
      </c>
      <c r="O8" s="105">
        <f t="shared" si="1"/>
        <v>0</v>
      </c>
      <c r="P8" s="132"/>
      <c r="R8"/>
    </row>
    <row r="9" spans="2:23" ht="14.65" customHeight="1" thickBot="1" x14ac:dyDescent="0.25">
      <c r="B9" s="298">
        <v>4</v>
      </c>
      <c r="C9" s="292" t="s">
        <v>257</v>
      </c>
      <c r="D9" s="293" t="s">
        <v>86</v>
      </c>
      <c r="E9" s="294">
        <v>3</v>
      </c>
      <c r="F9" s="337">
        <f>SUM(F6:F8)</f>
        <v>307.02800000000002</v>
      </c>
      <c r="G9" s="338">
        <f t="shared" ref="G9:H9" si="2">SUM(G6:G8)</f>
        <v>101.744</v>
      </c>
      <c r="H9" s="339">
        <f t="shared" si="2"/>
        <v>408.77199999999999</v>
      </c>
      <c r="K9" s="121"/>
      <c r="N9" s="290"/>
      <c r="O9" s="122"/>
      <c r="P9" s="122"/>
      <c r="R9"/>
    </row>
    <row r="10" spans="2:23" ht="15" thickBot="1" x14ac:dyDescent="0.25">
      <c r="B10" s="340"/>
      <c r="C10" s="161"/>
      <c r="D10" s="278"/>
      <c r="E10" s="278"/>
      <c r="F10" s="341"/>
      <c r="G10" s="341"/>
      <c r="H10" s="341"/>
      <c r="K10" s="121"/>
      <c r="N10" s="290"/>
      <c r="O10" s="122"/>
      <c r="P10" s="122"/>
      <c r="R10"/>
    </row>
    <row r="11" spans="2:23" ht="15" thickBot="1" x14ac:dyDescent="0.25">
      <c r="B11" s="864" t="s">
        <v>143</v>
      </c>
      <c r="C11" s="126" t="s">
        <v>530</v>
      </c>
      <c r="D11" s="280"/>
      <c r="E11" s="280"/>
      <c r="F11" s="279"/>
      <c r="G11" s="279"/>
      <c r="H11" s="279"/>
      <c r="K11" s="121"/>
      <c r="N11" s="290"/>
      <c r="O11" s="122"/>
      <c r="P11" s="122"/>
      <c r="R11"/>
    </row>
    <row r="12" spans="2:23" ht="14.65" customHeight="1" x14ac:dyDescent="0.2">
      <c r="B12" s="296">
        <v>5</v>
      </c>
      <c r="C12" s="282" t="s">
        <v>527</v>
      </c>
      <c r="D12" s="307" t="s">
        <v>86</v>
      </c>
      <c r="E12" s="284">
        <v>3</v>
      </c>
      <c r="F12" s="466">
        <v>219.92400000000001</v>
      </c>
      <c r="G12" s="467">
        <v>2.0840000000000001</v>
      </c>
      <c r="H12" s="335">
        <f>+G12+F12</f>
        <v>222.00800000000001</v>
      </c>
      <c r="K12" s="28">
        <f t="shared" ref="K12:K14" si="3" xml:space="preserve"> IF( SUM( M12:Q12 ) = 0, 0, N$5 )</f>
        <v>0</v>
      </c>
      <c r="N12" s="105">
        <f>IF(Validation!$H$3=1,0,IF(ISNUMBER(F12),0,1))</f>
        <v>0</v>
      </c>
      <c r="O12" s="105">
        <f>IF(Validation!$H$3=1,0,IF(ISNUMBER(G12),0,1))</f>
        <v>0</v>
      </c>
      <c r="P12" s="132"/>
      <c r="R12"/>
    </row>
    <row r="13" spans="2:23" ht="14.65" customHeight="1" x14ac:dyDescent="0.2">
      <c r="B13" s="297">
        <v>6</v>
      </c>
      <c r="C13" s="286" t="s">
        <v>528</v>
      </c>
      <c r="D13" s="308" t="s">
        <v>86</v>
      </c>
      <c r="E13" s="288">
        <v>3</v>
      </c>
      <c r="F13" s="468">
        <v>163.965</v>
      </c>
      <c r="G13" s="469">
        <v>113.40600000000001</v>
      </c>
      <c r="H13" s="336">
        <f>+G13+F13</f>
        <v>277.37099999999998</v>
      </c>
      <c r="K13" s="28">
        <f t="shared" si="3"/>
        <v>0</v>
      </c>
      <c r="N13" s="105">
        <f>IF(Validation!$H$3=1,0,IF(ISNUMBER(F13),0,1))</f>
        <v>0</v>
      </c>
      <c r="O13" s="105">
        <f>IF(Validation!$H$3=1,0,IF(ISNUMBER(G13),0,1))</f>
        <v>0</v>
      </c>
      <c r="P13" s="132"/>
      <c r="R13"/>
    </row>
    <row r="14" spans="2:23" ht="14.65" customHeight="1" x14ac:dyDescent="0.2">
      <c r="B14" s="297">
        <v>7</v>
      </c>
      <c r="C14" s="286" t="s">
        <v>529</v>
      </c>
      <c r="D14" s="308" t="s">
        <v>86</v>
      </c>
      <c r="E14" s="288">
        <v>3</v>
      </c>
      <c r="F14" s="468">
        <v>0</v>
      </c>
      <c r="G14" s="469">
        <v>0</v>
      </c>
      <c r="H14" s="336">
        <f>+G14+F14</f>
        <v>0</v>
      </c>
      <c r="K14" s="28">
        <f t="shared" si="3"/>
        <v>0</v>
      </c>
      <c r="N14" s="105">
        <f>IF(Validation!$H$3=1,0,IF(ISNUMBER(F14),0,1))</f>
        <v>0</v>
      </c>
      <c r="O14" s="105">
        <f>IF(Validation!$H$3=1,0,IF(ISNUMBER(G14),0,1))</f>
        <v>0</v>
      </c>
      <c r="P14" s="132"/>
      <c r="R14"/>
    </row>
    <row r="15" spans="2:23" ht="14.65" customHeight="1" thickBot="1" x14ac:dyDescent="0.25">
      <c r="B15" s="298">
        <v>8</v>
      </c>
      <c r="C15" s="292" t="s">
        <v>257</v>
      </c>
      <c r="D15" s="293" t="s">
        <v>86</v>
      </c>
      <c r="E15" s="294">
        <v>3</v>
      </c>
      <c r="F15" s="337">
        <f>+F13+F12+F14</f>
        <v>383.88900000000001</v>
      </c>
      <c r="G15" s="338">
        <f>+G13+G12+G14</f>
        <v>115.49000000000001</v>
      </c>
      <c r="H15" s="339">
        <f>+H13+H12+H14</f>
        <v>499.37900000000002</v>
      </c>
      <c r="K15" s="121"/>
      <c r="N15" s="290"/>
      <c r="O15" s="122"/>
      <c r="P15" s="122"/>
      <c r="R15"/>
    </row>
    <row r="16" spans="2:23" ht="15" thickBot="1" x14ac:dyDescent="0.25">
      <c r="B16" s="340"/>
      <c r="C16" s="161"/>
      <c r="D16" s="278"/>
      <c r="E16" s="278"/>
      <c r="F16" s="341"/>
      <c r="G16" s="341"/>
      <c r="H16" s="341"/>
      <c r="K16" s="121"/>
      <c r="N16" s="290"/>
      <c r="O16" s="122"/>
      <c r="P16" s="122"/>
      <c r="R16"/>
    </row>
    <row r="17" spans="2:23" ht="14.65" customHeight="1" thickBot="1" x14ac:dyDescent="0.25">
      <c r="B17" s="342">
        <v>9</v>
      </c>
      <c r="C17" s="274" t="s">
        <v>531</v>
      </c>
      <c r="D17" s="343" t="s">
        <v>86</v>
      </c>
      <c r="E17" s="276">
        <v>3</v>
      </c>
      <c r="F17" s="344">
        <f>+F15+F9</f>
        <v>690.91700000000003</v>
      </c>
      <c r="G17" s="345">
        <f>+G15+G9</f>
        <v>217.23400000000001</v>
      </c>
      <c r="H17" s="346">
        <f>+H15+H9</f>
        <v>908.15100000000007</v>
      </c>
      <c r="K17" s="121"/>
      <c r="N17" s="290"/>
      <c r="O17" s="122"/>
      <c r="P17" s="122"/>
      <c r="R17"/>
    </row>
    <row r="18" spans="2:23" ht="15" thickBot="1" x14ac:dyDescent="0.25">
      <c r="B18" s="146"/>
      <c r="D18" s="280"/>
      <c r="E18" s="280"/>
      <c r="F18" s="279"/>
      <c r="G18" s="279"/>
      <c r="H18" s="279"/>
      <c r="K18" s="121"/>
      <c r="N18" s="290"/>
      <c r="O18" s="122"/>
      <c r="P18" s="122"/>
      <c r="R18"/>
    </row>
    <row r="19" spans="2:23" ht="15" thickBot="1" x14ac:dyDescent="0.25">
      <c r="B19" s="864" t="s">
        <v>149</v>
      </c>
      <c r="C19" s="126" t="s">
        <v>532</v>
      </c>
      <c r="D19" s="280"/>
      <c r="E19" s="280"/>
      <c r="F19" s="279"/>
      <c r="G19" s="279"/>
      <c r="H19" s="279"/>
      <c r="K19" s="121"/>
      <c r="N19" s="290"/>
      <c r="O19" s="122"/>
      <c r="P19" s="122"/>
      <c r="R19"/>
    </row>
    <row r="20" spans="2:23" ht="14.65" customHeight="1" x14ac:dyDescent="0.2">
      <c r="B20" s="296">
        <v>10</v>
      </c>
      <c r="C20" s="282" t="s">
        <v>527</v>
      </c>
      <c r="D20" s="307" t="s">
        <v>86</v>
      </c>
      <c r="E20" s="284">
        <v>3</v>
      </c>
      <c r="F20" s="466">
        <v>27.472999999999999</v>
      </c>
      <c r="G20" s="467">
        <v>0.73399999999999999</v>
      </c>
      <c r="H20" s="335">
        <f>+G20+F20</f>
        <v>28.207000000000001</v>
      </c>
      <c r="K20" s="28">
        <f t="shared" ref="K20:K22" si="4" xml:space="preserve"> IF( SUM( M20:Q20 ) = 0, 0, N$5 )</f>
        <v>0</v>
      </c>
      <c r="N20" s="105">
        <f t="shared" ref="N20:O22" si="5" xml:space="preserve"> IF( ISNUMBER( F20 ), 0, 1 )</f>
        <v>0</v>
      </c>
      <c r="O20" s="105">
        <f t="shared" si="5"/>
        <v>0</v>
      </c>
      <c r="P20" s="132"/>
      <c r="R20"/>
    </row>
    <row r="21" spans="2:23" ht="14.65" customHeight="1" x14ac:dyDescent="0.2">
      <c r="B21" s="297">
        <v>11</v>
      </c>
      <c r="C21" s="286" t="s">
        <v>528</v>
      </c>
      <c r="D21" s="308" t="s">
        <v>86</v>
      </c>
      <c r="E21" s="288">
        <v>3</v>
      </c>
      <c r="F21" s="468">
        <v>33.238999999999997</v>
      </c>
      <c r="G21" s="469">
        <v>10.214</v>
      </c>
      <c r="H21" s="336">
        <f>+G21+F21</f>
        <v>43.452999999999996</v>
      </c>
      <c r="K21" s="28">
        <f t="shared" si="4"/>
        <v>0</v>
      </c>
      <c r="N21" s="105">
        <f t="shared" si="5"/>
        <v>0</v>
      </c>
      <c r="O21" s="105">
        <f t="shared" si="5"/>
        <v>0</v>
      </c>
      <c r="P21" s="132"/>
      <c r="R21"/>
    </row>
    <row r="22" spans="2:23" ht="14.65" customHeight="1" x14ac:dyDescent="0.2">
      <c r="B22" s="297">
        <v>12</v>
      </c>
      <c r="C22" s="286" t="s">
        <v>533</v>
      </c>
      <c r="D22" s="308" t="s">
        <v>86</v>
      </c>
      <c r="E22" s="288">
        <v>3</v>
      </c>
      <c r="F22" s="468">
        <v>0</v>
      </c>
      <c r="G22" s="469">
        <v>0</v>
      </c>
      <c r="H22" s="336">
        <f>+G22+F22</f>
        <v>0</v>
      </c>
      <c r="K22" s="28">
        <f t="shared" si="4"/>
        <v>0</v>
      </c>
      <c r="N22" s="105">
        <f t="shared" si="5"/>
        <v>0</v>
      </c>
      <c r="O22" s="105">
        <f t="shared" si="5"/>
        <v>0</v>
      </c>
      <c r="P22" s="132"/>
      <c r="R22"/>
    </row>
    <row r="23" spans="2:23" ht="15" thickBot="1" x14ac:dyDescent="0.25">
      <c r="B23" s="298">
        <v>13</v>
      </c>
      <c r="C23" s="292" t="s">
        <v>534</v>
      </c>
      <c r="D23" s="293" t="s">
        <v>86</v>
      </c>
      <c r="E23" s="294">
        <v>3</v>
      </c>
      <c r="F23" s="337">
        <f>+F22+F21+F20</f>
        <v>60.711999999999996</v>
      </c>
      <c r="G23" s="338">
        <f t="shared" ref="G23:H23" si="6">+G22+G21+G20</f>
        <v>10.948</v>
      </c>
      <c r="H23" s="339">
        <f t="shared" si="6"/>
        <v>71.66</v>
      </c>
      <c r="I23" s="129"/>
      <c r="J23" s="843">
        <f xml:space="preserve"> IF( SUM( Q23:S23 ) = 0, 0, V23 )</f>
        <v>0</v>
      </c>
      <c r="K23" s="121"/>
      <c r="L23" s="129"/>
      <c r="M23" s="133"/>
      <c r="N23" s="290"/>
      <c r="O23" s="122"/>
      <c r="P23" s="122"/>
      <c r="Q23" s="133"/>
      <c r="R23" s="105">
        <f xml:space="preserve"> IF( (T23 - U23) = 0, 0, 1 )</f>
        <v>0</v>
      </c>
      <c r="S23" s="133"/>
      <c r="T23" s="171">
        <f xml:space="preserve"> ROUND( H17 + H23, 3)</f>
        <v>979.81100000000004</v>
      </c>
      <c r="U23" s="171">
        <f xml:space="preserve"> ROUND( '2A'!N6, 3)</f>
        <v>979.81100000000004</v>
      </c>
      <c r="V23" s="87" t="s">
        <v>535</v>
      </c>
      <c r="W23" s="133"/>
    </row>
    <row r="24" spans="2:23" ht="15" thickBot="1" x14ac:dyDescent="0.25">
      <c r="B24" s="340"/>
      <c r="C24" s="161"/>
      <c r="D24" s="278"/>
      <c r="E24" s="278"/>
      <c r="F24" s="146"/>
      <c r="G24" s="146"/>
      <c r="H24" s="146"/>
      <c r="I24" s="135"/>
      <c r="K24" s="211"/>
      <c r="L24" s="135"/>
      <c r="M24" s="130"/>
      <c r="N24" s="212"/>
      <c r="O24" s="169"/>
      <c r="P24" s="169"/>
      <c r="Q24" s="130"/>
      <c r="R24"/>
      <c r="S24" s="130"/>
      <c r="W24" s="130"/>
    </row>
    <row r="25" spans="2:23" ht="15" thickBot="1" x14ac:dyDescent="0.25">
      <c r="B25" s="864" t="s">
        <v>158</v>
      </c>
      <c r="C25" s="126" t="s">
        <v>536</v>
      </c>
      <c r="D25" s="280"/>
      <c r="E25" s="280"/>
      <c r="F25" s="146"/>
      <c r="G25" s="146"/>
      <c r="H25" s="146"/>
      <c r="I25" s="135"/>
      <c r="K25" s="211"/>
      <c r="L25" s="135"/>
      <c r="M25" s="130"/>
      <c r="N25" s="212"/>
      <c r="O25" s="169"/>
      <c r="P25" s="169"/>
      <c r="Q25" s="130"/>
      <c r="R25"/>
      <c r="S25" s="130"/>
      <c r="W25" s="130"/>
    </row>
    <row r="26" spans="2:23" ht="14.65" customHeight="1" x14ac:dyDescent="0.2">
      <c r="B26" s="296">
        <v>14</v>
      </c>
      <c r="C26" s="282" t="s">
        <v>537</v>
      </c>
      <c r="D26" s="307" t="s">
        <v>86</v>
      </c>
      <c r="E26" s="284">
        <v>3</v>
      </c>
      <c r="F26" s="146"/>
      <c r="G26" s="146"/>
      <c r="H26" s="470">
        <v>0.41799999999999998</v>
      </c>
      <c r="I26" s="135"/>
      <c r="K26" s="28">
        <f t="shared" ref="K26:K28" si="7" xml:space="preserve"> IF( SUM( M26:Q26 ) = 0, 0, N$5 )</f>
        <v>0</v>
      </c>
      <c r="L26" s="135"/>
      <c r="M26" s="130"/>
      <c r="N26" s="212"/>
      <c r="O26" s="132"/>
      <c r="P26" s="105">
        <f t="shared" ref="P26:P28" si="8" xml:space="preserve"> IF( ISNUMBER( H26 ), 0, 1 )</f>
        <v>0</v>
      </c>
      <c r="Q26" s="130"/>
      <c r="R26"/>
      <c r="S26" s="130"/>
      <c r="W26" s="130"/>
    </row>
    <row r="27" spans="2:23" ht="14.65" customHeight="1" x14ac:dyDescent="0.2">
      <c r="B27" s="297">
        <v>15</v>
      </c>
      <c r="C27" s="286" t="s">
        <v>538</v>
      </c>
      <c r="D27" s="308" t="s">
        <v>86</v>
      </c>
      <c r="E27" s="288">
        <v>3</v>
      </c>
      <c r="F27" s="146"/>
      <c r="G27" s="146"/>
      <c r="H27" s="471">
        <v>0</v>
      </c>
      <c r="I27" s="135"/>
      <c r="K27" s="28">
        <f t="shared" si="7"/>
        <v>0</v>
      </c>
      <c r="L27" s="135"/>
      <c r="M27" s="130"/>
      <c r="N27" s="212"/>
      <c r="O27" s="132"/>
      <c r="P27" s="105">
        <f t="shared" si="8"/>
        <v>0</v>
      </c>
      <c r="Q27" s="130"/>
      <c r="R27"/>
      <c r="S27" s="130"/>
      <c r="W27" s="130"/>
    </row>
    <row r="28" spans="2:23" ht="14.65" customHeight="1" thickBot="1" x14ac:dyDescent="0.25">
      <c r="B28" s="298">
        <v>16</v>
      </c>
      <c r="C28" s="292" t="s">
        <v>533</v>
      </c>
      <c r="D28" s="293" t="s">
        <v>86</v>
      </c>
      <c r="E28" s="294">
        <v>3</v>
      </c>
      <c r="F28" s="146"/>
      <c r="G28" s="146"/>
      <c r="H28" s="696">
        <v>4.9196670000000005</v>
      </c>
      <c r="I28" s="135"/>
      <c r="K28" s="28">
        <f t="shared" si="7"/>
        <v>0</v>
      </c>
      <c r="L28" s="135"/>
      <c r="M28" s="130"/>
      <c r="N28" s="212"/>
      <c r="O28" s="132"/>
      <c r="P28" s="105">
        <f t="shared" si="8"/>
        <v>0</v>
      </c>
      <c r="Q28" s="130"/>
      <c r="R28" s="132"/>
      <c r="S28" s="130"/>
      <c r="W28" s="130"/>
    </row>
    <row r="29" spans="2:23" ht="15" thickBot="1" x14ac:dyDescent="0.25">
      <c r="B29" s="340"/>
      <c r="C29" s="161"/>
      <c r="D29" s="278"/>
      <c r="E29" s="278"/>
      <c r="F29" s="146"/>
      <c r="G29" s="146"/>
      <c r="H29" s="146"/>
      <c r="I29" s="135"/>
      <c r="K29" s="211"/>
      <c r="L29" s="135"/>
      <c r="M29" s="130"/>
      <c r="N29" s="212"/>
      <c r="O29" s="169"/>
      <c r="P29" s="169"/>
      <c r="Q29" s="130"/>
      <c r="R29"/>
      <c r="S29" s="130"/>
      <c r="W29" s="130"/>
    </row>
    <row r="30" spans="2:23" ht="14.65" customHeight="1" thickBot="1" x14ac:dyDescent="0.25">
      <c r="B30" s="864" t="s">
        <v>165</v>
      </c>
      <c r="C30" s="126" t="s">
        <v>539</v>
      </c>
      <c r="D30" s="280"/>
      <c r="E30" s="280"/>
      <c r="F30" s="146"/>
      <c r="G30" s="146"/>
      <c r="H30" s="146"/>
      <c r="I30" s="135"/>
      <c r="K30" s="28"/>
      <c r="L30" s="135"/>
      <c r="M30" s="130"/>
      <c r="N30" s="212"/>
      <c r="O30" s="132"/>
      <c r="P30" s="132"/>
      <c r="Q30" s="130"/>
      <c r="R30"/>
      <c r="S30" s="130"/>
      <c r="W30" s="130"/>
    </row>
    <row r="31" spans="2:23" ht="14.65" customHeight="1" x14ac:dyDescent="0.2">
      <c r="B31" s="694">
        <v>17</v>
      </c>
      <c r="C31" s="695" t="s">
        <v>540</v>
      </c>
      <c r="D31" s="307" t="s">
        <v>86</v>
      </c>
      <c r="E31" s="284">
        <v>3</v>
      </c>
      <c r="F31" s="146"/>
      <c r="G31" s="146"/>
      <c r="H31" s="697">
        <v>0</v>
      </c>
      <c r="I31" s="135"/>
      <c r="K31" s="28">
        <f t="shared" ref="K31" si="9" xml:space="preserve"> IF( SUM( M31:Q31 ) = 0, 0, N$5 )</f>
        <v>0</v>
      </c>
      <c r="L31" s="135"/>
      <c r="M31" s="130"/>
      <c r="N31" s="212"/>
      <c r="O31" s="132"/>
      <c r="P31" s="105">
        <f t="shared" ref="P31" si="10" xml:space="preserve"> IF( ISNUMBER( H31 ), 0, 1 )</f>
        <v>0</v>
      </c>
      <c r="Q31" s="130"/>
      <c r="R31"/>
      <c r="S31" s="130"/>
      <c r="W31" s="130"/>
    </row>
    <row r="32" spans="2:23" ht="13.5" thickBot="1" x14ac:dyDescent="0.25">
      <c r="B32" s="298">
        <v>18</v>
      </c>
      <c r="C32" s="292" t="s">
        <v>541</v>
      </c>
      <c r="D32" s="293" t="s">
        <v>86</v>
      </c>
      <c r="E32" s="294">
        <v>3</v>
      </c>
      <c r="F32" s="146"/>
      <c r="G32" s="146"/>
      <c r="H32" s="347">
        <f>+H17+H23+H26+H27+H28+H31</f>
        <v>985.14866700000005</v>
      </c>
      <c r="I32" s="135"/>
      <c r="J32" s="843">
        <f xml:space="preserve"> IF( SUM( Q32:S32 ) = 0, 0, V32 )</f>
        <v>0</v>
      </c>
      <c r="K32" s="87"/>
      <c r="L32" s="135"/>
      <c r="M32" s="130"/>
      <c r="N32" s="212"/>
      <c r="O32" s="169"/>
      <c r="P32" s="169"/>
      <c r="Q32" s="130"/>
      <c r="R32" s="105">
        <f xml:space="preserve"> IF( (T32 - U32) = 0, 0, 1 )</f>
        <v>0</v>
      </c>
      <c r="S32" s="130"/>
      <c r="T32" s="171">
        <f xml:space="preserve"> ROUND(H32, 3)</f>
        <v>985.149</v>
      </c>
      <c r="U32" s="171">
        <f xml:space="preserve"> ROUND( '1A'!J6, 3)</f>
        <v>985.149</v>
      </c>
      <c r="V32" s="87" t="s">
        <v>542</v>
      </c>
      <c r="W32" s="130"/>
    </row>
    <row r="33" spans="2:23" x14ac:dyDescent="0.2">
      <c r="B33" s="340"/>
      <c r="C33" s="161"/>
      <c r="D33" s="278"/>
      <c r="E33" s="278"/>
      <c r="I33" s="135"/>
      <c r="K33" s="87"/>
      <c r="L33" s="135"/>
      <c r="M33" s="130"/>
      <c r="N33" s="212"/>
      <c r="O33" s="169"/>
      <c r="P33" s="169"/>
      <c r="Q33" s="130"/>
      <c r="R33"/>
      <c r="S33" s="130"/>
      <c r="W33" s="130"/>
    </row>
    <row r="34" spans="2:23" ht="15" thickBot="1" x14ac:dyDescent="0.25">
      <c r="B34" s="340"/>
      <c r="C34" s="161"/>
      <c r="D34" s="278"/>
      <c r="E34" s="278"/>
      <c r="I34" s="137"/>
      <c r="K34" s="87"/>
      <c r="L34" s="135"/>
      <c r="M34" s="130"/>
      <c r="N34" s="309"/>
      <c r="O34" s="186"/>
      <c r="P34" s="186"/>
      <c r="Q34" s="130"/>
      <c r="R34"/>
      <c r="S34" s="130"/>
      <c r="W34" s="130"/>
    </row>
    <row r="35" spans="2:23" ht="15" thickBot="1" x14ac:dyDescent="0.25">
      <c r="B35" s="279"/>
      <c r="C35" s="161"/>
      <c r="D35" s="278"/>
      <c r="E35" s="278"/>
      <c r="F35" s="332" t="s">
        <v>457</v>
      </c>
      <c r="G35" s="333" t="s">
        <v>458</v>
      </c>
      <c r="H35" s="348" t="s">
        <v>257</v>
      </c>
      <c r="I35" s="137"/>
      <c r="K35" s="87"/>
      <c r="L35" s="135"/>
      <c r="M35" s="130"/>
      <c r="N35" s="309"/>
      <c r="O35" s="186"/>
      <c r="P35" s="186"/>
      <c r="Q35" s="130"/>
      <c r="R35"/>
      <c r="S35" s="130"/>
      <c r="W35" s="130"/>
    </row>
    <row r="36" spans="2:23" ht="15" thickBot="1" x14ac:dyDescent="0.25">
      <c r="B36" s="279"/>
      <c r="C36" s="161"/>
      <c r="D36" s="161"/>
      <c r="E36" s="161"/>
      <c r="F36" s="161"/>
      <c r="G36" s="161"/>
      <c r="H36" s="161"/>
      <c r="I36" s="129"/>
      <c r="K36" s="87"/>
      <c r="L36" s="129"/>
      <c r="M36" s="133"/>
      <c r="N36" s="290"/>
      <c r="O36" s="122"/>
      <c r="P36" s="122"/>
      <c r="Q36" s="133"/>
      <c r="R36"/>
      <c r="S36" s="133"/>
      <c r="W36" s="133"/>
    </row>
    <row r="37" spans="2:23" ht="14.65" customHeight="1" x14ac:dyDescent="0.2">
      <c r="B37" s="296">
        <v>19</v>
      </c>
      <c r="C37" s="282" t="s">
        <v>543</v>
      </c>
      <c r="D37" s="307" t="s">
        <v>86</v>
      </c>
      <c r="E37" s="284">
        <v>3</v>
      </c>
      <c r="F37" s="349">
        <f>+H9</f>
        <v>408.77199999999999</v>
      </c>
      <c r="G37" s="350">
        <f>+H15</f>
        <v>499.37900000000002</v>
      </c>
      <c r="H37" s="351">
        <f>+H17</f>
        <v>908.15100000000007</v>
      </c>
      <c r="I37" s="129"/>
      <c r="K37" s="87"/>
      <c r="L37" s="129"/>
      <c r="M37" s="133"/>
      <c r="N37" s="290"/>
      <c r="O37" s="122"/>
      <c r="P37" s="122"/>
      <c r="Q37" s="133"/>
      <c r="R37"/>
      <c r="S37" s="133"/>
      <c r="W37" s="133"/>
    </row>
    <row r="38" spans="2:23" ht="14.65" customHeight="1" x14ac:dyDescent="0.2">
      <c r="B38" s="297">
        <v>20</v>
      </c>
      <c r="C38" s="286" t="s">
        <v>544</v>
      </c>
      <c r="D38" s="308" t="s">
        <v>86</v>
      </c>
      <c r="E38" s="288">
        <v>3</v>
      </c>
      <c r="F38" s="472">
        <v>14.416</v>
      </c>
      <c r="G38" s="754">
        <v>8.2289999999999992</v>
      </c>
      <c r="H38" s="336">
        <f>+G38+F38</f>
        <v>22.645</v>
      </c>
      <c r="I38" s="352"/>
      <c r="K38" s="28">
        <f t="shared" ref="K38" si="11" xml:space="preserve"> IF( SUM( M38:Q38 ) = 0, 0, N$5 )</f>
        <v>0</v>
      </c>
      <c r="N38" s="105">
        <f t="shared" ref="N38" si="12" xml:space="preserve"> IF( ISNUMBER( F38 ), 0, 1 )</f>
        <v>0</v>
      </c>
      <c r="O38" s="105">
        <f>IF(Validation!$H$3=1,0,IF(ISNUMBER(G38),0,1))</f>
        <v>0</v>
      </c>
      <c r="P38" s="186"/>
      <c r="R38"/>
      <c r="S38" s="133"/>
      <c r="W38" s="133"/>
    </row>
    <row r="39" spans="2:23" ht="14.65" customHeight="1" x14ac:dyDescent="0.2">
      <c r="B39" s="297">
        <v>21</v>
      </c>
      <c r="C39" s="286" t="s">
        <v>545</v>
      </c>
      <c r="D39" s="308" t="s">
        <v>86</v>
      </c>
      <c r="E39" s="288">
        <v>3</v>
      </c>
      <c r="F39" s="353">
        <f>+F38+F37</f>
        <v>423.18799999999999</v>
      </c>
      <c r="G39" s="755">
        <f>+G38+G37</f>
        <v>507.608</v>
      </c>
      <c r="H39" s="336">
        <f>+H38+H37</f>
        <v>930.79600000000005</v>
      </c>
      <c r="I39" s="355"/>
      <c r="K39" s="87"/>
      <c r="L39" s="129"/>
      <c r="M39" s="133"/>
      <c r="N39" s="290"/>
      <c r="O39" s="122"/>
      <c r="P39" s="186"/>
      <c r="Q39" s="133"/>
      <c r="R39" s="122"/>
      <c r="S39" s="133"/>
      <c r="W39" s="133"/>
    </row>
    <row r="40" spans="2:23" ht="14.65" customHeight="1" x14ac:dyDescent="0.2">
      <c r="B40" s="297">
        <v>22</v>
      </c>
      <c r="C40" s="286" t="s">
        <v>546</v>
      </c>
      <c r="D40" s="308" t="s">
        <v>86</v>
      </c>
      <c r="E40" s="288">
        <v>3</v>
      </c>
      <c r="F40" s="472">
        <v>411.68604129052034</v>
      </c>
      <c r="G40" s="754">
        <v>505.63751912137565</v>
      </c>
      <c r="H40" s="336">
        <f>+G40+F40</f>
        <v>917.32356041189598</v>
      </c>
      <c r="I40" s="356"/>
      <c r="K40" s="28">
        <f t="shared" ref="K40:K42" si="13" xml:space="preserve"> IF( SUM( M40:Q40 ) = 0, 0, N$5 )</f>
        <v>0</v>
      </c>
      <c r="N40" s="105">
        <f t="shared" ref="N40" si="14" xml:space="preserve"> IF( ISNUMBER( F40 ), 0, 1 )</f>
        <v>0</v>
      </c>
      <c r="O40" s="105">
        <f>IF(Validation!$H$3=1,0,IF(ISNUMBER(G40),0,1))</f>
        <v>0</v>
      </c>
      <c r="P40" s="186"/>
      <c r="S40" s="133"/>
      <c r="W40" s="133"/>
    </row>
    <row r="41" spans="2:23" ht="14.65" customHeight="1" x14ac:dyDescent="0.2">
      <c r="B41" s="694">
        <v>23</v>
      </c>
      <c r="C41" s="695" t="s">
        <v>547</v>
      </c>
      <c r="D41" s="308" t="s">
        <v>86</v>
      </c>
      <c r="E41" s="288">
        <v>3</v>
      </c>
      <c r="F41" s="698">
        <v>0</v>
      </c>
      <c r="G41" s="469">
        <v>0</v>
      </c>
      <c r="H41" s="336">
        <f t="shared" ref="H41:H43" si="15">+G41+F41</f>
        <v>0</v>
      </c>
      <c r="I41" s="356"/>
      <c r="K41" s="28">
        <f t="shared" si="13"/>
        <v>0</v>
      </c>
      <c r="N41" s="105">
        <f t="shared" ref="N41:N42" si="16" xml:space="preserve"> IF( ISNUMBER( F41 ), 0, 1 )</f>
        <v>0</v>
      </c>
      <c r="O41" s="105">
        <f>IF(Validation!$H$3=1,0,IF(ISNUMBER(G41),0,1))</f>
        <v>0</v>
      </c>
      <c r="P41" s="186"/>
      <c r="S41" s="133"/>
      <c r="W41" s="133"/>
    </row>
    <row r="42" spans="2:23" ht="14.65" customHeight="1" x14ac:dyDescent="0.2">
      <c r="B42" s="694">
        <v>24</v>
      </c>
      <c r="C42" s="695" t="s">
        <v>548</v>
      </c>
      <c r="D42" s="308" t="s">
        <v>86</v>
      </c>
      <c r="E42" s="288">
        <v>3</v>
      </c>
      <c r="F42" s="698">
        <v>0</v>
      </c>
      <c r="G42" s="469">
        <v>0</v>
      </c>
      <c r="H42" s="336">
        <f t="shared" si="15"/>
        <v>0</v>
      </c>
      <c r="I42" s="356"/>
      <c r="K42" s="28">
        <f t="shared" si="13"/>
        <v>0</v>
      </c>
      <c r="N42" s="105">
        <f t="shared" si="16"/>
        <v>0</v>
      </c>
      <c r="O42" s="105">
        <f>IF(Validation!$H$3=1,0,IF(ISNUMBER(G42),0,1))</f>
        <v>0</v>
      </c>
      <c r="P42" s="186"/>
      <c r="S42" s="133"/>
      <c r="W42" s="133"/>
    </row>
    <row r="43" spans="2:23" ht="14.65" customHeight="1" x14ac:dyDescent="0.2">
      <c r="B43" s="694">
        <v>25</v>
      </c>
      <c r="C43" s="695" t="s">
        <v>549</v>
      </c>
      <c r="D43" s="308" t="s">
        <v>86</v>
      </c>
      <c r="E43" s="288">
        <v>3</v>
      </c>
      <c r="F43" s="353">
        <f>SUM(F40:F42)</f>
        <v>411.68604129052034</v>
      </c>
      <c r="G43" s="354">
        <f>SUM(G40:G42)</f>
        <v>505.63751912137565</v>
      </c>
      <c r="H43" s="336">
        <f t="shared" si="15"/>
        <v>917.32356041189598</v>
      </c>
      <c r="I43" s="356"/>
      <c r="K43" s="131"/>
      <c r="N43" s="132"/>
      <c r="O43" s="132"/>
      <c r="P43" s="186"/>
      <c r="S43" s="133"/>
      <c r="W43" s="133"/>
    </row>
    <row r="44" spans="2:23" ht="14.65" customHeight="1" thickBot="1" x14ac:dyDescent="0.25">
      <c r="B44" s="298">
        <v>26</v>
      </c>
      <c r="C44" s="292" t="s">
        <v>550</v>
      </c>
      <c r="D44" s="293" t="s">
        <v>86</v>
      </c>
      <c r="E44" s="294">
        <v>3</v>
      </c>
      <c r="F44" s="337">
        <f>+F39-F43</f>
        <v>11.501958709479652</v>
      </c>
      <c r="G44" s="756">
        <f>+G39-G43</f>
        <v>1.9704808786243575</v>
      </c>
      <c r="H44" s="339">
        <f>+H39-H43</f>
        <v>13.472439588104066</v>
      </c>
      <c r="I44" s="355"/>
      <c r="K44" s="131"/>
      <c r="L44" s="129"/>
      <c r="M44" s="133"/>
      <c r="N44" s="290"/>
      <c r="O44" s="131"/>
      <c r="P44" s="186"/>
      <c r="Q44" s="133"/>
      <c r="S44" s="133"/>
      <c r="W44" s="133"/>
    </row>
    <row r="45" spans="2:23" s="83" customFormat="1" x14ac:dyDescent="0.2">
      <c r="I45" s="356"/>
      <c r="J45" s="87"/>
      <c r="K45" s="131"/>
      <c r="L45" s="129"/>
      <c r="M45" s="133"/>
      <c r="N45" s="290"/>
      <c r="O45" s="131"/>
      <c r="P45" s="186"/>
      <c r="Q45" s="133"/>
      <c r="R45" s="87"/>
      <c r="S45" s="133"/>
      <c r="W45" s="133"/>
    </row>
    <row r="46" spans="2:23" s="169" customFormat="1" x14ac:dyDescent="0.2">
      <c r="B46" s="897" t="s">
        <v>101</v>
      </c>
      <c r="C46" s="897"/>
      <c r="I46" s="356"/>
      <c r="J46" s="87"/>
      <c r="K46" s="131"/>
      <c r="L46" s="129"/>
      <c r="M46" s="133"/>
      <c r="N46" s="290"/>
      <c r="O46" s="131"/>
      <c r="P46" s="186"/>
      <c r="Q46" s="133"/>
      <c r="R46" s="87"/>
      <c r="S46" s="133"/>
      <c r="W46" s="133"/>
    </row>
    <row r="47" spans="2:23" s="169" customFormat="1" x14ac:dyDescent="0.2">
      <c r="B47" s="146"/>
      <c r="C47" s="147"/>
      <c r="I47" s="356"/>
      <c r="J47" s="87"/>
      <c r="K47" s="131"/>
      <c r="L47" s="129"/>
      <c r="M47" s="133"/>
      <c r="N47" s="290"/>
      <c r="O47" s="131"/>
      <c r="P47" s="131"/>
      <c r="Q47" s="133"/>
      <c r="R47" s="87"/>
      <c r="S47" s="133"/>
      <c r="W47" s="133"/>
    </row>
    <row r="48" spans="2:23" s="169" customFormat="1" x14ac:dyDescent="0.2">
      <c r="B48" s="29"/>
      <c r="C48" s="148" t="s">
        <v>102</v>
      </c>
      <c r="I48" s="324"/>
      <c r="J48" s="87"/>
      <c r="K48" s="83"/>
      <c r="L48" s="83"/>
      <c r="M48" s="84"/>
      <c r="N48" s="83"/>
      <c r="O48" s="83"/>
      <c r="P48" s="83"/>
      <c r="Q48" s="84"/>
      <c r="R48" s="87"/>
      <c r="S48" s="84"/>
      <c r="W48" s="84"/>
    </row>
    <row r="49" spans="1:23" s="169" customFormat="1" x14ac:dyDescent="0.2">
      <c r="B49" s="146"/>
      <c r="C49" s="147"/>
      <c r="I49" s="323"/>
      <c r="J49" s="87"/>
      <c r="K49" s="83"/>
      <c r="L49" s="83"/>
      <c r="M49" s="84"/>
      <c r="N49" s="83"/>
      <c r="O49" s="83"/>
      <c r="P49" s="83"/>
      <c r="Q49" s="84"/>
      <c r="R49" s="87"/>
      <c r="S49" s="84"/>
      <c r="W49" s="84"/>
    </row>
    <row r="50" spans="1:23" s="169" customFormat="1" x14ac:dyDescent="0.2">
      <c r="B50" s="149"/>
      <c r="C50" s="148" t="s">
        <v>103</v>
      </c>
      <c r="I50" s="324"/>
      <c r="J50" s="87"/>
      <c r="K50" s="83"/>
      <c r="L50" s="83"/>
      <c r="M50" s="84"/>
      <c r="N50" s="83"/>
      <c r="O50" s="83"/>
      <c r="P50" s="83"/>
      <c r="Q50" s="84"/>
      <c r="R50" s="87"/>
      <c r="S50" s="84"/>
      <c r="W50" s="84"/>
    </row>
    <row r="51" spans="1:23" s="169" customFormat="1" x14ac:dyDescent="0.2">
      <c r="B51" s="150"/>
      <c r="C51" s="148"/>
      <c r="I51" s="324"/>
      <c r="J51" s="87"/>
      <c r="K51" s="83"/>
      <c r="L51" s="83"/>
      <c r="M51" s="84"/>
      <c r="N51" s="83"/>
      <c r="O51" s="83"/>
      <c r="P51" s="83"/>
      <c r="Q51" s="84"/>
      <c r="R51" s="87"/>
      <c r="S51" s="84"/>
      <c r="W51" s="84"/>
    </row>
    <row r="52" spans="1:23" s="169" customFormat="1" x14ac:dyDescent="0.2">
      <c r="B52" s="151"/>
      <c r="C52" s="148" t="s">
        <v>104</v>
      </c>
      <c r="I52" s="324"/>
      <c r="J52" s="87"/>
      <c r="K52" s="83"/>
      <c r="L52" s="83"/>
      <c r="M52" s="84"/>
      <c r="N52" s="83"/>
      <c r="O52" s="83"/>
      <c r="P52" s="83"/>
      <c r="Q52" s="84"/>
      <c r="R52" s="87"/>
      <c r="S52" s="84"/>
      <c r="W52" s="84"/>
    </row>
    <row r="53" spans="1:23" s="186" customFormat="1" x14ac:dyDescent="0.2">
      <c r="A53" s="156"/>
      <c r="B53" s="156"/>
      <c r="C53" s="157"/>
      <c r="I53" s="323"/>
      <c r="J53" s="87"/>
      <c r="K53" s="83"/>
      <c r="L53" s="83"/>
      <c r="M53" s="84"/>
      <c r="N53" s="83"/>
      <c r="O53" s="83"/>
      <c r="P53" s="83"/>
      <c r="Q53" s="84"/>
      <c r="R53" s="87"/>
      <c r="S53" s="84"/>
      <c r="W53" s="84"/>
    </row>
    <row r="54" spans="1:23" s="186" customFormat="1" ht="15" thickBot="1" x14ac:dyDescent="0.25">
      <c r="C54" s="187"/>
      <c r="I54" s="324"/>
      <c r="J54" s="87"/>
      <c r="K54" s="83"/>
      <c r="L54" s="83"/>
      <c r="M54" s="84"/>
      <c r="N54" s="83"/>
      <c r="O54" s="83"/>
      <c r="P54" s="83"/>
      <c r="Q54" s="84"/>
      <c r="R54" s="87"/>
      <c r="S54" s="84"/>
      <c r="W54" s="84"/>
    </row>
    <row r="55" spans="1:23" s="122" customFormat="1" ht="16.5" thickBot="1" x14ac:dyDescent="0.25">
      <c r="B55" s="152" t="str">
        <f ca="1" xml:space="preserve"> RIGHT(CELL("filename", $A$1), LEN(CELL("filename", $A$1)) - SEARCH("]", CELL("filename", $A$1)))&amp;" - Line definitions"</f>
        <v>2I - Line definitions</v>
      </c>
      <c r="C55" s="153"/>
      <c r="D55" s="154"/>
      <c r="E55" s="154"/>
      <c r="F55" s="154"/>
      <c r="G55" s="154"/>
      <c r="H55" s="260"/>
      <c r="J55" s="87"/>
      <c r="L55" s="83"/>
      <c r="M55" s="84"/>
      <c r="N55" s="83"/>
      <c r="O55" s="83"/>
      <c r="P55" s="83"/>
      <c r="Q55" s="84"/>
      <c r="R55" s="87"/>
      <c r="S55" s="84"/>
      <c r="W55" s="84"/>
    </row>
    <row r="56" spans="1:23" s="122" customFormat="1" ht="15" thickBot="1" x14ac:dyDescent="0.25">
      <c r="B56" s="87"/>
      <c r="C56" s="161"/>
      <c r="D56" s="87"/>
      <c r="E56" s="87"/>
      <c r="F56" s="87"/>
      <c r="J56" s="87"/>
      <c r="L56" s="83"/>
      <c r="M56" s="84"/>
      <c r="N56" s="83"/>
      <c r="O56" s="83"/>
      <c r="P56" s="83"/>
      <c r="Q56" s="84"/>
      <c r="R56" s="87"/>
      <c r="S56" s="84"/>
      <c r="W56" s="84"/>
    </row>
    <row r="57" spans="1:23" s="186" customFormat="1" ht="15" thickBot="1" x14ac:dyDescent="0.25">
      <c r="B57" s="295" t="s">
        <v>105</v>
      </c>
      <c r="C57" s="987" t="s">
        <v>106</v>
      </c>
      <c r="D57" s="988"/>
      <c r="E57" s="988"/>
      <c r="F57" s="988"/>
      <c r="G57" s="988"/>
      <c r="H57" s="989"/>
      <c r="I57" s="122"/>
      <c r="J57" s="87"/>
      <c r="K57" s="122"/>
      <c r="L57" s="83"/>
      <c r="M57" s="84"/>
      <c r="N57" s="97" t="s">
        <v>107</v>
      </c>
      <c r="O57" s="83"/>
      <c r="P57" s="83"/>
      <c r="Q57" s="84"/>
      <c r="R57" s="87"/>
      <c r="S57" s="84"/>
      <c r="W57" s="84"/>
    </row>
    <row r="58" spans="1:23" s="122" customFormat="1" ht="24" customHeight="1" x14ac:dyDescent="0.2">
      <c r="B58" s="296">
        <v>1</v>
      </c>
      <c r="C58" s="940" t="s">
        <v>551</v>
      </c>
      <c r="D58" s="941"/>
      <c r="E58" s="941"/>
      <c r="F58" s="941"/>
      <c r="G58" s="941"/>
      <c r="H58" s="942"/>
      <c r="J58" s="87"/>
      <c r="L58" s="83"/>
      <c r="M58" s="84"/>
      <c r="N58" s="168" t="s">
        <v>112</v>
      </c>
      <c r="O58" s="83"/>
      <c r="P58" s="83"/>
      <c r="Q58" s="84"/>
      <c r="R58" s="87"/>
      <c r="S58" s="84"/>
      <c r="W58" s="84"/>
    </row>
    <row r="59" spans="1:23" s="122" customFormat="1" ht="38.25" x14ac:dyDescent="0.2">
      <c r="B59" s="297">
        <f xml:space="preserve"> 1 + B58</f>
        <v>2</v>
      </c>
      <c r="C59" s="935" t="s">
        <v>552</v>
      </c>
      <c r="D59" s="936"/>
      <c r="E59" s="936"/>
      <c r="F59" s="936"/>
      <c r="G59" s="936"/>
      <c r="H59" s="937"/>
      <c r="J59" s="87"/>
      <c r="L59" s="83"/>
      <c r="M59" s="84"/>
      <c r="N59" s="168" t="s">
        <v>109</v>
      </c>
      <c r="O59" s="83"/>
      <c r="P59" s="83"/>
      <c r="Q59" s="84"/>
      <c r="R59" s="87"/>
      <c r="S59" s="84"/>
      <c r="W59" s="84"/>
    </row>
    <row r="60" spans="1:23" s="122" customFormat="1" ht="14.1" customHeight="1" x14ac:dyDescent="0.2">
      <c r="B60" s="297">
        <f t="shared" ref="B60:B83" si="17" xml:space="preserve"> 1 + B59</f>
        <v>3</v>
      </c>
      <c r="C60" s="935" t="s">
        <v>553</v>
      </c>
      <c r="D60" s="936"/>
      <c r="E60" s="936"/>
      <c r="F60" s="936"/>
      <c r="G60" s="936"/>
      <c r="H60" s="937"/>
      <c r="J60" s="87"/>
      <c r="L60" s="83"/>
      <c r="M60" s="84"/>
      <c r="N60" s="168">
        <v>1</v>
      </c>
      <c r="O60" s="83"/>
      <c r="P60" s="83"/>
      <c r="Q60" s="84"/>
      <c r="R60" s="87"/>
      <c r="S60" s="84"/>
      <c r="W60" s="84"/>
    </row>
    <row r="61" spans="1:23" s="122" customFormat="1" ht="14.1" customHeight="1" x14ac:dyDescent="0.2">
      <c r="B61" s="297">
        <f t="shared" si="17"/>
        <v>4</v>
      </c>
      <c r="C61" s="935" t="s">
        <v>554</v>
      </c>
      <c r="D61" s="936"/>
      <c r="E61" s="936"/>
      <c r="F61" s="936"/>
      <c r="G61" s="936"/>
      <c r="H61" s="937"/>
      <c r="J61" s="87"/>
      <c r="L61" s="83"/>
      <c r="M61" s="84"/>
      <c r="N61" s="168">
        <v>1</v>
      </c>
      <c r="O61" s="83"/>
      <c r="P61" s="83"/>
      <c r="Q61" s="84"/>
      <c r="R61" s="87"/>
      <c r="S61" s="84"/>
      <c r="W61" s="84"/>
    </row>
    <row r="62" spans="1:23" s="122" customFormat="1" ht="24" customHeight="1" x14ac:dyDescent="0.2">
      <c r="B62" s="297">
        <f t="shared" si="17"/>
        <v>5</v>
      </c>
      <c r="C62" s="935" t="s">
        <v>555</v>
      </c>
      <c r="D62" s="936"/>
      <c r="E62" s="936"/>
      <c r="F62" s="936"/>
      <c r="G62" s="936"/>
      <c r="H62" s="937"/>
      <c r="J62" s="87"/>
      <c r="L62" s="83"/>
      <c r="M62" s="84"/>
      <c r="N62" s="168" t="s">
        <v>112</v>
      </c>
      <c r="O62" s="83"/>
      <c r="P62" s="83"/>
      <c r="Q62" s="84"/>
      <c r="R62" s="87"/>
      <c r="S62" s="84"/>
      <c r="W62" s="84"/>
    </row>
    <row r="63" spans="1:23" s="122" customFormat="1" ht="36" customHeight="1" x14ac:dyDescent="0.2">
      <c r="B63" s="297">
        <f t="shared" si="17"/>
        <v>6</v>
      </c>
      <c r="C63" s="935" t="s">
        <v>556</v>
      </c>
      <c r="D63" s="936"/>
      <c r="E63" s="936"/>
      <c r="F63" s="936"/>
      <c r="G63" s="936"/>
      <c r="H63" s="937"/>
      <c r="J63" s="87"/>
      <c r="L63" s="83"/>
      <c r="M63" s="84"/>
      <c r="N63" s="168" t="s">
        <v>109</v>
      </c>
      <c r="O63" s="83"/>
      <c r="P63" s="83"/>
      <c r="Q63" s="84"/>
      <c r="R63" s="87"/>
      <c r="S63" s="84"/>
      <c r="W63" s="84"/>
    </row>
    <row r="64" spans="1:23" s="122" customFormat="1" ht="14.1" customHeight="1" x14ac:dyDescent="0.2">
      <c r="B64" s="297">
        <f t="shared" si="17"/>
        <v>7</v>
      </c>
      <c r="C64" s="935" t="s">
        <v>557</v>
      </c>
      <c r="D64" s="936"/>
      <c r="E64" s="936"/>
      <c r="F64" s="936"/>
      <c r="G64" s="936"/>
      <c r="H64" s="937"/>
      <c r="J64" s="87"/>
      <c r="L64" s="83"/>
      <c r="M64" s="84"/>
      <c r="N64" s="168">
        <v>1</v>
      </c>
      <c r="O64" s="83"/>
      <c r="P64" s="83"/>
      <c r="Q64" s="84"/>
      <c r="R64" s="87"/>
      <c r="S64" s="84"/>
      <c r="W64" s="84"/>
    </row>
    <row r="65" spans="2:23" s="122" customFormat="1" ht="14.1" customHeight="1" x14ac:dyDescent="0.2">
      <c r="B65" s="297">
        <f t="shared" si="17"/>
        <v>8</v>
      </c>
      <c r="C65" s="935" t="s">
        <v>558</v>
      </c>
      <c r="D65" s="936"/>
      <c r="E65" s="936"/>
      <c r="F65" s="936"/>
      <c r="G65" s="936"/>
      <c r="H65" s="937"/>
      <c r="J65" s="87"/>
      <c r="L65" s="83"/>
      <c r="M65" s="84"/>
      <c r="N65" s="168">
        <v>1</v>
      </c>
      <c r="O65" s="83"/>
      <c r="P65" s="83"/>
      <c r="Q65" s="84"/>
      <c r="R65" s="87"/>
      <c r="S65" s="84"/>
      <c r="W65" s="84"/>
    </row>
    <row r="66" spans="2:23" s="122" customFormat="1" x14ac:dyDescent="0.2">
      <c r="B66" s="297">
        <f t="shared" si="17"/>
        <v>9</v>
      </c>
      <c r="C66" s="935" t="s">
        <v>559</v>
      </c>
      <c r="D66" s="936"/>
      <c r="E66" s="936"/>
      <c r="F66" s="936"/>
      <c r="G66" s="936"/>
      <c r="H66" s="937"/>
      <c r="J66" s="87"/>
      <c r="L66" s="83"/>
      <c r="M66" s="84"/>
      <c r="N66" s="168">
        <v>1</v>
      </c>
      <c r="O66" s="83"/>
      <c r="P66" s="83"/>
      <c r="Q66" s="84"/>
      <c r="R66" s="87"/>
      <c r="S66" s="84"/>
      <c r="W66" s="84"/>
    </row>
    <row r="67" spans="2:23" s="122" customFormat="1" ht="25.5" x14ac:dyDescent="0.2">
      <c r="B67" s="297">
        <f t="shared" si="17"/>
        <v>10</v>
      </c>
      <c r="C67" s="935" t="s">
        <v>560</v>
      </c>
      <c r="D67" s="936"/>
      <c r="E67" s="936"/>
      <c r="F67" s="936"/>
      <c r="G67" s="936"/>
      <c r="H67" s="937"/>
      <c r="J67" s="87"/>
      <c r="L67" s="83"/>
      <c r="M67" s="84"/>
      <c r="N67" s="168" t="s">
        <v>112</v>
      </c>
      <c r="O67" s="83"/>
      <c r="P67" s="83"/>
      <c r="Q67" s="84"/>
      <c r="R67" s="87"/>
      <c r="S67" s="84"/>
      <c r="W67" s="84"/>
    </row>
    <row r="68" spans="2:23" s="122" customFormat="1" ht="24" customHeight="1" x14ac:dyDescent="0.2">
      <c r="B68" s="297">
        <f t="shared" si="17"/>
        <v>11</v>
      </c>
      <c r="C68" s="935" t="s">
        <v>561</v>
      </c>
      <c r="D68" s="936"/>
      <c r="E68" s="936"/>
      <c r="F68" s="936"/>
      <c r="G68" s="936"/>
      <c r="H68" s="937"/>
      <c r="J68" s="87"/>
      <c r="L68" s="83"/>
      <c r="M68" s="84"/>
      <c r="N68" s="168" t="s">
        <v>112</v>
      </c>
      <c r="O68" s="83"/>
      <c r="P68" s="83"/>
      <c r="Q68" s="84"/>
      <c r="R68" s="87"/>
      <c r="S68" s="84"/>
      <c r="W68" s="84"/>
    </row>
    <row r="69" spans="2:23" s="122" customFormat="1" x14ac:dyDescent="0.2">
      <c r="B69" s="297">
        <f t="shared" si="17"/>
        <v>12</v>
      </c>
      <c r="C69" s="935" t="s">
        <v>562</v>
      </c>
      <c r="D69" s="936"/>
      <c r="E69" s="936"/>
      <c r="F69" s="936"/>
      <c r="G69" s="936"/>
      <c r="H69" s="937"/>
      <c r="J69" s="87"/>
      <c r="L69" s="83"/>
      <c r="M69" s="84"/>
      <c r="N69" s="168">
        <v>1</v>
      </c>
      <c r="O69" s="83"/>
      <c r="P69" s="83"/>
      <c r="Q69" s="84"/>
      <c r="R69" s="87"/>
      <c r="S69" s="84"/>
      <c r="W69" s="84"/>
    </row>
    <row r="70" spans="2:23" s="122" customFormat="1" ht="14.1" customHeight="1" x14ac:dyDescent="0.2">
      <c r="B70" s="297">
        <f t="shared" si="17"/>
        <v>13</v>
      </c>
      <c r="C70" s="935" t="s">
        <v>563</v>
      </c>
      <c r="D70" s="936"/>
      <c r="E70" s="936"/>
      <c r="F70" s="936"/>
      <c r="G70" s="936"/>
      <c r="H70" s="937"/>
      <c r="J70" s="87"/>
      <c r="L70" s="83"/>
      <c r="M70" s="84"/>
      <c r="N70" s="168">
        <v>1</v>
      </c>
      <c r="O70" s="83"/>
      <c r="P70" s="83"/>
      <c r="Q70" s="84"/>
      <c r="R70" s="87"/>
      <c r="S70" s="84"/>
      <c r="W70" s="84"/>
    </row>
    <row r="71" spans="2:23" s="122" customFormat="1" ht="24" customHeight="1" x14ac:dyDescent="0.2">
      <c r="B71" s="297">
        <f t="shared" si="17"/>
        <v>14</v>
      </c>
      <c r="C71" s="935" t="s">
        <v>564</v>
      </c>
      <c r="D71" s="936"/>
      <c r="E71" s="936"/>
      <c r="F71" s="936"/>
      <c r="G71" s="936"/>
      <c r="H71" s="937"/>
      <c r="J71" s="87"/>
      <c r="L71" s="83"/>
      <c r="M71" s="84"/>
      <c r="N71" s="168" t="s">
        <v>112</v>
      </c>
      <c r="O71" s="83"/>
      <c r="P71" s="83"/>
      <c r="Q71" s="84"/>
      <c r="R71" s="87"/>
      <c r="S71" s="84"/>
      <c r="W71" s="84"/>
    </row>
    <row r="72" spans="2:23" s="122" customFormat="1" ht="24" customHeight="1" x14ac:dyDescent="0.2">
      <c r="B72" s="297">
        <f t="shared" si="17"/>
        <v>15</v>
      </c>
      <c r="C72" s="935" t="s">
        <v>565</v>
      </c>
      <c r="D72" s="936"/>
      <c r="E72" s="936"/>
      <c r="F72" s="936"/>
      <c r="G72" s="936"/>
      <c r="H72" s="937"/>
      <c r="J72" s="87"/>
      <c r="L72" s="83"/>
      <c r="M72" s="84"/>
      <c r="N72" s="168" t="s">
        <v>112</v>
      </c>
      <c r="O72" s="83"/>
      <c r="P72" s="83"/>
      <c r="Q72" s="84"/>
      <c r="R72" s="87"/>
      <c r="S72" s="84"/>
      <c r="W72" s="84"/>
    </row>
    <row r="73" spans="2:23" s="122" customFormat="1" ht="24" customHeight="1" x14ac:dyDescent="0.2">
      <c r="B73" s="297">
        <f t="shared" si="17"/>
        <v>16</v>
      </c>
      <c r="C73" s="935" t="s">
        <v>566</v>
      </c>
      <c r="D73" s="936"/>
      <c r="E73" s="936"/>
      <c r="F73" s="936"/>
      <c r="G73" s="936"/>
      <c r="H73" s="937"/>
      <c r="J73" s="87"/>
      <c r="L73" s="83"/>
      <c r="M73" s="84"/>
      <c r="N73" s="168" t="s">
        <v>112</v>
      </c>
      <c r="O73" s="83"/>
      <c r="P73" s="83"/>
      <c r="Q73" s="84"/>
      <c r="R73" s="87"/>
      <c r="S73" s="84"/>
      <c r="W73" s="84"/>
    </row>
    <row r="74" spans="2:23" s="122" customFormat="1" ht="25.5" x14ac:dyDescent="0.2">
      <c r="B74" s="297">
        <f t="shared" si="17"/>
        <v>17</v>
      </c>
      <c r="C74" s="935" t="s">
        <v>567</v>
      </c>
      <c r="D74" s="936"/>
      <c r="E74" s="936"/>
      <c r="F74" s="936"/>
      <c r="G74" s="936"/>
      <c r="H74" s="937"/>
      <c r="J74" s="87"/>
      <c r="L74" s="83"/>
      <c r="M74" s="84"/>
      <c r="N74" s="168" t="s">
        <v>112</v>
      </c>
      <c r="O74" s="83"/>
      <c r="P74" s="83"/>
      <c r="Q74" s="84"/>
      <c r="R74" s="87"/>
      <c r="S74" s="84"/>
      <c r="W74" s="84"/>
    </row>
    <row r="75" spans="2:23" s="122" customFormat="1" ht="14.1" customHeight="1" x14ac:dyDescent="0.2">
      <c r="B75" s="297">
        <f t="shared" si="17"/>
        <v>18</v>
      </c>
      <c r="C75" s="935" t="s">
        <v>568</v>
      </c>
      <c r="D75" s="936"/>
      <c r="E75" s="936"/>
      <c r="F75" s="936"/>
      <c r="G75" s="936"/>
      <c r="H75" s="937"/>
      <c r="J75" s="87"/>
      <c r="L75" s="83"/>
      <c r="M75" s="84"/>
      <c r="N75" s="168">
        <v>1</v>
      </c>
      <c r="O75" s="83"/>
      <c r="P75" s="83"/>
      <c r="Q75" s="84"/>
      <c r="R75" s="87"/>
      <c r="S75" s="84"/>
      <c r="W75" s="84"/>
    </row>
    <row r="76" spans="2:23" s="122" customFormat="1" ht="14.1" customHeight="1" x14ac:dyDescent="0.2">
      <c r="B76" s="297">
        <f t="shared" si="17"/>
        <v>19</v>
      </c>
      <c r="C76" s="935" t="s">
        <v>569</v>
      </c>
      <c r="D76" s="936"/>
      <c r="E76" s="936"/>
      <c r="F76" s="936"/>
      <c r="G76" s="936"/>
      <c r="H76" s="937"/>
      <c r="J76" s="87"/>
      <c r="L76" s="83"/>
      <c r="M76" s="84"/>
      <c r="N76" s="168">
        <v>1</v>
      </c>
      <c r="O76" s="83"/>
      <c r="P76" s="83"/>
      <c r="Q76" s="84"/>
      <c r="R76" s="87"/>
      <c r="S76" s="84"/>
      <c r="W76" s="84"/>
    </row>
    <row r="77" spans="2:23" s="122" customFormat="1" ht="51" x14ac:dyDescent="0.2">
      <c r="B77" s="297">
        <f t="shared" si="17"/>
        <v>20</v>
      </c>
      <c r="C77" s="935" t="s">
        <v>570</v>
      </c>
      <c r="D77" s="936"/>
      <c r="E77" s="936"/>
      <c r="F77" s="936"/>
      <c r="G77" s="936"/>
      <c r="H77" s="937"/>
      <c r="J77" s="87"/>
      <c r="L77" s="83"/>
      <c r="M77" s="84"/>
      <c r="N77" s="168" t="s">
        <v>118</v>
      </c>
      <c r="O77" s="83"/>
      <c r="P77" s="83"/>
      <c r="Q77" s="84"/>
      <c r="R77" s="87"/>
      <c r="S77" s="84"/>
      <c r="W77" s="84"/>
    </row>
    <row r="78" spans="2:23" s="122" customFormat="1" ht="14.1" customHeight="1" x14ac:dyDescent="0.2">
      <c r="B78" s="297">
        <f t="shared" si="17"/>
        <v>21</v>
      </c>
      <c r="C78" s="935" t="s">
        <v>571</v>
      </c>
      <c r="D78" s="936"/>
      <c r="E78" s="936"/>
      <c r="F78" s="936"/>
      <c r="G78" s="936"/>
      <c r="H78" s="937"/>
      <c r="J78" s="87"/>
      <c r="L78" s="83"/>
      <c r="M78" s="84"/>
      <c r="N78" s="168">
        <v>1</v>
      </c>
      <c r="O78" s="83"/>
      <c r="P78" s="83"/>
      <c r="Q78" s="84"/>
      <c r="R78" s="87"/>
      <c r="S78" s="84"/>
      <c r="W78" s="84"/>
    </row>
    <row r="79" spans="2:23" s="122" customFormat="1" ht="14.1" customHeight="1" x14ac:dyDescent="0.2">
      <c r="B79" s="297">
        <f t="shared" si="17"/>
        <v>22</v>
      </c>
      <c r="C79" s="935" t="s">
        <v>572</v>
      </c>
      <c r="D79" s="936"/>
      <c r="E79" s="936"/>
      <c r="F79" s="936"/>
      <c r="G79" s="936"/>
      <c r="H79" s="937"/>
      <c r="J79" s="87"/>
      <c r="L79" s="83"/>
      <c r="M79" s="84"/>
      <c r="N79" s="168">
        <v>1</v>
      </c>
      <c r="O79" s="83"/>
      <c r="P79" s="83"/>
      <c r="Q79" s="84"/>
      <c r="R79" s="87"/>
      <c r="S79" s="84"/>
      <c r="W79" s="84"/>
    </row>
    <row r="80" spans="2:23" s="122" customFormat="1" ht="14.65" customHeight="1" x14ac:dyDescent="0.2">
      <c r="B80" s="297">
        <f t="shared" si="17"/>
        <v>23</v>
      </c>
      <c r="C80" s="935" t="s">
        <v>573</v>
      </c>
      <c r="D80" s="936"/>
      <c r="E80" s="936"/>
      <c r="F80" s="936"/>
      <c r="G80" s="936"/>
      <c r="H80" s="937"/>
      <c r="J80" s="87"/>
      <c r="L80" s="83"/>
      <c r="M80" s="84"/>
      <c r="N80" s="168">
        <v>1</v>
      </c>
      <c r="O80" s="83"/>
      <c r="P80" s="83"/>
      <c r="Q80" s="84"/>
      <c r="R80" s="87"/>
      <c r="S80" s="84"/>
      <c r="W80" s="84"/>
    </row>
    <row r="81" spans="2:14" x14ac:dyDescent="0.2">
      <c r="B81" s="297">
        <f t="shared" si="17"/>
        <v>24</v>
      </c>
      <c r="C81" s="935" t="s">
        <v>573</v>
      </c>
      <c r="D81" s="936"/>
      <c r="E81" s="936"/>
      <c r="F81" s="936"/>
      <c r="G81" s="936"/>
      <c r="H81" s="937"/>
      <c r="N81" s="168">
        <v>1</v>
      </c>
    </row>
    <row r="82" spans="2:14" ht="25.5" x14ac:dyDescent="0.2">
      <c r="B82" s="297">
        <f t="shared" si="17"/>
        <v>25</v>
      </c>
      <c r="C82" s="935" t="s">
        <v>574</v>
      </c>
      <c r="D82" s="936"/>
      <c r="E82" s="936"/>
      <c r="F82" s="936"/>
      <c r="G82" s="936"/>
      <c r="H82" s="937"/>
      <c r="N82" s="168" t="s">
        <v>112</v>
      </c>
    </row>
    <row r="83" spans="2:14" ht="14.65" customHeight="1" thickBot="1" x14ac:dyDescent="0.25">
      <c r="B83" s="298">
        <f t="shared" si="17"/>
        <v>26</v>
      </c>
      <c r="C83" s="943" t="s">
        <v>575</v>
      </c>
      <c r="D83" s="944"/>
      <c r="E83" s="944"/>
      <c r="F83" s="944"/>
      <c r="G83" s="944"/>
      <c r="H83" s="945"/>
      <c r="N83" s="168">
        <v>1</v>
      </c>
    </row>
    <row r="84" spans="2:14" x14ac:dyDescent="0.2"/>
  </sheetData>
  <sheetProtection algorithmName="SHA-512" hashValue="OgKAw7Cxtb78YzGyxTphM9xGxmE9JoicjPrylT3uCx8paX6wqsce0eNiDURUOEUs/RRJ3CjASFt6F1NKS4gSFg==" saltValue="KuIZG2dp/R6fmmygNDMrSA==" spinCount="100000" sheet="1" objects="1" scenarios="1"/>
  <mergeCells count="32">
    <mergeCell ref="C70:H70"/>
    <mergeCell ref="C79:H79"/>
    <mergeCell ref="C83:H83"/>
    <mergeCell ref="C73:H73"/>
    <mergeCell ref="C74:H74"/>
    <mergeCell ref="C75:H75"/>
    <mergeCell ref="C76:H76"/>
    <mergeCell ref="C77:H77"/>
    <mergeCell ref="C78:H78"/>
    <mergeCell ref="C72:H72"/>
    <mergeCell ref="C81:H81"/>
    <mergeCell ref="C82:H82"/>
    <mergeCell ref="C80:H80"/>
    <mergeCell ref="C71:H71"/>
    <mergeCell ref="T2:T4"/>
    <mergeCell ref="C59:H59"/>
    <mergeCell ref="B3:C3"/>
    <mergeCell ref="N4:O4"/>
    <mergeCell ref="B46:C46"/>
    <mergeCell ref="C57:H57"/>
    <mergeCell ref="C58:H58"/>
    <mergeCell ref="R3:R4"/>
    <mergeCell ref="C60:H60"/>
    <mergeCell ref="C61:H61"/>
    <mergeCell ref="C62:H62"/>
    <mergeCell ref="C63:H63"/>
    <mergeCell ref="C64:H64"/>
    <mergeCell ref="C65:H65"/>
    <mergeCell ref="C66:H66"/>
    <mergeCell ref="C67:H67"/>
    <mergeCell ref="C68:H68"/>
    <mergeCell ref="C69:H69"/>
  </mergeCells>
  <conditionalFormatting sqref="J23 J32">
    <cfRule type="cellIs" dxfId="129" priority="11" operator="equal">
      <formula>0</formula>
    </cfRule>
  </conditionalFormatting>
  <conditionalFormatting sqref="K6:K22">
    <cfRule type="cellIs" dxfId="128" priority="14" operator="equal">
      <formula>0</formula>
    </cfRule>
  </conditionalFormatting>
  <conditionalFormatting sqref="K26:K28 K30:K31">
    <cfRule type="cellIs" dxfId="127" priority="9" operator="equal">
      <formula>0</formula>
    </cfRule>
  </conditionalFormatting>
  <conditionalFormatting sqref="K38">
    <cfRule type="cellIs" dxfId="126" priority="2" operator="equal">
      <formula>0</formula>
    </cfRule>
  </conditionalFormatting>
  <conditionalFormatting sqref="K40:K42">
    <cfRule type="cellIs" dxfId="125" priority="12" operator="equal">
      <formula>0</formula>
    </cfRule>
  </conditionalFormatting>
  <printOptions horizontalCentered="1"/>
  <pageMargins left="0.39370078740157483" right="0.39370078740157483" top="0.78740157480314965" bottom="0.78740157480314965" header="0.31496062992125984" footer="0.31496062992125984"/>
  <pageSetup paperSize="9" scale="54"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id="{3FDED04C-7000-4ABF-A20E-8DD2FA14EEDB}">
            <xm:f>'C:\Temp\notes6888BE\[2016-17 APR tables (April 2017).xlsx]Validation'!#REF!=1</xm:f>
            <x14:dxf>
              <fill>
                <patternFill>
                  <bgColor rgb="FFE0DCD8"/>
                </patternFill>
              </fill>
            </x14:dxf>
          </x14:cfRule>
          <xm:sqref>F12:G14</xm:sqref>
        </x14:conditionalFormatting>
        <x14:conditionalFormatting xmlns:xm="http://schemas.microsoft.com/office/excel/2006/main">
          <x14:cfRule type="expression" priority="3" id="{04D87C6A-28A9-4AF2-9E79-1CF5593399CF}">
            <xm:f>Validation!$H$3=1</xm:f>
            <x14:dxf>
              <fill>
                <patternFill>
                  <bgColor rgb="FFE0DCD8"/>
                </patternFill>
              </fill>
            </x14:dxf>
          </x14:cfRule>
          <xm:sqref>G37:G44</xm:sqref>
        </x14:conditionalFormatting>
        <x14:conditionalFormatting xmlns:xm="http://schemas.microsoft.com/office/excel/2006/main">
          <x14:cfRule type="expression" priority="37" id="{2C0BA5D0-F997-4456-9A58-A278275B3967}">
            <xm:f>Validation!$H$3=1</xm:f>
            <x14:dxf>
              <fill>
                <patternFill>
                  <bgColor rgb="FFE0DCD8"/>
                </patternFill>
              </fill>
            </x14:dxf>
          </x14:cfRule>
          <xm:sqref>H12:H14 F15:H15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3479"/>
    <pageSetUpPr fitToPage="1"/>
  </sheetPr>
  <dimension ref="H1"/>
  <sheetViews>
    <sheetView showGridLines="0" topLeftCell="XFD1048576" workbookViewId="0">
      <selection sqref="A1:C1"/>
    </sheetView>
  </sheetViews>
  <sheetFormatPr defaultColWidth="0" defaultRowHeight="14.1" customHeight="1" zeroHeight="1" x14ac:dyDescent="0.2"/>
  <cols>
    <col min="1" max="7" width="8.625" hidden="1" customWidth="1"/>
    <col min="8" max="8" width="8.75" hidden="1" customWidth="1"/>
    <col min="9" max="16384" width="8.625" hidden="1"/>
  </cols>
  <sheetData>
    <row r="1" ht="14.25" hidden="1" x14ac:dyDescent="0.2"/>
  </sheetData>
  <sheetProtection algorithmName="SHA-512" hashValue="xaVFEbGZxTtjExbITjXNveqIpiHhSh9YA0ZNjiN1AzhBflwa1EJzni9RNpWAUIn3ul5IJcY052iSHT4dUcMaAg==" saltValue="zCg+3gP60cIBLTrUIH44bw==" spinCount="100000" sheet="1" objects="1" scenarios="1"/>
  <printOptions horizontalCentered="1"/>
  <pageMargins left="0.39370078740157483" right="0.39370078740157483" top="0.78740157480314965" bottom="0.78740157480314965" header="0.31496062992125984" footer="0.31496062992125984"/>
  <pageSetup paperSize="9"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I96"/>
  <sheetViews>
    <sheetView showGridLines="0" zoomScale="80" zoomScaleNormal="80" workbookViewId="0">
      <selection activeCell="D31" sqref="D31"/>
    </sheetView>
  </sheetViews>
  <sheetFormatPr defaultColWidth="0" defaultRowHeight="14.25" zeroHeight="1" x14ac:dyDescent="0.2"/>
  <cols>
    <col min="1" max="1" width="1.625" customWidth="1"/>
    <col min="2" max="2" width="6.625" customWidth="1"/>
    <col min="3" max="3" width="19.5" customWidth="1"/>
    <col min="4" max="4" width="71.5" customWidth="1"/>
    <col min="5" max="5" width="8.75" customWidth="1"/>
    <col min="6" max="6" width="36.75" customWidth="1"/>
    <col min="7" max="7" width="8.75" customWidth="1"/>
    <col min="8" max="8" width="14.75" customWidth="1"/>
    <col min="9" max="9" width="15.625" style="719" customWidth="1"/>
    <col min="10" max="16" width="15.625" customWidth="1"/>
    <col min="17" max="17" width="2.625" style="83" customWidth="1"/>
    <col min="18" max="18" width="21.75" style="83" customWidth="1"/>
    <col min="19" max="19" width="19.75" style="83" customWidth="1"/>
    <col min="20" max="20" width="1.625" style="83" customWidth="1"/>
    <col min="21" max="21" width="1.625" style="84" hidden="1" customWidth="1"/>
    <col min="22" max="30" width="3.625" style="83" hidden="1" customWidth="1"/>
    <col min="31" max="31" width="1.625" style="84" hidden="1" customWidth="1"/>
    <col min="32" max="33" width="10.625" hidden="1" customWidth="1"/>
    <col min="34" max="34" width="1.625" style="554" hidden="1" customWidth="1"/>
    <col min="35" max="16384" width="8.75" hidden="1"/>
  </cols>
  <sheetData>
    <row r="1" spans="1:35" s="88" customFormat="1" ht="20.25" x14ac:dyDescent="0.2">
      <c r="A1" s="87"/>
      <c r="B1" s="79" t="s">
        <v>576</v>
      </c>
      <c r="C1" s="79"/>
      <c r="D1" s="79"/>
      <c r="E1" s="79"/>
      <c r="F1" s="79"/>
      <c r="G1" s="79"/>
      <c r="H1" s="79"/>
      <c r="I1" s="790"/>
      <c r="J1" s="79"/>
      <c r="K1" s="79"/>
      <c r="L1" s="79"/>
      <c r="M1" s="79"/>
      <c r="N1" s="79"/>
      <c r="O1" s="81"/>
      <c r="P1" s="81" t="str">
        <f>Validation!B3</f>
        <v>Yorkshire Water</v>
      </c>
      <c r="Q1" s="79"/>
      <c r="R1" s="82"/>
      <c r="S1" s="82" t="s">
        <v>72</v>
      </c>
      <c r="T1" s="83"/>
      <c r="U1" s="84"/>
      <c r="V1" s="310"/>
      <c r="W1" s="83"/>
      <c r="X1" s="83"/>
      <c r="Y1" s="83"/>
      <c r="Z1" s="83"/>
      <c r="AA1" s="83"/>
      <c r="AB1" s="83"/>
      <c r="AC1" s="83"/>
      <c r="AD1" s="83"/>
      <c r="AE1" s="84"/>
      <c r="AH1" s="551"/>
    </row>
    <row r="2" spans="1:35" s="88" customFormat="1" ht="16.5" customHeight="1" thickBot="1" x14ac:dyDescent="0.25">
      <c r="A2" s="87"/>
      <c r="B2" s="86" t="s">
        <v>55</v>
      </c>
      <c r="C2" s="311"/>
      <c r="D2" s="87"/>
      <c r="E2" s="87"/>
      <c r="F2" s="87"/>
      <c r="G2" s="87"/>
      <c r="H2" s="87"/>
      <c r="I2" s="174"/>
      <c r="J2" s="87"/>
      <c r="K2" s="87"/>
      <c r="L2" s="87"/>
      <c r="M2" s="87"/>
      <c r="N2" s="87"/>
      <c r="O2" s="87"/>
      <c r="P2" s="87"/>
      <c r="Q2" s="87"/>
      <c r="R2" s="87"/>
      <c r="S2" s="83"/>
      <c r="T2" s="83"/>
      <c r="U2" s="84"/>
      <c r="V2" s="89" t="s">
        <v>83</v>
      </c>
      <c r="W2" s="842"/>
      <c r="X2" s="842"/>
      <c r="Y2" s="842"/>
      <c r="Z2" s="842"/>
      <c r="AA2" s="842"/>
      <c r="AB2" s="842"/>
      <c r="AC2" s="842"/>
      <c r="AD2" s="842"/>
      <c r="AE2" s="84"/>
      <c r="AF2" s="549" t="s">
        <v>577</v>
      </c>
      <c r="AG2" s="549"/>
      <c r="AH2" s="551"/>
    </row>
    <row r="3" spans="1:35" s="88" customFormat="1" ht="60" customHeight="1" thickBot="1" x14ac:dyDescent="0.25">
      <c r="A3" s="87"/>
      <c r="B3" s="304" t="s">
        <v>578</v>
      </c>
      <c r="C3" s="848" t="s">
        <v>579</v>
      </c>
      <c r="D3" s="312" t="s">
        <v>580</v>
      </c>
      <c r="E3" s="313" t="s">
        <v>581</v>
      </c>
      <c r="F3" s="313" t="s">
        <v>582</v>
      </c>
      <c r="G3" s="313" t="s">
        <v>583</v>
      </c>
      <c r="H3" s="313" t="s">
        <v>584</v>
      </c>
      <c r="I3" s="313" t="s">
        <v>585</v>
      </c>
      <c r="J3" s="313" t="s">
        <v>586</v>
      </c>
      <c r="K3" s="314" t="s">
        <v>587</v>
      </c>
      <c r="L3" s="314" t="s">
        <v>588</v>
      </c>
      <c r="M3" s="314" t="s">
        <v>589</v>
      </c>
      <c r="N3" s="314" t="s">
        <v>590</v>
      </c>
      <c r="O3" s="314" t="s">
        <v>591</v>
      </c>
      <c r="P3" s="305" t="s">
        <v>592</v>
      </c>
      <c r="Q3" s="83"/>
      <c r="R3" s="194" t="s">
        <v>593</v>
      </c>
      <c r="S3" s="195" t="s">
        <v>79</v>
      </c>
      <c r="T3" s="83"/>
      <c r="U3" s="84"/>
      <c r="V3" s="97" t="s">
        <v>84</v>
      </c>
      <c r="W3" s="254"/>
      <c r="X3" s="254"/>
      <c r="Y3" s="254"/>
      <c r="Z3" s="254"/>
      <c r="AA3" s="254"/>
      <c r="AB3" s="254"/>
      <c r="AC3" s="254"/>
      <c r="AD3" s="254"/>
      <c r="AE3" s="84"/>
      <c r="AF3" s="556" t="s">
        <v>594</v>
      </c>
      <c r="AG3" s="556" t="s">
        <v>595</v>
      </c>
      <c r="AH3" s="551"/>
    </row>
    <row r="4" spans="1:35" s="88" customFormat="1" ht="15" customHeight="1" thickBot="1" x14ac:dyDescent="0.25">
      <c r="A4" s="87"/>
      <c r="B4" s="87"/>
      <c r="C4" s="87"/>
      <c r="D4" s="87"/>
      <c r="E4" s="87"/>
      <c r="F4" s="87"/>
      <c r="G4" s="87"/>
      <c r="H4" s="87"/>
      <c r="I4" s="174"/>
      <c r="J4" s="87"/>
      <c r="K4" s="87"/>
      <c r="L4" s="87"/>
      <c r="M4" s="87"/>
      <c r="N4" s="87"/>
      <c r="O4" s="87"/>
      <c r="P4" s="87"/>
      <c r="Q4" s="87"/>
      <c r="R4" s="87"/>
      <c r="S4" s="87"/>
      <c r="T4" s="83"/>
      <c r="U4" s="84"/>
      <c r="V4" s="315" t="s">
        <v>596</v>
      </c>
      <c r="W4" s="316" t="s">
        <v>597</v>
      </c>
      <c r="X4" s="316" t="s">
        <v>598</v>
      </c>
      <c r="Y4" s="316" t="s">
        <v>599</v>
      </c>
      <c r="Z4" s="316" t="s">
        <v>600</v>
      </c>
      <c r="AA4" s="316" t="s">
        <v>601</v>
      </c>
      <c r="AB4" s="316" t="s">
        <v>602</v>
      </c>
      <c r="AC4" s="316" t="s">
        <v>603</v>
      </c>
      <c r="AD4" s="316" t="s">
        <v>604</v>
      </c>
      <c r="AE4" s="84"/>
      <c r="AH4" s="551"/>
    </row>
    <row r="5" spans="1:35" s="88" customFormat="1" ht="30" customHeight="1" x14ac:dyDescent="0.2">
      <c r="A5" s="87"/>
      <c r="B5" s="296">
        <v>1</v>
      </c>
      <c r="C5" s="317" t="str">
        <f>IF($P$1="Select company","",IF((HLOOKUP((VLOOKUP($P$1,Lists!$B$4:$C$22,2,FALSE)),'PC list edited'!$A$2:$DV$65,(B5+1),FALSE))=0,"",HLOOKUP((VLOOKUP($P$1,Lists!$B$4:$C$22,2,FALSE)),'PC list edited'!$A$2:$DV$65,(B5+1),FALSE)))</f>
        <v>PR14YKYWSW_WA1</v>
      </c>
      <c r="D5" s="318" t="str">
        <f>IF($P$1="Select company","",IF(C5 ="","",HLOOKUP(((VLOOKUP($P$1,Lists!$B$4:$C$22,2,FALSE))&amp;"PC"),'PC list edited'!$A$2:$DV$65,(B5+1),FALSE)))</f>
        <v>WA1: Drinking water quality</v>
      </c>
      <c r="E5" s="319" t="str">
        <f>IF($P$1="Select company","",IF(C5 ="","",HLOOKUP(((VLOOKUP($P$1,Lists!$B$4:$C$22,2,FALSE))&amp;"unit"),'PC list edited'!$A$2:$DV$65,(B5+1),FALSE)))</f>
        <v>%</v>
      </c>
      <c r="F5" s="319" t="str">
        <f>IF($P$1="Select company","",IF(C5 ="","",HLOOKUP(((VLOOKUP($P$1,Lists!$B$4:$C$22,2,FALSE))&amp;"UnitDes"),'PC list edited'!$A$2:$DV$65,(B5+1),FALSE)))</f>
        <v>Mean zonal compliance (%)</v>
      </c>
      <c r="G5" s="319">
        <f>IF($P$1="Select company","",IF(C5="","",HLOOKUP(((VLOOKUP($P$1,Lists!$B$4:$C$22,2,FALSE))&amp;"DP"),'PC list edited'!$A$2:$DV$65,(B5+1),FALSE)))</f>
        <v>3</v>
      </c>
      <c r="H5" s="319">
        <f>IF($P$1="Select company","",IF(C5 = "","",HLOOKUP(((VLOOKUP($P$1,Lists!$B$4:$C$22,2,FALSE))&amp;"201516Actual"),'PC list edited'!$A$2:$DV$65,(B5+1),FALSE)))</f>
        <v>99.953999999999994</v>
      </c>
      <c r="I5" s="584">
        <v>99.962000000000003</v>
      </c>
      <c r="J5" s="739" t="s">
        <v>605</v>
      </c>
      <c r="K5" s="539"/>
      <c r="L5" s="540"/>
      <c r="M5" s="539"/>
      <c r="N5" s="540"/>
      <c r="O5" s="539"/>
      <c r="P5" s="541"/>
      <c r="Q5" s="83"/>
      <c r="R5" s="548">
        <f>IF(AF5=1, $AF$3, IF(AG5=1, $AG$3, 0))</f>
        <v>0</v>
      </c>
      <c r="S5" s="28">
        <f xml:space="preserve"> IF( SUM( U5:AE5 ) = 0, 0, $V$3 )</f>
        <v>0</v>
      </c>
      <c r="T5" s="83"/>
      <c r="U5" s="84"/>
      <c r="V5" s="105">
        <f>IF($C5="",0,IF(ISBLANK(I5)=FALSE,0,1))</f>
        <v>0</v>
      </c>
      <c r="W5" s="105">
        <f>IF($C5="",0,IF(ISBLANK(#REF!)=FALSE,0,1))</f>
        <v>0</v>
      </c>
      <c r="X5" s="105">
        <f t="shared" ref="X5:X49" si="0">IF($C5="",0,IF(ISBLANK(J5)=FALSE,0,1))</f>
        <v>0</v>
      </c>
      <c r="Y5" s="105">
        <f>IF(OR(ISBLANK(L5), L5=0), 0, IF(OR(K5=Lists!$F$11, K5=Lists!$F$13), 0, 1))</f>
        <v>0</v>
      </c>
      <c r="Z5" s="105">
        <f>IF(OR($C5="", AND(NOT(K5=Lists!$F$11), NOT(K5=Lists!$F$13))),0,IF(ISBLANK(L5)=FALSE,0,1))</f>
        <v>0</v>
      </c>
      <c r="AA5" s="105">
        <f>IF(OR(ISBLANK(N5), N5=0), 0, IF(OR(M5=Lists!$F$11, M5=Lists!$F$13), 0, 1))</f>
        <v>0</v>
      </c>
      <c r="AB5" s="105">
        <f>IF(OR($C5="", AND(NOT(M5=Lists!$F$11), NOT(M5=Lists!$F$13))),0,IF(ISBLANK(N5)=FALSE,0,1))</f>
        <v>0</v>
      </c>
      <c r="AC5" s="105">
        <f>IF(OR(ISBLANK(P5), P5=0), 0, IF(OR(O5=Lists!$F$11, O5=Lists!$F$13), 0, 1))</f>
        <v>0</v>
      </c>
      <c r="AD5" s="105">
        <f>IF(OR($C5="", AND(NOT(O5=Lists!$F$11), NOT(O5=Lists!$F$13))),0,IF(ISBLANK(P5)=FALSE,0,1))</f>
        <v>0</v>
      </c>
      <c r="AE5" s="84"/>
      <c r="AF5" s="550">
        <f xml:space="preserve"> IF(OR( AND( K5 = Lists!$F$11, '3A'!L5 &lt; 0), AND( '3A'!M5 = Lists!$F$11, '3A'!N5 &lt; 0), AND( '3A'!O5 = Lists!$F$11, '3A'!P5 &lt; 0)), 1, 0)</f>
        <v>0</v>
      </c>
      <c r="AG5" s="550">
        <f xml:space="preserve"> IF( OR( AND( K5 = Lists!$F$13, '3A'!L5 &gt; 0), AND( M5 = Lists!$F$13, '3A'!N5 &gt; 0), AND( O5 = Lists!$F$13, '3A'!P5 &gt; 0 )), 1, 0)</f>
        <v>0</v>
      </c>
      <c r="AH5" s="551"/>
      <c r="AI5" s="742" t="e">
        <f>IF($P$1="Select company","",IF((HLOOKUP(((VLOOKUP($P$1,Lists!$B$4:$C$22,2,FALSE))&amp;'PC LIST'!$J$2),'PC list edited'!$A$2:$DT$65,(B5+1),FALSE))=0,"",HLOOKUP(((VLOOKUP($P$1,Lists!$B$4:$C$22,2,FALSE))&amp; 'PC LIST'!$J$2),'PC list edited'!$A$2:$DT$65,(B5+1),FALSE)))</f>
        <v>#N/A</v>
      </c>
    </row>
    <row r="6" spans="1:35" s="88" customFormat="1" ht="30" customHeight="1" x14ac:dyDescent="0.2">
      <c r="A6" s="87"/>
      <c r="B6" s="297">
        <f xml:space="preserve"> B5 + 1</f>
        <v>2</v>
      </c>
      <c r="C6" s="538" t="str">
        <f>IF($P$1="Select company","",IF((HLOOKUP((VLOOKUP($P$1,Lists!$B$4:$C$22,2,FALSE)),'PC list edited'!$A$2:$DV$65,(B6+1),FALSE))=0,"",HLOOKUP((VLOOKUP($P$1,Lists!$B$4:$C$22,2,FALSE)),'PC list edited'!$A$2:$DV$65,(B6+1),FALSE)))</f>
        <v>PR14YKYWSW_WA2</v>
      </c>
      <c r="D6" s="853" t="str">
        <f>IF($P$1="Select company","",IF(C6 ="","",HLOOKUP(((VLOOKUP($P$1,Lists!$B$4:$C$22,2,FALSE))&amp;"PC"),'PC list edited'!$A$2:$DV$65,(B6+1),FALSE)))</f>
        <v>WA2: Significant drinking water events which require corrective action</v>
      </c>
      <c r="E6" s="320" t="str">
        <f>IF($P$1="Select company","",IF(C6 ="","",HLOOKUP(((VLOOKUP($P$1,Lists!$B$4:$C$22,2,FALSE))&amp;"unit"),'PC list edited'!$A$2:$DV$65,(B6+1),FALSE)))</f>
        <v>nr</v>
      </c>
      <c r="F6" s="320" t="str">
        <f>IF($P$1="Select company","",IF(C6 ="","",HLOOKUP(((VLOOKUP($P$1,Lists!$B$4:$C$22,2,FALSE))&amp;"UnitDes"),'PC list edited'!$A$2:$DV$65,(B6+1),FALSE)))</f>
        <v>No. of corrective actions required by DWI with respect to potentially significant events notified</v>
      </c>
      <c r="G6" s="320">
        <f>IF($P$1="Select company","",IF(C6="","",HLOOKUP(((VLOOKUP($P$1,Lists!$B$4:$C$22,2,FALSE))&amp;"DP"),'PC list edited'!$A$2:$DV$65,(B6+1),FALSE)))</f>
        <v>0</v>
      </c>
      <c r="H6" s="320">
        <f>IF($P$1="Select company","",IF(C6 = "","",HLOOKUP(((VLOOKUP($P$1,Lists!$B$4:$C$22,2,FALSE))&amp;"201516Actual"),'PC list edited'!$A$2:$DV$65,(B6+1),FALSE)))</f>
        <v>5</v>
      </c>
      <c r="I6" s="586">
        <v>3</v>
      </c>
      <c r="J6" s="740" t="s">
        <v>605</v>
      </c>
      <c r="K6" s="542"/>
      <c r="L6" s="543"/>
      <c r="M6" s="542"/>
      <c r="N6" s="543"/>
      <c r="O6" s="542"/>
      <c r="P6" s="544"/>
      <c r="Q6" s="83"/>
      <c r="R6" s="548">
        <f>IF(AF6=1, $AF$3, IF(AG6=1, $AG$3, 0))</f>
        <v>0</v>
      </c>
      <c r="S6" s="28">
        <f t="shared" ref="S6:S36" si="1" xml:space="preserve"> IF( SUM( U6:AE6 ) = 0, 0, $V$3 )</f>
        <v>0</v>
      </c>
      <c r="T6" s="83"/>
      <c r="U6" s="84"/>
      <c r="V6" s="105">
        <f t="shared" ref="V6:V36" si="2">IF($C6="",0,IF(ISBLANK(I6)=FALSE,0,1))</f>
        <v>0</v>
      </c>
      <c r="W6" s="105">
        <f>IF($C6="",0,IF(ISBLANK(#REF!)=FALSE,0,1))</f>
        <v>0</v>
      </c>
      <c r="X6" s="105">
        <f t="shared" si="0"/>
        <v>0</v>
      </c>
      <c r="Y6" s="105">
        <f>IF(OR(ISBLANK(L6), L6=0), 0, IF(OR(K6=Lists!$F$11, K6=Lists!$F$13), 0, 1))</f>
        <v>0</v>
      </c>
      <c r="Z6" s="105">
        <f>IF(OR($C6="", AND(NOT(K6=Lists!$F$11), NOT(K6=Lists!$F$13))),0,IF(ISBLANK(L6)=FALSE,0,1))</f>
        <v>0</v>
      </c>
      <c r="AA6" s="105">
        <f>IF(OR(ISBLANK(N6), N6=0), 0, IF(OR(M6=Lists!$F$11, M6=Lists!$F$13), 0, 1))</f>
        <v>0</v>
      </c>
      <c r="AB6" s="105">
        <f>IF(OR($C6="", AND(NOT(M6=Lists!$F$11), NOT(M6=Lists!$F$13))),0,IF(ISBLANK(N6)=FALSE,0,1))</f>
        <v>0</v>
      </c>
      <c r="AC6" s="105">
        <f>IF(OR(ISBLANK(P6), P6=0), 0, IF(OR(O6=Lists!$F$11, O6=Lists!$F$13), 0, 1))</f>
        <v>0</v>
      </c>
      <c r="AD6" s="105">
        <f>IF(OR($C6="", AND(NOT(O6=Lists!$F$11), NOT(O6=Lists!$F$13))),0,IF(ISBLANK(P6)=FALSE,0,1))</f>
        <v>0</v>
      </c>
      <c r="AE6" s="84"/>
      <c r="AF6" s="550">
        <f xml:space="preserve"> IF(OR( AND( K6 = Lists!$F$11, '3A'!L6 &lt; 0), AND( '3A'!M6 = Lists!$F$11, '3A'!N6 &lt; 0), AND( '3A'!O6 = Lists!$F$11, '3A'!P6 &lt; 0)), 1, 0)</f>
        <v>0</v>
      </c>
      <c r="AG6" s="550">
        <f xml:space="preserve"> IF( OR( AND( K6 = Lists!$F$13, '3A'!L6 &gt; 0), AND( M6 = Lists!$F$13, '3A'!N6 &gt; 0), AND( O6 = Lists!$F$13, '3A'!P6 &gt; 0 )), 1, 0)</f>
        <v>0</v>
      </c>
      <c r="AH6" s="551"/>
      <c r="AI6" s="742" t="e">
        <f>IF($P$1="Select company","",IF((HLOOKUP(((VLOOKUP($P$1,Lists!$B$4:$C$22,2,FALSE))&amp;'PC LIST'!$J$2),'PC list edited'!$A$2:$DT$65,(B6+1),FALSE))=0,"",HLOOKUP(((VLOOKUP($P$1,Lists!$B$4:$C$22,2,FALSE))&amp; 'PC LIST'!$J$2),'PC list edited'!$A$2:$DT$65,(B6+1),FALSE)))</f>
        <v>#N/A</v>
      </c>
    </row>
    <row r="7" spans="1:35" s="88" customFormat="1" ht="30" customHeight="1" x14ac:dyDescent="0.2">
      <c r="A7" s="87"/>
      <c r="B7" s="297">
        <f t="shared" ref="B7:B59" si="3" xml:space="preserve"> B6 + 1</f>
        <v>3</v>
      </c>
      <c r="C7" s="538" t="str">
        <f>IF($P$1="Select company","",IF((HLOOKUP((VLOOKUP($P$1,Lists!$B$4:$C$22,2,FALSE)),'PC list edited'!$A$2:$DV$65,(B7+1),FALSE))=0,"",HLOOKUP((VLOOKUP($P$1,Lists!$B$4:$C$22,2,FALSE)),'PC list edited'!$A$2:$DV$65,(B7+1),FALSE)))</f>
        <v>PR14YKYWSW_WA3</v>
      </c>
      <c r="D7" s="853" t="str">
        <f>IF($P$1="Select company","",IF(C7 ="","",HLOOKUP(((VLOOKUP($P$1,Lists!$B$4:$C$22,2,FALSE))&amp;"PC"),'PC list edited'!$A$2:$DV$65,(B7+1),FALSE)))</f>
        <v>WA3: Drinking water contacts</v>
      </c>
      <c r="E7" s="320" t="str">
        <f>IF($P$1="Select company","",IF(C7 ="","",HLOOKUP(((VLOOKUP($P$1,Lists!$B$4:$C$22,2,FALSE))&amp;"unit"),'PC list edited'!$A$2:$DV$65,(B7+1),FALSE)))</f>
        <v>nr</v>
      </c>
      <c r="F7" s="320" t="str">
        <f>IF($P$1="Select company","",IF(C7 ="","",HLOOKUP(((VLOOKUP($P$1,Lists!$B$4:$C$22,2,FALSE))&amp;"UnitDes"),'PC list edited'!$A$2:$DV$65,(B7+1),FALSE)))</f>
        <v>No. of contacts (discolouration, taste &amp; odour and illness) in line with DWI reporting</v>
      </c>
      <c r="G7" s="320">
        <f>IF($P$1="Select company","",IF(C7="","",HLOOKUP(((VLOOKUP($P$1,Lists!$B$4:$C$22,2,FALSE))&amp;"DP"),'PC list edited'!$A$2:$DV$65,(B7+1),FALSE)))</f>
        <v>0</v>
      </c>
      <c r="H7" s="320">
        <f>IF($P$1="Select company","",IF(C7 = "","",HLOOKUP(((VLOOKUP($P$1,Lists!$B$4:$C$22,2,FALSE))&amp;"201516Actual"),'PC list edited'!$A$2:$DV$65,(B7+1),FALSE)))</f>
        <v>10007</v>
      </c>
      <c r="I7" s="586">
        <v>9093</v>
      </c>
      <c r="J7" s="740" t="s">
        <v>606</v>
      </c>
      <c r="K7" s="542"/>
      <c r="L7" s="543"/>
      <c r="M7" s="542" t="s">
        <v>607</v>
      </c>
      <c r="N7" s="543"/>
      <c r="O7" s="542"/>
      <c r="P7" s="544"/>
      <c r="Q7" s="83"/>
      <c r="R7" s="548">
        <f t="shared" ref="R7:R59" si="4">IF(AF7=1, $AF$3, IF(AG7=1, $AG$3, 0))</f>
        <v>0</v>
      </c>
      <c r="S7" s="28">
        <f t="shared" si="1"/>
        <v>0</v>
      </c>
      <c r="T7" s="83"/>
      <c r="U7" s="84"/>
      <c r="V7" s="105">
        <f t="shared" si="2"/>
        <v>0</v>
      </c>
      <c r="W7" s="105">
        <f>IF($C7="",0,IF(ISBLANK(#REF!)=FALSE,0,1))</f>
        <v>0</v>
      </c>
      <c r="X7" s="105">
        <f t="shared" si="0"/>
        <v>0</v>
      </c>
      <c r="Y7" s="105">
        <f>IF(OR(ISBLANK(L7), L7=0), 0, IF(OR(K7=Lists!$F$11, K7=Lists!$F$13), 0, 1))</f>
        <v>0</v>
      </c>
      <c r="Z7" s="105">
        <f>IF(OR($C7="", AND(NOT(K7=Lists!$F$11), NOT(K7=Lists!$F$13))),0,IF(ISBLANK(L7)=FALSE,0,1))</f>
        <v>0</v>
      </c>
      <c r="AA7" s="105">
        <f>IF(OR(ISBLANK(N7), N7=0), 0, IF(OR(M7=Lists!$F$11, M7=Lists!$F$13), 0, 1))</f>
        <v>0</v>
      </c>
      <c r="AB7" s="105">
        <f>IF(OR($C7="", AND(NOT(M7=Lists!$F$11), NOT(M7=Lists!$F$13))),0,IF(ISBLANK(N7)=FALSE,0,1))</f>
        <v>0</v>
      </c>
      <c r="AC7" s="105">
        <f>IF(OR(ISBLANK(P7), P7=0), 0, IF(OR(O7=Lists!$F$11, O7=Lists!$F$13), 0, 1))</f>
        <v>0</v>
      </c>
      <c r="AD7" s="105">
        <f>IF(OR($C7="", AND(NOT(O7=Lists!$F$11), NOT(O7=Lists!$F$13))),0,IF(ISBLANK(P7)=FALSE,0,1))</f>
        <v>0</v>
      </c>
      <c r="AE7" s="84"/>
      <c r="AF7" s="550">
        <f xml:space="preserve"> IF(OR( AND( K7 = Lists!$F$11, '3A'!L7 &lt; 0), AND( '3A'!M7 = Lists!$F$11, '3A'!N7 &lt; 0), AND( '3A'!O7 = Lists!$F$11, '3A'!P7 &lt; 0)), 1, 0)</f>
        <v>0</v>
      </c>
      <c r="AG7" s="550">
        <f xml:space="preserve"> IF( OR( AND( K7 = Lists!$F$13, '3A'!L7 &gt; 0), AND( M7 = Lists!$F$13, '3A'!N7 &gt; 0), AND( O7 = Lists!$F$13, '3A'!P7 &gt; 0 )), 1, 0)</f>
        <v>0</v>
      </c>
      <c r="AH7" s="551"/>
      <c r="AI7" s="742" t="e">
        <f>IF($P$1="Select company","",IF((HLOOKUP(((VLOOKUP($P$1,Lists!$B$4:$C$22,2,FALSE))&amp;'PC LIST'!$J$2),'PC list edited'!$A$2:$DT$65,(B7+1),FALSE))=0,"",HLOOKUP(((VLOOKUP($P$1,Lists!$B$4:$C$22,2,FALSE))&amp; 'PC LIST'!$J$2),'PC list edited'!$A$2:$DT$65,(B7+1),FALSE)))</f>
        <v>#N/A</v>
      </c>
    </row>
    <row r="8" spans="1:35" s="88" customFormat="1" ht="30" customHeight="1" x14ac:dyDescent="0.2">
      <c r="A8" s="87"/>
      <c r="B8" s="297">
        <f t="shared" si="3"/>
        <v>4</v>
      </c>
      <c r="C8" s="538" t="str">
        <f>IF($P$1="Select company","",IF((HLOOKUP((VLOOKUP($P$1,Lists!$B$4:$C$22,2,FALSE)),'PC list edited'!$A$2:$DV$65,(B8+1),FALSE))=0,"",HLOOKUP((VLOOKUP($P$1,Lists!$B$4:$C$22,2,FALSE)),'PC list edited'!$A$2:$DV$65,(B8+1),FALSE)))</f>
        <v>PR14YKYWSW_WA4</v>
      </c>
      <c r="D8" s="853" t="str">
        <f>IF($P$1="Select company","",IF(C8 ="","",HLOOKUP(((VLOOKUP($P$1,Lists!$B$4:$C$22,2,FALSE))&amp;"PC"),'PC list edited'!$A$2:$DV$65,(B8+1),FALSE)))</f>
        <v>WA4: Water quality stability and reliability factor</v>
      </c>
      <c r="E8" s="320" t="str">
        <f>IF($P$1="Select company","",IF(C8 ="","",HLOOKUP(((VLOOKUP($P$1,Lists!$B$4:$C$22,2,FALSE))&amp;"unit"),'PC list edited'!$A$2:$DV$65,(B8+1),FALSE)))</f>
        <v>category</v>
      </c>
      <c r="F8" s="320" t="str">
        <f>IF($P$1="Select company","",IF(C8 ="","",HLOOKUP(((VLOOKUP($P$1,Lists!$B$4:$C$22,2,FALSE))&amp;"UnitDes"),'PC list edited'!$A$2:$DV$65,(B8+1),FALSE)))</f>
        <v>Asset health indicator</v>
      </c>
      <c r="G8" s="320" t="str">
        <f>IF($P$1="Select company","",IF(C8="","",HLOOKUP(((VLOOKUP($P$1,Lists!$B$4:$C$22,2,FALSE))&amp;"DP"),'PC list edited'!$A$2:$DV$65,(B8+1),FALSE)))</f>
        <v>na</v>
      </c>
      <c r="H8" s="320" t="str">
        <f>IF($P$1="Select company","",IF(C8 = "","",HLOOKUP(((VLOOKUP($P$1,Lists!$B$4:$C$22,2,FALSE))&amp;"201516Actual"),'PC list edited'!$A$2:$DV$65,(B8+1),FALSE)))</f>
        <v xml:space="preserve">Stable </v>
      </c>
      <c r="I8" s="586" t="s">
        <v>608</v>
      </c>
      <c r="J8" s="740" t="s">
        <v>609</v>
      </c>
      <c r="K8" s="542"/>
      <c r="L8" s="543"/>
      <c r="M8" s="542"/>
      <c r="N8" s="543"/>
      <c r="O8" s="542"/>
      <c r="P8" s="544"/>
      <c r="Q8" s="83"/>
      <c r="R8" s="548">
        <f t="shared" si="4"/>
        <v>0</v>
      </c>
      <c r="S8" s="28">
        <f t="shared" si="1"/>
        <v>0</v>
      </c>
      <c r="T8" s="83"/>
      <c r="U8" s="84"/>
      <c r="V8" s="105">
        <f t="shared" si="2"/>
        <v>0</v>
      </c>
      <c r="W8" s="105">
        <f>IF($C8="",0,IF(ISBLANK(#REF!)=FALSE,0,1))</f>
        <v>0</v>
      </c>
      <c r="X8" s="105">
        <f t="shared" si="0"/>
        <v>0</v>
      </c>
      <c r="Y8" s="105">
        <f>IF(OR(ISBLANK(L8), L8=0), 0, IF(OR(K8=Lists!$F$11, K8=Lists!$F$13), 0, 1))</f>
        <v>0</v>
      </c>
      <c r="Z8" s="105">
        <f>IF(OR($C8="", AND(NOT(K8=Lists!$F$11), NOT(K8=Lists!$F$13))),0,IF(ISBLANK(L8)=FALSE,0,1))</f>
        <v>0</v>
      </c>
      <c r="AA8" s="105">
        <f>IF(OR(ISBLANK(N8), N8=0), 0, IF(OR(M8=Lists!$F$11, M8=Lists!$F$13), 0, 1))</f>
        <v>0</v>
      </c>
      <c r="AB8" s="105">
        <f>IF(OR($C8="", AND(NOT(M8=Lists!$F$11), NOT(M8=Lists!$F$13))),0,IF(ISBLANK(N8)=FALSE,0,1))</f>
        <v>0</v>
      </c>
      <c r="AC8" s="105">
        <f>IF(OR(ISBLANK(P8), P8=0), 0, IF(OR(O8=Lists!$F$11, O8=Lists!$F$13), 0, 1))</f>
        <v>0</v>
      </c>
      <c r="AD8" s="105">
        <f>IF(OR($C8="", AND(NOT(O8=Lists!$F$11), NOT(O8=Lists!$F$13))),0,IF(ISBLANK(P8)=FALSE,0,1))</f>
        <v>0</v>
      </c>
      <c r="AE8" s="84"/>
      <c r="AF8" s="550">
        <f xml:space="preserve"> IF(OR( AND( K8 = Lists!$F$11, '3A'!L8 &lt; 0), AND( '3A'!M8 = Lists!$F$11, '3A'!N8 &lt; 0), AND( '3A'!O8 = Lists!$F$11, '3A'!P8 &lt; 0)), 1, 0)</f>
        <v>0</v>
      </c>
      <c r="AG8" s="550">
        <f xml:space="preserve"> IF( OR( AND( K8 = Lists!$F$13, '3A'!L8 &gt; 0), AND( M8 = Lists!$F$13, '3A'!N8 &gt; 0), AND( O8 = Lists!$F$13, '3A'!P8 &gt; 0 )), 1, 0)</f>
        <v>0</v>
      </c>
      <c r="AH8" s="551"/>
      <c r="AI8" s="742" t="e">
        <f>IF($P$1="Select company","",IF((HLOOKUP(((VLOOKUP($P$1,Lists!$B$4:$C$22,2,FALSE))&amp;'PC LIST'!$J$2),'PC list edited'!$A$2:$DT$65,(B8+1),FALSE))=0,"",HLOOKUP(((VLOOKUP($P$1,Lists!$B$4:$C$22,2,FALSE))&amp; 'PC LIST'!$J$2),'PC list edited'!$A$2:$DT$65,(B8+1),FALSE)))</f>
        <v>#N/A</v>
      </c>
    </row>
    <row r="9" spans="1:35" s="88" customFormat="1" ht="30" customHeight="1" x14ac:dyDescent="0.2">
      <c r="A9" s="87"/>
      <c r="B9" s="297">
        <f t="shared" si="3"/>
        <v>5</v>
      </c>
      <c r="C9" s="538" t="str">
        <f>IF($P$1="Select company","",IF((HLOOKUP((VLOOKUP($P$1,Lists!$B$4:$C$22,2,FALSE)),'PC list edited'!$A$2:$DV$65,(B9+1),FALSE))=0,"",HLOOKUP((VLOOKUP($P$1,Lists!$B$4:$C$22,2,FALSE)),'PC list edited'!$A$2:$DV$65,(B9+1),FALSE)))</f>
        <v>PR14YKYWSW_WB1</v>
      </c>
      <c r="D9" s="853" t="str">
        <f>IF($P$1="Select company","",IF(C9 ="","",HLOOKUP(((VLOOKUP($P$1,Lists!$B$4:$C$22,2,FALSE))&amp;"PC"),'PC list edited'!$A$2:$DV$65,(B9+1),FALSE)))</f>
        <v>WB1: Leakage</v>
      </c>
      <c r="E9" s="320" t="str">
        <f>IF($P$1="Select company","",IF(C9 ="","",HLOOKUP(((VLOOKUP($P$1,Lists!$B$4:$C$22,2,FALSE))&amp;"unit"),'PC list edited'!$A$2:$DV$65,(B9+1),FALSE)))</f>
        <v>nr</v>
      </c>
      <c r="F9" s="320" t="str">
        <f>IF($P$1="Select company","",IF(C9 ="","",HLOOKUP(((VLOOKUP($P$1,Lists!$B$4:$C$22,2,FALSE))&amp;"UnitDes"),'PC list edited'!$A$2:$DV$65,(B9+1),FALSE)))</f>
        <v>Megalitres per day (Ml/d)</v>
      </c>
      <c r="G9" s="320">
        <f>IF($P$1="Select company","",IF(C9="","",HLOOKUP(((VLOOKUP($P$1,Lists!$B$4:$C$22,2,FALSE))&amp;"DP"),'PC list edited'!$A$2:$DV$65,(B9+1),FALSE)))</f>
        <v>1</v>
      </c>
      <c r="H9" s="320">
        <f>IF($P$1="Select company","",IF(C9 = "","",HLOOKUP(((VLOOKUP($P$1,Lists!$B$4:$C$22,2,FALSE))&amp;"201516Actual"),'PC list edited'!$A$2:$DV$65,(B9+1),FALSE)))</f>
        <v>285.12</v>
      </c>
      <c r="I9" s="586">
        <v>295.16000000000003</v>
      </c>
      <c r="J9" s="740" t="s">
        <v>605</v>
      </c>
      <c r="K9" s="542"/>
      <c r="L9" s="543"/>
      <c r="M9" s="542" t="s">
        <v>610</v>
      </c>
      <c r="N9" s="543"/>
      <c r="O9" s="542"/>
      <c r="P9" s="544"/>
      <c r="Q9" s="83"/>
      <c r="R9" s="548">
        <f t="shared" si="4"/>
        <v>0</v>
      </c>
      <c r="S9" s="28">
        <f t="shared" si="1"/>
        <v>0</v>
      </c>
      <c r="T9" s="83"/>
      <c r="U9" s="84"/>
      <c r="V9" s="105">
        <f t="shared" si="2"/>
        <v>0</v>
      </c>
      <c r="W9" s="105">
        <f>IF($C9="",0,IF(ISBLANK(#REF!)=FALSE,0,1))</f>
        <v>0</v>
      </c>
      <c r="X9" s="105">
        <f t="shared" si="0"/>
        <v>0</v>
      </c>
      <c r="Y9" s="105">
        <f>IF(OR(ISBLANK(L9), L9=0), 0, IF(OR(K9=Lists!$F$11, K9=Lists!$F$13), 0, 1))</f>
        <v>0</v>
      </c>
      <c r="Z9" s="105">
        <f>IF(OR($C9="", AND(NOT(K9=Lists!$F$11), NOT(K9=Lists!$F$13))),0,IF(ISBLANK(L9)=FALSE,0,1))</f>
        <v>0</v>
      </c>
      <c r="AA9" s="105">
        <f>IF(OR(ISBLANK(N9), N9=0), 0, IF(OR(M9=Lists!$F$11, M9=Lists!$F$13), 0, 1))</f>
        <v>0</v>
      </c>
      <c r="AB9" s="105">
        <f>IF(OR($C9="", AND(NOT(M9=Lists!$F$11), NOT(M9=Lists!$F$13))),0,IF(ISBLANK(N9)=FALSE,0,1))</f>
        <v>0</v>
      </c>
      <c r="AC9" s="105">
        <f>IF(OR(ISBLANK(P9), P9=0), 0, IF(OR(O9=Lists!$F$11, O9=Lists!$F$13), 0, 1))</f>
        <v>0</v>
      </c>
      <c r="AD9" s="105">
        <f>IF(OR($C9="", AND(NOT(O9=Lists!$F$11), NOT(O9=Lists!$F$13))),0,IF(ISBLANK(P9)=FALSE,0,1))</f>
        <v>0</v>
      </c>
      <c r="AE9" s="84"/>
      <c r="AF9" s="550">
        <f xml:space="preserve"> IF(OR( AND( K9 = Lists!$F$11, '3A'!L9 &lt; 0), AND( '3A'!M9 = Lists!$F$11, '3A'!N9 &lt; 0), AND( '3A'!O9 = Lists!$F$11, '3A'!P9 &lt; 0)), 1, 0)</f>
        <v>0</v>
      </c>
      <c r="AG9" s="550">
        <f xml:space="preserve"> IF( OR( AND( K9 = Lists!$F$13, '3A'!L9 &gt; 0), AND( M9 = Lists!$F$13, '3A'!N9 &gt; 0), AND( O9 = Lists!$F$13, '3A'!P9 &gt; 0 )), 1, 0)</f>
        <v>0</v>
      </c>
      <c r="AH9" s="551"/>
      <c r="AI9" s="742" t="e">
        <f>IF($P$1="Select company","",IF((HLOOKUP(((VLOOKUP($P$1,Lists!$B$4:$C$22,2,FALSE))&amp;'PC LIST'!$J$2),'PC list edited'!$A$2:$DT$65,(B9+1),FALSE))=0,"",HLOOKUP(((VLOOKUP($P$1,Lists!$B$4:$C$22,2,FALSE))&amp; 'PC LIST'!$J$2),'PC list edited'!$A$2:$DT$65,(B9+1),FALSE)))</f>
        <v>#N/A</v>
      </c>
    </row>
    <row r="10" spans="1:35" s="88" customFormat="1" ht="30" customHeight="1" x14ac:dyDescent="0.2">
      <c r="A10" s="87"/>
      <c r="B10" s="297">
        <f t="shared" si="3"/>
        <v>6</v>
      </c>
      <c r="C10" s="538" t="str">
        <f>IF($P$1="Select company","",IF((HLOOKUP((VLOOKUP($P$1,Lists!$B$4:$C$22,2,FALSE)),'PC list edited'!$A$2:$DV$65,(B10+1),FALSE))=0,"",HLOOKUP((VLOOKUP($P$1,Lists!$B$4:$C$22,2,FALSE)),'PC list edited'!$A$2:$DV$65,(B10+1),FALSE)))</f>
        <v>PR14YKYWSW_WB2</v>
      </c>
      <c r="D10" s="853" t="str">
        <f>IF($P$1="Select company","",IF(C10 ="","",HLOOKUP(((VLOOKUP($P$1,Lists!$B$4:$C$22,2,FALSE))&amp;"PC"),'PC list edited'!$A$2:$DV$65,(B10+1),FALSE)))</f>
        <v>WB2: Water supply interruptions</v>
      </c>
      <c r="E10" s="320" t="str">
        <f>IF($P$1="Select company","",IF(C10 ="","",HLOOKUP(((VLOOKUP($P$1,Lists!$B$4:$C$22,2,FALSE))&amp;"unit"),'PC list edited'!$A$2:$DV$65,(B10+1),FALSE)))</f>
        <v>time</v>
      </c>
      <c r="F10" s="320" t="str">
        <f>IF($P$1="Select company","",IF(C10 ="","",HLOOKUP(((VLOOKUP($P$1,Lists!$B$4:$C$22,2,FALSE))&amp;"UnitDes"),'PC list edited'!$A$2:$DV$65,(B10+1),FALSE)))</f>
        <v>Minutes lost per property per year</v>
      </c>
      <c r="G10" s="320">
        <f>IF($P$1="Select company","",IF(C10="","",HLOOKUP(((VLOOKUP($P$1,Lists!$B$4:$C$22,2,FALSE))&amp;"DP"),'PC list edited'!$A$2:$DV$65,(B10+1),FALSE)))</f>
        <v>2</v>
      </c>
      <c r="H10" s="320">
        <f>IF($P$1="Select company","",IF(C10 = "","",HLOOKUP(((VLOOKUP($P$1,Lists!$B$4:$C$22,2,FALSE))&amp;"201516Actual"),'PC list edited'!$A$2:$DV$65,(B10+1),FALSE)))</f>
        <v>12.89</v>
      </c>
      <c r="I10" s="586">
        <v>9.7799999999999994</v>
      </c>
      <c r="J10" s="740" t="s">
        <v>605</v>
      </c>
      <c r="K10" s="542"/>
      <c r="L10" s="543"/>
      <c r="M10" s="542" t="s">
        <v>611</v>
      </c>
      <c r="N10" s="543">
        <v>5.7916999999999996</v>
      </c>
      <c r="O10" s="542"/>
      <c r="P10" s="544"/>
      <c r="Q10" s="83"/>
      <c r="R10" s="548">
        <f t="shared" si="4"/>
        <v>0</v>
      </c>
      <c r="S10" s="28">
        <f t="shared" si="1"/>
        <v>0</v>
      </c>
      <c r="T10" s="83"/>
      <c r="U10" s="84"/>
      <c r="V10" s="105">
        <f t="shared" si="2"/>
        <v>0</v>
      </c>
      <c r="W10" s="105">
        <f>IF($C10="",0,IF(ISBLANK(#REF!)=FALSE,0,1))</f>
        <v>0</v>
      </c>
      <c r="X10" s="105">
        <f t="shared" si="0"/>
        <v>0</v>
      </c>
      <c r="Y10" s="105">
        <f>IF(OR(ISBLANK(L10), L10=0), 0, IF(OR(K10=Lists!$F$11, K10=Lists!$F$13), 0, 1))</f>
        <v>0</v>
      </c>
      <c r="Z10" s="105">
        <f>IF(OR($C10="", AND(NOT(K10=Lists!$F$11), NOT(K10=Lists!$F$13))),0,IF(ISBLANK(L10)=FALSE,0,1))</f>
        <v>0</v>
      </c>
      <c r="AA10" s="105">
        <f>IF(OR(ISBLANK(N10), N10=0), 0, IF(OR(M10=Lists!$F$11, M10=Lists!$F$13), 0, 1))</f>
        <v>0</v>
      </c>
      <c r="AB10" s="105">
        <f>IF(OR($C10="", AND(NOT(M10=Lists!$F$11), NOT(M10=Lists!$F$13))),0,IF(ISBLANK(N10)=FALSE,0,1))</f>
        <v>0</v>
      </c>
      <c r="AC10" s="105">
        <f>IF(OR(ISBLANK(P10), P10=0), 0, IF(OR(O10=Lists!$F$11, O10=Lists!$F$13), 0, 1))</f>
        <v>0</v>
      </c>
      <c r="AD10" s="105">
        <f>IF(OR($C10="", AND(NOT(O10=Lists!$F$11), NOT(O10=Lists!$F$13))),0,IF(ISBLANK(P10)=FALSE,0,1))</f>
        <v>0</v>
      </c>
      <c r="AE10" s="84"/>
      <c r="AF10" s="550">
        <f xml:space="preserve"> IF(OR( AND( K10 = Lists!$F$11, '3A'!L10 &lt; 0), AND( '3A'!M10 = Lists!$F$11, '3A'!N10 &lt; 0), AND( '3A'!O10 = Lists!$F$11, '3A'!P10 &lt; 0)), 1, 0)</f>
        <v>0</v>
      </c>
      <c r="AG10" s="550">
        <f xml:space="preserve"> IF( OR( AND( K10 = Lists!$F$13, '3A'!L10 &gt; 0), AND( M10 = Lists!$F$13, '3A'!N10 &gt; 0), AND( O10 = Lists!$F$13, '3A'!P10 &gt; 0 )), 1, 0)</f>
        <v>0</v>
      </c>
      <c r="AH10" s="551"/>
      <c r="AI10" s="742" t="e">
        <f>IF($P$1="Select company","",IF((HLOOKUP(((VLOOKUP($P$1,Lists!$B$4:$C$22,2,FALSE))&amp;'PC LIST'!$J$2),'PC list edited'!$A$2:$DT$65,(B10+1),FALSE))=0,"",HLOOKUP(((VLOOKUP($P$1,Lists!$B$4:$C$22,2,FALSE))&amp; 'PC LIST'!$J$2),'PC list edited'!$A$2:$DT$65,(B10+1),FALSE)))</f>
        <v>#N/A</v>
      </c>
    </row>
    <row r="11" spans="1:35" s="88" customFormat="1" ht="30" customHeight="1" x14ac:dyDescent="0.2">
      <c r="A11" s="87"/>
      <c r="B11" s="297">
        <f t="shared" si="3"/>
        <v>7</v>
      </c>
      <c r="C11" s="538" t="str">
        <f>IF($P$1="Select company","",IF((HLOOKUP((VLOOKUP($P$1,Lists!$B$4:$C$22,2,FALSE)),'PC list edited'!$A$2:$DV$65,(B11+1),FALSE))=0,"",HLOOKUP((VLOOKUP($P$1,Lists!$B$4:$C$22,2,FALSE)),'PC list edited'!$A$2:$DV$65,(B11+1),FALSE)))</f>
        <v>PR14YKYWSW_WB3</v>
      </c>
      <c r="D11" s="853" t="str">
        <f>IF($P$1="Select company","",IF(C11 ="","",HLOOKUP(((VLOOKUP($P$1,Lists!$B$4:$C$22,2,FALSE))&amp;"PC"),'PC list edited'!$A$2:$DV$65,(B11+1),FALSE)))</f>
        <v>WB3: Water use</v>
      </c>
      <c r="E11" s="320" t="str">
        <f>IF($P$1="Select company","",IF(C11 ="","",HLOOKUP(((VLOOKUP($P$1,Lists!$B$4:$C$22,2,FALSE))&amp;"unit"),'PC list edited'!$A$2:$DV$65,(B11+1),FALSE)))</f>
        <v>nr</v>
      </c>
      <c r="F11" s="320" t="str">
        <f>IF($P$1="Select company","",IF(C11 ="","",HLOOKUP(((VLOOKUP($P$1,Lists!$B$4:$C$22,2,FALSE))&amp;"UnitDes"),'PC list edited'!$A$2:$DV$65,(B11+1),FALSE)))</f>
        <v>Litres per head per day (l/h/d)</v>
      </c>
      <c r="G11" s="320">
        <f>IF($P$1="Select company","",IF(C11="","",HLOOKUP(((VLOOKUP($P$1,Lists!$B$4:$C$22,2,FALSE))&amp;"DP"),'PC list edited'!$A$2:$DV$65,(B11+1),FALSE)))</f>
        <v>1</v>
      </c>
      <c r="H11" s="320">
        <f>IF($P$1="Select company","",IF(C11 = "","",HLOOKUP(((VLOOKUP($P$1,Lists!$B$4:$C$22,2,FALSE))&amp;"201516Actual"),'PC list edited'!$A$2:$DV$65,(B11+1),FALSE)))</f>
        <v>141.71</v>
      </c>
      <c r="I11" s="586">
        <v>137.4</v>
      </c>
      <c r="J11" s="740" t="s">
        <v>605</v>
      </c>
      <c r="K11" s="542"/>
      <c r="L11" s="543"/>
      <c r="M11" s="542"/>
      <c r="N11" s="543"/>
      <c r="O11" s="542"/>
      <c r="P11" s="544"/>
      <c r="Q11" s="83"/>
      <c r="R11" s="548">
        <f t="shared" si="4"/>
        <v>0</v>
      </c>
      <c r="S11" s="28">
        <f t="shared" si="1"/>
        <v>0</v>
      </c>
      <c r="T11" s="83"/>
      <c r="U11" s="84"/>
      <c r="V11" s="105">
        <f t="shared" si="2"/>
        <v>0</v>
      </c>
      <c r="W11" s="105">
        <f>IF($C11="",0,IF(ISBLANK(#REF!)=FALSE,0,1))</f>
        <v>0</v>
      </c>
      <c r="X11" s="105">
        <f t="shared" si="0"/>
        <v>0</v>
      </c>
      <c r="Y11" s="105">
        <f>IF(OR(ISBLANK(L11), L11=0), 0, IF(OR(K11=Lists!$F$11, K11=Lists!$F$13), 0, 1))</f>
        <v>0</v>
      </c>
      <c r="Z11" s="105">
        <f>IF(OR($C11="", AND(NOT(K11=Lists!$F$11), NOT(K11=Lists!$F$13))),0,IF(ISBLANK(L11)=FALSE,0,1))</f>
        <v>0</v>
      </c>
      <c r="AA11" s="105">
        <f>IF(OR(ISBLANK(N11), N11=0), 0, IF(OR(M11=Lists!$F$11, M11=Lists!$F$13), 0, 1))</f>
        <v>0</v>
      </c>
      <c r="AB11" s="105">
        <f>IF(OR($C11="", AND(NOT(M11=Lists!$F$11), NOT(M11=Lists!$F$13))),0,IF(ISBLANK(N11)=FALSE,0,1))</f>
        <v>0</v>
      </c>
      <c r="AC11" s="105">
        <f>IF(OR(ISBLANK(P11), P11=0), 0, IF(OR(O11=Lists!$F$11, O11=Lists!$F$13), 0, 1))</f>
        <v>0</v>
      </c>
      <c r="AD11" s="105">
        <f>IF(OR($C11="", AND(NOT(O11=Lists!$F$11), NOT(O11=Lists!$F$13))),0,IF(ISBLANK(P11)=FALSE,0,1))</f>
        <v>0</v>
      </c>
      <c r="AE11" s="84"/>
      <c r="AF11" s="550">
        <f xml:space="preserve"> IF(OR( AND( K11 = Lists!$F$11, '3A'!L11 &lt; 0), AND( '3A'!M11 = Lists!$F$11, '3A'!N11 &lt; 0), AND( '3A'!O11 = Lists!$F$11, '3A'!P11 &lt; 0)), 1, 0)</f>
        <v>0</v>
      </c>
      <c r="AG11" s="550">
        <f xml:space="preserve"> IF( OR( AND( K11 = Lists!$F$13, '3A'!L11 &gt; 0), AND( M11 = Lists!$F$13, '3A'!N11 &gt; 0), AND( O11 = Lists!$F$13, '3A'!P11 &gt; 0 )), 1, 0)</f>
        <v>0</v>
      </c>
      <c r="AH11" s="551"/>
      <c r="AI11" s="742" t="e">
        <f>IF($P$1="Select company","",IF((HLOOKUP(((VLOOKUP($P$1,Lists!$B$4:$C$22,2,FALSE))&amp;'PC LIST'!$J$2),'PC list edited'!$A$2:$DT$65,(B11+1),FALSE))=0,"",HLOOKUP(((VLOOKUP($P$1,Lists!$B$4:$C$22,2,FALSE))&amp; 'PC LIST'!$J$2),'PC list edited'!$A$2:$DT$65,(B11+1),FALSE)))</f>
        <v>#N/A</v>
      </c>
    </row>
    <row r="12" spans="1:35" s="88" customFormat="1" ht="30" customHeight="1" x14ac:dyDescent="0.2">
      <c r="A12" s="87"/>
      <c r="B12" s="297">
        <f t="shared" si="3"/>
        <v>8</v>
      </c>
      <c r="C12" s="538" t="str">
        <f>IF($P$1="Select company","",IF((HLOOKUP((VLOOKUP($P$1,Lists!$B$4:$C$22,2,FALSE)),'PC list edited'!$A$2:$DV$65,(B12+1),FALSE))=0,"",HLOOKUP((VLOOKUP($P$1,Lists!$B$4:$C$22,2,FALSE)),'PC list edited'!$A$2:$DV$65,(B12+1),FALSE)))</f>
        <v>PR14YKYWSW_WB4</v>
      </c>
      <c r="D12" s="853" t="str">
        <f>IF($P$1="Select company","",IF(C12 ="","",HLOOKUP(((VLOOKUP($P$1,Lists!$B$4:$C$22,2,FALSE))&amp;"PC"),'PC list edited'!$A$2:$DV$65,(B12+1),FALSE)))</f>
        <v>WB4: Water network stability and reliability factor</v>
      </c>
      <c r="E12" s="320" t="str">
        <f>IF($P$1="Select company","",IF(C12 ="","",HLOOKUP(((VLOOKUP($P$1,Lists!$B$4:$C$22,2,FALSE))&amp;"unit"),'PC list edited'!$A$2:$DV$65,(B12+1),FALSE)))</f>
        <v>category</v>
      </c>
      <c r="F12" s="320" t="str">
        <f>IF($P$1="Select company","",IF(C12 ="","",HLOOKUP(((VLOOKUP($P$1,Lists!$B$4:$C$22,2,FALSE))&amp;"UnitDes"),'PC list edited'!$A$2:$DV$65,(B12+1),FALSE)))</f>
        <v>Asset health indicator</v>
      </c>
      <c r="G12" s="320" t="str">
        <f>IF($P$1="Select company","",IF(C12="","",HLOOKUP(((VLOOKUP($P$1,Lists!$B$4:$C$22,2,FALSE))&amp;"DP"),'PC list edited'!$A$2:$DV$65,(B12+1),FALSE)))</f>
        <v>na</v>
      </c>
      <c r="H12" s="320" t="str">
        <f>IF($P$1="Select company","",IF(C12 = "","",HLOOKUP(((VLOOKUP($P$1,Lists!$B$4:$C$22,2,FALSE))&amp;"201516Actual"),'PC list edited'!$A$2:$DV$65,(B12+1),FALSE)))</f>
        <v xml:space="preserve">Stable </v>
      </c>
      <c r="I12" s="586" t="s">
        <v>612</v>
      </c>
      <c r="J12" s="740" t="s">
        <v>609</v>
      </c>
      <c r="K12" s="542"/>
      <c r="L12" s="543"/>
      <c r="M12" s="542"/>
      <c r="N12" s="543"/>
      <c r="O12" s="542"/>
      <c r="P12" s="544"/>
      <c r="Q12" s="83"/>
      <c r="R12" s="548">
        <f t="shared" si="4"/>
        <v>0</v>
      </c>
      <c r="S12" s="28">
        <f t="shared" si="1"/>
        <v>0</v>
      </c>
      <c r="T12" s="83"/>
      <c r="U12" s="84"/>
      <c r="V12" s="105">
        <f t="shared" si="2"/>
        <v>0</v>
      </c>
      <c r="W12" s="105">
        <f>IF($C12="",0,IF(ISBLANK(#REF!)=FALSE,0,1))</f>
        <v>0</v>
      </c>
      <c r="X12" s="105">
        <f t="shared" si="0"/>
        <v>0</v>
      </c>
      <c r="Y12" s="105">
        <f>IF(OR(ISBLANK(L12), L12=0), 0, IF(OR(K12=Lists!$F$11, K12=Lists!$F$13), 0, 1))</f>
        <v>0</v>
      </c>
      <c r="Z12" s="105">
        <f>IF(OR($C12="", AND(NOT(K12=Lists!$F$11), NOT(K12=Lists!$F$13))),0,IF(ISBLANK(L12)=FALSE,0,1))</f>
        <v>0</v>
      </c>
      <c r="AA12" s="105">
        <f>IF(OR(ISBLANK(N12), N12=0), 0, IF(OR(M12=Lists!$F$11, M12=Lists!$F$13), 0, 1))</f>
        <v>0</v>
      </c>
      <c r="AB12" s="105">
        <f>IF(OR($C12="", AND(NOT(M12=Lists!$F$11), NOT(M12=Lists!$F$13))),0,IF(ISBLANK(N12)=FALSE,0,1))</f>
        <v>0</v>
      </c>
      <c r="AC12" s="105">
        <f>IF(OR(ISBLANK(P12), P12=0), 0, IF(OR(O12=Lists!$F$11, O12=Lists!$F$13), 0, 1))</f>
        <v>0</v>
      </c>
      <c r="AD12" s="105">
        <f>IF(OR($C12="", AND(NOT(O12=Lists!$F$11), NOT(O12=Lists!$F$13))),0,IF(ISBLANK(P12)=FALSE,0,1))</f>
        <v>0</v>
      </c>
      <c r="AE12" s="84"/>
      <c r="AF12" s="550">
        <f xml:space="preserve"> IF(OR( AND( K12 = Lists!$F$11, '3A'!L12 &lt; 0), AND( '3A'!M12 = Lists!$F$11, '3A'!N12 &lt; 0), AND( '3A'!O12 = Lists!$F$11, '3A'!P12 &lt; 0)), 1, 0)</f>
        <v>0</v>
      </c>
      <c r="AG12" s="550">
        <f xml:space="preserve"> IF( OR( AND( K12 = Lists!$F$13, '3A'!L12 &gt; 0), AND( M12 = Lists!$F$13, '3A'!N12 &gt; 0), AND( O12 = Lists!$F$13, '3A'!P12 &gt; 0 )), 1, 0)</f>
        <v>0</v>
      </c>
      <c r="AH12" s="551"/>
      <c r="AI12" s="742" t="e">
        <f>IF($P$1="Select company","",IF((HLOOKUP(((VLOOKUP($P$1,Lists!$B$4:$C$22,2,FALSE))&amp;'PC LIST'!$J$2),'PC list edited'!$A$2:$DT$65,(B12+1),FALSE))=0,"",HLOOKUP(((VLOOKUP($P$1,Lists!$B$4:$C$22,2,FALSE))&amp; 'PC LIST'!$J$2),'PC list edited'!$A$2:$DT$65,(B12+1),FALSE)))</f>
        <v>#N/A</v>
      </c>
    </row>
    <row r="13" spans="1:35" s="88" customFormat="1" ht="30" customHeight="1" x14ac:dyDescent="0.2">
      <c r="A13" s="87"/>
      <c r="B13" s="297">
        <f t="shared" si="3"/>
        <v>9</v>
      </c>
      <c r="C13" s="538" t="str">
        <f>IF($P$1="Select company","",IF((HLOOKUP((VLOOKUP($P$1,Lists!$B$4:$C$22,2,FALSE)),'PC list edited'!$A$2:$DV$65,(B13+1),FALSE))=0,"",HLOOKUP((VLOOKUP($P$1,Lists!$B$4:$C$22,2,FALSE)),'PC list edited'!$A$2:$DV$65,(B13+1),FALSE)))</f>
        <v>PR14YKYWSW_WC1</v>
      </c>
      <c r="D13" s="853" t="str">
        <f>IF($P$1="Select company","",IF(C13 ="","",HLOOKUP(((VLOOKUP($P$1,Lists!$B$4:$C$22,2,FALSE))&amp;"PC"),'PC list edited'!$A$2:$DV$65,(B13+1),FALSE)))</f>
        <v>WC1: Length of river improved (note: PC is part of a total commitment at Appointee level - see also SB4)</v>
      </c>
      <c r="E13" s="320" t="str">
        <f>IF($P$1="Select company","",IF(C13 ="","",HLOOKUP(((VLOOKUP($P$1,Lists!$B$4:$C$22,2,FALSE))&amp;"unit"),'PC list edited'!$A$2:$DV$65,(B13+1),FALSE)))</f>
        <v>nr</v>
      </c>
      <c r="F13" s="320" t="str">
        <f>IF($P$1="Select company","",IF(C13 ="","",HLOOKUP(((VLOOKUP($P$1,Lists!$B$4:$C$22,2,FALSE))&amp;"UnitDes"),'PC list edited'!$A$2:$DV$65,(B13+1),FALSE)))</f>
        <v>Kilometres (km) of river improved (modelled length)</v>
      </c>
      <c r="G13" s="320">
        <f>IF($P$1="Select company","",IF(C13="","",HLOOKUP(((VLOOKUP($P$1,Lists!$B$4:$C$22,2,FALSE))&amp;"DP"),'PC list edited'!$A$2:$DV$65,(B13+1),FALSE)))</f>
        <v>0</v>
      </c>
      <c r="H13" s="320">
        <f>IF($P$1="Select company","",IF(C13 = "","",HLOOKUP(((VLOOKUP($P$1,Lists!$B$4:$C$22,2,FALSE))&amp;"201516Actual"),'PC list edited'!$A$2:$DV$65,(B13+1),FALSE)))</f>
        <v>0</v>
      </c>
      <c r="I13" s="586">
        <v>0</v>
      </c>
      <c r="J13" s="740" t="s">
        <v>609</v>
      </c>
      <c r="K13" s="542"/>
      <c r="L13" s="543"/>
      <c r="M13" s="542"/>
      <c r="N13" s="543"/>
      <c r="O13" s="542"/>
      <c r="P13" s="544"/>
      <c r="Q13" s="83"/>
      <c r="R13" s="548">
        <f t="shared" si="4"/>
        <v>0</v>
      </c>
      <c r="S13" s="28">
        <f t="shared" si="1"/>
        <v>0</v>
      </c>
      <c r="T13" s="83"/>
      <c r="U13" s="84"/>
      <c r="V13" s="105">
        <f t="shared" si="2"/>
        <v>0</v>
      </c>
      <c r="W13" s="105">
        <f>IF($C13="",0,IF(ISBLANK(#REF!)=FALSE,0,1))</f>
        <v>0</v>
      </c>
      <c r="X13" s="105">
        <f t="shared" si="0"/>
        <v>0</v>
      </c>
      <c r="Y13" s="105">
        <f>IF(OR(ISBLANK(L13), L13=0), 0, IF(OR(K13=Lists!$F$11, K13=Lists!$F$13), 0, 1))</f>
        <v>0</v>
      </c>
      <c r="Z13" s="105">
        <f>IF(OR($C13="", AND(NOT(K13=Lists!$F$11), NOT(K13=Lists!$F$13))),0,IF(ISBLANK(L13)=FALSE,0,1))</f>
        <v>0</v>
      </c>
      <c r="AA13" s="105">
        <f>IF(OR(ISBLANK(N13), N13=0), 0, IF(OR(M13=Lists!$F$11, M13=Lists!$F$13), 0, 1))</f>
        <v>0</v>
      </c>
      <c r="AB13" s="105">
        <f>IF(OR($C13="", AND(NOT(M13=Lists!$F$11), NOT(M13=Lists!$F$13))),0,IF(ISBLANK(N13)=FALSE,0,1))</f>
        <v>0</v>
      </c>
      <c r="AC13" s="105">
        <f>IF(OR(ISBLANK(P13), P13=0), 0, IF(OR(O13=Lists!$F$11, O13=Lists!$F$13), 0, 1))</f>
        <v>0</v>
      </c>
      <c r="AD13" s="105">
        <f>IF(OR($C13="", AND(NOT(O13=Lists!$F$11), NOT(O13=Lists!$F$13))),0,IF(ISBLANK(P13)=FALSE,0,1))</f>
        <v>0</v>
      </c>
      <c r="AE13" s="84"/>
      <c r="AF13" s="550">
        <f xml:space="preserve"> IF(OR( AND( K13 = Lists!$F$11, '3A'!L13 &lt; 0), AND( '3A'!M13 = Lists!$F$11, '3A'!N13 &lt; 0), AND( '3A'!O13 = Lists!$F$11, '3A'!P13 &lt; 0)), 1, 0)</f>
        <v>0</v>
      </c>
      <c r="AG13" s="550">
        <f xml:space="preserve"> IF( OR( AND( K13 = Lists!$F$13, '3A'!L13 &gt; 0), AND( M13 = Lists!$F$13, '3A'!N13 &gt; 0), AND( O13 = Lists!$F$13, '3A'!P13 &gt; 0 )), 1, 0)</f>
        <v>0</v>
      </c>
      <c r="AH13" s="551"/>
      <c r="AI13" s="742" t="e">
        <f>IF($P$1="Select company","",IF((HLOOKUP(((VLOOKUP($P$1,Lists!$B$4:$C$22,2,FALSE))&amp;'PC LIST'!$J$2),'PC list edited'!$A$2:$DT$65,(B13+1),FALSE))=0,"",HLOOKUP(((VLOOKUP($P$1,Lists!$B$4:$C$22,2,FALSE))&amp; 'PC LIST'!$J$2),'PC list edited'!$A$2:$DT$65,(B13+1),FALSE)))</f>
        <v>#N/A</v>
      </c>
    </row>
    <row r="14" spans="1:35" s="88" customFormat="1" ht="30" customHeight="1" x14ac:dyDescent="0.2">
      <c r="A14" s="87"/>
      <c r="B14" s="297">
        <f t="shared" si="3"/>
        <v>10</v>
      </c>
      <c r="C14" s="538" t="str">
        <f>IF($P$1="Select company","",IF((HLOOKUP((VLOOKUP($P$1,Lists!$B$4:$C$22,2,FALSE)),'PC list edited'!$A$2:$DV$65,(B14+1),FALSE))=0,"",HLOOKUP((VLOOKUP($P$1,Lists!$B$4:$C$22,2,FALSE)),'PC list edited'!$A$2:$DV$65,(B14+1),FALSE)))</f>
        <v>PR14YKYWSW_WC2</v>
      </c>
      <c r="D14" s="853" t="str">
        <f>IF($P$1="Select company","",IF(C14 ="","",HLOOKUP(((VLOOKUP($P$1,Lists!$B$4:$C$22,2,FALSE))&amp;"PC"),'PC list edited'!$A$2:$DV$65,(B14+1),FALSE)))</f>
        <v>WC2: Solutions delivered by working with others (note: PC is part of a total commitment at Appointee level - see also SB3)</v>
      </c>
      <c r="E14" s="320" t="str">
        <f>IF($P$1="Select company","",IF(C14 ="","",HLOOKUP(((VLOOKUP($P$1,Lists!$B$4:$C$22,2,FALSE))&amp;"unit"),'PC list edited'!$A$2:$DV$65,(B14+1),FALSE)))</f>
        <v>nr</v>
      </c>
      <c r="F14" s="320" t="str">
        <f>IF($P$1="Select company","",IF(C14 ="","",HLOOKUP(((VLOOKUP($P$1,Lists!$B$4:$C$22,2,FALSE))&amp;"UnitDes"),'PC list edited'!$A$2:$DV$65,(B14+1),FALSE)))</f>
        <v>No. of solutions delivered by working with others</v>
      </c>
      <c r="G14" s="320">
        <f>IF($P$1="Select company","",IF(C14="","",HLOOKUP(((VLOOKUP($P$1,Lists!$B$4:$C$22,2,FALSE))&amp;"DP"),'PC list edited'!$A$2:$DV$65,(B14+1),FALSE)))</f>
        <v>0</v>
      </c>
      <c r="H14" s="320">
        <f>IF($P$1="Select company","",IF(C14 = "","",HLOOKUP(((VLOOKUP($P$1,Lists!$B$4:$C$22,2,FALSE))&amp;"201516Actual"),'PC list edited'!$A$2:$DV$65,(B14+1),FALSE)))</f>
        <v>4</v>
      </c>
      <c r="I14" s="586">
        <v>5</v>
      </c>
      <c r="J14" s="740" t="s">
        <v>605</v>
      </c>
      <c r="K14" s="542"/>
      <c r="L14" s="543"/>
      <c r="M14" s="542" t="s">
        <v>611</v>
      </c>
      <c r="N14" s="543">
        <v>1.6763999999999999E-4</v>
      </c>
      <c r="O14" s="542"/>
      <c r="P14" s="544"/>
      <c r="Q14" s="83"/>
      <c r="R14" s="548">
        <f t="shared" si="4"/>
        <v>0</v>
      </c>
      <c r="S14" s="28">
        <f t="shared" si="1"/>
        <v>0</v>
      </c>
      <c r="T14" s="83"/>
      <c r="U14" s="84"/>
      <c r="V14" s="105">
        <f t="shared" si="2"/>
        <v>0</v>
      </c>
      <c r="W14" s="105">
        <f>IF($C14="",0,IF(ISBLANK(#REF!)=FALSE,0,1))</f>
        <v>0</v>
      </c>
      <c r="X14" s="105">
        <f t="shared" si="0"/>
        <v>0</v>
      </c>
      <c r="Y14" s="105">
        <f>IF(OR(ISBLANK(L14), L14=0), 0, IF(OR(K14=Lists!$F$11, K14=Lists!$F$13), 0, 1))</f>
        <v>0</v>
      </c>
      <c r="Z14" s="105">
        <f>IF(OR($C14="", AND(NOT(K14=Lists!$F$11), NOT(K14=Lists!$F$13))),0,IF(ISBLANK(L14)=FALSE,0,1))</f>
        <v>0</v>
      </c>
      <c r="AA14" s="105">
        <f>IF(OR(ISBLANK(N14), N14=0), 0, IF(OR(M14=Lists!$F$11, M14=Lists!$F$13), 0, 1))</f>
        <v>0</v>
      </c>
      <c r="AB14" s="105">
        <f>IF(OR($C14="", AND(NOT(M14=Lists!$F$11), NOT(M14=Lists!$F$13))),0,IF(ISBLANK(N14)=FALSE,0,1))</f>
        <v>0</v>
      </c>
      <c r="AC14" s="105">
        <f>IF(OR(ISBLANK(P14), P14=0), 0, IF(OR(O14=Lists!$F$11, O14=Lists!$F$13), 0, 1))</f>
        <v>0</v>
      </c>
      <c r="AD14" s="105">
        <f>IF(OR($C14="", AND(NOT(O14=Lists!$F$11), NOT(O14=Lists!$F$13))),0,IF(ISBLANK(P14)=FALSE,0,1))</f>
        <v>0</v>
      </c>
      <c r="AE14" s="84"/>
      <c r="AF14" s="550">
        <f xml:space="preserve"> IF(OR( AND( K14 = Lists!$F$11, '3A'!L14 &lt; 0), AND( '3A'!M14 = Lists!$F$11, '3A'!N14 &lt; 0), AND( '3A'!O14 = Lists!$F$11, '3A'!P14 &lt; 0)), 1, 0)</f>
        <v>0</v>
      </c>
      <c r="AG14" s="550">
        <f xml:space="preserve"> IF( OR( AND( K14 = Lists!$F$13, '3A'!L14 &gt; 0), AND( M14 = Lists!$F$13, '3A'!N14 &gt; 0), AND( O14 = Lists!$F$13, '3A'!P14 &gt; 0 )), 1, 0)</f>
        <v>0</v>
      </c>
      <c r="AH14" s="551"/>
      <c r="AI14" s="742" t="e">
        <f>IF($P$1="Select company","",IF((HLOOKUP(((VLOOKUP($P$1,Lists!$B$4:$C$22,2,FALSE))&amp;'PC LIST'!$J$2),'PC list edited'!$A$2:$DT$65,(B14+1),FALSE))=0,"",HLOOKUP(((VLOOKUP($P$1,Lists!$B$4:$C$22,2,FALSE))&amp; 'PC LIST'!$J$2),'PC list edited'!$A$2:$DT$65,(B14+1),FALSE)))</f>
        <v>#N/A</v>
      </c>
    </row>
    <row r="15" spans="1:35" s="88" customFormat="1" ht="30" customHeight="1" x14ac:dyDescent="0.2">
      <c r="A15" s="87"/>
      <c r="B15" s="297">
        <f t="shared" si="3"/>
        <v>11</v>
      </c>
      <c r="C15" s="538" t="str">
        <f>IF($P$1="Select company","",IF((HLOOKUP((VLOOKUP($P$1,Lists!$B$4:$C$22,2,FALSE)),'PC list edited'!$A$2:$DV$65,(B15+1),FALSE))=0,"",HLOOKUP((VLOOKUP($P$1,Lists!$B$4:$C$22,2,FALSE)),'PC list edited'!$A$2:$DV$65,(B15+1),FALSE)))</f>
        <v>PR14YKYWSW_WC3</v>
      </c>
      <c r="D15" s="853" t="str">
        <f>IF($P$1="Select company","",IF(C15 ="","",HLOOKUP(((VLOOKUP($P$1,Lists!$B$4:$C$22,2,FALSE))&amp;"PC"),'PC list edited'!$A$2:$DV$65,(B15+1),FALSE)))</f>
        <v>WC3: Amount of land conserved and enhanced (note: PC is part of a total commitment at Appointee level - see also SB5)</v>
      </c>
      <c r="E15" s="320" t="str">
        <f>IF($P$1="Select company","",IF(C15 ="","",HLOOKUP(((VLOOKUP($P$1,Lists!$B$4:$C$22,2,FALSE))&amp;"unit"),'PC list edited'!$A$2:$DV$65,(B15+1),FALSE)))</f>
        <v>nr</v>
      </c>
      <c r="F15" s="320" t="str">
        <f>IF($P$1="Select company","",IF(C15 ="","",HLOOKUP(((VLOOKUP($P$1,Lists!$B$4:$C$22,2,FALSE))&amp;"UnitDes"),'PC list edited'!$A$2:$DV$65,(B15+1),FALSE)))</f>
        <v>No. of hectares of land conserved &amp; enhanced (cumulative)</v>
      </c>
      <c r="G15" s="320">
        <f>IF($P$1="Select company","",IF(C15="","",HLOOKUP(((VLOOKUP($P$1,Lists!$B$4:$C$22,2,FALSE))&amp;"DP"),'PC list edited'!$A$2:$DV$65,(B15+1),FALSE)))</f>
        <v>0</v>
      </c>
      <c r="H15" s="320">
        <f>IF($P$1="Select company","",IF(C15 = "","",HLOOKUP(((VLOOKUP($P$1,Lists!$B$4:$C$22,2,FALSE))&amp;"201516Actual"),'PC list edited'!$A$2:$DV$65,(B15+1),FALSE)))</f>
        <v>11466</v>
      </c>
      <c r="I15" s="586">
        <v>11492</v>
      </c>
      <c r="J15" s="740" t="s">
        <v>609</v>
      </c>
      <c r="K15" s="542"/>
      <c r="L15" s="543"/>
      <c r="M15" s="542"/>
      <c r="N15" s="543"/>
      <c r="O15" s="542"/>
      <c r="P15" s="544"/>
      <c r="Q15" s="83"/>
      <c r="R15" s="548">
        <f t="shared" si="4"/>
        <v>0</v>
      </c>
      <c r="S15" s="28">
        <f t="shared" si="1"/>
        <v>0</v>
      </c>
      <c r="T15" s="83"/>
      <c r="U15" s="84"/>
      <c r="V15" s="105">
        <f t="shared" si="2"/>
        <v>0</v>
      </c>
      <c r="W15" s="105">
        <f>IF($C15="",0,IF(ISBLANK(#REF!)=FALSE,0,1))</f>
        <v>0</v>
      </c>
      <c r="X15" s="105">
        <f t="shared" si="0"/>
        <v>0</v>
      </c>
      <c r="Y15" s="105">
        <f>IF(OR(ISBLANK(L15), L15=0), 0, IF(OR(K15=Lists!$F$11, K15=Lists!$F$13), 0, 1))</f>
        <v>0</v>
      </c>
      <c r="Z15" s="105">
        <f>IF(OR($C15="", AND(NOT(K15=Lists!$F$11), NOT(K15=Lists!$F$13))),0,IF(ISBLANK(L15)=FALSE,0,1))</f>
        <v>0</v>
      </c>
      <c r="AA15" s="105">
        <f>IF(OR(ISBLANK(N15), N15=0), 0, IF(OR(M15=Lists!$F$11, M15=Lists!$F$13), 0, 1))</f>
        <v>0</v>
      </c>
      <c r="AB15" s="105">
        <f>IF(OR($C15="", AND(NOT(M15=Lists!$F$11), NOT(M15=Lists!$F$13))),0,IF(ISBLANK(N15)=FALSE,0,1))</f>
        <v>0</v>
      </c>
      <c r="AC15" s="105">
        <f>IF(OR(ISBLANK(P15), P15=0), 0, IF(OR(O15=Lists!$F$11, O15=Lists!$F$13), 0, 1))</f>
        <v>0</v>
      </c>
      <c r="AD15" s="105">
        <f>IF(OR($C15="", AND(NOT(O15=Lists!$F$11), NOT(O15=Lists!$F$13))),0,IF(ISBLANK(P15)=FALSE,0,1))</f>
        <v>0</v>
      </c>
      <c r="AE15" s="84"/>
      <c r="AF15" s="550">
        <f xml:space="preserve"> IF(OR( AND( K15 = Lists!$F$11, '3A'!L15 &lt; 0), AND( '3A'!M15 = Lists!$F$11, '3A'!N15 &lt; 0), AND( '3A'!O15 = Lists!$F$11, '3A'!P15 &lt; 0)), 1, 0)</f>
        <v>0</v>
      </c>
      <c r="AG15" s="550">
        <f xml:space="preserve"> IF( OR( AND( K15 = Lists!$F$13, '3A'!L15 &gt; 0), AND( M15 = Lists!$F$13, '3A'!N15 &gt; 0), AND( O15 = Lists!$F$13, '3A'!P15 &gt; 0 )), 1, 0)</f>
        <v>0</v>
      </c>
      <c r="AH15" s="551"/>
      <c r="AI15" s="742" t="e">
        <f>IF($P$1="Select company","",IF((HLOOKUP(((VLOOKUP($P$1,Lists!$B$4:$C$22,2,FALSE))&amp;'PC LIST'!$J$2),'PC list edited'!$A$2:$DT$65,(B15+1),FALSE))=0,"",HLOOKUP(((VLOOKUP($P$1,Lists!$B$4:$C$22,2,FALSE))&amp; 'PC LIST'!$J$2),'PC list edited'!$A$2:$DT$65,(B15+1),FALSE)))</f>
        <v>#N/A</v>
      </c>
    </row>
    <row r="16" spans="1:35" s="88" customFormat="1" ht="30" customHeight="1" x14ac:dyDescent="0.2">
      <c r="A16" s="87"/>
      <c r="B16" s="297">
        <f t="shared" si="3"/>
        <v>12</v>
      </c>
      <c r="C16" s="538" t="str">
        <f>IF($P$1="Select company","",IF((HLOOKUP((VLOOKUP($P$1,Lists!$B$4:$C$22,2,FALSE)),'PC list edited'!$A$2:$DV$65,(B16+1),FALSE))=0,"",HLOOKUP((VLOOKUP($P$1,Lists!$B$4:$C$22,2,FALSE)),'PC list edited'!$A$2:$DV$65,(B16+1),FALSE)))</f>
        <v>PR14YKYWSW_WC4</v>
      </c>
      <c r="D16" s="853" t="str">
        <f>IF($P$1="Select company","",IF(C16 ="","",HLOOKUP(((VLOOKUP($P$1,Lists!$B$4:$C$22,2,FALSE))&amp;"PC"),'PC list edited'!$A$2:$DV$65,(B16+1),FALSE)))</f>
        <v>WC4: Recreational visitor satisfaction</v>
      </c>
      <c r="E16" s="320" t="str">
        <f>IF($P$1="Select company","",IF(C16 ="","",HLOOKUP(((VLOOKUP($P$1,Lists!$B$4:$C$22,2,FALSE))&amp;"unit"),'PC list edited'!$A$2:$DV$65,(B16+1),FALSE)))</f>
        <v>text</v>
      </c>
      <c r="F16" s="320" t="str">
        <f>IF($P$1="Select company","",IF(C16 ="","",HLOOKUP(((VLOOKUP($P$1,Lists!$B$4:$C$22,2,FALSE))&amp;"UnitDes"),'PC list edited'!$A$2:$DV$65,(B16+1),FALSE)))</f>
        <v>Asessment of customer satisfaction (qualitative survey)</v>
      </c>
      <c r="G16" s="320" t="str">
        <f>IF($P$1="Select company","",IF(C16="","",HLOOKUP(((VLOOKUP($P$1,Lists!$B$4:$C$22,2,FALSE))&amp;"DP"),'PC list edited'!$A$2:$DV$65,(B16+1),FALSE)))</f>
        <v>na</v>
      </c>
      <c r="H16" s="320" t="str">
        <f>IF($P$1="Select company","",IF(C16 = "","",HLOOKUP(((VLOOKUP($P$1,Lists!$B$4:$C$22,2,FALSE))&amp;"201516Actual"),'PC list edited'!$A$2:$DV$65,(B16+1),FALSE)))</f>
        <v xml:space="preserve">Published </v>
      </c>
      <c r="I16" s="586" t="s">
        <v>613</v>
      </c>
      <c r="J16" s="740" t="s">
        <v>605</v>
      </c>
      <c r="K16" s="542"/>
      <c r="L16" s="543"/>
      <c r="M16" s="542"/>
      <c r="N16" s="543"/>
      <c r="O16" s="542"/>
      <c r="P16" s="544"/>
      <c r="Q16" s="83"/>
      <c r="R16" s="548">
        <f t="shared" si="4"/>
        <v>0</v>
      </c>
      <c r="S16" s="28">
        <f t="shared" si="1"/>
        <v>0</v>
      </c>
      <c r="T16" s="83"/>
      <c r="U16" s="84"/>
      <c r="V16" s="105">
        <f t="shared" si="2"/>
        <v>0</v>
      </c>
      <c r="W16" s="105">
        <f>IF($C16="",0,IF(ISBLANK(#REF!)=FALSE,0,1))</f>
        <v>0</v>
      </c>
      <c r="X16" s="105">
        <f t="shared" si="0"/>
        <v>0</v>
      </c>
      <c r="Y16" s="105">
        <f>IF(OR(ISBLANK(L16), L16=0), 0, IF(OR(K16=Lists!$F$11, K16=Lists!$F$13), 0, 1))</f>
        <v>0</v>
      </c>
      <c r="Z16" s="105">
        <f>IF(OR($C16="", AND(NOT(K16=Lists!$F$11), NOT(K16=Lists!$F$13))),0,IF(ISBLANK(L16)=FALSE,0,1))</f>
        <v>0</v>
      </c>
      <c r="AA16" s="105">
        <f>IF(OR(ISBLANK(N16), N16=0), 0, IF(OR(M16=Lists!$F$11, M16=Lists!$F$13), 0, 1))</f>
        <v>0</v>
      </c>
      <c r="AB16" s="105">
        <f>IF(OR($C16="", AND(NOT(M16=Lists!$F$11), NOT(M16=Lists!$F$13))),0,IF(ISBLANK(N16)=FALSE,0,1))</f>
        <v>0</v>
      </c>
      <c r="AC16" s="105">
        <f>IF(OR(ISBLANK(P16), P16=0), 0, IF(OR(O16=Lists!$F$11, O16=Lists!$F$13), 0, 1))</f>
        <v>0</v>
      </c>
      <c r="AD16" s="105">
        <f>IF(OR($C16="", AND(NOT(O16=Lists!$F$11), NOT(O16=Lists!$F$13))),0,IF(ISBLANK(P16)=FALSE,0,1))</f>
        <v>0</v>
      </c>
      <c r="AE16" s="84"/>
      <c r="AF16" s="550">
        <f xml:space="preserve"> IF(OR( AND( K16 = Lists!$F$11, '3A'!L16 &lt; 0), AND( '3A'!M16 = Lists!$F$11, '3A'!N16 &lt; 0), AND( '3A'!O16 = Lists!$F$11, '3A'!P16 &lt; 0)), 1, 0)</f>
        <v>0</v>
      </c>
      <c r="AG16" s="550">
        <f xml:space="preserve"> IF( OR( AND( K16 = Lists!$F$13, '3A'!L16 &gt; 0), AND( M16 = Lists!$F$13, '3A'!N16 &gt; 0), AND( O16 = Lists!$F$13, '3A'!P16 &gt; 0 )), 1, 0)</f>
        <v>0</v>
      </c>
      <c r="AH16" s="551"/>
      <c r="AI16" s="742" t="e">
        <f>IF($P$1="Select company","",IF((HLOOKUP(((VLOOKUP($P$1,Lists!$B$4:$C$22,2,FALSE))&amp;'PC LIST'!$J$2),'PC list edited'!$A$2:$DT$65,(B16+1),FALSE))=0,"",HLOOKUP(((VLOOKUP($P$1,Lists!$B$4:$C$22,2,FALSE))&amp; 'PC LIST'!$J$2),'PC list edited'!$A$2:$DT$65,(B16+1),FALSE)))</f>
        <v>#N/A</v>
      </c>
    </row>
    <row r="17" spans="1:35" s="88" customFormat="1" ht="30" customHeight="1" x14ac:dyDescent="0.2">
      <c r="A17" s="87"/>
      <c r="B17" s="297">
        <f t="shared" si="3"/>
        <v>13</v>
      </c>
      <c r="C17" s="538" t="str">
        <f>IF($P$1="Select company","",IF((HLOOKUP((VLOOKUP($P$1,Lists!$B$4:$C$22,2,FALSE)),'PC list edited'!$A$2:$DV$65,(B17+1),FALSE))=0,"",HLOOKUP((VLOOKUP($P$1,Lists!$B$4:$C$22,2,FALSE)),'PC list edited'!$A$2:$DV$65,(B17+1),FALSE)))</f>
        <v>PR14YKYWSW_WD1</v>
      </c>
      <c r="D17" s="853" t="str">
        <f>IF($P$1="Select company","",IF(C17 ="","",HLOOKUP(((VLOOKUP($P$1,Lists!$B$4:$C$22,2,FALSE))&amp;"PC"),'PC list edited'!$A$2:$DV$65,(B17+1),FALSE)))</f>
        <v>WD1: Proportion of energy use generated by renewable technology (note: PC is part of a total commitment at Appointee level - see also SC1 and RC1)</v>
      </c>
      <c r="E17" s="320" t="str">
        <f>IF($P$1="Select company","",IF(C17 ="","",HLOOKUP(((VLOOKUP($P$1,Lists!$B$4:$C$22,2,FALSE))&amp;"unit"),'PC list edited'!$A$2:$DV$65,(B17+1),FALSE)))</f>
        <v>%</v>
      </c>
      <c r="F17" s="320" t="str">
        <f>IF($P$1="Select company","",IF(C17 ="","",HLOOKUP(((VLOOKUP($P$1,Lists!$B$4:$C$22,2,FALSE))&amp;"UnitDes"),'PC list edited'!$A$2:$DV$65,(B17+1),FALSE)))</f>
        <v>% of energy use generated by renewable technology</v>
      </c>
      <c r="G17" s="320">
        <f>IF($P$1="Select company","",IF(C17="","",HLOOKUP(((VLOOKUP($P$1,Lists!$B$4:$C$22,2,FALSE))&amp;"DP"),'PC list edited'!$A$2:$DV$65,(B17+1),FALSE)))</f>
        <v>0</v>
      </c>
      <c r="H17" s="320">
        <f>IF($P$1="Select company","",IF(C17 = "","",HLOOKUP(((VLOOKUP($P$1,Lists!$B$4:$C$22,2,FALSE))&amp;"201516Actual"),'PC list edited'!$A$2:$DV$65,(B17+1),FALSE)))</f>
        <v>11.257999999999999</v>
      </c>
      <c r="I17" s="586">
        <v>10.44</v>
      </c>
      <c r="J17" s="740" t="s">
        <v>606</v>
      </c>
      <c r="K17" s="542"/>
      <c r="L17" s="543"/>
      <c r="M17" s="542"/>
      <c r="N17" s="543"/>
      <c r="O17" s="542"/>
      <c r="P17" s="544"/>
      <c r="Q17" s="83"/>
      <c r="R17" s="548">
        <f t="shared" si="4"/>
        <v>0</v>
      </c>
      <c r="S17" s="28">
        <f t="shared" si="1"/>
        <v>0</v>
      </c>
      <c r="T17" s="83"/>
      <c r="U17" s="84"/>
      <c r="V17" s="105">
        <f t="shared" si="2"/>
        <v>0</v>
      </c>
      <c r="W17" s="105">
        <f>IF($C17="",0,IF(ISBLANK(#REF!)=FALSE,0,1))</f>
        <v>0</v>
      </c>
      <c r="X17" s="105">
        <f t="shared" si="0"/>
        <v>0</v>
      </c>
      <c r="Y17" s="105">
        <f>IF(OR(ISBLANK(L17), L17=0), 0, IF(OR(K17=Lists!$F$11, K17=Lists!$F$13), 0, 1))</f>
        <v>0</v>
      </c>
      <c r="Z17" s="105">
        <f>IF(OR($C17="", AND(NOT(K17=Lists!$F$11), NOT(K17=Lists!$F$13))),0,IF(ISBLANK(L17)=FALSE,0,1))</f>
        <v>0</v>
      </c>
      <c r="AA17" s="105">
        <f>IF(OR(ISBLANK(N17), N17=0), 0, IF(OR(M17=Lists!$F$11, M17=Lists!$F$13), 0, 1))</f>
        <v>0</v>
      </c>
      <c r="AB17" s="105">
        <f>IF(OR($C17="", AND(NOT(M17=Lists!$F$11), NOT(M17=Lists!$F$13))),0,IF(ISBLANK(N17)=FALSE,0,1))</f>
        <v>0</v>
      </c>
      <c r="AC17" s="105">
        <f>IF(OR(ISBLANK(P17), P17=0), 0, IF(OR(O17=Lists!$F$11, O17=Lists!$F$13), 0, 1))</f>
        <v>0</v>
      </c>
      <c r="AD17" s="105">
        <f>IF(OR($C17="", AND(NOT(O17=Lists!$F$11), NOT(O17=Lists!$F$13))),0,IF(ISBLANK(P17)=FALSE,0,1))</f>
        <v>0</v>
      </c>
      <c r="AE17" s="84"/>
      <c r="AF17" s="550">
        <f xml:space="preserve"> IF(OR( AND( K17 = Lists!$F$11, '3A'!L17 &lt; 0), AND( '3A'!M17 = Lists!$F$11, '3A'!N17 &lt; 0), AND( '3A'!O17 = Lists!$F$11, '3A'!P17 &lt; 0)), 1, 0)</f>
        <v>0</v>
      </c>
      <c r="AG17" s="550">
        <f xml:space="preserve"> IF( OR( AND( K17 = Lists!$F$13, '3A'!L17 &gt; 0), AND( M17 = Lists!$F$13, '3A'!N17 &gt; 0), AND( O17 = Lists!$F$13, '3A'!P17 &gt; 0 )), 1, 0)</f>
        <v>0</v>
      </c>
      <c r="AH17" s="551"/>
      <c r="AI17" s="742" t="e">
        <f>IF($P$1="Select company","",IF((HLOOKUP(((VLOOKUP($P$1,Lists!$B$4:$C$22,2,FALSE))&amp;'PC LIST'!$J$2),'PC list edited'!$A$2:$DT$65,(B17+1),FALSE))=0,"",HLOOKUP(((VLOOKUP($P$1,Lists!$B$4:$C$22,2,FALSE))&amp; 'PC LIST'!$J$2),'PC list edited'!$A$2:$DT$65,(B17+1),FALSE)))</f>
        <v>#N/A</v>
      </c>
    </row>
    <row r="18" spans="1:35" s="88" customFormat="1" ht="30" customHeight="1" x14ac:dyDescent="0.2">
      <c r="A18" s="87"/>
      <c r="B18" s="297">
        <f t="shared" si="3"/>
        <v>14</v>
      </c>
      <c r="C18" s="538" t="str">
        <f>IF($P$1="Select company","",IF((HLOOKUP((VLOOKUP($P$1,Lists!$B$4:$C$22,2,FALSE)),'PC list edited'!$A$2:$DV$65,(B18+1),FALSE))=0,"",HLOOKUP((VLOOKUP($P$1,Lists!$B$4:$C$22,2,FALSE)),'PC list edited'!$A$2:$DV$65,(B18+1),FALSE)))</f>
        <v>PR14YKYWSW_WD2</v>
      </c>
      <c r="D18" s="853" t="str">
        <f>IF($P$1="Select company","",IF(C18 ="","",HLOOKUP(((VLOOKUP($P$1,Lists!$B$4:$C$22,2,FALSE))&amp;"PC"),'PC list edited'!$A$2:$DV$65,(B18+1),FALSE)))</f>
        <v>WD2: Proportion of waste diverted from landfill (note: PC is part of a total commitment at Appointee level - see also SC2 and RC2)</v>
      </c>
      <c r="E18" s="320" t="str">
        <f>IF($P$1="Select company","",IF(C18 ="","",HLOOKUP(((VLOOKUP($P$1,Lists!$B$4:$C$22,2,FALSE))&amp;"unit"),'PC list edited'!$A$2:$DV$65,(B18+1),FALSE)))</f>
        <v>%</v>
      </c>
      <c r="F18" s="320" t="str">
        <f>IF($P$1="Select company","",IF(C18 ="","",HLOOKUP(((VLOOKUP($P$1,Lists!$B$4:$C$22,2,FALSE))&amp;"UnitDes"),'PC list edited'!$A$2:$DV$65,(B18+1),FALSE)))</f>
        <v>% of waste diverted from landfill (re-used and recycled)</v>
      </c>
      <c r="G18" s="320">
        <f>IF($P$1="Select company","",IF(C18="","",HLOOKUP(((VLOOKUP($P$1,Lists!$B$4:$C$22,2,FALSE))&amp;"DP"),'PC list edited'!$A$2:$DV$65,(B18+1),FALSE)))</f>
        <v>0</v>
      </c>
      <c r="H18" s="320">
        <f>IF($P$1="Select company","",IF(C18 = "","",HLOOKUP(((VLOOKUP($P$1,Lists!$B$4:$C$22,2,FALSE))&amp;"201516Actual"),'PC list edited'!$A$2:$DV$65,(B18+1),FALSE)))</f>
        <v>98.91</v>
      </c>
      <c r="I18" s="586">
        <v>99.3</v>
      </c>
      <c r="J18" s="740" t="s">
        <v>605</v>
      </c>
      <c r="K18" s="542"/>
      <c r="L18" s="543"/>
      <c r="M18" s="542"/>
      <c r="N18" s="543"/>
      <c r="O18" s="542"/>
      <c r="P18" s="544"/>
      <c r="Q18" s="83"/>
      <c r="R18" s="548">
        <f t="shared" si="4"/>
        <v>0</v>
      </c>
      <c r="S18" s="28">
        <f t="shared" si="1"/>
        <v>0</v>
      </c>
      <c r="T18" s="83"/>
      <c r="U18" s="84"/>
      <c r="V18" s="105">
        <f t="shared" si="2"/>
        <v>0</v>
      </c>
      <c r="W18" s="105">
        <f>IF($C18="",0,IF(ISBLANK(#REF!)=FALSE,0,1))</f>
        <v>0</v>
      </c>
      <c r="X18" s="105">
        <f t="shared" si="0"/>
        <v>0</v>
      </c>
      <c r="Y18" s="105">
        <f>IF(OR(ISBLANK(L18), L18=0), 0, IF(OR(K18=Lists!$F$11, K18=Lists!$F$13), 0, 1))</f>
        <v>0</v>
      </c>
      <c r="Z18" s="105">
        <f>IF(OR($C18="", AND(NOT(K18=Lists!$F$11), NOT(K18=Lists!$F$13))),0,IF(ISBLANK(L18)=FALSE,0,1))</f>
        <v>0</v>
      </c>
      <c r="AA18" s="105">
        <f>IF(OR(ISBLANK(N18), N18=0), 0, IF(OR(M18=Lists!$F$11, M18=Lists!$F$13), 0, 1))</f>
        <v>0</v>
      </c>
      <c r="AB18" s="105">
        <f>IF(OR($C18="", AND(NOT(M18=Lists!$F$11), NOT(M18=Lists!$F$13))),0,IF(ISBLANK(N18)=FALSE,0,1))</f>
        <v>0</v>
      </c>
      <c r="AC18" s="105">
        <f>IF(OR(ISBLANK(P18), P18=0), 0, IF(OR(O18=Lists!$F$11, O18=Lists!$F$13), 0, 1))</f>
        <v>0</v>
      </c>
      <c r="AD18" s="105">
        <f>IF(OR($C18="", AND(NOT(O18=Lists!$F$11), NOT(O18=Lists!$F$13))),0,IF(ISBLANK(P18)=FALSE,0,1))</f>
        <v>0</v>
      </c>
      <c r="AE18" s="84"/>
      <c r="AF18" s="550">
        <f xml:space="preserve"> IF(OR( AND( K18 = Lists!$F$11, '3A'!L18 &lt; 0), AND( '3A'!M18 = Lists!$F$11, '3A'!N18 &lt; 0), AND( '3A'!O18 = Lists!$F$11, '3A'!P18 &lt; 0)), 1, 0)</f>
        <v>0</v>
      </c>
      <c r="AG18" s="550">
        <f xml:space="preserve"> IF( OR( AND( K18 = Lists!$F$13, '3A'!L18 &gt; 0), AND( M18 = Lists!$F$13, '3A'!N18 &gt; 0), AND( O18 = Lists!$F$13, '3A'!P18 &gt; 0 )), 1, 0)</f>
        <v>0</v>
      </c>
      <c r="AH18" s="551"/>
      <c r="AI18" s="742" t="e">
        <f>IF($P$1="Select company","",IF((HLOOKUP(((VLOOKUP($P$1,Lists!$B$4:$C$22,2,FALSE))&amp;'PC LIST'!$J$2),'PC list edited'!$A$2:$DT$65,(B18+1),FALSE))=0,"",HLOOKUP(((VLOOKUP($P$1,Lists!$B$4:$C$22,2,FALSE))&amp; 'PC LIST'!$J$2),'PC list edited'!$A$2:$DT$65,(B18+1),FALSE)))</f>
        <v>#N/A</v>
      </c>
    </row>
    <row r="19" spans="1:35" s="88" customFormat="1" ht="30" customHeight="1" x14ac:dyDescent="0.2">
      <c r="A19" s="87"/>
      <c r="B19" s="297">
        <f t="shared" si="3"/>
        <v>15</v>
      </c>
      <c r="C19" s="538" t="str">
        <f>IF($P$1="Select company","",IF((HLOOKUP((VLOOKUP($P$1,Lists!$B$4:$C$22,2,FALSE)),'PC list edited'!$A$2:$DV$65,(B19+1),FALSE))=0,"",HLOOKUP((VLOOKUP($P$1,Lists!$B$4:$C$22,2,FALSE)),'PC list edited'!$A$2:$DV$65,(B19+1),FALSE)))</f>
        <v>PR14YKYWSWW_SA1</v>
      </c>
      <c r="D19" s="853" t="str">
        <f>IF($P$1="Select company","",IF(C19 ="","",HLOOKUP(((VLOOKUP($P$1,Lists!$B$4:$C$22,2,FALSE))&amp;"PC"),'PC list edited'!$A$2:$DV$65,(B19+1),FALSE)))</f>
        <v>SA1: Internal sewer flooding incidents</v>
      </c>
      <c r="E19" s="320" t="str">
        <f>IF($P$1="Select company","",IF(C19 ="","",HLOOKUP(((VLOOKUP($P$1,Lists!$B$4:$C$22,2,FALSE))&amp;"unit"),'PC list edited'!$A$2:$DV$65,(B19+1),FALSE)))</f>
        <v>nr</v>
      </c>
      <c r="F19" s="320" t="str">
        <f>IF($P$1="Select company","",IF(C19 ="","",HLOOKUP(((VLOOKUP($P$1,Lists!$B$4:$C$22,2,FALSE))&amp;"UnitDes"),'PC list edited'!$A$2:$DV$65,(B19+1),FALSE)))</f>
        <v>No. of internal sewer flooding incidents</v>
      </c>
      <c r="G19" s="320">
        <f>IF($P$1="Select company","",IF(C19="","",HLOOKUP(((VLOOKUP($P$1,Lists!$B$4:$C$22,2,FALSE))&amp;"DP"),'PC list edited'!$A$2:$DV$65,(B19+1),FALSE)))</f>
        <v>0</v>
      </c>
      <c r="H19" s="320">
        <f>IF($P$1="Select company","",IF(C19 = "","",HLOOKUP(((VLOOKUP($P$1,Lists!$B$4:$C$22,2,FALSE))&amp;"201516Actual"),'PC list edited'!$A$2:$DV$65,(B19+1),FALSE)))</f>
        <v>1842</v>
      </c>
      <c r="I19" s="586">
        <v>1769</v>
      </c>
      <c r="J19" s="740" t="s">
        <v>605</v>
      </c>
      <c r="K19" s="542"/>
      <c r="L19" s="543"/>
      <c r="M19" s="542" t="s">
        <v>611</v>
      </c>
      <c r="N19" s="543">
        <v>2.2423999999999999</v>
      </c>
      <c r="O19" s="542"/>
      <c r="P19" s="544"/>
      <c r="Q19" s="83"/>
      <c r="R19" s="548">
        <f t="shared" si="4"/>
        <v>0</v>
      </c>
      <c r="S19" s="28">
        <f t="shared" si="1"/>
        <v>0</v>
      </c>
      <c r="T19" s="83"/>
      <c r="U19" s="84"/>
      <c r="V19" s="105">
        <f t="shared" si="2"/>
        <v>0</v>
      </c>
      <c r="W19" s="105">
        <f>IF($C19="",0,IF(ISBLANK(#REF!)=FALSE,0,1))</f>
        <v>0</v>
      </c>
      <c r="X19" s="105">
        <f t="shared" si="0"/>
        <v>0</v>
      </c>
      <c r="Y19" s="105">
        <f>IF(OR(ISBLANK(L19), L19=0), 0, IF(OR(K19=Lists!$F$11, K19=Lists!$F$13), 0, 1))</f>
        <v>0</v>
      </c>
      <c r="Z19" s="105">
        <f>IF(OR($C19="", AND(NOT(K19=Lists!$F$11), NOT(K19=Lists!$F$13))),0,IF(ISBLANK(L19)=FALSE,0,1))</f>
        <v>0</v>
      </c>
      <c r="AA19" s="105">
        <f>IF(OR(ISBLANK(N19), N19=0), 0, IF(OR(M19=Lists!$F$11, M19=Lists!$F$13), 0, 1))</f>
        <v>0</v>
      </c>
      <c r="AB19" s="105">
        <f>IF(OR($C19="", AND(NOT(M19=Lists!$F$11), NOT(M19=Lists!$F$13))),0,IF(ISBLANK(N19)=FALSE,0,1))</f>
        <v>0</v>
      </c>
      <c r="AC19" s="105">
        <f>IF(OR(ISBLANK(P19), P19=0), 0, IF(OR(O19=Lists!$F$11, O19=Lists!$F$13), 0, 1))</f>
        <v>0</v>
      </c>
      <c r="AD19" s="105">
        <f>IF(OR($C19="", AND(NOT(O19=Lists!$F$11), NOT(O19=Lists!$F$13))),0,IF(ISBLANK(P19)=FALSE,0,1))</f>
        <v>0</v>
      </c>
      <c r="AE19" s="84"/>
      <c r="AF19" s="550">
        <f xml:space="preserve"> IF(OR( AND( K19 = Lists!$F$11, '3A'!L19 &lt; 0), AND( '3A'!M19 = Lists!$F$11, '3A'!N19 &lt; 0), AND( '3A'!O19 = Lists!$F$11, '3A'!P19 &lt; 0)), 1, 0)</f>
        <v>0</v>
      </c>
      <c r="AG19" s="550">
        <f xml:space="preserve"> IF( OR( AND( K19 = Lists!$F$13, '3A'!L19 &gt; 0), AND( M19 = Lists!$F$13, '3A'!N19 &gt; 0), AND( O19 = Lists!$F$13, '3A'!P19 &gt; 0 )), 1, 0)</f>
        <v>0</v>
      </c>
      <c r="AH19" s="551"/>
      <c r="AI19" s="742" t="e">
        <f>IF($P$1="Select company","",IF((HLOOKUP(((VLOOKUP($P$1,Lists!$B$4:$C$22,2,FALSE))&amp;'PC LIST'!$J$2),'PC list edited'!$A$2:$DT$65,(B19+1),FALSE))=0,"",HLOOKUP(((VLOOKUP($P$1,Lists!$B$4:$C$22,2,FALSE))&amp; 'PC LIST'!$J$2),'PC list edited'!$A$2:$DT$65,(B19+1),FALSE)))</f>
        <v>#N/A</v>
      </c>
    </row>
    <row r="20" spans="1:35" s="88" customFormat="1" ht="30" customHeight="1" x14ac:dyDescent="0.2">
      <c r="A20" s="87"/>
      <c r="B20" s="297">
        <f t="shared" si="3"/>
        <v>16</v>
      </c>
      <c r="C20" s="538" t="str">
        <f>IF($P$1="Select company","",IF((HLOOKUP((VLOOKUP($P$1,Lists!$B$4:$C$22,2,FALSE)),'PC list edited'!$A$2:$DV$65,(B20+1),FALSE))=0,"",HLOOKUP((VLOOKUP($P$1,Lists!$B$4:$C$22,2,FALSE)),'PC list edited'!$A$2:$DV$65,(B20+1),FALSE)))</f>
        <v>PR14YKYWSWW_SA2</v>
      </c>
      <c r="D20" s="853" t="str">
        <f>IF($P$1="Select company","",IF(C20 ="","",HLOOKUP(((VLOOKUP($P$1,Lists!$B$4:$C$22,2,FALSE))&amp;"PC"),'PC list edited'!$A$2:$DV$65,(B20+1),FALSE)))</f>
        <v>SA2: External sewer flooding incidents</v>
      </c>
      <c r="E20" s="320" t="str">
        <f>IF($P$1="Select company","",IF(C20 ="","",HLOOKUP(((VLOOKUP($P$1,Lists!$B$4:$C$22,2,FALSE))&amp;"unit"),'PC list edited'!$A$2:$DV$65,(B20+1),FALSE)))</f>
        <v>nr</v>
      </c>
      <c r="F20" s="320" t="str">
        <f>IF($P$1="Select company","",IF(C20 ="","",HLOOKUP(((VLOOKUP($P$1,Lists!$B$4:$C$22,2,FALSE))&amp;"UnitDes"),'PC list edited'!$A$2:$DV$65,(B20+1),FALSE)))</f>
        <v>No. of external sewer flooding incidents</v>
      </c>
      <c r="G20" s="320">
        <f>IF($P$1="Select company","",IF(C20="","",HLOOKUP(((VLOOKUP($P$1,Lists!$B$4:$C$22,2,FALSE))&amp;"DP"),'PC list edited'!$A$2:$DV$65,(B20+1),FALSE)))</f>
        <v>0</v>
      </c>
      <c r="H20" s="320">
        <f>IF($P$1="Select company","",IF(C20 = "","",HLOOKUP(((VLOOKUP($P$1,Lists!$B$4:$C$22,2,FALSE))&amp;"201516Actual"),'PC list edited'!$A$2:$DV$65,(B20+1),FALSE)))</f>
        <v>9037</v>
      </c>
      <c r="I20" s="586">
        <v>9145</v>
      </c>
      <c r="J20" s="740" t="s">
        <v>605</v>
      </c>
      <c r="K20" s="542"/>
      <c r="L20" s="543"/>
      <c r="M20" s="542"/>
      <c r="N20" s="543"/>
      <c r="O20" s="542"/>
      <c r="P20" s="544"/>
      <c r="Q20" s="83"/>
      <c r="R20" s="548">
        <f t="shared" si="4"/>
        <v>0</v>
      </c>
      <c r="S20" s="28">
        <f t="shared" si="1"/>
        <v>0</v>
      </c>
      <c r="T20" s="83"/>
      <c r="U20" s="84"/>
      <c r="V20" s="105">
        <f t="shared" si="2"/>
        <v>0</v>
      </c>
      <c r="W20" s="105">
        <f>IF($C20="",0,IF(ISBLANK(#REF!)=FALSE,0,1))</f>
        <v>0</v>
      </c>
      <c r="X20" s="105">
        <f t="shared" si="0"/>
        <v>0</v>
      </c>
      <c r="Y20" s="105">
        <f>IF(OR(ISBLANK(L20), L20=0), 0, IF(OR(K20=Lists!$F$11, K20=Lists!$F$13), 0, 1))</f>
        <v>0</v>
      </c>
      <c r="Z20" s="105">
        <f>IF(OR($C20="", AND(NOT(K20=Lists!$F$11), NOT(K20=Lists!$F$13))),0,IF(ISBLANK(L20)=FALSE,0,1))</f>
        <v>0</v>
      </c>
      <c r="AA20" s="105">
        <f>IF(OR(ISBLANK(N20), N20=0), 0, IF(OR(M20=Lists!$F$11, M20=Lists!$F$13), 0, 1))</f>
        <v>0</v>
      </c>
      <c r="AB20" s="105">
        <f>IF(OR($C20="", AND(NOT(M20=Lists!$F$11), NOT(M20=Lists!$F$13))),0,IF(ISBLANK(N20)=FALSE,0,1))</f>
        <v>0</v>
      </c>
      <c r="AC20" s="105">
        <f>IF(OR(ISBLANK(P20), P20=0), 0, IF(OR(O20=Lists!$F$11, O20=Lists!$F$13), 0, 1))</f>
        <v>0</v>
      </c>
      <c r="AD20" s="105">
        <f>IF(OR($C20="", AND(NOT(O20=Lists!$F$11), NOT(O20=Lists!$F$13))),0,IF(ISBLANK(P20)=FALSE,0,1))</f>
        <v>0</v>
      </c>
      <c r="AE20" s="84"/>
      <c r="AF20" s="550">
        <f xml:space="preserve"> IF(OR( AND( K20 = Lists!$F$11, '3A'!L20 &lt; 0), AND( '3A'!M20 = Lists!$F$11, '3A'!N20 &lt; 0), AND( '3A'!O20 = Lists!$F$11, '3A'!P20 &lt; 0)), 1, 0)</f>
        <v>0</v>
      </c>
      <c r="AG20" s="550">
        <f xml:space="preserve"> IF( OR( AND( K20 = Lists!$F$13, '3A'!L20 &gt; 0), AND( M20 = Lists!$F$13, '3A'!N20 &gt; 0), AND( O20 = Lists!$F$13, '3A'!P20 &gt; 0 )), 1, 0)</f>
        <v>0</v>
      </c>
      <c r="AH20" s="551"/>
      <c r="AI20" s="742" t="e">
        <f>IF($P$1="Select company","",IF((HLOOKUP(((VLOOKUP($P$1,Lists!$B$4:$C$22,2,FALSE))&amp;'PC LIST'!$J$2),'PC list edited'!$A$2:$DT$65,(B20+1),FALSE))=0,"",HLOOKUP(((VLOOKUP($P$1,Lists!$B$4:$C$22,2,FALSE))&amp; 'PC LIST'!$J$2),'PC list edited'!$A$2:$DT$65,(B20+1),FALSE)))</f>
        <v>#N/A</v>
      </c>
    </row>
    <row r="21" spans="1:35" s="88" customFormat="1" ht="30" customHeight="1" x14ac:dyDescent="0.2">
      <c r="A21" s="87"/>
      <c r="B21" s="297">
        <f t="shared" si="3"/>
        <v>17</v>
      </c>
      <c r="C21" s="538" t="str">
        <f>IF($P$1="Select company","",IF((HLOOKUP((VLOOKUP($P$1,Lists!$B$4:$C$22,2,FALSE)),'PC list edited'!$A$2:$DV$65,(B21+1),FALSE))=0,"",HLOOKUP((VLOOKUP($P$1,Lists!$B$4:$C$22,2,FALSE)),'PC list edited'!$A$2:$DV$65,(B21+1),FALSE)))</f>
        <v>PR14YKYWSWW_SA3a</v>
      </c>
      <c r="D21" s="853" t="str">
        <f>IF($P$1="Select company","",IF(C21 ="","",HLOOKUP(((VLOOKUP($P$1,Lists!$B$4:$C$22,2,FALSE))&amp;"PC"),'PC list edited'!$A$2:$DV$65,(B21+1),FALSE)))</f>
        <v>SA3a: Pollution incidents - category 1 and 2</v>
      </c>
      <c r="E21" s="320" t="str">
        <f>IF($P$1="Select company","",IF(C21 ="","",HLOOKUP(((VLOOKUP($P$1,Lists!$B$4:$C$22,2,FALSE))&amp;"unit"),'PC list edited'!$A$2:$DV$65,(B21+1),FALSE)))</f>
        <v>nr</v>
      </c>
      <c r="F21" s="320" t="str">
        <f>IF($P$1="Select company","",IF(C21 ="","",HLOOKUP(((VLOOKUP($P$1,Lists!$B$4:$C$22,2,FALSE))&amp;"UnitDes"),'PC list edited'!$A$2:$DV$65,(B21+1),FALSE)))</f>
        <v>No. of pollution incidents (cats 1 and 2)</v>
      </c>
      <c r="G21" s="320">
        <f>IF($P$1="Select company","",IF(C21="","",HLOOKUP(((VLOOKUP($P$1,Lists!$B$4:$C$22,2,FALSE))&amp;"DP"),'PC list edited'!$A$2:$DV$65,(B21+1),FALSE)))</f>
        <v>0</v>
      </c>
      <c r="H21" s="320">
        <f>IF($P$1="Select company","",IF(C21 = "","",HLOOKUP(((VLOOKUP($P$1,Lists!$B$4:$C$22,2,FALSE))&amp;"201516Actual"),'PC list edited'!$A$2:$DV$65,(B21+1),FALSE)))</f>
        <v>5</v>
      </c>
      <c r="I21" s="586">
        <v>4</v>
      </c>
      <c r="J21" s="740" t="s">
        <v>605</v>
      </c>
      <c r="K21" s="542"/>
      <c r="L21" s="543"/>
      <c r="M21" s="542"/>
      <c r="N21" s="543"/>
      <c r="O21" s="542"/>
      <c r="P21" s="544"/>
      <c r="Q21" s="83"/>
      <c r="R21" s="548">
        <f t="shared" si="4"/>
        <v>0</v>
      </c>
      <c r="S21" s="28">
        <f t="shared" si="1"/>
        <v>0</v>
      </c>
      <c r="T21" s="83"/>
      <c r="U21" s="84"/>
      <c r="V21" s="105">
        <f t="shared" si="2"/>
        <v>0</v>
      </c>
      <c r="W21" s="105">
        <f>IF($C21="",0,IF(ISBLANK(#REF!)=FALSE,0,1))</f>
        <v>0</v>
      </c>
      <c r="X21" s="105">
        <f t="shared" si="0"/>
        <v>0</v>
      </c>
      <c r="Y21" s="105">
        <f>IF(OR(ISBLANK(L21), L21=0), 0, IF(OR(K21=Lists!$F$11, K21=Lists!$F$13), 0, 1))</f>
        <v>0</v>
      </c>
      <c r="Z21" s="105">
        <f>IF(OR($C21="", AND(NOT(K21=Lists!$F$11), NOT(K21=Lists!$F$13))),0,IF(ISBLANK(L21)=FALSE,0,1))</f>
        <v>0</v>
      </c>
      <c r="AA21" s="105">
        <f>IF(OR(ISBLANK(N21), N21=0), 0, IF(OR(M21=Lists!$F$11, M21=Lists!$F$13), 0, 1))</f>
        <v>0</v>
      </c>
      <c r="AB21" s="105">
        <f>IF(OR($C21="", AND(NOT(M21=Lists!$F$11), NOT(M21=Lists!$F$13))),0,IF(ISBLANK(N21)=FALSE,0,1))</f>
        <v>0</v>
      </c>
      <c r="AC21" s="105">
        <f>IF(OR(ISBLANK(P21), P21=0), 0, IF(OR(O21=Lists!$F$11, O21=Lists!$F$13), 0, 1))</f>
        <v>0</v>
      </c>
      <c r="AD21" s="105">
        <f>IF(OR($C21="", AND(NOT(O21=Lists!$F$11), NOT(O21=Lists!$F$13))),0,IF(ISBLANK(P21)=FALSE,0,1))</f>
        <v>0</v>
      </c>
      <c r="AE21" s="84"/>
      <c r="AF21" s="550">
        <f xml:space="preserve"> IF(OR( AND( K21 = Lists!$F$11, '3A'!L21 &lt; 0), AND( '3A'!M21 = Lists!$F$11, '3A'!N21 &lt; 0), AND( '3A'!O21 = Lists!$F$11, '3A'!P21 &lt; 0)), 1, 0)</f>
        <v>0</v>
      </c>
      <c r="AG21" s="550">
        <f xml:space="preserve"> IF( OR( AND( K21 = Lists!$F$13, '3A'!L21 &gt; 0), AND( M21 = Lists!$F$13, '3A'!N21 &gt; 0), AND( O21 = Lists!$F$13, '3A'!P21 &gt; 0 )), 1, 0)</f>
        <v>0</v>
      </c>
      <c r="AH21" s="551"/>
      <c r="AI21" s="742" t="e">
        <f>IF($P$1="Select company","",IF((HLOOKUP(((VLOOKUP($P$1,Lists!$B$4:$C$22,2,FALSE))&amp;'PC LIST'!$J$2),'PC list edited'!$A$2:$DT$65,(B21+1),FALSE))=0,"",HLOOKUP(((VLOOKUP($P$1,Lists!$B$4:$C$22,2,FALSE))&amp; 'PC LIST'!$J$2),'PC list edited'!$A$2:$DT$65,(B21+1),FALSE)))</f>
        <v>#N/A</v>
      </c>
    </row>
    <row r="22" spans="1:35" s="88" customFormat="1" ht="30" customHeight="1" x14ac:dyDescent="0.2">
      <c r="A22" s="87"/>
      <c r="B22" s="297">
        <f t="shared" si="3"/>
        <v>18</v>
      </c>
      <c r="C22" s="538" t="str">
        <f>IF($P$1="Select company","",IF((HLOOKUP((VLOOKUP($P$1,Lists!$B$4:$C$22,2,FALSE)),'PC list edited'!$A$2:$DV$65,(B22+1),FALSE))=0,"",HLOOKUP((VLOOKUP($P$1,Lists!$B$4:$C$22,2,FALSE)),'PC list edited'!$A$2:$DV$65,(B22+1),FALSE)))</f>
        <v>PR14YKYWSWW_SA3b</v>
      </c>
      <c r="D22" s="853" t="str">
        <f>IF($P$1="Select company","",IF(C22 ="","",HLOOKUP(((VLOOKUP($P$1,Lists!$B$4:$C$22,2,FALSE))&amp;"PC"),'PC list edited'!$A$2:$DV$65,(B22+1),FALSE)))</f>
        <v>SA3b: Pollution incidents - category 3</v>
      </c>
      <c r="E22" s="320" t="str">
        <f>IF($P$1="Select company","",IF(C22 ="","",HLOOKUP(((VLOOKUP($P$1,Lists!$B$4:$C$22,2,FALSE))&amp;"unit"),'PC list edited'!$A$2:$DV$65,(B22+1),FALSE)))</f>
        <v>nr</v>
      </c>
      <c r="F22" s="320" t="str">
        <f>IF($P$1="Select company","",IF(C22 ="","",HLOOKUP(((VLOOKUP($P$1,Lists!$B$4:$C$22,2,FALSE))&amp;"UnitDes"),'PC list edited'!$A$2:$DV$65,(B22+1),FALSE)))</f>
        <v>No. of pollution incidents (cat 3)</v>
      </c>
      <c r="G22" s="320">
        <f>IF($P$1="Select company","",IF(C22="","",HLOOKUP(((VLOOKUP($P$1,Lists!$B$4:$C$22,2,FALSE))&amp;"DP"),'PC list edited'!$A$2:$DV$65,(B22+1),FALSE)))</f>
        <v>0</v>
      </c>
      <c r="H22" s="320">
        <f>IF($P$1="Select company","",IF(C22 = "","",HLOOKUP(((VLOOKUP($P$1,Lists!$B$4:$C$22,2,FALSE))&amp;"201516Actual"),'PC list edited'!$A$2:$DV$65,(B22+1),FALSE)))</f>
        <v>180</v>
      </c>
      <c r="I22" s="586">
        <v>207</v>
      </c>
      <c r="J22" s="740" t="s">
        <v>605</v>
      </c>
      <c r="K22" s="542"/>
      <c r="L22" s="543"/>
      <c r="M22" s="542" t="s">
        <v>611</v>
      </c>
      <c r="N22" s="543">
        <v>0.74050000000000005</v>
      </c>
      <c r="O22" s="542"/>
      <c r="P22" s="544"/>
      <c r="Q22" s="83"/>
      <c r="R22" s="548">
        <f t="shared" si="4"/>
        <v>0</v>
      </c>
      <c r="S22" s="28">
        <f t="shared" si="1"/>
        <v>0</v>
      </c>
      <c r="T22" s="83"/>
      <c r="U22" s="84"/>
      <c r="V22" s="105">
        <f t="shared" si="2"/>
        <v>0</v>
      </c>
      <c r="W22" s="105">
        <f>IF($C22="",0,IF(ISBLANK(#REF!)=FALSE,0,1))</f>
        <v>0</v>
      </c>
      <c r="X22" s="105">
        <f t="shared" si="0"/>
        <v>0</v>
      </c>
      <c r="Y22" s="105">
        <f>IF(OR(ISBLANK(L22), L22=0), 0, IF(OR(K22=Lists!$F$11, K22=Lists!$F$13), 0, 1))</f>
        <v>0</v>
      </c>
      <c r="Z22" s="105">
        <f>IF(OR($C22="", AND(NOT(K22=Lists!$F$11), NOT(K22=Lists!$F$13))),0,IF(ISBLANK(L22)=FALSE,0,1))</f>
        <v>0</v>
      </c>
      <c r="AA22" s="105">
        <f>IF(OR(ISBLANK(N22), N22=0), 0, IF(OR(M22=Lists!$F$11, M22=Lists!$F$13), 0, 1))</f>
        <v>0</v>
      </c>
      <c r="AB22" s="105">
        <f>IF(OR($C22="", AND(NOT(M22=Lists!$F$11), NOT(M22=Lists!$F$13))),0,IF(ISBLANK(N22)=FALSE,0,1))</f>
        <v>0</v>
      </c>
      <c r="AC22" s="105">
        <f>IF(OR(ISBLANK(P22), P22=0), 0, IF(OR(O22=Lists!$F$11, O22=Lists!$F$13), 0, 1))</f>
        <v>0</v>
      </c>
      <c r="AD22" s="105">
        <f>IF(OR($C22="", AND(NOT(O22=Lists!$F$11), NOT(O22=Lists!$F$13))),0,IF(ISBLANK(P22)=FALSE,0,1))</f>
        <v>0</v>
      </c>
      <c r="AE22" s="84"/>
      <c r="AF22" s="550">
        <f xml:space="preserve"> IF(OR( AND( K22 = Lists!$F$11, '3A'!L22 &lt; 0), AND( '3A'!M22 = Lists!$F$11, '3A'!N22 &lt; 0), AND( '3A'!O22 = Lists!$F$11, '3A'!P22 &lt; 0)), 1, 0)</f>
        <v>0</v>
      </c>
      <c r="AG22" s="550">
        <f xml:space="preserve"> IF( OR( AND( K22 = Lists!$F$13, '3A'!L22 &gt; 0), AND( M22 = Lists!$F$13, '3A'!N22 &gt; 0), AND( O22 = Lists!$F$13, '3A'!P22 &gt; 0 )), 1, 0)</f>
        <v>0</v>
      </c>
      <c r="AH22" s="551"/>
      <c r="AI22" s="742" t="e">
        <f>IF($P$1="Select company","",IF((HLOOKUP(((VLOOKUP($P$1,Lists!$B$4:$C$22,2,FALSE))&amp;'PC LIST'!$J$2),'PC list edited'!$A$2:$DT$65,(B22+1),FALSE))=0,"",HLOOKUP(((VLOOKUP($P$1,Lists!$B$4:$C$22,2,FALSE))&amp; 'PC LIST'!$J$2),'PC list edited'!$A$2:$DT$65,(B22+1),FALSE)))</f>
        <v>#N/A</v>
      </c>
    </row>
    <row r="23" spans="1:35" s="88" customFormat="1" ht="30" customHeight="1" x14ac:dyDescent="0.2">
      <c r="A23" s="87"/>
      <c r="B23" s="297">
        <f t="shared" si="3"/>
        <v>19</v>
      </c>
      <c r="C23" s="538" t="str">
        <f>IF($P$1="Select company","",IF((HLOOKUP((VLOOKUP($P$1,Lists!$B$4:$C$22,2,FALSE)),'PC list edited'!$A$2:$DV$65,(B23+1),FALSE))=0,"",HLOOKUP((VLOOKUP($P$1,Lists!$B$4:$C$22,2,FALSE)),'PC list edited'!$A$2:$DV$65,(B23+1),FALSE)))</f>
        <v>PR14YKYWSWW_SA4</v>
      </c>
      <c r="D23" s="853" t="str">
        <f>IF($P$1="Select company","",IF(C23 ="","",HLOOKUP(((VLOOKUP($P$1,Lists!$B$4:$C$22,2,FALSE))&amp;"PC"),'PC list edited'!$A$2:$DV$65,(B23+1),FALSE)))</f>
        <v>SA4: Sewer network stability and reliability factor</v>
      </c>
      <c r="E23" s="320" t="str">
        <f>IF($P$1="Select company","",IF(C23 ="","",HLOOKUP(((VLOOKUP($P$1,Lists!$B$4:$C$22,2,FALSE))&amp;"unit"),'PC list edited'!$A$2:$DV$65,(B23+1),FALSE)))</f>
        <v>category</v>
      </c>
      <c r="F23" s="320" t="str">
        <f>IF($P$1="Select company","",IF(C23 ="","",HLOOKUP(((VLOOKUP($P$1,Lists!$B$4:$C$22,2,FALSE))&amp;"UnitDes"),'PC list edited'!$A$2:$DV$65,(B23+1),FALSE)))</f>
        <v>Asset health indicator</v>
      </c>
      <c r="G23" s="320" t="str">
        <f>IF($P$1="Select company","",IF(C23="","",HLOOKUP(((VLOOKUP($P$1,Lists!$B$4:$C$22,2,FALSE))&amp;"DP"),'PC list edited'!$A$2:$DV$65,(B23+1),FALSE)))</f>
        <v>na</v>
      </c>
      <c r="H23" s="320" t="str">
        <f>IF($P$1="Select company","",IF(C23 = "","",HLOOKUP(((VLOOKUP($P$1,Lists!$B$4:$C$22,2,FALSE))&amp;"201516Actual"),'PC list edited'!$A$2:$DV$65,(B23+1),FALSE)))</f>
        <v xml:space="preserve">Stable </v>
      </c>
      <c r="I23" s="586" t="s">
        <v>608</v>
      </c>
      <c r="J23" s="740" t="s">
        <v>609</v>
      </c>
      <c r="K23" s="542"/>
      <c r="L23" s="543"/>
      <c r="M23" s="542"/>
      <c r="N23" s="543"/>
      <c r="O23" s="542"/>
      <c r="P23" s="544"/>
      <c r="Q23" s="129"/>
      <c r="R23" s="548">
        <f t="shared" si="4"/>
        <v>0</v>
      </c>
      <c r="S23" s="28">
        <f t="shared" si="1"/>
        <v>0</v>
      </c>
      <c r="T23" s="129"/>
      <c r="U23" s="133"/>
      <c r="V23" s="105">
        <f t="shared" si="2"/>
        <v>0</v>
      </c>
      <c r="W23" s="105">
        <f>IF($C23="",0,IF(ISBLANK(#REF!)=FALSE,0,1))</f>
        <v>0</v>
      </c>
      <c r="X23" s="105">
        <f t="shared" si="0"/>
        <v>0</v>
      </c>
      <c r="Y23" s="105">
        <f>IF(OR(ISBLANK(L23), L23=0), 0, IF(OR(K23=Lists!$F$11, K23=Lists!$F$13), 0, 1))</f>
        <v>0</v>
      </c>
      <c r="Z23" s="105">
        <f>IF(OR($C23="", AND(NOT(K23=Lists!$F$11), NOT(K23=Lists!$F$13))),0,IF(ISBLANK(L23)=FALSE,0,1))</f>
        <v>0</v>
      </c>
      <c r="AA23" s="105">
        <f>IF(OR(ISBLANK(N23), N23=0), 0, IF(OR(M23=Lists!$F$11, M23=Lists!$F$13), 0, 1))</f>
        <v>0</v>
      </c>
      <c r="AB23" s="105">
        <f>IF(OR($C23="", AND(NOT(M23=Lists!$F$11), NOT(M23=Lists!$F$13))),0,IF(ISBLANK(N23)=FALSE,0,1))</f>
        <v>0</v>
      </c>
      <c r="AC23" s="105">
        <f>IF(OR(ISBLANK(P23), P23=0), 0, IF(OR(O23=Lists!$F$11, O23=Lists!$F$13), 0, 1))</f>
        <v>0</v>
      </c>
      <c r="AD23" s="105">
        <f>IF(OR($C23="", AND(NOT(O23=Lists!$F$11), NOT(O23=Lists!$F$13))),0,IF(ISBLANK(P23)=FALSE,0,1))</f>
        <v>0</v>
      </c>
      <c r="AE23" s="133"/>
      <c r="AF23" s="550">
        <f xml:space="preserve"> IF(OR( AND( K23 = Lists!$F$11, '3A'!L23 &lt; 0), AND( '3A'!M23 = Lists!$F$11, '3A'!N23 &lt; 0), AND( '3A'!O23 = Lists!$F$11, '3A'!P23 &lt; 0)), 1, 0)</f>
        <v>0</v>
      </c>
      <c r="AG23" s="550">
        <f xml:space="preserve"> IF( OR( AND( K23 = Lists!$F$13, '3A'!L23 &gt; 0), AND( M23 = Lists!$F$13, '3A'!N23 &gt; 0), AND( O23 = Lists!$F$13, '3A'!P23 &gt; 0 )), 1, 0)</f>
        <v>0</v>
      </c>
      <c r="AH23" s="551"/>
      <c r="AI23" s="742" t="e">
        <f>IF($P$1="Select company","",IF((HLOOKUP(((VLOOKUP($P$1,Lists!$B$4:$C$22,2,FALSE))&amp;'PC LIST'!$J$2),'PC list edited'!$A$2:$DT$65,(B23+1),FALSE))=0,"",HLOOKUP(((VLOOKUP($P$1,Lists!$B$4:$C$22,2,FALSE))&amp; 'PC LIST'!$J$2),'PC list edited'!$A$2:$DT$65,(B23+1),FALSE)))</f>
        <v>#N/A</v>
      </c>
    </row>
    <row r="24" spans="1:35" s="88" customFormat="1" ht="30" customHeight="1" x14ac:dyDescent="0.2">
      <c r="A24" s="87"/>
      <c r="B24" s="297">
        <f t="shared" si="3"/>
        <v>20</v>
      </c>
      <c r="C24" s="538" t="str">
        <f>IF($P$1="Select company","",IF((HLOOKUP((VLOOKUP($P$1,Lists!$B$4:$C$22,2,FALSE)),'PC list edited'!$A$2:$DV$65,(B24+1),FALSE))=0,"",HLOOKUP((VLOOKUP($P$1,Lists!$B$4:$C$22,2,FALSE)),'PC list edited'!$A$2:$DV$65,(B24+1),FALSE)))</f>
        <v>PR14YKYWSWW_SB1</v>
      </c>
      <c r="D24" s="853" t="str">
        <f>IF($P$1="Select company","",IF(C24 ="","",HLOOKUP(((VLOOKUP($P$1,Lists!$B$4:$C$22,2,FALSE))&amp;"PC"),'PC list edited'!$A$2:$DV$65,(B24+1),FALSE)))</f>
        <v>SB1: Number of Yorkshire's designated bathing waters that exceed the required quality standard</v>
      </c>
      <c r="E24" s="320" t="str">
        <f>IF($P$1="Select company","",IF(C24 ="","",HLOOKUP(((VLOOKUP($P$1,Lists!$B$4:$C$22,2,FALSE))&amp;"unit"),'PC list edited'!$A$2:$DV$65,(B24+1),FALSE)))</f>
        <v>nr</v>
      </c>
      <c r="F24" s="320" t="str">
        <f>IF($P$1="Select company","",IF(C24 ="","",HLOOKUP(((VLOOKUP($P$1,Lists!$B$4:$C$22,2,FALSE))&amp;"UnitDes"),'PC list edited'!$A$2:$DV$65,(B24+1),FALSE)))</f>
        <v>No. of bathing waters exceeding required standard</v>
      </c>
      <c r="G24" s="320">
        <f>IF($P$1="Select company","",IF(C24="","",HLOOKUP(((VLOOKUP($P$1,Lists!$B$4:$C$22,2,FALSE))&amp;"DP"),'PC list edited'!$A$2:$DV$65,(B24+1),FALSE)))</f>
        <v>0</v>
      </c>
      <c r="H24" s="320">
        <f>IF($P$1="Select company","",IF(C24 = "","",HLOOKUP(((VLOOKUP($P$1,Lists!$B$4:$C$22,2,FALSE))&amp;"201516Actual"),'PC list edited'!$A$2:$DV$65,(B24+1),FALSE)))</f>
        <v>18</v>
      </c>
      <c r="I24" s="586">
        <v>17</v>
      </c>
      <c r="J24" s="740" t="s">
        <v>605</v>
      </c>
      <c r="K24" s="542"/>
      <c r="L24" s="543"/>
      <c r="M24" s="542"/>
      <c r="N24" s="543"/>
      <c r="O24" s="542"/>
      <c r="P24" s="544"/>
      <c r="Q24" s="135"/>
      <c r="R24" s="548">
        <f t="shared" si="4"/>
        <v>0</v>
      </c>
      <c r="S24" s="28">
        <f t="shared" si="1"/>
        <v>0</v>
      </c>
      <c r="T24" s="135"/>
      <c r="U24" s="130"/>
      <c r="V24" s="105">
        <f t="shared" si="2"/>
        <v>0</v>
      </c>
      <c r="W24" s="105">
        <f>IF($C24="",0,IF(ISBLANK(#REF!)=FALSE,0,1))</f>
        <v>0</v>
      </c>
      <c r="X24" s="105">
        <f t="shared" si="0"/>
        <v>0</v>
      </c>
      <c r="Y24" s="105">
        <f>IF(OR(ISBLANK(L24), L24=0), 0, IF(OR(K24=Lists!$F$11, K24=Lists!$F$13), 0, 1))</f>
        <v>0</v>
      </c>
      <c r="Z24" s="105">
        <f>IF(OR($C24="", AND(NOT(K24=Lists!$F$11), NOT(K24=Lists!$F$13))),0,IF(ISBLANK(L24)=FALSE,0,1))</f>
        <v>0</v>
      </c>
      <c r="AA24" s="105">
        <f>IF(OR(ISBLANK(N24), N24=0), 0, IF(OR(M24=Lists!$F$11, M24=Lists!$F$13), 0, 1))</f>
        <v>0</v>
      </c>
      <c r="AB24" s="105">
        <f>IF(OR($C24="", AND(NOT(M24=Lists!$F$11), NOT(M24=Lists!$F$13))),0,IF(ISBLANK(N24)=FALSE,0,1))</f>
        <v>0</v>
      </c>
      <c r="AC24" s="105">
        <f>IF(OR(ISBLANK(P24), P24=0), 0, IF(OR(O24=Lists!$F$11, O24=Lists!$F$13), 0, 1))</f>
        <v>0</v>
      </c>
      <c r="AD24" s="105">
        <f>IF(OR($C24="", AND(NOT(O24=Lists!$F$11), NOT(O24=Lists!$F$13))),0,IF(ISBLANK(P24)=FALSE,0,1))</f>
        <v>0</v>
      </c>
      <c r="AE24" s="130"/>
      <c r="AF24" s="550">
        <f xml:space="preserve"> IF(OR( AND( K24 = Lists!$F$11, '3A'!L24 &lt; 0), AND( '3A'!M24 = Lists!$F$11, '3A'!N24 &lt; 0), AND( '3A'!O24 = Lists!$F$11, '3A'!P24 &lt; 0)), 1, 0)</f>
        <v>0</v>
      </c>
      <c r="AG24" s="550">
        <f xml:space="preserve"> IF( OR( AND( K24 = Lists!$F$13, '3A'!L24 &gt; 0), AND( M24 = Lists!$F$13, '3A'!N24 &gt; 0), AND( O24 = Lists!$F$13, '3A'!P24 &gt; 0 )), 1, 0)</f>
        <v>0</v>
      </c>
      <c r="AH24" s="551"/>
      <c r="AI24" s="742" t="e">
        <f>IF($P$1="Select company","",IF((HLOOKUP(((VLOOKUP($P$1,Lists!$B$4:$C$22,2,FALSE))&amp;'PC LIST'!$J$2),'PC list edited'!$A$2:$DT$65,(B24+1),FALSE))=0,"",HLOOKUP(((VLOOKUP($P$1,Lists!$B$4:$C$22,2,FALSE))&amp; 'PC LIST'!$J$2),'PC list edited'!$A$2:$DT$65,(B24+1),FALSE)))</f>
        <v>#N/A</v>
      </c>
    </row>
    <row r="25" spans="1:35" s="88" customFormat="1" ht="30" customHeight="1" x14ac:dyDescent="0.2">
      <c r="A25" s="87"/>
      <c r="B25" s="297">
        <f t="shared" si="3"/>
        <v>21</v>
      </c>
      <c r="C25" s="538" t="str">
        <f>IF($P$1="Select company","",IF((HLOOKUP((VLOOKUP($P$1,Lists!$B$4:$C$22,2,FALSE)),'PC list edited'!$A$2:$DV$65,(B25+1),FALSE))=0,"",HLOOKUP((VLOOKUP($P$1,Lists!$B$4:$C$22,2,FALSE)),'PC list edited'!$A$2:$DV$65,(B25+1),FALSE)))</f>
        <v>PR14YKYWSWW_SB2</v>
      </c>
      <c r="D25" s="853" t="str">
        <f>IF($P$1="Select company","",IF(C25 ="","",HLOOKUP(((VLOOKUP($P$1,Lists!$B$4:$C$22,2,FALSE))&amp;"PC"),'PC list edited'!$A$2:$DV$65,(B25+1),FALSE)))</f>
        <v>SB2: Wastewater quality stability and reliability factor</v>
      </c>
      <c r="E25" s="320" t="str">
        <f>IF($P$1="Select company","",IF(C25 ="","",HLOOKUP(((VLOOKUP($P$1,Lists!$B$4:$C$22,2,FALSE))&amp;"unit"),'PC list edited'!$A$2:$DV$65,(B25+1),FALSE)))</f>
        <v>category</v>
      </c>
      <c r="F25" s="320" t="str">
        <f>IF($P$1="Select company","",IF(C25 ="","",HLOOKUP(((VLOOKUP($P$1,Lists!$B$4:$C$22,2,FALSE))&amp;"UnitDes"),'PC list edited'!$A$2:$DV$65,(B25+1),FALSE)))</f>
        <v>Asset health indicator</v>
      </c>
      <c r="G25" s="320" t="str">
        <f>IF($P$1="Select company","",IF(C25="","",HLOOKUP(((VLOOKUP($P$1,Lists!$B$4:$C$22,2,FALSE))&amp;"DP"),'PC list edited'!$A$2:$DV$65,(B25+1),FALSE)))</f>
        <v>na</v>
      </c>
      <c r="H25" s="320" t="str">
        <f>IF($P$1="Select company","",IF(C25 = "","",HLOOKUP(((VLOOKUP($P$1,Lists!$B$4:$C$22,2,FALSE))&amp;"201516Actual"),'PC list edited'!$A$2:$DV$65,(B25+1),FALSE)))</f>
        <v xml:space="preserve">Stable </v>
      </c>
      <c r="I25" s="586" t="s">
        <v>608</v>
      </c>
      <c r="J25" s="740" t="s">
        <v>609</v>
      </c>
      <c r="K25" s="542"/>
      <c r="L25" s="543"/>
      <c r="M25" s="542"/>
      <c r="N25" s="543"/>
      <c r="O25" s="542"/>
      <c r="P25" s="544"/>
      <c r="Q25" s="135"/>
      <c r="R25" s="548">
        <f t="shared" si="4"/>
        <v>0</v>
      </c>
      <c r="S25" s="28">
        <f t="shared" si="1"/>
        <v>0</v>
      </c>
      <c r="T25" s="135"/>
      <c r="U25" s="130"/>
      <c r="V25" s="105">
        <f t="shared" si="2"/>
        <v>0</v>
      </c>
      <c r="W25" s="105">
        <f>IF($C25="",0,IF(ISBLANK(#REF!)=FALSE,0,1))</f>
        <v>0</v>
      </c>
      <c r="X25" s="105">
        <f t="shared" si="0"/>
        <v>0</v>
      </c>
      <c r="Y25" s="105">
        <f>IF(OR(ISBLANK(L25), L25=0), 0, IF(OR(K25=Lists!$F$11, K25=Lists!$F$13), 0, 1))</f>
        <v>0</v>
      </c>
      <c r="Z25" s="105">
        <f>IF(OR($C25="", AND(NOT(K25=Lists!$F$11), NOT(K25=Lists!$F$13))),0,IF(ISBLANK(L25)=FALSE,0,1))</f>
        <v>0</v>
      </c>
      <c r="AA25" s="105">
        <f>IF(OR(ISBLANK(N25), N25=0), 0, IF(OR(M25=Lists!$F$11, M25=Lists!$F$13), 0, 1))</f>
        <v>0</v>
      </c>
      <c r="AB25" s="105">
        <f>IF(OR($C25="", AND(NOT(M25=Lists!$F$11), NOT(M25=Lists!$F$13))),0,IF(ISBLANK(N25)=FALSE,0,1))</f>
        <v>0</v>
      </c>
      <c r="AC25" s="105">
        <f>IF(OR(ISBLANK(P25), P25=0), 0, IF(OR(O25=Lists!$F$11, O25=Lists!$F$13), 0, 1))</f>
        <v>0</v>
      </c>
      <c r="AD25" s="105">
        <f>IF(OR($C25="", AND(NOT(O25=Lists!$F$11), NOT(O25=Lists!$F$13))),0,IF(ISBLANK(P25)=FALSE,0,1))</f>
        <v>0</v>
      </c>
      <c r="AE25" s="130"/>
      <c r="AF25" s="550">
        <f xml:space="preserve"> IF(OR( AND( K25 = Lists!$F$11, '3A'!L25 &lt; 0), AND( '3A'!M25 = Lists!$F$11, '3A'!N25 &lt; 0), AND( '3A'!O25 = Lists!$F$11, '3A'!P25 &lt; 0)), 1, 0)</f>
        <v>0</v>
      </c>
      <c r="AG25" s="550">
        <f xml:space="preserve"> IF( OR( AND( K25 = Lists!$F$13, '3A'!L25 &gt; 0), AND( M25 = Lists!$F$13, '3A'!N25 &gt; 0), AND( O25 = Lists!$F$13, '3A'!P25 &gt; 0 )), 1, 0)</f>
        <v>0</v>
      </c>
      <c r="AH25" s="551"/>
      <c r="AI25" s="742" t="e">
        <f>IF($P$1="Select company","",IF((HLOOKUP(((VLOOKUP($P$1,Lists!$B$4:$C$22,2,FALSE))&amp;'PC LIST'!$J$2),'PC list edited'!$A$2:$DT$65,(B25+1),FALSE))=0,"",HLOOKUP(((VLOOKUP($P$1,Lists!$B$4:$C$22,2,FALSE))&amp; 'PC LIST'!$J$2),'PC list edited'!$A$2:$DT$65,(B25+1),FALSE)))</f>
        <v>#N/A</v>
      </c>
    </row>
    <row r="26" spans="1:35" s="88" customFormat="1" ht="30" customHeight="1" x14ac:dyDescent="0.2">
      <c r="A26" s="87"/>
      <c r="B26" s="297">
        <f t="shared" si="3"/>
        <v>22</v>
      </c>
      <c r="C26" s="538" t="str">
        <f>IF($P$1="Select company","",IF((HLOOKUP((VLOOKUP($P$1,Lists!$B$4:$C$22,2,FALSE)),'PC list edited'!$A$2:$DV$65,(B26+1),FALSE))=0,"",HLOOKUP((VLOOKUP($P$1,Lists!$B$4:$C$22,2,FALSE)),'PC list edited'!$A$2:$DV$65,(B26+1),FALSE)))</f>
        <v>PR14YKYWSWW_SB3</v>
      </c>
      <c r="D26" s="853" t="str">
        <f>IF($P$1="Select company","",IF(C26 ="","",HLOOKUP(((VLOOKUP($P$1,Lists!$B$4:$C$22,2,FALSE))&amp;"PC"),'PC list edited'!$A$2:$DV$65,(B26+1),FALSE)))</f>
        <v>SB3: Solutions delivered by working with others (note: PC is part of a total commitment at Appointee level - see also WC2)</v>
      </c>
      <c r="E26" s="320" t="str">
        <f>IF($P$1="Select company","",IF(C26 ="","",HLOOKUP(((VLOOKUP($P$1,Lists!$B$4:$C$22,2,FALSE))&amp;"unit"),'PC list edited'!$A$2:$DV$65,(B26+1),FALSE)))</f>
        <v>nr</v>
      </c>
      <c r="F26" s="320" t="str">
        <f>IF($P$1="Select company","",IF(C26 ="","",HLOOKUP(((VLOOKUP($P$1,Lists!$B$4:$C$22,2,FALSE))&amp;"UnitDes"),'PC list edited'!$A$2:$DV$65,(B26+1),FALSE)))</f>
        <v>No. of solutions delivered by working with others</v>
      </c>
      <c r="G26" s="320">
        <f>IF($P$1="Select company","",IF(C26="","",HLOOKUP(((VLOOKUP($P$1,Lists!$B$4:$C$22,2,FALSE))&amp;"DP"),'PC list edited'!$A$2:$DV$65,(B26+1),FALSE)))</f>
        <v>0</v>
      </c>
      <c r="H26" s="320">
        <f>IF($P$1="Select company","",IF(C26 = "","",HLOOKUP(((VLOOKUP($P$1,Lists!$B$4:$C$22,2,FALSE))&amp;"201516Actual"),'PC list edited'!$A$2:$DV$65,(B26+1),FALSE)))</f>
        <v>4</v>
      </c>
      <c r="I26" s="586">
        <v>5</v>
      </c>
      <c r="J26" s="740" t="s">
        <v>605</v>
      </c>
      <c r="K26" s="542"/>
      <c r="L26" s="543"/>
      <c r="M26" s="542" t="s">
        <v>611</v>
      </c>
      <c r="N26" s="543">
        <v>2.1336E-4</v>
      </c>
      <c r="O26" s="542"/>
      <c r="P26" s="544"/>
      <c r="Q26" s="135"/>
      <c r="R26" s="548">
        <f t="shared" si="4"/>
        <v>0</v>
      </c>
      <c r="S26" s="28">
        <f t="shared" si="1"/>
        <v>0</v>
      </c>
      <c r="T26" s="135"/>
      <c r="U26" s="130"/>
      <c r="V26" s="105">
        <f t="shared" si="2"/>
        <v>0</v>
      </c>
      <c r="W26" s="105">
        <f>IF($C26="",0,IF(ISBLANK(#REF!)=FALSE,0,1))</f>
        <v>0</v>
      </c>
      <c r="X26" s="105">
        <f t="shared" si="0"/>
        <v>0</v>
      </c>
      <c r="Y26" s="105">
        <f>IF(OR(ISBLANK(L26), L26=0), 0, IF(OR(K26=Lists!$F$11, K26=Lists!$F$13), 0, 1))</f>
        <v>0</v>
      </c>
      <c r="Z26" s="105">
        <f>IF(OR($C26="", AND(NOT(K26=Lists!$F$11), NOT(K26=Lists!$F$13))),0,IF(ISBLANK(L26)=FALSE,0,1))</f>
        <v>0</v>
      </c>
      <c r="AA26" s="105">
        <f>IF(OR(ISBLANK(N26), N26=0), 0, IF(OR(M26=Lists!$F$11, M26=Lists!$F$13), 0, 1))</f>
        <v>0</v>
      </c>
      <c r="AB26" s="105">
        <f>IF(OR($C26="", AND(NOT(M26=Lists!$F$11), NOT(M26=Lists!$F$13))),0,IF(ISBLANK(N26)=FALSE,0,1))</f>
        <v>0</v>
      </c>
      <c r="AC26" s="105">
        <f>IF(OR(ISBLANK(P26), P26=0), 0, IF(OR(O26=Lists!$F$11, O26=Lists!$F$13), 0, 1))</f>
        <v>0</v>
      </c>
      <c r="AD26" s="105">
        <f>IF(OR($C26="", AND(NOT(O26=Lists!$F$11), NOT(O26=Lists!$F$13))),0,IF(ISBLANK(P26)=FALSE,0,1))</f>
        <v>0</v>
      </c>
      <c r="AE26" s="130"/>
      <c r="AF26" s="550">
        <f xml:space="preserve"> IF(OR( AND( K26 = Lists!$F$11, '3A'!L26 &lt; 0), AND( '3A'!M26 = Lists!$F$11, '3A'!N26 &lt; 0), AND( '3A'!O26 = Lists!$F$11, '3A'!P26 &lt; 0)), 1, 0)</f>
        <v>0</v>
      </c>
      <c r="AG26" s="550">
        <f xml:space="preserve"> IF( OR( AND( K26 = Lists!$F$13, '3A'!L26 &gt; 0), AND( M26 = Lists!$F$13, '3A'!N26 &gt; 0), AND( O26 = Lists!$F$13, '3A'!P26 &gt; 0 )), 1, 0)</f>
        <v>0</v>
      </c>
      <c r="AH26" s="551"/>
      <c r="AI26" s="742" t="e">
        <f>IF($P$1="Select company","",IF((HLOOKUP(((VLOOKUP($P$1,Lists!$B$4:$C$22,2,FALSE))&amp;'PC LIST'!$J$2),'PC list edited'!$A$2:$DT$65,(B26+1),FALSE))=0,"",HLOOKUP(((VLOOKUP($P$1,Lists!$B$4:$C$22,2,FALSE))&amp; 'PC LIST'!$J$2),'PC list edited'!$A$2:$DT$65,(B26+1),FALSE)))</f>
        <v>#N/A</v>
      </c>
    </row>
    <row r="27" spans="1:35" s="88" customFormat="1" ht="30" customHeight="1" x14ac:dyDescent="0.2">
      <c r="A27" s="87"/>
      <c r="B27" s="297">
        <f t="shared" si="3"/>
        <v>23</v>
      </c>
      <c r="C27" s="538" t="str">
        <f>IF($P$1="Select company","",IF((HLOOKUP((VLOOKUP($P$1,Lists!$B$4:$C$22,2,FALSE)),'PC list edited'!$A$2:$DV$65,(B27+1),FALSE))=0,"",HLOOKUP((VLOOKUP($P$1,Lists!$B$4:$C$22,2,FALSE)),'PC list edited'!$A$2:$DV$65,(B27+1),FALSE)))</f>
        <v>PR14YKYWSWW_SB4</v>
      </c>
      <c r="D27" s="853" t="str">
        <f>IF($P$1="Select company","",IF(C27 ="","",HLOOKUP(((VLOOKUP($P$1,Lists!$B$4:$C$22,2,FALSE))&amp;"PC"),'PC list edited'!$A$2:$DV$65,(B27+1),FALSE)))</f>
        <v>SB4: Length of river improved (against WFD component measures) (note: PC is part of a total commitment at Appointee level - see also WC1)</v>
      </c>
      <c r="E27" s="320" t="str">
        <f>IF($P$1="Select company","",IF(C27 ="","",HLOOKUP(((VLOOKUP($P$1,Lists!$B$4:$C$22,2,FALSE))&amp;"unit"),'PC list edited'!$A$2:$DV$65,(B27+1),FALSE)))</f>
        <v>nr</v>
      </c>
      <c r="F27" s="320" t="str">
        <f>IF($P$1="Select company","",IF(C27 ="","",HLOOKUP(((VLOOKUP($P$1,Lists!$B$4:$C$22,2,FALSE))&amp;"UnitDes"),'PC list edited'!$A$2:$DV$65,(B27+1),FALSE)))</f>
        <v>Kilometres (km) of river improved (modelled length)</v>
      </c>
      <c r="G27" s="320">
        <f>IF($P$1="Select company","",IF(C27="","",HLOOKUP(((VLOOKUP($P$1,Lists!$B$4:$C$22,2,FALSE))&amp;"DP"),'PC list edited'!$A$2:$DV$65,(B27+1),FALSE)))</f>
        <v>0</v>
      </c>
      <c r="H27" s="320">
        <f>IF($P$1="Select company","",IF(C27 = "","",HLOOKUP(((VLOOKUP($P$1,Lists!$B$4:$C$22,2,FALSE))&amp;"201516Actual"),'PC list edited'!$A$2:$DV$65,(B27+1),FALSE)))</f>
        <v>0</v>
      </c>
      <c r="I27" s="586">
        <v>0</v>
      </c>
      <c r="J27" s="740" t="s">
        <v>609</v>
      </c>
      <c r="K27" s="542"/>
      <c r="L27" s="543"/>
      <c r="M27" s="542"/>
      <c r="N27" s="543"/>
      <c r="O27" s="542"/>
      <c r="P27" s="544"/>
      <c r="Q27" s="135"/>
      <c r="R27" s="548">
        <f t="shared" si="4"/>
        <v>0</v>
      </c>
      <c r="S27" s="28">
        <f t="shared" si="1"/>
        <v>0</v>
      </c>
      <c r="T27" s="135"/>
      <c r="U27" s="130"/>
      <c r="V27" s="105">
        <f t="shared" si="2"/>
        <v>0</v>
      </c>
      <c r="W27" s="105">
        <f>IF($C27="",0,IF(ISBLANK(#REF!)=FALSE,0,1))</f>
        <v>0</v>
      </c>
      <c r="X27" s="105">
        <f t="shared" si="0"/>
        <v>0</v>
      </c>
      <c r="Y27" s="105">
        <f>IF(OR(ISBLANK(L27), L27=0), 0, IF(OR(K27=Lists!$F$11, K27=Lists!$F$13), 0, 1))</f>
        <v>0</v>
      </c>
      <c r="Z27" s="105">
        <f>IF(OR($C27="", AND(NOT(K27=Lists!$F$11), NOT(K27=Lists!$F$13))),0,IF(ISBLANK(L27)=FALSE,0,1))</f>
        <v>0</v>
      </c>
      <c r="AA27" s="105">
        <f>IF(OR(ISBLANK(N27), N27=0), 0, IF(OR(M27=Lists!$F$11, M27=Lists!$F$13), 0, 1))</f>
        <v>0</v>
      </c>
      <c r="AB27" s="105">
        <f>IF(OR($C27="", AND(NOT(M27=Lists!$F$11), NOT(M27=Lists!$F$13))),0,IF(ISBLANK(N27)=FALSE,0,1))</f>
        <v>0</v>
      </c>
      <c r="AC27" s="105">
        <f>IF(OR(ISBLANK(P27), P27=0), 0, IF(OR(O27=Lists!$F$11, O27=Lists!$F$13), 0, 1))</f>
        <v>0</v>
      </c>
      <c r="AD27" s="105">
        <f>IF(OR($C27="", AND(NOT(O27=Lists!$F$11), NOT(O27=Lists!$F$13))),0,IF(ISBLANK(P27)=FALSE,0,1))</f>
        <v>0</v>
      </c>
      <c r="AE27" s="130"/>
      <c r="AF27" s="550">
        <f xml:space="preserve"> IF(OR( AND( K27 = Lists!$F$11, '3A'!L27 &lt; 0), AND( '3A'!M27 = Lists!$F$11, '3A'!N27 &lt; 0), AND( '3A'!O27 = Lists!$F$11, '3A'!P27 &lt; 0)), 1, 0)</f>
        <v>0</v>
      </c>
      <c r="AG27" s="550">
        <f xml:space="preserve"> IF( OR( AND( K27 = Lists!$F$13, '3A'!L27 &gt; 0), AND( M27 = Lists!$F$13, '3A'!N27 &gt; 0), AND( O27 = Lists!$F$13, '3A'!P27 &gt; 0 )), 1, 0)</f>
        <v>0</v>
      </c>
      <c r="AH27" s="551"/>
      <c r="AI27" s="742" t="e">
        <f>IF($P$1="Select company","",IF((HLOOKUP(((VLOOKUP($P$1,Lists!$B$4:$C$22,2,FALSE))&amp;'PC LIST'!$J$2),'PC list edited'!$A$2:$DT$65,(B27+1),FALSE))=0,"",HLOOKUP(((VLOOKUP($P$1,Lists!$B$4:$C$22,2,FALSE))&amp; 'PC LIST'!$J$2),'PC list edited'!$A$2:$DT$65,(B27+1),FALSE)))</f>
        <v>#N/A</v>
      </c>
    </row>
    <row r="28" spans="1:35" s="88" customFormat="1" ht="30" customHeight="1" x14ac:dyDescent="0.2">
      <c r="A28" s="87"/>
      <c r="B28" s="297">
        <f t="shared" si="3"/>
        <v>24</v>
      </c>
      <c r="C28" s="538" t="str">
        <f>IF($P$1="Select company","",IF((HLOOKUP((VLOOKUP($P$1,Lists!$B$4:$C$22,2,FALSE)),'PC list edited'!$A$2:$DV$65,(B28+1),FALSE))=0,"",HLOOKUP((VLOOKUP($P$1,Lists!$B$4:$C$22,2,FALSE)),'PC list edited'!$A$2:$DV$65,(B28+1),FALSE)))</f>
        <v>PR14YKYWSWW_SB5</v>
      </c>
      <c r="D28" s="853" t="str">
        <f>IF($P$1="Select company","",IF(C28 ="","",HLOOKUP(((VLOOKUP($P$1,Lists!$B$4:$C$22,2,FALSE))&amp;"PC"),'PC list edited'!$A$2:$DV$65,(B28+1),FALSE)))</f>
        <v>SB5: Amount of land conserved and enhanced (total cumulative area) (note: PC is part of a total commitment at Appointee level - see also WC3)</v>
      </c>
      <c r="E28" s="320" t="str">
        <f>IF($P$1="Select company","",IF(C28 ="","",HLOOKUP(((VLOOKUP($P$1,Lists!$B$4:$C$22,2,FALSE))&amp;"unit"),'PC list edited'!$A$2:$DV$65,(B28+1),FALSE)))</f>
        <v>nr</v>
      </c>
      <c r="F28" s="320" t="str">
        <f>IF($P$1="Select company","",IF(C28 ="","",HLOOKUP(((VLOOKUP($P$1,Lists!$B$4:$C$22,2,FALSE))&amp;"UnitDes"),'PC list edited'!$A$2:$DV$65,(B28+1),FALSE)))</f>
        <v>No. of hectares of land conserved &amp; enhanced (cumulative)</v>
      </c>
      <c r="G28" s="320">
        <f>IF($P$1="Select company","",IF(C28="","",HLOOKUP(((VLOOKUP($P$1,Lists!$B$4:$C$22,2,FALSE))&amp;"DP"),'PC list edited'!$A$2:$DV$65,(B28+1),FALSE)))</f>
        <v>0</v>
      </c>
      <c r="H28" s="320">
        <f>IF($P$1="Select company","",IF(C28 = "","",HLOOKUP(((VLOOKUP($P$1,Lists!$B$4:$C$22,2,FALSE))&amp;"201516Actual"),'PC list edited'!$A$2:$DV$65,(B28+1),FALSE)))</f>
        <v>11466</v>
      </c>
      <c r="I28" s="586">
        <v>11492</v>
      </c>
      <c r="J28" s="740" t="s">
        <v>609</v>
      </c>
      <c r="K28" s="542"/>
      <c r="L28" s="543"/>
      <c r="M28" s="542"/>
      <c r="N28" s="543"/>
      <c r="O28" s="542"/>
      <c r="P28" s="544"/>
      <c r="Q28" s="135"/>
      <c r="R28" s="548">
        <f t="shared" si="4"/>
        <v>0</v>
      </c>
      <c r="S28" s="28">
        <f t="shared" si="1"/>
        <v>0</v>
      </c>
      <c r="T28" s="135"/>
      <c r="U28" s="130"/>
      <c r="V28" s="105">
        <f t="shared" si="2"/>
        <v>0</v>
      </c>
      <c r="W28" s="105">
        <f>IF($C28="",0,IF(ISBLANK(#REF!)=FALSE,0,1))</f>
        <v>0</v>
      </c>
      <c r="X28" s="105">
        <f t="shared" si="0"/>
        <v>0</v>
      </c>
      <c r="Y28" s="105">
        <f>IF(OR(ISBLANK(L28), L28=0), 0, IF(OR(K28=Lists!$F$11, K28=Lists!$F$13), 0, 1))</f>
        <v>0</v>
      </c>
      <c r="Z28" s="105">
        <f>IF(OR($C28="", AND(NOT(K28=Lists!$F$11), NOT(K28=Lists!$F$13))),0,IF(ISBLANK(L28)=FALSE,0,1))</f>
        <v>0</v>
      </c>
      <c r="AA28" s="105">
        <f>IF(OR(ISBLANK(N28), N28=0), 0, IF(OR(M28=Lists!$F$11, M28=Lists!$F$13), 0, 1))</f>
        <v>0</v>
      </c>
      <c r="AB28" s="105">
        <f>IF(OR($C28="", AND(NOT(M28=Lists!$F$11), NOT(M28=Lists!$F$13))),0,IF(ISBLANK(N28)=FALSE,0,1))</f>
        <v>0</v>
      </c>
      <c r="AC28" s="105">
        <f>IF(OR(ISBLANK(P28), P28=0), 0, IF(OR(O28=Lists!$F$11, O28=Lists!$F$13), 0, 1))</f>
        <v>0</v>
      </c>
      <c r="AD28" s="105">
        <f>IF(OR($C28="", AND(NOT(O28=Lists!$F$11), NOT(O28=Lists!$F$13))),0,IF(ISBLANK(P28)=FALSE,0,1))</f>
        <v>0</v>
      </c>
      <c r="AE28" s="130"/>
      <c r="AF28" s="550">
        <f xml:space="preserve"> IF(OR( AND( K28 = Lists!$F$11, '3A'!L28 &lt; 0), AND( '3A'!M28 = Lists!$F$11, '3A'!N28 &lt; 0), AND( '3A'!O28 = Lists!$F$11, '3A'!P28 &lt; 0)), 1, 0)</f>
        <v>0</v>
      </c>
      <c r="AG28" s="550">
        <f xml:space="preserve"> IF( OR( AND( K28 = Lists!$F$13, '3A'!L28 &gt; 0), AND( M28 = Lists!$F$13, '3A'!N28 &gt; 0), AND( O28 = Lists!$F$13, '3A'!P28 &gt; 0 )), 1, 0)</f>
        <v>0</v>
      </c>
      <c r="AH28" s="551"/>
      <c r="AI28" s="742" t="e">
        <f>IF($P$1="Select company","",IF((HLOOKUP(((VLOOKUP($P$1,Lists!$B$4:$C$22,2,FALSE))&amp;'PC LIST'!$J$2),'PC list edited'!$A$2:$DT$65,(B28+1),FALSE))=0,"",HLOOKUP(((VLOOKUP($P$1,Lists!$B$4:$C$22,2,FALSE))&amp; 'PC LIST'!$J$2),'PC list edited'!$A$2:$DT$65,(B28+1),FALSE)))</f>
        <v>#N/A</v>
      </c>
    </row>
    <row r="29" spans="1:35" s="88" customFormat="1" ht="30" customHeight="1" x14ac:dyDescent="0.2">
      <c r="A29" s="87"/>
      <c r="B29" s="297">
        <f t="shared" si="3"/>
        <v>25</v>
      </c>
      <c r="C29" s="538" t="str">
        <f>IF($P$1="Select company","",IF((HLOOKUP((VLOOKUP($P$1,Lists!$B$4:$C$22,2,FALSE)),'PC list edited'!$A$2:$DV$65,(B29+1),FALSE))=0,"",HLOOKUP((VLOOKUP($P$1,Lists!$B$4:$C$22,2,FALSE)),'PC list edited'!$A$2:$DV$65,(B29+1),FALSE)))</f>
        <v>PR14YKYWSWW_SC1</v>
      </c>
      <c r="D29" s="853" t="str">
        <f>IF($P$1="Select company","",IF(C29 ="","",HLOOKUP(((VLOOKUP($P$1,Lists!$B$4:$C$22,2,FALSE))&amp;"PC"),'PC list edited'!$A$2:$DV$65,(B29+1),FALSE)))</f>
        <v>SC1: Proportion of energy use generated by renewable technology (note: PC is part of a total commitment at Appointee level - see also WD1 and RC1)</v>
      </c>
      <c r="E29" s="320" t="str">
        <f>IF($P$1="Select company","",IF(C29 ="","",HLOOKUP(((VLOOKUP($P$1,Lists!$B$4:$C$22,2,FALSE))&amp;"unit"),'PC list edited'!$A$2:$DV$65,(B29+1),FALSE)))</f>
        <v>%</v>
      </c>
      <c r="F29" s="320" t="str">
        <f>IF($P$1="Select company","",IF(C29 ="","",HLOOKUP(((VLOOKUP($P$1,Lists!$B$4:$C$22,2,FALSE))&amp;"UnitDes"),'PC list edited'!$A$2:$DV$65,(B29+1),FALSE)))</f>
        <v>% of energy use generated by renewable technology</v>
      </c>
      <c r="G29" s="320">
        <f>IF($P$1="Select company","",IF(C29="","",HLOOKUP(((VLOOKUP($P$1,Lists!$B$4:$C$22,2,FALSE))&amp;"DP"),'PC list edited'!$A$2:$DV$65,(B29+1),FALSE)))</f>
        <v>0</v>
      </c>
      <c r="H29" s="320">
        <f>IF($P$1="Select company","",IF(C29 = "","",HLOOKUP(((VLOOKUP($P$1,Lists!$B$4:$C$22,2,FALSE))&amp;"201516Actual"),'PC list edited'!$A$2:$DV$65,(B29+1),FALSE)))</f>
        <v>11.257999999999999</v>
      </c>
      <c r="I29" s="586">
        <v>10</v>
      </c>
      <c r="J29" s="740" t="s">
        <v>606</v>
      </c>
      <c r="K29" s="542"/>
      <c r="L29" s="543"/>
      <c r="M29" s="542"/>
      <c r="N29" s="543"/>
      <c r="O29" s="542"/>
      <c r="P29" s="544"/>
      <c r="Q29" s="135"/>
      <c r="R29" s="548">
        <f t="shared" si="4"/>
        <v>0</v>
      </c>
      <c r="S29" s="28">
        <f t="shared" si="1"/>
        <v>0</v>
      </c>
      <c r="T29" s="135"/>
      <c r="U29" s="130"/>
      <c r="V29" s="105">
        <f t="shared" si="2"/>
        <v>0</v>
      </c>
      <c r="W29" s="105">
        <f>IF($C29="",0,IF(ISBLANK(#REF!)=FALSE,0,1))</f>
        <v>0</v>
      </c>
      <c r="X29" s="105">
        <f t="shared" si="0"/>
        <v>0</v>
      </c>
      <c r="Y29" s="105">
        <f>IF(OR(ISBLANK(L29), L29=0), 0, IF(OR(K29=Lists!$F$11, K29=Lists!$F$13), 0, 1))</f>
        <v>0</v>
      </c>
      <c r="Z29" s="105">
        <f>IF(OR($C29="", AND(NOT(K29=Lists!$F$11), NOT(K29=Lists!$F$13))),0,IF(ISBLANK(L29)=FALSE,0,1))</f>
        <v>0</v>
      </c>
      <c r="AA29" s="105">
        <f>IF(OR(ISBLANK(N29), N29=0), 0, IF(OR(M29=Lists!$F$11, M29=Lists!$F$13), 0, 1))</f>
        <v>0</v>
      </c>
      <c r="AB29" s="105">
        <f>IF(OR($C29="", AND(NOT(M29=Lists!$F$11), NOT(M29=Lists!$F$13))),0,IF(ISBLANK(N29)=FALSE,0,1))</f>
        <v>0</v>
      </c>
      <c r="AC29" s="105">
        <f>IF(OR(ISBLANK(P29), P29=0), 0, IF(OR(O29=Lists!$F$11, O29=Lists!$F$13), 0, 1))</f>
        <v>0</v>
      </c>
      <c r="AD29" s="105">
        <f>IF(OR($C29="", AND(NOT(O29=Lists!$F$11), NOT(O29=Lists!$F$13))),0,IF(ISBLANK(P29)=FALSE,0,1))</f>
        <v>0</v>
      </c>
      <c r="AE29" s="130"/>
      <c r="AF29" s="550">
        <f xml:space="preserve"> IF(OR( AND( K29 = Lists!$F$11, '3A'!L29 &lt; 0), AND( '3A'!M29 = Lists!$F$11, '3A'!N29 &lt; 0), AND( '3A'!O29 = Lists!$F$11, '3A'!P29 &lt; 0)), 1, 0)</f>
        <v>0</v>
      </c>
      <c r="AG29" s="550">
        <f xml:space="preserve"> IF( OR( AND( K29 = Lists!$F$13, '3A'!L29 &gt; 0), AND( M29 = Lists!$F$13, '3A'!N29 &gt; 0), AND( O29 = Lists!$F$13, '3A'!P29 &gt; 0 )), 1, 0)</f>
        <v>0</v>
      </c>
      <c r="AH29" s="551"/>
      <c r="AI29" s="742" t="e">
        <f>IF($P$1="Select company","",IF((HLOOKUP(((VLOOKUP($P$1,Lists!$B$4:$C$22,2,FALSE))&amp;'PC LIST'!$J$2),'PC list edited'!$A$2:$DT$65,(B29+1),FALSE))=0,"",HLOOKUP(((VLOOKUP($P$1,Lists!$B$4:$C$22,2,FALSE))&amp; 'PC LIST'!$J$2),'PC list edited'!$A$2:$DT$65,(B29+1),FALSE)))</f>
        <v>#N/A</v>
      </c>
    </row>
    <row r="30" spans="1:35" s="88" customFormat="1" ht="30" customHeight="1" x14ac:dyDescent="0.2">
      <c r="A30" s="87"/>
      <c r="B30" s="297">
        <f t="shared" si="3"/>
        <v>26</v>
      </c>
      <c r="C30" s="538" t="str">
        <f>IF($P$1="Select company","",IF((HLOOKUP((VLOOKUP($P$1,Lists!$B$4:$C$22,2,FALSE)),'PC list edited'!$A$2:$DV$65,(B30+1),FALSE))=0,"",HLOOKUP((VLOOKUP($P$1,Lists!$B$4:$C$22,2,FALSE)),'PC list edited'!$A$2:$DV$65,(B30+1),FALSE)))</f>
        <v>PR14YKYWSWW_SC2</v>
      </c>
      <c r="D30" s="853" t="str">
        <f>IF($P$1="Select company","",IF(C30 ="","",HLOOKUP(((VLOOKUP($P$1,Lists!$B$4:$C$22,2,FALSE))&amp;"PC"),'PC list edited'!$A$2:$DV$65,(B30+1),FALSE)))</f>
        <v>SC2: Proportion of waste diverted from landfill (re-used and recycled) (note: PC is part of a total commitment at Appointee level - see also WD2 and RC2)</v>
      </c>
      <c r="E30" s="320" t="str">
        <f>IF($P$1="Select company","",IF(C30 ="","",HLOOKUP(((VLOOKUP($P$1,Lists!$B$4:$C$22,2,FALSE))&amp;"unit"),'PC list edited'!$A$2:$DV$65,(B30+1),FALSE)))</f>
        <v>%</v>
      </c>
      <c r="F30" s="320" t="str">
        <f>IF($P$1="Select company","",IF(C30 ="","",HLOOKUP(((VLOOKUP($P$1,Lists!$B$4:$C$22,2,FALSE))&amp;"UnitDes"),'PC list edited'!$A$2:$DV$65,(B30+1),FALSE)))</f>
        <v>% of waste diverted from landfill (re-used and recycled)</v>
      </c>
      <c r="G30" s="320">
        <f>IF($P$1="Select company","",IF(C30="","",HLOOKUP(((VLOOKUP($P$1,Lists!$B$4:$C$22,2,FALSE))&amp;"DP"),'PC list edited'!$A$2:$DV$65,(B30+1),FALSE)))</f>
        <v>0</v>
      </c>
      <c r="H30" s="320">
        <f>IF($P$1="Select company","",IF(C30 = "","",HLOOKUP(((VLOOKUP($P$1,Lists!$B$4:$C$22,2,FALSE))&amp;"201516Actual"),'PC list edited'!$A$2:$DV$65,(B30+1),FALSE)))</f>
        <v>98.91</v>
      </c>
      <c r="I30" s="586">
        <v>99</v>
      </c>
      <c r="J30" s="740" t="s">
        <v>605</v>
      </c>
      <c r="K30" s="542"/>
      <c r="L30" s="543"/>
      <c r="M30" s="542"/>
      <c r="N30" s="543"/>
      <c r="O30" s="542"/>
      <c r="P30" s="544"/>
      <c r="Q30" s="135"/>
      <c r="R30" s="548">
        <f t="shared" si="4"/>
        <v>0</v>
      </c>
      <c r="S30" s="28">
        <f t="shared" si="1"/>
        <v>0</v>
      </c>
      <c r="T30" s="135"/>
      <c r="U30" s="130"/>
      <c r="V30" s="105">
        <f t="shared" si="2"/>
        <v>0</v>
      </c>
      <c r="W30" s="105">
        <f>IF($C30="",0,IF(ISBLANK(#REF!)=FALSE,0,1))</f>
        <v>0</v>
      </c>
      <c r="X30" s="105">
        <f t="shared" si="0"/>
        <v>0</v>
      </c>
      <c r="Y30" s="105">
        <f>IF(OR(ISBLANK(L30), L30=0), 0, IF(OR(K30=Lists!$F$11, K30=Lists!$F$13), 0, 1))</f>
        <v>0</v>
      </c>
      <c r="Z30" s="105">
        <f>IF(OR($C30="", AND(NOT(K30=Lists!$F$11), NOT(K30=Lists!$F$13))),0,IF(ISBLANK(L30)=FALSE,0,1))</f>
        <v>0</v>
      </c>
      <c r="AA30" s="105">
        <f>IF(OR(ISBLANK(N30), N30=0), 0, IF(OR(M30=Lists!$F$11, M30=Lists!$F$13), 0, 1))</f>
        <v>0</v>
      </c>
      <c r="AB30" s="105">
        <f>IF(OR($C30="", AND(NOT(M30=Lists!$F$11), NOT(M30=Lists!$F$13))),0,IF(ISBLANK(N30)=FALSE,0,1))</f>
        <v>0</v>
      </c>
      <c r="AC30" s="105">
        <f>IF(OR(ISBLANK(P30), P30=0), 0, IF(OR(O30=Lists!$F$11, O30=Lists!$F$13), 0, 1))</f>
        <v>0</v>
      </c>
      <c r="AD30" s="105">
        <f>IF(OR($C30="", AND(NOT(O30=Lists!$F$11), NOT(O30=Lists!$F$13))),0,IF(ISBLANK(P30)=FALSE,0,1))</f>
        <v>0</v>
      </c>
      <c r="AE30" s="130"/>
      <c r="AF30" s="550">
        <f xml:space="preserve"> IF(OR( AND( K30 = Lists!$F$11, '3A'!L30 &lt; 0), AND( '3A'!M30 = Lists!$F$11, '3A'!N30 &lt; 0), AND( '3A'!O30 = Lists!$F$11, '3A'!P30 &lt; 0)), 1, 0)</f>
        <v>0</v>
      </c>
      <c r="AG30" s="550">
        <f xml:space="preserve"> IF( OR( AND( K30 = Lists!$F$13, '3A'!L30 &gt; 0), AND( M30 = Lists!$F$13, '3A'!N30 &gt; 0), AND( O30 = Lists!$F$13, '3A'!P30 &gt; 0 )), 1, 0)</f>
        <v>0</v>
      </c>
      <c r="AH30" s="551"/>
      <c r="AI30" s="742" t="e">
        <f>IF($P$1="Select company","",IF((HLOOKUP(((VLOOKUP($P$1,Lists!$B$4:$C$22,2,FALSE))&amp;'PC LIST'!$J$2),'PC list edited'!$A$2:$DT$65,(B30+1),FALSE))=0,"",HLOOKUP(((VLOOKUP($P$1,Lists!$B$4:$C$22,2,FALSE))&amp; 'PC LIST'!$J$2),'PC list edited'!$A$2:$DT$65,(B30+1),FALSE)))</f>
        <v>#N/A</v>
      </c>
    </row>
    <row r="31" spans="1:35" s="88" customFormat="1" ht="30" customHeight="1" x14ac:dyDescent="0.2">
      <c r="A31" s="87"/>
      <c r="B31" s="297">
        <f t="shared" si="3"/>
        <v>27</v>
      </c>
      <c r="C31" s="538" t="str">
        <f>IF($P$1="Select company","",IF((HLOOKUP((VLOOKUP($P$1,Lists!$B$4:$C$22,2,FALSE)),'PC list edited'!$A$2:$DV$65,(B31+1),FALSE))=0,"",HLOOKUP((VLOOKUP($P$1,Lists!$B$4:$C$22,2,FALSE)),'PC list edited'!$A$2:$DV$65,(B31+1),FALSE)))</f>
        <v>PR14YKYHHR_RA1</v>
      </c>
      <c r="D31" s="853" t="str">
        <f>IF($P$1="Select company","",IF(C31 ="","",HLOOKUP(((VLOOKUP($P$1,Lists!$B$4:$C$22,2,FALSE))&amp;"PC"),'PC list edited'!$A$2:$DV$65,(B31+1),FALSE)))</f>
        <v>RA1: Service incentive mechanism (SIM)</v>
      </c>
      <c r="E31" s="320" t="str">
        <f>IF($P$1="Select company","",IF(C31 ="","",HLOOKUP(((VLOOKUP($P$1,Lists!$B$4:$C$22,2,FALSE))&amp;"unit"),'PC list edited'!$A$2:$DV$65,(B31+1),FALSE)))</f>
        <v>score</v>
      </c>
      <c r="F31" s="320" t="str">
        <f>IF($P$1="Select company","",IF(C31 ="","",HLOOKUP(((VLOOKUP($P$1,Lists!$B$4:$C$22,2,FALSE))&amp;"UnitDes"),'PC list edited'!$A$2:$DV$65,(B31+1),FALSE)))</f>
        <v>Service incentive mechanism (SIM) score</v>
      </c>
      <c r="G31" s="320">
        <f>IF($P$1="Select company","",IF(C31="","",HLOOKUP(((VLOOKUP($P$1,Lists!$B$4:$C$22,2,FALSE))&amp;"DP"),'PC list edited'!$A$2:$DV$65,(B31+1),FALSE)))</f>
        <v>1</v>
      </c>
      <c r="H31" s="320">
        <f>IF($P$1="Select company","",IF(C31 = "","",HLOOKUP(((VLOOKUP($P$1,Lists!$B$4:$C$22,2,FALSE))&amp;"201516Actual"),'PC list edited'!$A$2:$DV$65,(B31+1),FALSE)))</f>
        <v>82.6</v>
      </c>
      <c r="I31" s="586">
        <v>83.4</v>
      </c>
      <c r="J31" s="740" t="s">
        <v>605</v>
      </c>
      <c r="K31" s="542"/>
      <c r="L31" s="543"/>
      <c r="M31" s="542"/>
      <c r="N31" s="543"/>
      <c r="O31" s="542"/>
      <c r="P31" s="544"/>
      <c r="Q31" s="137"/>
      <c r="R31" s="548">
        <f t="shared" si="4"/>
        <v>0</v>
      </c>
      <c r="S31" s="28">
        <f t="shared" si="1"/>
        <v>0</v>
      </c>
      <c r="T31" s="135"/>
      <c r="U31" s="130"/>
      <c r="V31" s="105">
        <f t="shared" si="2"/>
        <v>0</v>
      </c>
      <c r="W31" s="105">
        <f>IF($C31="",0,IF(ISBLANK(#REF!)=FALSE,0,1))</f>
        <v>0</v>
      </c>
      <c r="X31" s="105">
        <f t="shared" si="0"/>
        <v>0</v>
      </c>
      <c r="Y31" s="105">
        <f>IF(OR(ISBLANK(L31), L31=0), 0, IF(OR(K31=Lists!$F$11, K31=Lists!$F$13), 0, 1))</f>
        <v>0</v>
      </c>
      <c r="Z31" s="105">
        <f>IF(OR($C31="", AND(NOT(K31=Lists!$F$11), NOT(K31=Lists!$F$13))),0,IF(ISBLANK(L31)=FALSE,0,1))</f>
        <v>0</v>
      </c>
      <c r="AA31" s="105">
        <f>IF(OR(ISBLANK(N31), N31=0), 0, IF(OR(M31=Lists!$F$11, M31=Lists!$F$13), 0, 1))</f>
        <v>0</v>
      </c>
      <c r="AB31" s="105">
        <f>IF(OR($C31="", AND(NOT(M31=Lists!$F$11), NOT(M31=Lists!$F$13))),0,IF(ISBLANK(N31)=FALSE,0,1))</f>
        <v>0</v>
      </c>
      <c r="AC31" s="105">
        <f>IF(OR(ISBLANK(P31), P31=0), 0, IF(OR(O31=Lists!$F$11, O31=Lists!$F$13), 0, 1))</f>
        <v>0</v>
      </c>
      <c r="AD31" s="105">
        <f>IF(OR($C31="", AND(NOT(O31=Lists!$F$11), NOT(O31=Lists!$F$13))),0,IF(ISBLANK(P31)=FALSE,0,1))</f>
        <v>0</v>
      </c>
      <c r="AE31" s="130"/>
      <c r="AF31" s="550">
        <f xml:space="preserve"> IF(OR( AND( K31 = Lists!$F$11, '3A'!L31 &lt; 0), AND( '3A'!M31 = Lists!$F$11, '3A'!N31 &lt; 0), AND( '3A'!O31 = Lists!$F$11, '3A'!P31 &lt; 0)), 1, 0)</f>
        <v>0</v>
      </c>
      <c r="AG31" s="550">
        <f xml:space="preserve"> IF( OR( AND( K31 = Lists!$F$13, '3A'!L31 &gt; 0), AND( M31 = Lists!$F$13, '3A'!N31 &gt; 0), AND( O31 = Lists!$F$13, '3A'!P31 &gt; 0 )), 1, 0)</f>
        <v>0</v>
      </c>
      <c r="AH31" s="551"/>
      <c r="AI31" s="742" t="e">
        <f>IF($P$1="Select company","",IF((HLOOKUP(((VLOOKUP($P$1,Lists!$B$4:$C$22,2,FALSE))&amp;'PC LIST'!$J$2),'PC list edited'!$A$2:$DT$65,(B31+1),FALSE))=0,"",HLOOKUP(((VLOOKUP($P$1,Lists!$B$4:$C$22,2,FALSE))&amp; 'PC LIST'!$J$2),'PC list edited'!$A$2:$DT$65,(B31+1),FALSE)))</f>
        <v>#N/A</v>
      </c>
    </row>
    <row r="32" spans="1:35" s="88" customFormat="1" ht="30" customHeight="1" x14ac:dyDescent="0.2">
      <c r="A32" s="87"/>
      <c r="B32" s="297">
        <f t="shared" si="3"/>
        <v>28</v>
      </c>
      <c r="C32" s="538" t="str">
        <f>IF($P$1="Select company","",IF((HLOOKUP((VLOOKUP($P$1,Lists!$B$4:$C$22,2,FALSE)),'PC list edited'!$A$2:$DV$65,(B32+1),FALSE))=0,"",HLOOKUP((VLOOKUP($P$1,Lists!$B$4:$C$22,2,FALSE)),'PC list edited'!$A$2:$DV$65,(B32+1),FALSE)))</f>
        <v>PR14YKYHHR_RA2</v>
      </c>
      <c r="D32" s="853" t="str">
        <f>IF($P$1="Select company","",IF(C32 ="","",HLOOKUP(((VLOOKUP($P$1,Lists!$B$4:$C$22,2,FALSE))&amp;"PC"),'PC list edited'!$A$2:$DV$65,(B32+1),FALSE)))</f>
        <v>RA2: Service commitment failures</v>
      </c>
      <c r="E32" s="320" t="str">
        <f>IF($P$1="Select company","",IF(C32 ="","",HLOOKUP(((VLOOKUP($P$1,Lists!$B$4:$C$22,2,FALSE))&amp;"unit"),'PC list edited'!$A$2:$DV$65,(B32+1),FALSE)))</f>
        <v>nr</v>
      </c>
      <c r="F32" s="320" t="str">
        <f>IF($P$1="Select company","",IF(C32 ="","",HLOOKUP(((VLOOKUP($P$1,Lists!$B$4:$C$22,2,FALSE))&amp;"UnitDes"),'PC list edited'!$A$2:$DV$65,(B32+1),FALSE)))</f>
        <v>No. of GSS (Guaranteed Standards of Service) events</v>
      </c>
      <c r="G32" s="320">
        <f>IF($P$1="Select company","",IF(C32="","",HLOOKUP(((VLOOKUP($P$1,Lists!$B$4:$C$22,2,FALSE))&amp;"DP"),'PC list edited'!$A$2:$DV$65,(B32+1),FALSE)))</f>
        <v>0</v>
      </c>
      <c r="H32" s="320">
        <f>IF($P$1="Select company","",IF(C32 = "","",HLOOKUP(((VLOOKUP($P$1,Lists!$B$4:$C$22,2,FALSE))&amp;"201516Actual"),'PC list edited'!$A$2:$DV$65,(B32+1),FALSE)))</f>
        <v>10567</v>
      </c>
      <c r="I32" s="586">
        <v>10356</v>
      </c>
      <c r="J32" s="740" t="s">
        <v>609</v>
      </c>
      <c r="K32" s="542"/>
      <c r="L32" s="543"/>
      <c r="M32" s="542"/>
      <c r="N32" s="543"/>
      <c r="O32" s="542"/>
      <c r="P32" s="544"/>
      <c r="Q32" s="137"/>
      <c r="R32" s="548">
        <f t="shared" si="4"/>
        <v>0</v>
      </c>
      <c r="S32" s="28">
        <f t="shared" si="1"/>
        <v>0</v>
      </c>
      <c r="T32" s="135"/>
      <c r="U32" s="130"/>
      <c r="V32" s="105">
        <f t="shared" si="2"/>
        <v>0</v>
      </c>
      <c r="W32" s="105">
        <f>IF($C32="",0,IF(ISBLANK(#REF!)=FALSE,0,1))</f>
        <v>0</v>
      </c>
      <c r="X32" s="105">
        <f t="shared" si="0"/>
        <v>0</v>
      </c>
      <c r="Y32" s="105">
        <f>IF(OR(ISBLANK(L32), L32=0), 0, IF(OR(K32=Lists!$F$11, K32=Lists!$F$13), 0, 1))</f>
        <v>0</v>
      </c>
      <c r="Z32" s="105">
        <f>IF(OR($C32="", AND(NOT(K32=Lists!$F$11), NOT(K32=Lists!$F$13))),0,IF(ISBLANK(L32)=FALSE,0,1))</f>
        <v>0</v>
      </c>
      <c r="AA32" s="105">
        <f>IF(OR(ISBLANK(N32), N32=0), 0, IF(OR(M32=Lists!$F$11, M32=Lists!$F$13), 0, 1))</f>
        <v>0</v>
      </c>
      <c r="AB32" s="105">
        <f>IF(OR($C32="", AND(NOT(M32=Lists!$F$11), NOT(M32=Lists!$F$13))),0,IF(ISBLANK(N32)=FALSE,0,1))</f>
        <v>0</v>
      </c>
      <c r="AC32" s="105">
        <f>IF(OR(ISBLANK(P32), P32=0), 0, IF(OR(O32=Lists!$F$11, O32=Lists!$F$13), 0, 1))</f>
        <v>0</v>
      </c>
      <c r="AD32" s="105">
        <f>IF(OR($C32="", AND(NOT(O32=Lists!$F$11), NOT(O32=Lists!$F$13))),0,IF(ISBLANK(P32)=FALSE,0,1))</f>
        <v>0</v>
      </c>
      <c r="AE32" s="130"/>
      <c r="AF32" s="550">
        <f xml:space="preserve"> IF(OR( AND( K32 = Lists!$F$11, '3A'!L32 &lt; 0), AND( '3A'!M32 = Lists!$F$11, '3A'!N32 &lt; 0), AND( '3A'!O32 = Lists!$F$11, '3A'!P32 &lt; 0)), 1, 0)</f>
        <v>0</v>
      </c>
      <c r="AG32" s="550">
        <f xml:space="preserve"> IF( OR( AND( K32 = Lists!$F$13, '3A'!L32 &gt; 0), AND( M32 = Lists!$F$13, '3A'!N32 &gt; 0), AND( O32 = Lists!$F$13, '3A'!P32 &gt; 0 )), 1, 0)</f>
        <v>0</v>
      </c>
      <c r="AH32" s="551"/>
      <c r="AI32" s="742" t="e">
        <f>IF($P$1="Select company","",IF((HLOOKUP(((VLOOKUP($P$1,Lists!$B$4:$C$22,2,FALSE))&amp;'PC LIST'!$J$2),'PC list edited'!$A$2:$DT$65,(B32+1),FALSE))=0,"",HLOOKUP(((VLOOKUP($P$1,Lists!$B$4:$C$22,2,FALSE))&amp; 'PC LIST'!$J$2),'PC list edited'!$A$2:$DT$65,(B32+1),FALSE)))</f>
        <v>#N/A</v>
      </c>
    </row>
    <row r="33" spans="1:35" s="88" customFormat="1" ht="30" customHeight="1" x14ac:dyDescent="0.2">
      <c r="A33" s="87"/>
      <c r="B33" s="297">
        <f t="shared" si="3"/>
        <v>29</v>
      </c>
      <c r="C33" s="538" t="str">
        <f>IF($P$1="Select company","",IF((HLOOKUP((VLOOKUP($P$1,Lists!$B$4:$C$22,2,FALSE)),'PC list edited'!$A$2:$DV$65,(B33+1),FALSE))=0,"",HLOOKUP((VLOOKUP($P$1,Lists!$B$4:$C$22,2,FALSE)),'PC list edited'!$A$2:$DV$65,(B33+1),FALSE)))</f>
        <v>PR14YKYHHR_RA3</v>
      </c>
      <c r="D33" s="853" t="str">
        <f>IF($P$1="Select company","",IF(C33 ="","",HLOOKUP(((VLOOKUP($P$1,Lists!$B$4:$C$22,2,FALSE))&amp;"PC"),'PC list edited'!$A$2:$DV$65,(B33+1),FALSE)))</f>
        <v>RA3: Overall customer satisfaction (CCWater annual tracking survey)</v>
      </c>
      <c r="E33" s="320" t="str">
        <f>IF($P$1="Select company","",IF(C33 ="","",HLOOKUP(((VLOOKUP($P$1,Lists!$B$4:$C$22,2,FALSE))&amp;"unit"),'PC list edited'!$A$2:$DV$65,(B33+1),FALSE)))</f>
        <v>%</v>
      </c>
      <c r="F33" s="320" t="str">
        <f>IF($P$1="Select company","",IF(C33 ="","",HLOOKUP(((VLOOKUP($P$1,Lists!$B$4:$C$22,2,FALSE))&amp;"UnitDes"),'PC list edited'!$A$2:$DV$65,(B33+1),FALSE)))</f>
        <v>% overall customer satisfaction (CCWater tracking survey)</v>
      </c>
      <c r="G33" s="320">
        <f>IF($P$1="Select company","",IF(C33="","",HLOOKUP(((VLOOKUP($P$1,Lists!$B$4:$C$22,2,FALSE))&amp;"DP"),'PC list edited'!$A$2:$DV$65,(B33+1),FALSE)))</f>
        <v>0</v>
      </c>
      <c r="H33" s="320" t="str">
        <f>IF($P$1="Select company","",IF(C33 = "","",HLOOKUP(((VLOOKUP($P$1,Lists!$B$4:$C$22,2,FALSE))&amp;"201516Actual"),'PC list edited'!$A$2:$DV$65,(B33+1),FALSE)))</f>
        <v xml:space="preserve">95% (Water)
92% (Waste) </v>
      </c>
      <c r="I33" s="586" t="s">
        <v>614</v>
      </c>
      <c r="J33" s="740" t="s">
        <v>609</v>
      </c>
      <c r="K33" s="542"/>
      <c r="L33" s="543"/>
      <c r="M33" s="542"/>
      <c r="N33" s="543"/>
      <c r="O33" s="542"/>
      <c r="P33" s="544"/>
      <c r="Q33" s="137"/>
      <c r="R33" s="548">
        <f t="shared" si="4"/>
        <v>0</v>
      </c>
      <c r="S33" s="28">
        <f t="shared" si="1"/>
        <v>0</v>
      </c>
      <c r="T33" s="129"/>
      <c r="U33" s="133"/>
      <c r="V33" s="105">
        <f t="shared" si="2"/>
        <v>0</v>
      </c>
      <c r="W33" s="105">
        <f>IF($C33="",0,IF(ISBLANK(#REF!)=FALSE,0,1))</f>
        <v>0</v>
      </c>
      <c r="X33" s="105">
        <f t="shared" si="0"/>
        <v>0</v>
      </c>
      <c r="Y33" s="105">
        <f>IF(OR(ISBLANK(L33), L33=0), 0, IF(OR(K33=Lists!$F$11, K33=Lists!$F$13), 0, 1))</f>
        <v>0</v>
      </c>
      <c r="Z33" s="105">
        <f>IF(OR($C33="", AND(NOT(K33=Lists!$F$11), NOT(K33=Lists!$F$13))),0,IF(ISBLANK(L33)=FALSE,0,1))</f>
        <v>0</v>
      </c>
      <c r="AA33" s="105">
        <f>IF(OR(ISBLANK(N33), N33=0), 0, IF(OR(M33=Lists!$F$11, M33=Lists!$F$13), 0, 1))</f>
        <v>0</v>
      </c>
      <c r="AB33" s="105">
        <f>IF(OR($C33="", AND(NOT(M33=Lists!$F$11), NOT(M33=Lists!$F$13))),0,IF(ISBLANK(N33)=FALSE,0,1))</f>
        <v>0</v>
      </c>
      <c r="AC33" s="105">
        <f>IF(OR(ISBLANK(P33), P33=0), 0, IF(OR(O33=Lists!$F$11, O33=Lists!$F$13), 0, 1))</f>
        <v>0</v>
      </c>
      <c r="AD33" s="105">
        <f>IF(OR($C33="", AND(NOT(O33=Lists!$F$11), NOT(O33=Lists!$F$13))),0,IF(ISBLANK(P33)=FALSE,0,1))</f>
        <v>0</v>
      </c>
      <c r="AE33" s="133"/>
      <c r="AF33" s="550">
        <f xml:space="preserve"> IF(OR( AND( K33 = Lists!$F$11, '3A'!L33 &lt; 0), AND( '3A'!M33 = Lists!$F$11, '3A'!N33 &lt; 0), AND( '3A'!O33 = Lists!$F$11, '3A'!P33 &lt; 0)), 1, 0)</f>
        <v>0</v>
      </c>
      <c r="AG33" s="550">
        <f xml:space="preserve"> IF( OR( AND( K33 = Lists!$F$13, '3A'!L33 &gt; 0), AND( M33 = Lists!$F$13, '3A'!N33 &gt; 0), AND( O33 = Lists!$F$13, '3A'!P33 &gt; 0 )), 1, 0)</f>
        <v>0</v>
      </c>
      <c r="AH33" s="551"/>
      <c r="AI33" s="742" t="e">
        <f>IF($P$1="Select company","",IF((HLOOKUP(((VLOOKUP($P$1,Lists!$B$4:$C$22,2,FALSE))&amp;'PC LIST'!$J$2),'PC list edited'!$A$2:$DT$65,(B33+1),FALSE))=0,"",HLOOKUP(((VLOOKUP($P$1,Lists!$B$4:$C$22,2,FALSE))&amp; 'PC LIST'!$J$2),'PC list edited'!$A$2:$DT$65,(B33+1),FALSE)))</f>
        <v>#N/A</v>
      </c>
    </row>
    <row r="34" spans="1:35" s="88" customFormat="1" ht="30" customHeight="1" x14ac:dyDescent="0.2">
      <c r="A34" s="87"/>
      <c r="B34" s="297">
        <f t="shared" si="3"/>
        <v>30</v>
      </c>
      <c r="C34" s="538" t="str">
        <f>IF($P$1="Select company","",IF((HLOOKUP((VLOOKUP($P$1,Lists!$B$4:$C$22,2,FALSE)),'PC list edited'!$A$2:$DV$65,(B34+1),FALSE))=0,"",HLOOKUP((VLOOKUP($P$1,Lists!$B$4:$C$22,2,FALSE)),'PC list edited'!$A$2:$DV$65,(B34+1),FALSE)))</f>
        <v>PR14YKYHHR_RB1</v>
      </c>
      <c r="D34" s="853" t="str">
        <f>IF($P$1="Select company","",IF(C34 ="","",HLOOKUP(((VLOOKUP($P$1,Lists!$B$4:$C$22,2,FALSE))&amp;"PC"),'PC list edited'!$A$2:$DV$65,(B34+1),FALSE)))</f>
        <v>RB1: Cost of bad debt to customers (expressed as proportion of bill)</v>
      </c>
      <c r="E34" s="320" t="str">
        <f>IF($P$1="Select company","",IF(C34 ="","",HLOOKUP(((VLOOKUP($P$1,Lists!$B$4:$C$22,2,FALSE))&amp;"unit"),'PC list edited'!$A$2:$DV$65,(B34+1),FALSE)))</f>
        <v>%</v>
      </c>
      <c r="F34" s="320" t="str">
        <f>IF($P$1="Select company","",IF(C34 ="","",HLOOKUP(((VLOOKUP($P$1,Lists!$B$4:$C$22,2,FALSE))&amp;"UnitDes"),'PC list edited'!$A$2:$DV$65,(B34+1),FALSE)))</f>
        <v>Cost of bad debt as % of average annual bill</v>
      </c>
      <c r="G34" s="320">
        <f>IF($P$1="Select company","",IF(C34="","",HLOOKUP(((VLOOKUP($P$1,Lists!$B$4:$C$22,2,FALSE))&amp;"DP"),'PC list edited'!$A$2:$DV$65,(B34+1),FALSE)))</f>
        <v>2</v>
      </c>
      <c r="H34" s="320">
        <f>IF($P$1="Select company","",IF(C34 = "","",HLOOKUP(((VLOOKUP($P$1,Lists!$B$4:$C$22,2,FALSE))&amp;"201516Actual"),'PC list edited'!$A$2:$DV$65,(B34+1),FALSE)))</f>
        <v>3.05</v>
      </c>
      <c r="I34" s="586">
        <v>2.94</v>
      </c>
      <c r="J34" s="740" t="s">
        <v>605</v>
      </c>
      <c r="K34" s="542"/>
      <c r="L34" s="543"/>
      <c r="M34" s="542"/>
      <c r="N34" s="543"/>
      <c r="O34" s="542"/>
      <c r="P34" s="544"/>
      <c r="Q34" s="137"/>
      <c r="R34" s="548">
        <f t="shared" si="4"/>
        <v>0</v>
      </c>
      <c r="S34" s="28">
        <f t="shared" si="1"/>
        <v>0</v>
      </c>
      <c r="T34" s="129"/>
      <c r="U34" s="133"/>
      <c r="V34" s="105">
        <f t="shared" si="2"/>
        <v>0</v>
      </c>
      <c r="W34" s="105">
        <f>IF($C34="",0,IF(ISBLANK(#REF!)=FALSE,0,1))</f>
        <v>0</v>
      </c>
      <c r="X34" s="105">
        <f t="shared" si="0"/>
        <v>0</v>
      </c>
      <c r="Y34" s="105">
        <f>IF(OR(ISBLANK(L34), L34=0), 0, IF(OR(K34=Lists!$F$11, K34=Lists!$F$13), 0, 1))</f>
        <v>0</v>
      </c>
      <c r="Z34" s="105">
        <f>IF(OR($C34="", AND(NOT(K34=Lists!$F$11), NOT(K34=Lists!$F$13))),0,IF(ISBLANK(L34)=FALSE,0,1))</f>
        <v>0</v>
      </c>
      <c r="AA34" s="105">
        <f>IF(OR(ISBLANK(N34), N34=0), 0, IF(OR(M34=Lists!$F$11, M34=Lists!$F$13), 0, 1))</f>
        <v>0</v>
      </c>
      <c r="AB34" s="105">
        <f>IF(OR($C34="", AND(NOT(M34=Lists!$F$11), NOT(M34=Lists!$F$13))),0,IF(ISBLANK(N34)=FALSE,0,1))</f>
        <v>0</v>
      </c>
      <c r="AC34" s="105">
        <f>IF(OR(ISBLANK(P34), P34=0), 0, IF(OR(O34=Lists!$F$11, O34=Lists!$F$13), 0, 1))</f>
        <v>0</v>
      </c>
      <c r="AD34" s="105">
        <f>IF(OR($C34="", AND(NOT(O34=Lists!$F$11), NOT(O34=Lists!$F$13))),0,IF(ISBLANK(P34)=FALSE,0,1))</f>
        <v>0</v>
      </c>
      <c r="AE34" s="133"/>
      <c r="AF34" s="550">
        <f xml:space="preserve"> IF(OR( AND( K34 = Lists!$F$11, '3A'!L34 &lt; 0), AND( '3A'!M34 = Lists!$F$11, '3A'!N34 &lt; 0), AND( '3A'!O34 = Lists!$F$11, '3A'!P34 &lt; 0)), 1, 0)</f>
        <v>0</v>
      </c>
      <c r="AG34" s="550">
        <f xml:space="preserve"> IF( OR( AND( K34 = Lists!$F$13, '3A'!L34 &gt; 0), AND( M34 = Lists!$F$13, '3A'!N34 &gt; 0), AND( O34 = Lists!$F$13, '3A'!P34 &gt; 0 )), 1, 0)</f>
        <v>0</v>
      </c>
      <c r="AH34" s="551"/>
      <c r="AI34" s="742" t="e">
        <f>IF($P$1="Select company","",IF((HLOOKUP(((VLOOKUP($P$1,Lists!$B$4:$C$22,2,FALSE))&amp;'PC LIST'!$J$2),'PC list edited'!$A$2:$DT$65,(B34+1),FALSE))=0,"",HLOOKUP(((VLOOKUP($P$1,Lists!$B$4:$C$22,2,FALSE))&amp; 'PC LIST'!$J$2),'PC list edited'!$A$2:$DT$65,(B34+1),FALSE)))</f>
        <v>#N/A</v>
      </c>
    </row>
    <row r="35" spans="1:35" s="88" customFormat="1" ht="30" customHeight="1" x14ac:dyDescent="0.2">
      <c r="A35" s="87"/>
      <c r="B35" s="297">
        <f t="shared" si="3"/>
        <v>31</v>
      </c>
      <c r="C35" s="538" t="str">
        <f>IF($P$1="Select company","",IF((HLOOKUP((VLOOKUP($P$1,Lists!$B$4:$C$22,2,FALSE)),'PC list edited'!$A$2:$DV$65,(B35+1),FALSE))=0,"",HLOOKUP((VLOOKUP($P$1,Lists!$B$4:$C$22,2,FALSE)),'PC list edited'!$A$2:$DV$65,(B35+1),FALSE)))</f>
        <v>PR14YKYHHR_RB2</v>
      </c>
      <c r="D35" s="853" t="str">
        <f>IF($P$1="Select company","",IF(C35 ="","",HLOOKUP(((VLOOKUP($P$1,Lists!$B$4:$C$22,2,FALSE))&amp;"PC"),'PC list edited'!$A$2:$DV$65,(B35+1),FALSE)))</f>
        <v>RB2: Number of people who we help to pay their bill</v>
      </c>
      <c r="E35" s="320" t="str">
        <f>IF($P$1="Select company","",IF(C35 ="","",HLOOKUP(((VLOOKUP($P$1,Lists!$B$4:$C$22,2,FALSE))&amp;"unit"),'PC list edited'!$A$2:$DV$65,(B35+1),FALSE)))</f>
        <v>nr</v>
      </c>
      <c r="F35" s="320" t="str">
        <f>IF($P$1="Select company","",IF(C35 ="","",HLOOKUP(((VLOOKUP($P$1,Lists!$B$4:$C$22,2,FALSE))&amp;"UnitDes"),'PC list edited'!$A$2:$DV$65,(B35+1),FALSE)))</f>
        <v>No. of customers who are assisted to pay their bill</v>
      </c>
      <c r="G35" s="320">
        <f>IF($P$1="Select company","",IF(C35="","",HLOOKUP(((VLOOKUP($P$1,Lists!$B$4:$C$22,2,FALSE))&amp;"DP"),'PC list edited'!$A$2:$DV$65,(B35+1),FALSE)))</f>
        <v>0</v>
      </c>
      <c r="H35" s="320">
        <f>IF($P$1="Select company","",IF(C35 = "","",HLOOKUP(((VLOOKUP($P$1,Lists!$B$4:$C$22,2,FALSE))&amp;"201516Actual"),'PC list edited'!$A$2:$DV$65,(B35+1),FALSE)))</f>
        <v>22735</v>
      </c>
      <c r="I35" s="586">
        <v>26902</v>
      </c>
      <c r="J35" s="740" t="s">
        <v>609</v>
      </c>
      <c r="K35" s="542"/>
      <c r="L35" s="543"/>
      <c r="M35" s="542"/>
      <c r="N35" s="543"/>
      <c r="O35" s="542"/>
      <c r="P35" s="544"/>
      <c r="Q35" s="137"/>
      <c r="R35" s="548">
        <f t="shared" si="4"/>
        <v>0</v>
      </c>
      <c r="S35" s="28">
        <f t="shared" si="1"/>
        <v>0</v>
      </c>
      <c r="T35" s="129"/>
      <c r="U35" s="133"/>
      <c r="V35" s="105">
        <f t="shared" si="2"/>
        <v>0</v>
      </c>
      <c r="W35" s="105">
        <f>IF($C35="",0,IF(ISBLANK(#REF!)=FALSE,0,1))</f>
        <v>0</v>
      </c>
      <c r="X35" s="105">
        <f t="shared" si="0"/>
        <v>0</v>
      </c>
      <c r="Y35" s="105">
        <f>IF(OR(ISBLANK(L35), L35=0), 0, IF(OR(K35=Lists!$F$11, K35=Lists!$F$13), 0, 1))</f>
        <v>0</v>
      </c>
      <c r="Z35" s="105">
        <f>IF(OR($C35="", AND(NOT(K35=Lists!$F$11), NOT(K35=Lists!$F$13))),0,IF(ISBLANK(L35)=FALSE,0,1))</f>
        <v>0</v>
      </c>
      <c r="AA35" s="105">
        <f>IF(OR(ISBLANK(N35), N35=0), 0, IF(OR(M35=Lists!$F$11, M35=Lists!$F$13), 0, 1))</f>
        <v>0</v>
      </c>
      <c r="AB35" s="105">
        <f>IF(OR($C35="", AND(NOT(M35=Lists!$F$11), NOT(M35=Lists!$F$13))),0,IF(ISBLANK(N35)=FALSE,0,1))</f>
        <v>0</v>
      </c>
      <c r="AC35" s="105">
        <f>IF(OR(ISBLANK(P35), P35=0), 0, IF(OR(O35=Lists!$F$11, O35=Lists!$F$13), 0, 1))</f>
        <v>0</v>
      </c>
      <c r="AD35" s="105">
        <f>IF(OR($C35="", AND(NOT(O35=Lists!$F$11), NOT(O35=Lists!$F$13))),0,IF(ISBLANK(P35)=FALSE,0,1))</f>
        <v>0</v>
      </c>
      <c r="AE35" s="133"/>
      <c r="AF35" s="550">
        <f xml:space="preserve"> IF(OR( AND( K35 = Lists!$F$11, '3A'!L35 &lt; 0), AND( '3A'!M35 = Lists!$F$11, '3A'!N35 &lt; 0), AND( '3A'!O35 = Lists!$F$11, '3A'!P35 &lt; 0)), 1, 0)</f>
        <v>0</v>
      </c>
      <c r="AG35" s="550">
        <f xml:space="preserve"> IF( OR( AND( K35 = Lists!$F$13, '3A'!L35 &gt; 0), AND( M35 = Lists!$F$13, '3A'!N35 &gt; 0), AND( O35 = Lists!$F$13, '3A'!P35 &gt; 0 )), 1, 0)</f>
        <v>0</v>
      </c>
      <c r="AH35" s="551"/>
      <c r="AI35" s="742" t="e">
        <f>IF($P$1="Select company","",IF((HLOOKUP(((VLOOKUP($P$1,Lists!$B$4:$C$22,2,FALSE))&amp;'PC LIST'!$J$2),'PC list edited'!$A$2:$DT$65,(B35+1),FALSE))=0,"",HLOOKUP(((VLOOKUP($P$1,Lists!$B$4:$C$22,2,FALSE))&amp; 'PC LIST'!$J$2),'PC list edited'!$A$2:$DT$65,(B35+1),FALSE)))</f>
        <v>#N/A</v>
      </c>
    </row>
    <row r="36" spans="1:35" s="88" customFormat="1" ht="30" customHeight="1" x14ac:dyDescent="0.2">
      <c r="A36" s="87"/>
      <c r="B36" s="297">
        <f t="shared" si="3"/>
        <v>32</v>
      </c>
      <c r="C36" s="538" t="str">
        <f>IF($P$1="Select company","",IF((HLOOKUP((VLOOKUP($P$1,Lists!$B$4:$C$22,2,FALSE)),'PC list edited'!$A$2:$DV$65,(B36+1),FALSE))=0,"",HLOOKUP((VLOOKUP($P$1,Lists!$B$4:$C$22,2,FALSE)),'PC list edited'!$A$2:$DV$65,(B36+1),FALSE)))</f>
        <v>PR14YKYHHR_RB3</v>
      </c>
      <c r="D36" s="853" t="str">
        <f>IF($P$1="Select company","",IF(C36 ="","",HLOOKUP(((VLOOKUP($P$1,Lists!$B$4:$C$22,2,FALSE))&amp;"PC"),'PC list edited'!$A$2:$DV$65,(B36+1),FALSE)))</f>
        <v>RB3: Value for money (CCWater annual tracking survey)</v>
      </c>
      <c r="E36" s="320" t="str">
        <f>IF($P$1="Select company","",IF(C36 ="","",HLOOKUP(((VLOOKUP($P$1,Lists!$B$4:$C$22,2,FALSE))&amp;"unit"),'PC list edited'!$A$2:$DV$65,(B36+1),FALSE)))</f>
        <v>%</v>
      </c>
      <c r="F36" s="320" t="str">
        <f>IF($P$1="Select company","",IF(C36 ="","",HLOOKUP(((VLOOKUP($P$1,Lists!$B$4:$C$22,2,FALSE))&amp;"UnitDes"),'PC list edited'!$A$2:$DV$65,(B36+1),FALSE)))</f>
        <v>% customer satisfaction (CCWater tracking survey)</v>
      </c>
      <c r="G36" s="320">
        <f>IF($P$1="Select company","",IF(C36="","",HLOOKUP(((VLOOKUP($P$1,Lists!$B$4:$C$22,2,FALSE))&amp;"DP"),'PC list edited'!$A$2:$DV$65,(B36+1),FALSE)))</f>
        <v>0</v>
      </c>
      <c r="H36" s="320" t="str">
        <f>IF($P$1="Select company","",IF(C36 = "","",HLOOKUP(((VLOOKUP($P$1,Lists!$B$4:$C$22,2,FALSE))&amp;"201516Actual"),'PC list edited'!$A$2:$DV$65,(B36+1),FALSE)))</f>
        <v xml:space="preserve">82% (Water)
83% (Waste) </v>
      </c>
      <c r="I36" s="586" t="s">
        <v>615</v>
      </c>
      <c r="J36" s="740" t="s">
        <v>609</v>
      </c>
      <c r="K36" s="542"/>
      <c r="L36" s="543"/>
      <c r="M36" s="542"/>
      <c r="N36" s="543"/>
      <c r="O36" s="542"/>
      <c r="P36" s="544"/>
      <c r="Q36" s="137"/>
      <c r="R36" s="548">
        <f t="shared" si="4"/>
        <v>0</v>
      </c>
      <c r="S36" s="28">
        <f t="shared" si="1"/>
        <v>0</v>
      </c>
      <c r="T36" s="129"/>
      <c r="U36" s="133"/>
      <c r="V36" s="105">
        <f t="shared" si="2"/>
        <v>0</v>
      </c>
      <c r="W36" s="105">
        <f>IF($C36="",0,IF(ISBLANK(#REF!)=FALSE,0,1))</f>
        <v>0</v>
      </c>
      <c r="X36" s="105">
        <f t="shared" si="0"/>
        <v>0</v>
      </c>
      <c r="Y36" s="105">
        <f>IF(OR(ISBLANK(L36), L36=0), 0, IF(OR(K36=Lists!$F$11, K36=Lists!$F$13), 0, 1))</f>
        <v>0</v>
      </c>
      <c r="Z36" s="105">
        <f>IF(OR($C36="", AND(NOT(K36=Lists!$F$11), NOT(K36=Lists!$F$13))),0,IF(ISBLANK(L36)=FALSE,0,1))</f>
        <v>0</v>
      </c>
      <c r="AA36" s="105">
        <f>IF(OR(ISBLANK(N36), N36=0), 0, IF(OR(M36=Lists!$F$11, M36=Lists!$F$13), 0, 1))</f>
        <v>0</v>
      </c>
      <c r="AB36" s="105">
        <f>IF(OR($C36="", AND(NOT(M36=Lists!$F$11), NOT(M36=Lists!$F$13))),0,IF(ISBLANK(N36)=FALSE,0,1))</f>
        <v>0</v>
      </c>
      <c r="AC36" s="105">
        <f>IF(OR(ISBLANK(P36), P36=0), 0, IF(OR(O36=Lists!$F$11, O36=Lists!$F$13), 0, 1))</f>
        <v>0</v>
      </c>
      <c r="AD36" s="105">
        <f>IF(OR($C36="", AND(NOT(O36=Lists!$F$11), NOT(O36=Lists!$F$13))),0,IF(ISBLANK(P36)=FALSE,0,1))</f>
        <v>0</v>
      </c>
      <c r="AE36" s="133"/>
      <c r="AF36" s="550">
        <f xml:space="preserve"> IF(OR( AND( K36 = Lists!$F$11, '3A'!L36 &lt; 0), AND( '3A'!M36 = Lists!$F$11, '3A'!N36 &lt; 0), AND( '3A'!O36 = Lists!$F$11, '3A'!P36 &lt; 0)), 1, 0)</f>
        <v>0</v>
      </c>
      <c r="AG36" s="550">
        <f xml:space="preserve"> IF( OR( AND( K36 = Lists!$F$13, '3A'!L36 &gt; 0), AND( M36 = Lists!$F$13, '3A'!N36 &gt; 0), AND( O36 = Lists!$F$13, '3A'!P36 &gt; 0 )), 1, 0)</f>
        <v>0</v>
      </c>
      <c r="AH36" s="551"/>
      <c r="AI36" s="742" t="e">
        <f>IF($P$1="Select company","",IF((HLOOKUP(((VLOOKUP($P$1,Lists!$B$4:$C$22,2,FALSE))&amp;'PC LIST'!$J$2),'PC list edited'!$A$2:$DT$65,(B36+1),FALSE))=0,"",HLOOKUP(((VLOOKUP($P$1,Lists!$B$4:$C$22,2,FALSE))&amp; 'PC LIST'!$J$2),'PC list edited'!$A$2:$DT$65,(B36+1),FALSE)))</f>
        <v>#N/A</v>
      </c>
    </row>
    <row r="37" spans="1:35" s="88" customFormat="1" ht="30" customHeight="1" x14ac:dyDescent="0.2">
      <c r="A37" s="87"/>
      <c r="B37" s="297">
        <f t="shared" si="3"/>
        <v>33</v>
      </c>
      <c r="C37" s="538" t="str">
        <f>IF($P$1="Select company","",IF((HLOOKUP((VLOOKUP($P$1,Lists!$B$4:$C$22,2,FALSE)),'PC list edited'!$A$2:$DV$65,(B37+1),FALSE))=0,"",HLOOKUP((VLOOKUP($P$1,Lists!$B$4:$C$22,2,FALSE)),'PC list edited'!$A$2:$DV$65,(B37+1),FALSE)))</f>
        <v>PR14YKYHHR_RC1</v>
      </c>
      <c r="D37" s="853" t="str">
        <f>IF($P$1="Select company","",IF(C37 ="","",HLOOKUP(((VLOOKUP($P$1,Lists!$B$4:$C$22,2,FALSE))&amp;"PC"),'PC list edited'!$A$2:$DV$65,(B37+1),FALSE)))</f>
        <v>RC1: Proportion of energy use generated by renewable technology (note: PC is part of a total commitment at Appointee level - see also WD1 and SC1)</v>
      </c>
      <c r="E37" s="320" t="str">
        <f>IF($P$1="Select company","",IF(C37 ="","",HLOOKUP(((VLOOKUP($P$1,Lists!$B$4:$C$22,2,FALSE))&amp;"unit"),'PC list edited'!$A$2:$DV$65,(B37+1),FALSE)))</f>
        <v>%</v>
      </c>
      <c r="F37" s="320" t="str">
        <f>IF($P$1="Select company","",IF(C37 ="","",HLOOKUP(((VLOOKUP($P$1,Lists!$B$4:$C$22,2,FALSE))&amp;"UnitDes"),'PC list edited'!$A$2:$DV$65,(B37+1),FALSE)))</f>
        <v>% of energy use generated by renewable technology</v>
      </c>
      <c r="G37" s="320">
        <f>IF($P$1="Select company","",IF(C37="","",HLOOKUP(((VLOOKUP($P$1,Lists!$B$4:$C$22,2,FALSE))&amp;"DP"),'PC list edited'!$A$2:$DV$65,(B37+1),FALSE)))</f>
        <v>0</v>
      </c>
      <c r="H37" s="320">
        <f>IF($P$1="Select company","",IF(C37 = "","",HLOOKUP(((VLOOKUP($P$1,Lists!$B$4:$C$22,2,FALSE))&amp;"201516Actual"),'PC list edited'!$A$2:$DV$65,(B37+1),FALSE)))</f>
        <v>11.257999999999999</v>
      </c>
      <c r="I37" s="586">
        <v>10</v>
      </c>
      <c r="J37" s="740" t="s">
        <v>606</v>
      </c>
      <c r="K37" s="542"/>
      <c r="L37" s="543"/>
      <c r="M37" s="542"/>
      <c r="N37" s="543"/>
      <c r="O37" s="542"/>
      <c r="P37" s="544"/>
      <c r="Q37" s="137"/>
      <c r="R37" s="548">
        <f t="shared" si="4"/>
        <v>0</v>
      </c>
      <c r="S37" s="28">
        <f t="shared" ref="S37:S59" si="5" xml:space="preserve"> IF( SUM( U37:AE37 ) = 0, 0, $V$3 )</f>
        <v>0</v>
      </c>
      <c r="T37" s="129"/>
      <c r="U37" s="133"/>
      <c r="V37" s="105">
        <f t="shared" ref="V37:V59" si="6">IF($C37="",0,IF(ISBLANK(I37)=FALSE,0,1))</f>
        <v>0</v>
      </c>
      <c r="W37" s="105">
        <f>IF($C37="",0,IF(ISBLANK(#REF!)=FALSE,0,1))</f>
        <v>0</v>
      </c>
      <c r="X37" s="105">
        <f t="shared" si="0"/>
        <v>0</v>
      </c>
      <c r="Y37" s="105">
        <f>IF(OR(ISBLANK(L37), L37=0), 0, IF(OR(K37=Lists!$F$11, K37=Lists!$F$13), 0, 1))</f>
        <v>0</v>
      </c>
      <c r="Z37" s="105">
        <f>IF(OR($C37="", AND(NOT(K37=Lists!$F$11), NOT(K37=Lists!$F$13))),0,IF(ISBLANK(L37)=FALSE,0,1))</f>
        <v>0</v>
      </c>
      <c r="AA37" s="105">
        <f>IF(OR(ISBLANK(N37), N37=0), 0, IF(OR(M37=Lists!$F$11, M37=Lists!$F$13), 0, 1))</f>
        <v>0</v>
      </c>
      <c r="AB37" s="105">
        <f>IF(OR($C37="", AND(NOT(M37=Lists!$F$11), NOT(M37=Lists!$F$13))),0,IF(ISBLANK(N37)=FALSE,0,1))</f>
        <v>0</v>
      </c>
      <c r="AC37" s="105">
        <f>IF(OR(ISBLANK(P37), P37=0), 0, IF(OR(O37=Lists!$F$11, O37=Lists!$F$13), 0, 1))</f>
        <v>0</v>
      </c>
      <c r="AD37" s="105">
        <f>IF(OR($C37="", AND(NOT(O37=Lists!$F$11), NOT(O37=Lists!$F$13))),0,IF(ISBLANK(P37)=FALSE,0,1))</f>
        <v>0</v>
      </c>
      <c r="AE37" s="133"/>
      <c r="AF37" s="550">
        <f xml:space="preserve"> IF(OR( AND( K37 = Lists!$F$11, '3A'!L37 &lt; 0), AND( '3A'!M37 = Lists!$F$11, '3A'!N37 &lt; 0), AND( '3A'!O37 = Lists!$F$11, '3A'!P37 &lt; 0)), 1, 0)</f>
        <v>0</v>
      </c>
      <c r="AG37" s="550">
        <f xml:space="preserve"> IF( OR( AND( K37 = Lists!$F$13, '3A'!L37 &gt; 0), AND( M37 = Lists!$F$13, '3A'!N37 &gt; 0), AND( O37 = Lists!$F$13, '3A'!P37 &gt; 0 )), 1, 0)</f>
        <v>0</v>
      </c>
      <c r="AH37" s="551"/>
      <c r="AI37" s="742" t="e">
        <f>IF($P$1="Select company","",IF((HLOOKUP(((VLOOKUP($P$1,Lists!$B$4:$C$22,2,FALSE))&amp;'PC LIST'!$J$2),'PC list edited'!$A$2:$DT$65,(B37+1),FALSE))=0,"",HLOOKUP(((VLOOKUP($P$1,Lists!$B$4:$C$22,2,FALSE))&amp; 'PC LIST'!$J$2),'PC list edited'!$A$2:$DT$65,(B37+1),FALSE)))</f>
        <v>#N/A</v>
      </c>
    </row>
    <row r="38" spans="1:35" s="88" customFormat="1" ht="30" customHeight="1" x14ac:dyDescent="0.2">
      <c r="A38" s="87"/>
      <c r="B38" s="297">
        <f t="shared" si="3"/>
        <v>34</v>
      </c>
      <c r="C38" s="538" t="str">
        <f>IF($P$1="Select company","",IF((HLOOKUP((VLOOKUP($P$1,Lists!$B$4:$C$22,2,FALSE)),'PC list edited'!$A$2:$DV$65,(B38+1),FALSE))=0,"",HLOOKUP((VLOOKUP($P$1,Lists!$B$4:$C$22,2,FALSE)),'PC list edited'!$A$2:$DV$65,(B38+1),FALSE)))</f>
        <v>PR14YKYHHR_RC2</v>
      </c>
      <c r="D38" s="853" t="str">
        <f>IF($P$1="Select company","",IF(C38 ="","",HLOOKUP(((VLOOKUP($P$1,Lists!$B$4:$C$22,2,FALSE))&amp;"PC"),'PC list edited'!$A$2:$DV$65,(B38+1),FALSE)))</f>
        <v>RC2: Proportion of waste diverted from landfill (re-used and recycled) (note: PC is part of a total commitment at Appointee level - see also WD2 and SC2)</v>
      </c>
      <c r="E38" s="320" t="str">
        <f>IF($P$1="Select company","",IF(C38 ="","",HLOOKUP(((VLOOKUP($P$1,Lists!$B$4:$C$22,2,FALSE))&amp;"unit"),'PC list edited'!$A$2:$DV$65,(B38+1),FALSE)))</f>
        <v>%</v>
      </c>
      <c r="F38" s="320" t="str">
        <f>IF($P$1="Select company","",IF(C38 ="","",HLOOKUP(((VLOOKUP($P$1,Lists!$B$4:$C$22,2,FALSE))&amp;"UnitDes"),'PC list edited'!$A$2:$DV$65,(B38+1),FALSE)))</f>
        <v>% of waste diverted from landfill (re-used and recycled)</v>
      </c>
      <c r="G38" s="320">
        <f>IF($P$1="Select company","",IF(C38="","",HLOOKUP(((VLOOKUP($P$1,Lists!$B$4:$C$22,2,FALSE))&amp;"DP"),'PC list edited'!$A$2:$DV$65,(B38+1),FALSE)))</f>
        <v>0</v>
      </c>
      <c r="H38" s="320">
        <f>IF($P$1="Select company","",IF(C38 = "","",HLOOKUP(((VLOOKUP($P$1,Lists!$B$4:$C$22,2,FALSE))&amp;"201516Actual"),'PC list edited'!$A$2:$DV$65,(B38+1),FALSE)))</f>
        <v>98.91</v>
      </c>
      <c r="I38" s="586">
        <v>99</v>
      </c>
      <c r="J38" s="740" t="s">
        <v>605</v>
      </c>
      <c r="K38" s="542"/>
      <c r="L38" s="543"/>
      <c r="M38" s="542"/>
      <c r="N38" s="543"/>
      <c r="O38" s="542"/>
      <c r="P38" s="544"/>
      <c r="Q38" s="137"/>
      <c r="R38" s="548">
        <f t="shared" si="4"/>
        <v>0</v>
      </c>
      <c r="S38" s="28">
        <f t="shared" si="5"/>
        <v>0</v>
      </c>
      <c r="T38" s="129"/>
      <c r="U38" s="133"/>
      <c r="V38" s="105">
        <f t="shared" si="6"/>
        <v>0</v>
      </c>
      <c r="W38" s="105">
        <f>IF($C38="",0,IF(ISBLANK(#REF!)=FALSE,0,1))</f>
        <v>0</v>
      </c>
      <c r="X38" s="105">
        <f t="shared" si="0"/>
        <v>0</v>
      </c>
      <c r="Y38" s="105">
        <f>IF(OR(ISBLANK(L38), L38=0), 0, IF(OR(K38=Lists!$F$11, K38=Lists!$F$13), 0, 1))</f>
        <v>0</v>
      </c>
      <c r="Z38" s="105">
        <f>IF(OR($C38="", AND(NOT(K38=Lists!$F$11), NOT(K38=Lists!$F$13))),0,IF(ISBLANK(L38)=FALSE,0,1))</f>
        <v>0</v>
      </c>
      <c r="AA38" s="105">
        <f>IF(OR(ISBLANK(N38), N38=0), 0, IF(OR(M38=Lists!$F$11, M38=Lists!$F$13), 0, 1))</f>
        <v>0</v>
      </c>
      <c r="AB38" s="105">
        <f>IF(OR($C38="", AND(NOT(M38=Lists!$F$11), NOT(M38=Lists!$F$13))),0,IF(ISBLANK(N38)=FALSE,0,1))</f>
        <v>0</v>
      </c>
      <c r="AC38" s="105">
        <f>IF(OR(ISBLANK(P38), P38=0), 0, IF(OR(O38=Lists!$F$11, O38=Lists!$F$13), 0, 1))</f>
        <v>0</v>
      </c>
      <c r="AD38" s="105">
        <f>IF(OR($C38="", AND(NOT(O38=Lists!$F$11), NOT(O38=Lists!$F$13))),0,IF(ISBLANK(P38)=FALSE,0,1))</f>
        <v>0</v>
      </c>
      <c r="AE38" s="133"/>
      <c r="AF38" s="550">
        <f xml:space="preserve"> IF(OR( AND( K38 = Lists!$F$11, '3A'!L38 &lt; 0), AND( '3A'!M38 = Lists!$F$11, '3A'!N38 &lt; 0), AND( '3A'!O38 = Lists!$F$11, '3A'!P38 &lt; 0)), 1, 0)</f>
        <v>0</v>
      </c>
      <c r="AG38" s="550">
        <f xml:space="preserve"> IF( OR( AND( K38 = Lists!$F$13, '3A'!L38 &gt; 0), AND( M38 = Lists!$F$13, '3A'!N38 &gt; 0), AND( O38 = Lists!$F$13, '3A'!P38 &gt; 0 )), 1, 0)</f>
        <v>0</v>
      </c>
      <c r="AH38" s="551"/>
      <c r="AI38" s="742" t="e">
        <f>IF($P$1="Select company","",IF((HLOOKUP(((VLOOKUP($P$1,Lists!$B$4:$C$22,2,FALSE))&amp;'PC LIST'!$J$2),'PC list edited'!$A$2:$DT$65,(B38+1),FALSE))=0,"",HLOOKUP(((VLOOKUP($P$1,Lists!$B$4:$C$22,2,FALSE))&amp; 'PC LIST'!$J$2),'PC list edited'!$A$2:$DT$65,(B38+1),FALSE)))</f>
        <v>#N/A</v>
      </c>
    </row>
    <row r="39" spans="1:35" s="88" customFormat="1" ht="30" customHeight="1" x14ac:dyDescent="0.2">
      <c r="A39" s="87"/>
      <c r="B39" s="297">
        <f t="shared" si="3"/>
        <v>35</v>
      </c>
      <c r="C39" s="538" t="str">
        <f>IF($P$1="Select company","",IF((HLOOKUP((VLOOKUP($P$1,Lists!$B$4:$C$22,2,FALSE)),'PC list edited'!$A$2:$DV$65,(B39+1),FALSE))=0,"",HLOOKUP((VLOOKUP($P$1,Lists!$B$4:$C$22,2,FALSE)),'PC list edited'!$A$2:$DV$65,(B39+1),FALSE)))</f>
        <v/>
      </c>
      <c r="D39" s="853" t="str">
        <f>IF($P$1="Select company","",IF(C39 ="","",HLOOKUP(((VLOOKUP($P$1,Lists!$B$4:$C$22,2,FALSE))&amp;"PC"),'PC list edited'!$A$2:$DV$65,(B39+1),FALSE)))</f>
        <v/>
      </c>
      <c r="E39" s="320" t="str">
        <f>IF($P$1="Select company","",IF(C39 ="","",HLOOKUP(((VLOOKUP($P$1,Lists!$B$4:$C$22,2,FALSE))&amp;"unit"),'PC list edited'!$A$2:$DV$65,(B39+1),FALSE)))</f>
        <v/>
      </c>
      <c r="F39" s="320" t="str">
        <f>IF($P$1="Select company","",IF(C39 ="","",HLOOKUP(((VLOOKUP($P$1,Lists!$B$4:$C$22,2,FALSE))&amp;"UnitDes"),'PC list edited'!$A$2:$DV$65,(B39+1),FALSE)))</f>
        <v/>
      </c>
      <c r="G39" s="320" t="str">
        <f>IF($P$1="Select company","",IF(C39="","",HLOOKUP(((VLOOKUP($P$1,Lists!$B$4:$C$22,2,FALSE))&amp;"DP"),'PC list edited'!$A$2:$DV$65,(B39+1),FALSE)))</f>
        <v/>
      </c>
      <c r="H39" s="320" t="str">
        <f>IF($P$1="Select company","",IF(C39 = "","",HLOOKUP(((VLOOKUP($P$1,Lists!$B$4:$C$22,2,FALSE))&amp;"201516Actual"),'PC list edited'!$A$2:$DV$65,(B39+1),FALSE)))</f>
        <v/>
      </c>
      <c r="I39" s="586"/>
      <c r="J39" s="740"/>
      <c r="K39" s="542"/>
      <c r="L39" s="543"/>
      <c r="M39" s="542"/>
      <c r="N39" s="543"/>
      <c r="O39" s="542"/>
      <c r="P39" s="544"/>
      <c r="Q39" s="137"/>
      <c r="R39" s="548">
        <f t="shared" si="4"/>
        <v>0</v>
      </c>
      <c r="S39" s="28">
        <f t="shared" si="5"/>
        <v>0</v>
      </c>
      <c r="T39" s="129"/>
      <c r="U39" s="133"/>
      <c r="V39" s="105">
        <f t="shared" si="6"/>
        <v>0</v>
      </c>
      <c r="W39" s="105">
        <f>IF($C39="",0,IF(ISBLANK(#REF!)=FALSE,0,1))</f>
        <v>0</v>
      </c>
      <c r="X39" s="105">
        <f t="shared" si="0"/>
        <v>0</v>
      </c>
      <c r="Y39" s="105">
        <f>IF(OR(ISBLANK(L39), L39=0), 0, IF(OR(K39=Lists!$F$11, K39=Lists!$F$13), 0, 1))</f>
        <v>0</v>
      </c>
      <c r="Z39" s="105">
        <f>IF(OR($C39="", AND(NOT(K39=Lists!$F$11), NOT(K39=Lists!$F$13))),0,IF(ISBLANK(L39)=FALSE,0,1))</f>
        <v>0</v>
      </c>
      <c r="AA39" s="105">
        <f>IF(OR(ISBLANK(N39), N39=0), 0, IF(OR(M39=Lists!$F$11, M39=Lists!$F$13), 0, 1))</f>
        <v>0</v>
      </c>
      <c r="AB39" s="105">
        <f>IF(OR($C39="", AND(NOT(M39=Lists!$F$11), NOT(M39=Lists!$F$13))),0,IF(ISBLANK(N39)=FALSE,0,1))</f>
        <v>0</v>
      </c>
      <c r="AC39" s="105">
        <f>IF(OR(ISBLANK(P39), P39=0), 0, IF(OR(O39=Lists!$F$11, O39=Lists!$F$13), 0, 1))</f>
        <v>0</v>
      </c>
      <c r="AD39" s="105">
        <f>IF(OR($C39="", AND(NOT(O39=Lists!$F$11), NOT(O39=Lists!$F$13))),0,IF(ISBLANK(P39)=FALSE,0,1))</f>
        <v>0</v>
      </c>
      <c r="AE39" s="133"/>
      <c r="AF39" s="550">
        <f xml:space="preserve"> IF(OR( AND( K39 = Lists!$F$11, '3A'!L39 &lt; 0), AND( '3A'!M39 = Lists!$F$11, '3A'!N39 &lt; 0), AND( '3A'!O39 = Lists!$F$11, '3A'!P39 &lt; 0)), 1, 0)</f>
        <v>0</v>
      </c>
      <c r="AG39" s="550">
        <f xml:space="preserve"> IF( OR( AND( K39 = Lists!$F$13, '3A'!L39 &gt; 0), AND( M39 = Lists!$F$13, '3A'!N39 &gt; 0), AND( O39 = Lists!$F$13, '3A'!P39 &gt; 0 )), 1, 0)</f>
        <v>0</v>
      </c>
      <c r="AH39" s="551"/>
      <c r="AI39" s="742" t="e">
        <f>IF($P$1="Select company","",IF((HLOOKUP(((VLOOKUP($P$1,Lists!$B$4:$C$22,2,FALSE))&amp;'PC LIST'!$J$2),'PC list edited'!$A$2:$DT$65,(B39+1),FALSE))=0,"",HLOOKUP(((VLOOKUP($P$1,Lists!$B$4:$C$22,2,FALSE))&amp; 'PC LIST'!$J$2),'PC list edited'!$A$2:$DT$65,(B39+1),FALSE)))</f>
        <v>#N/A</v>
      </c>
    </row>
    <row r="40" spans="1:35" s="88" customFormat="1" ht="30" customHeight="1" x14ac:dyDescent="0.2">
      <c r="A40" s="87"/>
      <c r="B40" s="297">
        <f t="shared" si="3"/>
        <v>36</v>
      </c>
      <c r="C40" s="538" t="str">
        <f>IF($P$1="Select company","",IF((HLOOKUP((VLOOKUP($P$1,Lists!$B$4:$C$22,2,FALSE)),'PC list edited'!$A$2:$DV$65,(B40+1),FALSE))=0,"",HLOOKUP((VLOOKUP($P$1,Lists!$B$4:$C$22,2,FALSE)),'PC list edited'!$A$2:$DV$65,(B40+1),FALSE)))</f>
        <v/>
      </c>
      <c r="D40" s="853" t="str">
        <f>IF($P$1="Select company","",IF(C40 ="","",HLOOKUP(((VLOOKUP($P$1,Lists!$B$4:$C$22,2,FALSE))&amp;"PC"),'PC list edited'!$A$2:$DV$65,(B40+1),FALSE)))</f>
        <v/>
      </c>
      <c r="E40" s="320" t="str">
        <f>IF($P$1="Select company","",IF(C40 ="","",HLOOKUP(((VLOOKUP($P$1,Lists!$B$4:$C$22,2,FALSE))&amp;"unit"),'PC list edited'!$A$2:$DV$65,(B40+1),FALSE)))</f>
        <v/>
      </c>
      <c r="F40" s="320" t="str">
        <f>IF($P$1="Select company","",IF(C40 ="","",HLOOKUP(((VLOOKUP($P$1,Lists!$B$4:$C$22,2,FALSE))&amp;"UnitDes"),'PC list edited'!$A$2:$DV$65,(B40+1),FALSE)))</f>
        <v/>
      </c>
      <c r="G40" s="320" t="str">
        <f>IF($P$1="Select company","",IF(C40="","",HLOOKUP(((VLOOKUP($P$1,Lists!$B$4:$C$22,2,FALSE))&amp;"DP"),'PC list edited'!$A$2:$DV$65,(B40+1),FALSE)))</f>
        <v/>
      </c>
      <c r="H40" s="320" t="str">
        <f>IF($P$1="Select company","",IF(C40 = "","",HLOOKUP(((VLOOKUP($P$1,Lists!$B$4:$C$22,2,FALSE))&amp;"201516Actual"),'PC list edited'!$A$2:$DV$65,(B40+1),FALSE)))</f>
        <v/>
      </c>
      <c r="I40" s="586"/>
      <c r="J40" s="740"/>
      <c r="K40" s="542"/>
      <c r="L40" s="543"/>
      <c r="M40" s="542"/>
      <c r="N40" s="543"/>
      <c r="O40" s="542"/>
      <c r="P40" s="544"/>
      <c r="Q40" s="137"/>
      <c r="R40" s="548">
        <f t="shared" si="4"/>
        <v>0</v>
      </c>
      <c r="S40" s="28">
        <f t="shared" si="5"/>
        <v>0</v>
      </c>
      <c r="T40" s="129"/>
      <c r="U40" s="133"/>
      <c r="V40" s="105">
        <f t="shared" si="6"/>
        <v>0</v>
      </c>
      <c r="W40" s="105">
        <f>IF($C40="",0,IF(ISBLANK(#REF!)=FALSE,0,1))</f>
        <v>0</v>
      </c>
      <c r="X40" s="105">
        <f t="shared" si="0"/>
        <v>0</v>
      </c>
      <c r="Y40" s="105">
        <f>IF(OR(ISBLANK(L40), L40=0), 0, IF(OR(K40=Lists!$F$11, K40=Lists!$F$13), 0, 1))</f>
        <v>0</v>
      </c>
      <c r="Z40" s="105">
        <f>IF(OR($C40="", AND(NOT(K40=Lists!$F$11), NOT(K40=Lists!$F$13))),0,IF(ISBLANK(L40)=FALSE,0,1))</f>
        <v>0</v>
      </c>
      <c r="AA40" s="105">
        <f>IF(OR(ISBLANK(N40), N40=0), 0, IF(OR(M40=Lists!$F$11, M40=Lists!$F$13), 0, 1))</f>
        <v>0</v>
      </c>
      <c r="AB40" s="105">
        <f>IF(OR($C40="", AND(NOT(M40=Lists!$F$11), NOT(M40=Lists!$F$13))),0,IF(ISBLANK(N40)=FALSE,0,1))</f>
        <v>0</v>
      </c>
      <c r="AC40" s="105">
        <f>IF(OR(ISBLANK(P40), P40=0), 0, IF(OR(O40=Lists!$F$11, O40=Lists!$F$13), 0, 1))</f>
        <v>0</v>
      </c>
      <c r="AD40" s="105">
        <f>IF(OR($C40="", AND(NOT(O40=Lists!$F$11), NOT(O40=Lists!$F$13))),0,IF(ISBLANK(P40)=FALSE,0,1))</f>
        <v>0</v>
      </c>
      <c r="AE40" s="133"/>
      <c r="AF40" s="550">
        <f xml:space="preserve"> IF(OR( AND( K40 = Lists!$F$11, '3A'!L40 &lt; 0), AND( '3A'!M40 = Lists!$F$11, '3A'!N40 &lt; 0), AND( '3A'!O40 = Lists!$F$11, '3A'!P40 &lt; 0)), 1, 0)</f>
        <v>0</v>
      </c>
      <c r="AG40" s="550">
        <f xml:space="preserve"> IF( OR( AND( K40 = Lists!$F$13, '3A'!L40 &gt; 0), AND( M40 = Lists!$F$13, '3A'!N40 &gt; 0), AND( O40 = Lists!$F$13, '3A'!P40 &gt; 0 )), 1, 0)</f>
        <v>0</v>
      </c>
      <c r="AH40" s="551"/>
      <c r="AI40" s="742" t="e">
        <f>IF($P$1="Select company","",IF((HLOOKUP(((VLOOKUP($P$1,Lists!$B$4:$C$22,2,FALSE))&amp;'PC LIST'!$J$2),'PC list edited'!$A$2:$DT$65,(B40+1),FALSE))=0,"",HLOOKUP(((VLOOKUP($P$1,Lists!$B$4:$C$22,2,FALSE))&amp; 'PC LIST'!$J$2),'PC list edited'!$A$2:$DT$65,(B40+1),FALSE)))</f>
        <v>#N/A</v>
      </c>
    </row>
    <row r="41" spans="1:35" s="88" customFormat="1" ht="30" customHeight="1" x14ac:dyDescent="0.2">
      <c r="A41" s="87"/>
      <c r="B41" s="297">
        <f t="shared" si="3"/>
        <v>37</v>
      </c>
      <c r="C41" s="538" t="str">
        <f>IF($P$1="Select company","",IF((HLOOKUP((VLOOKUP($P$1,Lists!$B$4:$C$22,2,FALSE)),'PC list edited'!$A$2:$DV$65,(B41+1),FALSE))=0,"",HLOOKUP((VLOOKUP($P$1,Lists!$B$4:$C$22,2,FALSE)),'PC list edited'!$A$2:$DV$65,(B41+1),FALSE)))</f>
        <v/>
      </c>
      <c r="D41" s="853" t="str">
        <f>IF($P$1="Select company","",IF(C41 ="","",HLOOKUP(((VLOOKUP($P$1,Lists!$B$4:$C$22,2,FALSE))&amp;"PC"),'PC list edited'!$A$2:$DV$65,(B41+1),FALSE)))</f>
        <v/>
      </c>
      <c r="E41" s="320" t="str">
        <f>IF($P$1="Select company","",IF(C41 ="","",HLOOKUP(((VLOOKUP($P$1,Lists!$B$4:$C$22,2,FALSE))&amp;"unit"),'PC list edited'!$A$2:$DV$65,(B41+1),FALSE)))</f>
        <v/>
      </c>
      <c r="F41" s="320" t="str">
        <f>IF($P$1="Select company","",IF(C41 ="","",HLOOKUP(((VLOOKUP($P$1,Lists!$B$4:$C$22,2,FALSE))&amp;"UnitDes"),'PC list edited'!$A$2:$DV$65,(B41+1),FALSE)))</f>
        <v/>
      </c>
      <c r="G41" s="320" t="str">
        <f>IF($P$1="Select company","",IF(C41="","",HLOOKUP(((VLOOKUP($P$1,Lists!$B$4:$C$22,2,FALSE))&amp;"DP"),'PC list edited'!$A$2:$DV$65,(B41+1),FALSE)))</f>
        <v/>
      </c>
      <c r="H41" s="320" t="str">
        <f>IF($P$1="Select company","",IF(C41 = "","",HLOOKUP(((VLOOKUP($P$1,Lists!$B$4:$C$22,2,FALSE))&amp;"201516Actual"),'PC list edited'!$A$2:$DV$65,(B41+1),FALSE)))</f>
        <v/>
      </c>
      <c r="I41" s="586"/>
      <c r="J41" s="740"/>
      <c r="K41" s="542"/>
      <c r="L41" s="543"/>
      <c r="M41" s="542"/>
      <c r="N41" s="543"/>
      <c r="O41" s="542"/>
      <c r="P41" s="544"/>
      <c r="Q41" s="137"/>
      <c r="R41" s="548">
        <f t="shared" si="4"/>
        <v>0</v>
      </c>
      <c r="S41" s="28">
        <f t="shared" si="5"/>
        <v>0</v>
      </c>
      <c r="T41" s="129"/>
      <c r="U41" s="133"/>
      <c r="V41" s="105">
        <f t="shared" si="6"/>
        <v>0</v>
      </c>
      <c r="W41" s="105">
        <f>IF($C41="",0,IF(ISBLANK(#REF!)=FALSE,0,1))</f>
        <v>0</v>
      </c>
      <c r="X41" s="105">
        <f t="shared" si="0"/>
        <v>0</v>
      </c>
      <c r="Y41" s="105">
        <f>IF(OR(ISBLANK(L41), L41=0), 0, IF(OR(K41=Lists!$F$11, K41=Lists!$F$13), 0, 1))</f>
        <v>0</v>
      </c>
      <c r="Z41" s="105">
        <f>IF(OR($C41="", AND(NOT(K41=Lists!$F$11), NOT(K41=Lists!$F$13))),0,IF(ISBLANK(L41)=FALSE,0,1))</f>
        <v>0</v>
      </c>
      <c r="AA41" s="105">
        <f>IF(OR(ISBLANK(N41), N41=0), 0, IF(OR(M41=Lists!$F$11, M41=Lists!$F$13), 0, 1))</f>
        <v>0</v>
      </c>
      <c r="AB41" s="105">
        <f>IF(OR($C41="", AND(NOT(M41=Lists!$F$11), NOT(M41=Lists!$F$13))),0,IF(ISBLANK(N41)=FALSE,0,1))</f>
        <v>0</v>
      </c>
      <c r="AC41" s="105">
        <f>IF(OR(ISBLANK(P41), P41=0), 0, IF(OR(O41=Lists!$F$11, O41=Lists!$F$13), 0, 1))</f>
        <v>0</v>
      </c>
      <c r="AD41" s="105">
        <f>IF(OR($C41="", AND(NOT(O41=Lists!$F$11), NOT(O41=Lists!$F$13))),0,IF(ISBLANK(P41)=FALSE,0,1))</f>
        <v>0</v>
      </c>
      <c r="AE41" s="133"/>
      <c r="AF41" s="550">
        <f xml:space="preserve"> IF(OR( AND( K41 = Lists!$F$11, '3A'!L41 &lt; 0), AND( '3A'!M41 = Lists!$F$11, '3A'!N41 &lt; 0), AND( '3A'!O41 = Lists!$F$11, '3A'!P41 &lt; 0)), 1, 0)</f>
        <v>0</v>
      </c>
      <c r="AG41" s="550">
        <f xml:space="preserve"> IF( OR( AND( K41 = Lists!$F$13, '3A'!L41 &gt; 0), AND( M41 = Lists!$F$13, '3A'!N41 &gt; 0), AND( O41 = Lists!$F$13, '3A'!P41 &gt; 0 )), 1, 0)</f>
        <v>0</v>
      </c>
      <c r="AH41" s="551"/>
      <c r="AI41" s="742" t="e">
        <f>IF($P$1="Select company","",IF((HLOOKUP(((VLOOKUP($P$1,Lists!$B$4:$C$22,2,FALSE))&amp;'PC LIST'!$J$2),'PC list edited'!$A$2:$DT$65,(B41+1),FALSE))=0,"",HLOOKUP(((VLOOKUP($P$1,Lists!$B$4:$C$22,2,FALSE))&amp; 'PC LIST'!$J$2),'PC list edited'!$A$2:$DT$65,(B41+1),FALSE)))</f>
        <v>#N/A</v>
      </c>
    </row>
    <row r="42" spans="1:35" s="88" customFormat="1" ht="30" customHeight="1" x14ac:dyDescent="0.2">
      <c r="A42" s="87"/>
      <c r="B42" s="297">
        <f t="shared" si="3"/>
        <v>38</v>
      </c>
      <c r="C42" s="538" t="str">
        <f>IF($P$1="Select company","",IF((HLOOKUP((VLOOKUP($P$1,Lists!$B$4:$C$22,2,FALSE)),'PC list edited'!$A$2:$DV$65,(B42+1),FALSE))=0,"",HLOOKUP((VLOOKUP($P$1,Lists!$B$4:$C$22,2,FALSE)),'PC list edited'!$A$2:$DV$65,(B42+1),FALSE)))</f>
        <v/>
      </c>
      <c r="D42" s="853" t="str">
        <f>IF($P$1="Select company","",IF(C42 ="","",HLOOKUP(((VLOOKUP($P$1,Lists!$B$4:$C$22,2,FALSE))&amp;"PC"),'PC list edited'!$A$2:$DV$65,(B42+1),FALSE)))</f>
        <v/>
      </c>
      <c r="E42" s="320" t="str">
        <f>IF($P$1="Select company","",IF(C42 ="","",HLOOKUP(((VLOOKUP($P$1,Lists!$B$4:$C$22,2,FALSE))&amp;"unit"),'PC list edited'!$A$2:$DV$65,(B42+1),FALSE)))</f>
        <v/>
      </c>
      <c r="F42" s="320" t="str">
        <f>IF($P$1="Select company","",IF(C42 ="","",HLOOKUP(((VLOOKUP($P$1,Lists!$B$4:$C$22,2,FALSE))&amp;"UnitDes"),'PC list edited'!$A$2:$DV$65,(B42+1),FALSE)))</f>
        <v/>
      </c>
      <c r="G42" s="320" t="str">
        <f>IF($P$1="Select company","",IF(C42="","",HLOOKUP(((VLOOKUP($P$1,Lists!$B$4:$C$22,2,FALSE))&amp;"DP"),'PC list edited'!$A$2:$DV$65,(B42+1),FALSE)))</f>
        <v/>
      </c>
      <c r="H42" s="320" t="str">
        <f>IF($P$1="Select company","",IF(C42 = "","",HLOOKUP(((VLOOKUP($P$1,Lists!$B$4:$C$22,2,FALSE))&amp;"201516Actual"),'PC list edited'!$A$2:$DV$65,(B42+1),FALSE)))</f>
        <v/>
      </c>
      <c r="I42" s="586"/>
      <c r="J42" s="740"/>
      <c r="K42" s="542"/>
      <c r="L42" s="543"/>
      <c r="M42" s="542"/>
      <c r="N42" s="543"/>
      <c r="O42" s="542"/>
      <c r="P42" s="544"/>
      <c r="Q42" s="137"/>
      <c r="R42" s="548">
        <f t="shared" si="4"/>
        <v>0</v>
      </c>
      <c r="S42" s="28">
        <f t="shared" si="5"/>
        <v>0</v>
      </c>
      <c r="T42" s="83"/>
      <c r="U42" s="84"/>
      <c r="V42" s="105">
        <f t="shared" si="6"/>
        <v>0</v>
      </c>
      <c r="W42" s="105">
        <f>IF($C42="",0,IF(ISBLANK(#REF!)=FALSE,0,1))</f>
        <v>0</v>
      </c>
      <c r="X42" s="105">
        <f t="shared" si="0"/>
        <v>0</v>
      </c>
      <c r="Y42" s="105">
        <f>IF(OR(ISBLANK(L42), L42=0), 0, IF(OR(K42=Lists!$F$11, K42=Lists!$F$13), 0, 1))</f>
        <v>0</v>
      </c>
      <c r="Z42" s="105">
        <f>IF(OR($C42="", AND(NOT(K42=Lists!$F$11), NOT(K42=Lists!$F$13))),0,IF(ISBLANK(L42)=FALSE,0,1))</f>
        <v>0</v>
      </c>
      <c r="AA42" s="105">
        <f>IF(OR(ISBLANK(N42), N42=0), 0, IF(OR(M42=Lists!$F$11, M42=Lists!$F$13), 0, 1))</f>
        <v>0</v>
      </c>
      <c r="AB42" s="105">
        <f>IF(OR($C42="", AND(NOT(M42=Lists!$F$11), NOT(M42=Lists!$F$13))),0,IF(ISBLANK(N42)=FALSE,0,1))</f>
        <v>0</v>
      </c>
      <c r="AC42" s="105">
        <f>IF(OR(ISBLANK(P42), P42=0), 0, IF(OR(O42=Lists!$F$11, O42=Lists!$F$13), 0, 1))</f>
        <v>0</v>
      </c>
      <c r="AD42" s="105">
        <f>IF(OR($C42="", AND(NOT(O42=Lists!$F$11), NOT(O42=Lists!$F$13))),0,IF(ISBLANK(P42)=FALSE,0,1))</f>
        <v>0</v>
      </c>
      <c r="AE42" s="84"/>
      <c r="AF42" s="550">
        <f xml:space="preserve"> IF(OR( AND( K42 = Lists!$F$11, '3A'!L42 &lt; 0), AND( '3A'!M42 = Lists!$F$11, '3A'!N42 &lt; 0), AND( '3A'!O42 = Lists!$F$11, '3A'!P42 &lt; 0)), 1, 0)</f>
        <v>0</v>
      </c>
      <c r="AG42" s="550">
        <f xml:space="preserve"> IF( OR( AND( K42 = Lists!$F$13, '3A'!L42 &gt; 0), AND( M42 = Lists!$F$13, '3A'!N42 &gt; 0), AND( O42 = Lists!$F$13, '3A'!P42 &gt; 0 )), 1, 0)</f>
        <v>0</v>
      </c>
      <c r="AH42" s="551"/>
      <c r="AI42" s="742" t="e">
        <f>IF($P$1="Select company","",IF((HLOOKUP(((VLOOKUP($P$1,Lists!$B$4:$C$22,2,FALSE))&amp;'PC LIST'!$J$2),'PC list edited'!$A$2:$DT$65,(B42+1),FALSE))=0,"",HLOOKUP(((VLOOKUP($P$1,Lists!$B$4:$C$22,2,FALSE))&amp; 'PC LIST'!$J$2),'PC list edited'!$A$2:$DT$65,(B42+1),FALSE)))</f>
        <v>#N/A</v>
      </c>
    </row>
    <row r="43" spans="1:35" s="88" customFormat="1" ht="30" customHeight="1" x14ac:dyDescent="0.2">
      <c r="A43" s="87"/>
      <c r="B43" s="297">
        <f t="shared" si="3"/>
        <v>39</v>
      </c>
      <c r="C43" s="538" t="str">
        <f>IF($P$1="Select company","",IF((HLOOKUP((VLOOKUP($P$1,Lists!$B$4:$C$22,2,FALSE)),'PC list edited'!$A$2:$DV$65,(B43+1),FALSE))=0,"",HLOOKUP((VLOOKUP($P$1,Lists!$B$4:$C$22,2,FALSE)),'PC list edited'!$A$2:$DV$65,(B43+1),FALSE)))</f>
        <v/>
      </c>
      <c r="D43" s="853" t="str">
        <f>IF($P$1="Select company","",IF(C43 ="","",HLOOKUP(((VLOOKUP($P$1,Lists!$B$4:$C$22,2,FALSE))&amp;"PC"),'PC list edited'!$A$2:$DV$65,(B43+1),FALSE)))</f>
        <v/>
      </c>
      <c r="E43" s="320" t="str">
        <f>IF($P$1="Select company","",IF(C43 ="","",HLOOKUP(((VLOOKUP($P$1,Lists!$B$4:$C$22,2,FALSE))&amp;"unit"),'PC list edited'!$A$2:$DV$65,(B43+1),FALSE)))</f>
        <v/>
      </c>
      <c r="F43" s="320" t="str">
        <f>IF($P$1="Select company","",IF(C43 ="","",HLOOKUP(((VLOOKUP($P$1,Lists!$B$4:$C$22,2,FALSE))&amp;"UnitDes"),'PC list edited'!$A$2:$DV$65,(B43+1),FALSE)))</f>
        <v/>
      </c>
      <c r="G43" s="320" t="str">
        <f>IF($P$1="Select company","",IF(C43="","",HLOOKUP(((VLOOKUP($P$1,Lists!$B$4:$C$22,2,FALSE))&amp;"DP"),'PC list edited'!$A$2:$DV$65,(B43+1),FALSE)))</f>
        <v/>
      </c>
      <c r="H43" s="320" t="str">
        <f>IF($P$1="Select company","",IF(C43 = "","",HLOOKUP(((VLOOKUP($P$1,Lists!$B$4:$C$22,2,FALSE))&amp;"201516Actual"),'PC list edited'!$A$2:$DV$65,(B43+1),FALSE)))</f>
        <v/>
      </c>
      <c r="I43" s="586"/>
      <c r="J43" s="740"/>
      <c r="K43" s="542"/>
      <c r="L43" s="543"/>
      <c r="M43" s="542"/>
      <c r="N43" s="543"/>
      <c r="O43" s="542"/>
      <c r="P43" s="544"/>
      <c r="Q43" s="137"/>
      <c r="R43" s="548">
        <f t="shared" si="4"/>
        <v>0</v>
      </c>
      <c r="S43" s="28">
        <f t="shared" si="5"/>
        <v>0</v>
      </c>
      <c r="T43" s="83"/>
      <c r="U43" s="84"/>
      <c r="V43" s="105">
        <f t="shared" si="6"/>
        <v>0</v>
      </c>
      <c r="W43" s="105">
        <f>IF($C43="",0,IF(ISBLANK(#REF!)=FALSE,0,1))</f>
        <v>0</v>
      </c>
      <c r="X43" s="105">
        <f t="shared" si="0"/>
        <v>0</v>
      </c>
      <c r="Y43" s="105">
        <f>IF(OR(ISBLANK(L43), L43=0), 0, IF(OR(K43=Lists!$F$11, K43=Lists!$F$13), 0, 1))</f>
        <v>0</v>
      </c>
      <c r="Z43" s="105">
        <f>IF(OR($C43="", AND(NOT(K43=Lists!$F$11), NOT(K43=Lists!$F$13))),0,IF(ISBLANK(L43)=FALSE,0,1))</f>
        <v>0</v>
      </c>
      <c r="AA43" s="105">
        <f>IF(OR(ISBLANK(N43), N43=0), 0, IF(OR(M43=Lists!$F$11, M43=Lists!$F$13), 0, 1))</f>
        <v>0</v>
      </c>
      <c r="AB43" s="105">
        <f>IF(OR($C43="", AND(NOT(M43=Lists!$F$11), NOT(M43=Lists!$F$13))),0,IF(ISBLANK(N43)=FALSE,0,1))</f>
        <v>0</v>
      </c>
      <c r="AC43" s="105">
        <f>IF(OR(ISBLANK(P43), P43=0), 0, IF(OR(O43=Lists!$F$11, O43=Lists!$F$13), 0, 1))</f>
        <v>0</v>
      </c>
      <c r="AD43" s="105">
        <f>IF(OR($C43="", AND(NOT(O43=Lists!$F$11), NOT(O43=Lists!$F$13))),0,IF(ISBLANK(P43)=FALSE,0,1))</f>
        <v>0</v>
      </c>
      <c r="AE43" s="84"/>
      <c r="AF43" s="550">
        <f xml:space="preserve"> IF(OR( AND( K43 = Lists!$F$11, '3A'!L43 &lt; 0), AND( '3A'!M43 = Lists!$F$11, '3A'!N43 &lt; 0), AND( '3A'!O43 = Lists!$F$11, '3A'!P43 &lt; 0)), 1, 0)</f>
        <v>0</v>
      </c>
      <c r="AG43" s="550">
        <f xml:space="preserve"> IF( OR( AND( K43 = Lists!$F$13, '3A'!L43 &gt; 0), AND( M43 = Lists!$F$13, '3A'!N43 &gt; 0), AND( O43 = Lists!$F$13, '3A'!P43 &gt; 0 )), 1, 0)</f>
        <v>0</v>
      </c>
      <c r="AH43" s="551"/>
      <c r="AI43" s="742" t="e">
        <f>IF($P$1="Select company","",IF((HLOOKUP(((VLOOKUP($P$1,Lists!$B$4:$C$22,2,FALSE))&amp;'PC LIST'!$J$2),'PC list edited'!$A$2:$DT$65,(B43+1),FALSE))=0,"",HLOOKUP(((VLOOKUP($P$1,Lists!$B$4:$C$22,2,FALSE))&amp; 'PC LIST'!$J$2),'PC list edited'!$A$2:$DT$65,(B43+1),FALSE)))</f>
        <v>#N/A</v>
      </c>
    </row>
    <row r="44" spans="1:35" s="88" customFormat="1" ht="30" customHeight="1" x14ac:dyDescent="0.2">
      <c r="A44" s="87"/>
      <c r="B44" s="297">
        <f t="shared" si="3"/>
        <v>40</v>
      </c>
      <c r="C44" s="538" t="str">
        <f>IF($P$1="Select company","",IF((HLOOKUP((VLOOKUP($P$1,Lists!$B$4:$C$22,2,FALSE)),'PC list edited'!$A$2:$DV$65,(B44+1),FALSE))=0,"",HLOOKUP((VLOOKUP($P$1,Lists!$B$4:$C$22,2,FALSE)),'PC list edited'!$A$2:$DV$65,(B44+1),FALSE)))</f>
        <v/>
      </c>
      <c r="D44" s="853" t="str">
        <f>IF($P$1="Select company","",IF(C44 ="","",HLOOKUP(((VLOOKUP($P$1,Lists!$B$4:$C$22,2,FALSE))&amp;"PC"),'PC list edited'!$A$2:$DV$65,(B44+1),FALSE)))</f>
        <v/>
      </c>
      <c r="E44" s="320" t="str">
        <f>IF($P$1="Select company","",IF(C44 ="","",HLOOKUP(((VLOOKUP($P$1,Lists!$B$4:$C$22,2,FALSE))&amp;"unit"),'PC list edited'!$A$2:$DV$65,(B44+1),FALSE)))</f>
        <v/>
      </c>
      <c r="F44" s="320" t="str">
        <f>IF($P$1="Select company","",IF(C44 ="","",HLOOKUP(((VLOOKUP($P$1,Lists!$B$4:$C$22,2,FALSE))&amp;"UnitDes"),'PC list edited'!$A$2:$DV$65,(B44+1),FALSE)))</f>
        <v/>
      </c>
      <c r="G44" s="320" t="str">
        <f>IF($P$1="Select company","",IF(C44="","",HLOOKUP(((VLOOKUP($P$1,Lists!$B$4:$C$22,2,FALSE))&amp;"DP"),'PC list edited'!$A$2:$DV$65,(B44+1),FALSE)))</f>
        <v/>
      </c>
      <c r="H44" s="320" t="str">
        <f>IF($P$1="Select company","",IF(C44 = "","",HLOOKUP(((VLOOKUP($P$1,Lists!$B$4:$C$22,2,FALSE))&amp;"201516Actual"),'PC list edited'!$A$2:$DV$65,(B44+1),FALSE)))</f>
        <v/>
      </c>
      <c r="I44" s="586"/>
      <c r="J44" s="740"/>
      <c r="K44" s="542"/>
      <c r="L44" s="543"/>
      <c r="M44" s="542"/>
      <c r="N44" s="543"/>
      <c r="O44" s="542"/>
      <c r="P44" s="544"/>
      <c r="Q44" s="137"/>
      <c r="R44" s="548">
        <f t="shared" si="4"/>
        <v>0</v>
      </c>
      <c r="S44" s="28">
        <f t="shared" si="5"/>
        <v>0</v>
      </c>
      <c r="T44" s="83"/>
      <c r="U44" s="84"/>
      <c r="V44" s="105">
        <f t="shared" si="6"/>
        <v>0</v>
      </c>
      <c r="W44" s="105">
        <f>IF($C44="",0,IF(ISBLANK(#REF!)=FALSE,0,1))</f>
        <v>0</v>
      </c>
      <c r="X44" s="105">
        <f t="shared" si="0"/>
        <v>0</v>
      </c>
      <c r="Y44" s="105">
        <f>IF(OR(ISBLANK(L44), L44=0), 0, IF(OR(K44=Lists!$F$11, K44=Lists!$F$13), 0, 1))</f>
        <v>0</v>
      </c>
      <c r="Z44" s="105">
        <f>IF(OR($C44="", AND(NOT(K44=Lists!$F$11), NOT(K44=Lists!$F$13))),0,IF(ISBLANK(L44)=FALSE,0,1))</f>
        <v>0</v>
      </c>
      <c r="AA44" s="105">
        <f>IF(OR(ISBLANK(N44), N44=0), 0, IF(OR(M44=Lists!$F$11, M44=Lists!$F$13), 0, 1))</f>
        <v>0</v>
      </c>
      <c r="AB44" s="105">
        <f>IF(OR($C44="", AND(NOT(M44=Lists!$F$11), NOT(M44=Lists!$F$13))),0,IF(ISBLANK(N44)=FALSE,0,1))</f>
        <v>0</v>
      </c>
      <c r="AC44" s="105">
        <f>IF(OR(ISBLANK(P44), P44=0), 0, IF(OR(O44=Lists!$F$11, O44=Lists!$F$13), 0, 1))</f>
        <v>0</v>
      </c>
      <c r="AD44" s="105">
        <f>IF(OR($C44="", AND(NOT(O44=Lists!$F$11), NOT(O44=Lists!$F$13))),0,IF(ISBLANK(P44)=FALSE,0,1))</f>
        <v>0</v>
      </c>
      <c r="AE44" s="84"/>
      <c r="AF44" s="550">
        <f xml:space="preserve"> IF(OR( AND( K44 = Lists!$F$11, '3A'!L44 &lt; 0), AND( '3A'!M44 = Lists!$F$11, '3A'!N44 &lt; 0), AND( '3A'!O44 = Lists!$F$11, '3A'!P44 &lt; 0)), 1, 0)</f>
        <v>0</v>
      </c>
      <c r="AG44" s="550">
        <f xml:space="preserve"> IF( OR( AND( K44 = Lists!$F$13, '3A'!L44 &gt; 0), AND( M44 = Lists!$F$13, '3A'!N44 &gt; 0), AND( O44 = Lists!$F$13, '3A'!P44 &gt; 0 )), 1, 0)</f>
        <v>0</v>
      </c>
      <c r="AH44" s="551"/>
      <c r="AI44" s="742" t="e">
        <f>IF($P$1="Select company","",IF((HLOOKUP(((VLOOKUP($P$1,Lists!$B$4:$C$22,2,FALSE))&amp;'PC LIST'!$J$2),'PC list edited'!$A$2:$DT$65,(B44+1),FALSE))=0,"",HLOOKUP(((VLOOKUP($P$1,Lists!$B$4:$C$22,2,FALSE))&amp; 'PC LIST'!$J$2),'PC list edited'!$A$2:$DT$65,(B44+1),FALSE)))</f>
        <v>#N/A</v>
      </c>
    </row>
    <row r="45" spans="1:35" s="88" customFormat="1" ht="30" customHeight="1" x14ac:dyDescent="0.2">
      <c r="A45" s="87"/>
      <c r="B45" s="297">
        <f t="shared" si="3"/>
        <v>41</v>
      </c>
      <c r="C45" s="538" t="str">
        <f>IF($P$1="Select company","",IF((HLOOKUP((VLOOKUP($P$1,Lists!$B$4:$C$22,2,FALSE)),'PC list edited'!$A$2:$DV$65,(B45+1),FALSE))=0,"",HLOOKUP((VLOOKUP($P$1,Lists!$B$4:$C$22,2,FALSE)),'PC list edited'!$A$2:$DV$65,(B45+1),FALSE)))</f>
        <v/>
      </c>
      <c r="D45" s="853" t="str">
        <f>IF($P$1="Select company","",IF(C45 ="","",HLOOKUP(((VLOOKUP($P$1,Lists!$B$4:$C$22,2,FALSE))&amp;"PC"),'PC list edited'!$A$2:$DV$65,(B45+1),FALSE)))</f>
        <v/>
      </c>
      <c r="E45" s="320" t="str">
        <f>IF($P$1="Select company","",IF(C45 ="","",HLOOKUP(((VLOOKUP($P$1,Lists!$B$4:$C$22,2,FALSE))&amp;"unit"),'PC list edited'!$A$2:$DV$65,(B45+1),FALSE)))</f>
        <v/>
      </c>
      <c r="F45" s="320" t="str">
        <f>IF($P$1="Select company","",IF(C45 ="","",HLOOKUP(((VLOOKUP($P$1,Lists!$B$4:$C$22,2,FALSE))&amp;"UnitDes"),'PC list edited'!$A$2:$DV$65,(B45+1),FALSE)))</f>
        <v/>
      </c>
      <c r="G45" s="320" t="str">
        <f>IF($P$1="Select company","",IF(C45="","",HLOOKUP(((VLOOKUP($P$1,Lists!$B$4:$C$22,2,FALSE))&amp;"DP"),'PC list edited'!$A$2:$DV$65,(B45+1),FALSE)))</f>
        <v/>
      </c>
      <c r="H45" s="320" t="str">
        <f>IF($P$1="Select company","",IF(C45 = "","",HLOOKUP(((VLOOKUP($P$1,Lists!$B$4:$C$22,2,FALSE))&amp;"201516Actual"),'PC list edited'!$A$2:$DV$65,(B45+1),FALSE)))</f>
        <v/>
      </c>
      <c r="I45" s="586"/>
      <c r="J45" s="740"/>
      <c r="K45" s="542"/>
      <c r="L45" s="543"/>
      <c r="M45" s="542"/>
      <c r="N45" s="543"/>
      <c r="O45" s="542"/>
      <c r="P45" s="544"/>
      <c r="Q45" s="137"/>
      <c r="R45" s="548">
        <f t="shared" si="4"/>
        <v>0</v>
      </c>
      <c r="S45" s="28">
        <f t="shared" si="5"/>
        <v>0</v>
      </c>
      <c r="T45" s="83"/>
      <c r="U45" s="84"/>
      <c r="V45" s="105">
        <f t="shared" si="6"/>
        <v>0</v>
      </c>
      <c r="W45" s="105">
        <f>IF($C45="",0,IF(ISBLANK(#REF!)=FALSE,0,1))</f>
        <v>0</v>
      </c>
      <c r="X45" s="105">
        <f t="shared" si="0"/>
        <v>0</v>
      </c>
      <c r="Y45" s="105">
        <f>IF(OR(ISBLANK(L45), L45=0), 0, IF(OR(K45=Lists!$F$11, K45=Lists!$F$13), 0, 1))</f>
        <v>0</v>
      </c>
      <c r="Z45" s="105">
        <f>IF(OR($C45="", AND(NOT(K45=Lists!$F$11), NOT(K45=Lists!$F$13))),0,IF(ISBLANK(L45)=FALSE,0,1))</f>
        <v>0</v>
      </c>
      <c r="AA45" s="105">
        <f>IF(OR(ISBLANK(N45), N45=0), 0, IF(OR(M45=Lists!$F$11, M45=Lists!$F$13), 0, 1))</f>
        <v>0</v>
      </c>
      <c r="AB45" s="105">
        <f>IF(OR($C45="", AND(NOT(M45=Lists!$F$11), NOT(M45=Lists!$F$13))),0,IF(ISBLANK(N45)=FALSE,0,1))</f>
        <v>0</v>
      </c>
      <c r="AC45" s="105">
        <f>IF(OR(ISBLANK(P45), P45=0), 0, IF(OR(O45=Lists!$F$11, O45=Lists!$F$13), 0, 1))</f>
        <v>0</v>
      </c>
      <c r="AD45" s="105">
        <f>IF(OR($C45="", AND(NOT(O45=Lists!$F$11), NOT(O45=Lists!$F$13))),0,IF(ISBLANK(P45)=FALSE,0,1))</f>
        <v>0</v>
      </c>
      <c r="AE45" s="84"/>
      <c r="AF45" s="550">
        <f xml:space="preserve"> IF(OR( AND( K45 = Lists!$F$11, '3A'!L45 &lt; 0), AND( '3A'!M45 = Lists!$F$11, '3A'!N45 &lt; 0), AND( '3A'!O45 = Lists!$F$11, '3A'!P45 &lt; 0)), 1, 0)</f>
        <v>0</v>
      </c>
      <c r="AG45" s="550">
        <f xml:space="preserve"> IF( OR( AND( K45 = Lists!$F$13, '3A'!L45 &gt; 0), AND( M45 = Lists!$F$13, '3A'!N45 &gt; 0), AND( O45 = Lists!$F$13, '3A'!P45 &gt; 0 )), 1, 0)</f>
        <v>0</v>
      </c>
      <c r="AH45" s="551"/>
      <c r="AI45" s="742" t="e">
        <f>IF($P$1="Select company","",IF((HLOOKUP(((VLOOKUP($P$1,Lists!$B$4:$C$22,2,FALSE))&amp;'PC LIST'!$J$2),'PC list edited'!$A$2:$DT$65,(B45+1),FALSE))=0,"",HLOOKUP(((VLOOKUP($P$1,Lists!$B$4:$C$22,2,FALSE))&amp; 'PC LIST'!$J$2),'PC list edited'!$A$2:$DT$65,(B45+1),FALSE)))</f>
        <v>#N/A</v>
      </c>
    </row>
    <row r="46" spans="1:35" s="88" customFormat="1" ht="30" customHeight="1" x14ac:dyDescent="0.2">
      <c r="A46" s="87"/>
      <c r="B46" s="297">
        <f t="shared" si="3"/>
        <v>42</v>
      </c>
      <c r="C46" s="538" t="str">
        <f>IF($P$1="Select company","",IF((HLOOKUP((VLOOKUP($P$1,Lists!$B$4:$C$22,2,FALSE)),'PC list edited'!$A$2:$DV$65,(B46+1),FALSE))=0,"",HLOOKUP((VLOOKUP($P$1,Lists!$B$4:$C$22,2,FALSE)),'PC list edited'!$A$2:$DV$65,(B46+1),FALSE)))</f>
        <v/>
      </c>
      <c r="D46" s="853" t="str">
        <f>IF($P$1="Select company","",IF(C46 ="","",HLOOKUP(((VLOOKUP($P$1,Lists!$B$4:$C$22,2,FALSE))&amp;"PC"),'PC list edited'!$A$2:$DV$65,(B46+1),FALSE)))</f>
        <v/>
      </c>
      <c r="E46" s="320" t="str">
        <f>IF($P$1="Select company","",IF(C46 ="","",HLOOKUP(((VLOOKUP($P$1,Lists!$B$4:$C$22,2,FALSE))&amp;"unit"),'PC list edited'!$A$2:$DV$65,(B46+1),FALSE)))</f>
        <v/>
      </c>
      <c r="F46" s="320" t="str">
        <f>IF($P$1="Select company","",IF(C46 ="","",HLOOKUP(((VLOOKUP($P$1,Lists!$B$4:$C$22,2,FALSE))&amp;"UnitDes"),'PC list edited'!$A$2:$DV$65,(B46+1),FALSE)))</f>
        <v/>
      </c>
      <c r="G46" s="320" t="str">
        <f>IF($P$1="Select company","",IF(C46="","",HLOOKUP(((VLOOKUP($P$1,Lists!$B$4:$C$22,2,FALSE))&amp;"DP"),'PC list edited'!$A$2:$DV$65,(B46+1),FALSE)))</f>
        <v/>
      </c>
      <c r="H46" s="320" t="str">
        <f>IF($P$1="Select company","",IF(C46 = "","",HLOOKUP(((VLOOKUP($P$1,Lists!$B$4:$C$22,2,FALSE))&amp;"201516Actual"),'PC list edited'!$A$2:$DV$65,(B46+1),FALSE)))</f>
        <v/>
      </c>
      <c r="I46" s="586"/>
      <c r="J46" s="740"/>
      <c r="K46" s="542"/>
      <c r="L46" s="543"/>
      <c r="M46" s="542"/>
      <c r="N46" s="543"/>
      <c r="O46" s="542"/>
      <c r="P46" s="544"/>
      <c r="Q46" s="137"/>
      <c r="R46" s="548">
        <f t="shared" si="4"/>
        <v>0</v>
      </c>
      <c r="S46" s="28">
        <f t="shared" si="5"/>
        <v>0</v>
      </c>
      <c r="T46" s="83"/>
      <c r="U46" s="84"/>
      <c r="V46" s="105">
        <f t="shared" si="6"/>
        <v>0</v>
      </c>
      <c r="W46" s="105">
        <f>IF($C46="",0,IF(ISBLANK(#REF!)=FALSE,0,1))</f>
        <v>0</v>
      </c>
      <c r="X46" s="105">
        <f t="shared" si="0"/>
        <v>0</v>
      </c>
      <c r="Y46" s="105">
        <f>IF(OR(ISBLANK(L46), L46=0), 0, IF(OR(K46=Lists!$F$11, K46=Lists!$F$13), 0, 1))</f>
        <v>0</v>
      </c>
      <c r="Z46" s="105">
        <f>IF(OR($C46="", AND(NOT(K46=Lists!$F$11), NOT(K46=Lists!$F$13))),0,IF(ISBLANK(L46)=FALSE,0,1))</f>
        <v>0</v>
      </c>
      <c r="AA46" s="105">
        <f>IF(OR(ISBLANK(N46), N46=0), 0, IF(OR(M46=Lists!$F$11, M46=Lists!$F$13), 0, 1))</f>
        <v>0</v>
      </c>
      <c r="AB46" s="105">
        <f>IF(OR($C46="", AND(NOT(M46=Lists!$F$11), NOT(M46=Lists!$F$13))),0,IF(ISBLANK(N46)=FALSE,0,1))</f>
        <v>0</v>
      </c>
      <c r="AC46" s="105">
        <f>IF(OR(ISBLANK(P46), P46=0), 0, IF(OR(O46=Lists!$F$11, O46=Lists!$F$13), 0, 1))</f>
        <v>0</v>
      </c>
      <c r="AD46" s="105">
        <f>IF(OR($C46="", AND(NOT(O46=Lists!$F$11), NOT(O46=Lists!$F$13))),0,IF(ISBLANK(P46)=FALSE,0,1))</f>
        <v>0</v>
      </c>
      <c r="AE46" s="84"/>
      <c r="AF46" s="550">
        <f xml:space="preserve"> IF(OR( AND( K46 = Lists!$F$11, '3A'!L46 &lt; 0), AND( '3A'!M46 = Lists!$F$11, '3A'!N46 &lt; 0), AND( '3A'!O46 = Lists!$F$11, '3A'!P46 &lt; 0)), 1, 0)</f>
        <v>0</v>
      </c>
      <c r="AG46" s="550">
        <f xml:space="preserve"> IF( OR( AND( K46 = Lists!$F$13, '3A'!L46 &gt; 0), AND( M46 = Lists!$F$13, '3A'!N46 &gt; 0), AND( O46 = Lists!$F$13, '3A'!P46 &gt; 0 )), 1, 0)</f>
        <v>0</v>
      </c>
      <c r="AH46" s="551"/>
      <c r="AI46" s="742" t="e">
        <f>IF($P$1="Select company","",IF((HLOOKUP(((VLOOKUP($P$1,Lists!$B$4:$C$22,2,FALSE))&amp;'PC LIST'!$J$2),'PC list edited'!$A$2:$DT$65,(B46+1),FALSE))=0,"",HLOOKUP(((VLOOKUP($P$1,Lists!$B$4:$C$22,2,FALSE))&amp; 'PC LIST'!$J$2),'PC list edited'!$A$2:$DT$65,(B46+1),FALSE)))</f>
        <v>#N/A</v>
      </c>
    </row>
    <row r="47" spans="1:35" s="88" customFormat="1" ht="30" customHeight="1" x14ac:dyDescent="0.2">
      <c r="A47" s="87"/>
      <c r="B47" s="297">
        <f t="shared" si="3"/>
        <v>43</v>
      </c>
      <c r="C47" s="538" t="str">
        <f>IF($P$1="Select company","",IF((HLOOKUP((VLOOKUP($P$1,Lists!$B$4:$C$22,2,FALSE)),'PC list edited'!$A$2:$DV$65,(B47+1),FALSE))=0,"",HLOOKUP((VLOOKUP($P$1,Lists!$B$4:$C$22,2,FALSE)),'PC list edited'!$A$2:$DV$65,(B47+1),FALSE)))</f>
        <v/>
      </c>
      <c r="D47" s="853" t="str">
        <f>IF($P$1="Select company","",IF(C47 ="","",HLOOKUP(((VLOOKUP($P$1,Lists!$B$4:$C$22,2,FALSE))&amp;"PC"),'PC list edited'!$A$2:$DV$65,(B47+1),FALSE)))</f>
        <v/>
      </c>
      <c r="E47" s="320" t="str">
        <f>IF($P$1="Select company","",IF(C47 ="","",HLOOKUP(((VLOOKUP($P$1,Lists!$B$4:$C$22,2,FALSE))&amp;"unit"),'PC list edited'!$A$2:$DV$65,(B47+1),FALSE)))</f>
        <v/>
      </c>
      <c r="F47" s="320" t="str">
        <f>IF($P$1="Select company","",IF(C47 ="","",HLOOKUP(((VLOOKUP($P$1,Lists!$B$4:$C$22,2,FALSE))&amp;"UnitDes"),'PC list edited'!$A$2:$DV$65,(B47+1),FALSE)))</f>
        <v/>
      </c>
      <c r="G47" s="320" t="str">
        <f>IF($P$1="Select company","",IF(C47="","",HLOOKUP(((VLOOKUP($P$1,Lists!$B$4:$C$22,2,FALSE))&amp;"DP"),'PC list edited'!$A$2:$DV$65,(B47+1),FALSE)))</f>
        <v/>
      </c>
      <c r="H47" s="320" t="str">
        <f>IF($P$1="Select company","",IF(C47 = "","",HLOOKUP(((VLOOKUP($P$1,Lists!$B$4:$C$22,2,FALSE))&amp;"201516Actual"),'PC list edited'!$A$2:$DV$65,(B47+1),FALSE)))</f>
        <v/>
      </c>
      <c r="I47" s="586"/>
      <c r="J47" s="740"/>
      <c r="K47" s="542"/>
      <c r="L47" s="543"/>
      <c r="M47" s="542"/>
      <c r="N47" s="543"/>
      <c r="O47" s="542"/>
      <c r="P47" s="544"/>
      <c r="Q47" s="137"/>
      <c r="R47" s="548">
        <f t="shared" si="4"/>
        <v>0</v>
      </c>
      <c r="S47" s="28">
        <f t="shared" si="5"/>
        <v>0</v>
      </c>
      <c r="T47" s="83"/>
      <c r="U47" s="84"/>
      <c r="V47" s="105">
        <f t="shared" si="6"/>
        <v>0</v>
      </c>
      <c r="W47" s="105">
        <f>IF($C47="",0,IF(ISBLANK(#REF!)=FALSE,0,1))</f>
        <v>0</v>
      </c>
      <c r="X47" s="105">
        <f t="shared" si="0"/>
        <v>0</v>
      </c>
      <c r="Y47" s="105">
        <f>IF(OR(ISBLANK(L47), L47=0), 0, IF(OR(K47=Lists!$F$11, K47=Lists!$F$13), 0, 1))</f>
        <v>0</v>
      </c>
      <c r="Z47" s="105">
        <f>IF(OR($C47="", AND(NOT(K47=Lists!$F$11), NOT(K47=Lists!$F$13))),0,IF(ISBLANK(L47)=FALSE,0,1))</f>
        <v>0</v>
      </c>
      <c r="AA47" s="105">
        <f>IF(OR(ISBLANK(N47), N47=0), 0, IF(OR(M47=Lists!$F$11, M47=Lists!$F$13), 0, 1))</f>
        <v>0</v>
      </c>
      <c r="AB47" s="105">
        <f>IF(OR($C47="", AND(NOT(M47=Lists!$F$11), NOT(M47=Lists!$F$13))),0,IF(ISBLANK(N47)=FALSE,0,1))</f>
        <v>0</v>
      </c>
      <c r="AC47" s="105">
        <f>IF(OR(ISBLANK(P47), P47=0), 0, IF(OR(O47=Lists!$F$11, O47=Lists!$F$13), 0, 1))</f>
        <v>0</v>
      </c>
      <c r="AD47" s="105">
        <f>IF(OR($C47="", AND(NOT(O47=Lists!$F$11), NOT(O47=Lists!$F$13))),0,IF(ISBLANK(P47)=FALSE,0,1))</f>
        <v>0</v>
      </c>
      <c r="AE47" s="84"/>
      <c r="AF47" s="550">
        <f xml:space="preserve"> IF(OR( AND( K47 = Lists!$F$11, '3A'!L47 &lt; 0), AND( '3A'!M47 = Lists!$F$11, '3A'!N47 &lt; 0), AND( '3A'!O47 = Lists!$F$11, '3A'!P47 &lt; 0)), 1, 0)</f>
        <v>0</v>
      </c>
      <c r="AG47" s="550">
        <f xml:space="preserve"> IF( OR( AND( K47 = Lists!$F$13, '3A'!L47 &gt; 0), AND( M47 = Lists!$F$13, '3A'!N47 &gt; 0), AND( O47 = Lists!$F$13, '3A'!P47 &gt; 0 )), 1, 0)</f>
        <v>0</v>
      </c>
      <c r="AH47" s="551"/>
      <c r="AI47" s="742" t="e">
        <f>IF($P$1="Select company","",IF((HLOOKUP(((VLOOKUP($P$1,Lists!$B$4:$C$22,2,FALSE))&amp;'PC LIST'!$J$2),'PC list edited'!$A$2:$DT$65,(B47+1),FALSE))=0,"",HLOOKUP(((VLOOKUP($P$1,Lists!$B$4:$C$22,2,FALSE))&amp; 'PC LIST'!$J$2),'PC list edited'!$A$2:$DT$65,(B47+1),FALSE)))</f>
        <v>#N/A</v>
      </c>
    </row>
    <row r="48" spans="1:35" s="88" customFormat="1" ht="30" customHeight="1" x14ac:dyDescent="0.2">
      <c r="A48" s="87"/>
      <c r="B48" s="297">
        <f t="shared" si="3"/>
        <v>44</v>
      </c>
      <c r="C48" s="538" t="str">
        <f>IF($P$1="Select company","",IF((HLOOKUP((VLOOKUP($P$1,Lists!$B$4:$C$22,2,FALSE)),'PC list edited'!$A$2:$DV$65,(B48+1),FALSE))=0,"",HLOOKUP((VLOOKUP($P$1,Lists!$B$4:$C$22,2,FALSE)),'PC list edited'!$A$2:$DV$65,(B48+1),FALSE)))</f>
        <v/>
      </c>
      <c r="D48" s="853" t="str">
        <f>IF($P$1="Select company","",IF(C48 ="","",HLOOKUP(((VLOOKUP($P$1,Lists!$B$4:$C$22,2,FALSE))&amp;"PC"),'PC list edited'!$A$2:$DV$65,(B48+1),FALSE)))</f>
        <v/>
      </c>
      <c r="E48" s="320" t="str">
        <f>IF($P$1="Select company","",IF(C48 ="","",HLOOKUP(((VLOOKUP($P$1,Lists!$B$4:$C$22,2,FALSE))&amp;"unit"),'PC list edited'!$A$2:$DV$65,(B48+1),FALSE)))</f>
        <v/>
      </c>
      <c r="F48" s="320" t="str">
        <f>IF($P$1="Select company","",IF(C48 ="","",HLOOKUP(((VLOOKUP($P$1,Lists!$B$4:$C$22,2,FALSE))&amp;"UnitDes"),'PC list edited'!$A$2:$DV$65,(B48+1),FALSE)))</f>
        <v/>
      </c>
      <c r="G48" s="320" t="str">
        <f>IF($P$1="Select company","",IF(C48="","",HLOOKUP(((VLOOKUP($P$1,Lists!$B$4:$C$22,2,FALSE))&amp;"DP"),'PC list edited'!$A$2:$DV$65,(B48+1),FALSE)))</f>
        <v/>
      </c>
      <c r="H48" s="320" t="str">
        <f>IF($P$1="Select company","",IF(C48 = "","",HLOOKUP(((VLOOKUP($P$1,Lists!$B$4:$C$22,2,FALSE))&amp;"201516Actual"),'PC list edited'!$A$2:$DV$65,(B48+1),FALSE)))</f>
        <v/>
      </c>
      <c r="I48" s="586"/>
      <c r="J48" s="740"/>
      <c r="K48" s="542"/>
      <c r="L48" s="543"/>
      <c r="M48" s="542"/>
      <c r="N48" s="543"/>
      <c r="O48" s="542"/>
      <c r="P48" s="544"/>
      <c r="Q48" s="137"/>
      <c r="R48" s="548">
        <f t="shared" si="4"/>
        <v>0</v>
      </c>
      <c r="S48" s="28">
        <f t="shared" si="5"/>
        <v>0</v>
      </c>
      <c r="T48" s="83"/>
      <c r="U48" s="84"/>
      <c r="V48" s="105">
        <f t="shared" si="6"/>
        <v>0</v>
      </c>
      <c r="W48" s="105">
        <f>IF($C48="",0,IF(ISBLANK(#REF!)=FALSE,0,1))</f>
        <v>0</v>
      </c>
      <c r="X48" s="105">
        <f t="shared" si="0"/>
        <v>0</v>
      </c>
      <c r="Y48" s="105">
        <f>IF(OR(ISBLANK(L48), L48=0), 0, IF(OR(K48=Lists!$F$11, K48=Lists!$F$13), 0, 1))</f>
        <v>0</v>
      </c>
      <c r="Z48" s="105">
        <f>IF(OR($C48="", AND(NOT(K48=Lists!$F$11), NOT(K48=Lists!$F$13))),0,IF(ISBLANK(L48)=FALSE,0,1))</f>
        <v>0</v>
      </c>
      <c r="AA48" s="105">
        <f>IF(OR(ISBLANK(N48), N48=0), 0, IF(OR(M48=Lists!$F$11, M48=Lists!$F$13), 0, 1))</f>
        <v>0</v>
      </c>
      <c r="AB48" s="105">
        <f>IF(OR($C48="", AND(NOT(M48=Lists!$F$11), NOT(M48=Lists!$F$13))),0,IF(ISBLANK(N48)=FALSE,0,1))</f>
        <v>0</v>
      </c>
      <c r="AC48" s="105">
        <f>IF(OR(ISBLANK(P48), P48=0), 0, IF(OR(O48=Lists!$F$11, O48=Lists!$F$13), 0, 1))</f>
        <v>0</v>
      </c>
      <c r="AD48" s="105">
        <f>IF(OR($C48="", AND(NOT(O48=Lists!$F$11), NOT(O48=Lists!$F$13))),0,IF(ISBLANK(P48)=FALSE,0,1))</f>
        <v>0</v>
      </c>
      <c r="AE48" s="84"/>
      <c r="AF48" s="550">
        <f xml:space="preserve"> IF(OR( AND( K48 = Lists!$F$11, '3A'!L48 &lt; 0), AND( '3A'!M48 = Lists!$F$11, '3A'!N48 &lt; 0), AND( '3A'!O48 = Lists!$F$11, '3A'!P48 &lt; 0)), 1, 0)</f>
        <v>0</v>
      </c>
      <c r="AG48" s="550">
        <f xml:space="preserve"> IF( OR( AND( K48 = Lists!$F$13, '3A'!L48 &gt; 0), AND( M48 = Lists!$F$13, '3A'!N48 &gt; 0), AND( O48 = Lists!$F$13, '3A'!P48 &gt; 0 )), 1, 0)</f>
        <v>0</v>
      </c>
      <c r="AH48" s="551"/>
      <c r="AI48" s="742" t="e">
        <f>IF($P$1="Select company","",IF((HLOOKUP(((VLOOKUP($P$1,Lists!$B$4:$C$22,2,FALSE))&amp;'PC LIST'!$J$2),'PC list edited'!$A$2:$DT$65,(B48+1),FALSE))=0,"",HLOOKUP(((VLOOKUP($P$1,Lists!$B$4:$C$22,2,FALSE))&amp; 'PC LIST'!$J$2),'PC list edited'!$A$2:$DT$65,(B48+1),FALSE)))</f>
        <v>#N/A</v>
      </c>
    </row>
    <row r="49" spans="1:35" s="88" customFormat="1" ht="30" customHeight="1" x14ac:dyDescent="0.2">
      <c r="A49" s="87"/>
      <c r="B49" s="297">
        <f t="shared" si="3"/>
        <v>45</v>
      </c>
      <c r="C49" s="538" t="str">
        <f>IF($P$1="Select company","",IF((HLOOKUP((VLOOKUP($P$1,Lists!$B$4:$C$22,2,FALSE)),'PC list edited'!$A$2:$DV$65,(B49+1),FALSE))=0,"",HLOOKUP((VLOOKUP($P$1,Lists!$B$4:$C$22,2,FALSE)),'PC list edited'!$A$2:$DV$65,(B49+1),FALSE)))</f>
        <v/>
      </c>
      <c r="D49" s="853" t="str">
        <f>IF($P$1="Select company","",IF(C49 ="","",HLOOKUP(((VLOOKUP($P$1,Lists!$B$4:$C$22,2,FALSE))&amp;"PC"),'PC list edited'!$A$2:$DV$65,(B49+1),FALSE)))</f>
        <v/>
      </c>
      <c r="E49" s="320" t="str">
        <f>IF($P$1="Select company","",IF(C49 ="","",HLOOKUP(((VLOOKUP($P$1,Lists!$B$4:$C$22,2,FALSE))&amp;"unit"),'PC list edited'!$A$2:$DV$65,(B49+1),FALSE)))</f>
        <v/>
      </c>
      <c r="F49" s="320" t="str">
        <f>IF($P$1="Select company","",IF(C49 ="","",HLOOKUP(((VLOOKUP($P$1,Lists!$B$4:$C$22,2,FALSE))&amp;"UnitDes"),'PC list edited'!$A$2:$DV$65,(B49+1),FALSE)))</f>
        <v/>
      </c>
      <c r="G49" s="320" t="str">
        <f>IF($P$1="Select company","",IF(C49="","",HLOOKUP(((VLOOKUP($P$1,Lists!$B$4:$C$22,2,FALSE))&amp;"DP"),'PC list edited'!$A$2:$DV$65,(B49+1),FALSE)))</f>
        <v/>
      </c>
      <c r="H49" s="320" t="str">
        <f>IF($P$1="Select company","",IF(C49 = "","",HLOOKUP(((VLOOKUP($P$1,Lists!$B$4:$C$22,2,FALSE))&amp;"201516Actual"),'PC list edited'!$A$2:$DV$65,(B49+1),FALSE)))</f>
        <v/>
      </c>
      <c r="I49" s="586"/>
      <c r="J49" s="740"/>
      <c r="K49" s="542"/>
      <c r="L49" s="543"/>
      <c r="M49" s="542"/>
      <c r="N49" s="543"/>
      <c r="O49" s="542"/>
      <c r="P49" s="544"/>
      <c r="Q49" s="137"/>
      <c r="R49" s="548">
        <f t="shared" si="4"/>
        <v>0</v>
      </c>
      <c r="S49" s="28">
        <f t="shared" si="5"/>
        <v>0</v>
      </c>
      <c r="T49" s="83"/>
      <c r="U49" s="84"/>
      <c r="V49" s="105">
        <f t="shared" si="6"/>
        <v>0</v>
      </c>
      <c r="W49" s="105">
        <f>IF($C49="",0,IF(ISBLANK(#REF!)=FALSE,0,1))</f>
        <v>0</v>
      </c>
      <c r="X49" s="105">
        <f t="shared" si="0"/>
        <v>0</v>
      </c>
      <c r="Y49" s="105">
        <f>IF(OR(ISBLANK(L49), L49=0), 0, IF(OR(K49=Lists!$F$11, K49=Lists!$F$13), 0, 1))</f>
        <v>0</v>
      </c>
      <c r="Z49" s="105">
        <f>IF(OR($C49="", AND(NOT(K49=Lists!$F$11), NOT(K49=Lists!$F$13))),0,IF(ISBLANK(L49)=FALSE,0,1))</f>
        <v>0</v>
      </c>
      <c r="AA49" s="105">
        <f>IF(OR(ISBLANK(N49), N49=0), 0, IF(OR(M49=Lists!$F$11, M49=Lists!$F$13), 0, 1))</f>
        <v>0</v>
      </c>
      <c r="AB49" s="105">
        <f>IF(OR($C49="", AND(NOT(M49=Lists!$F$11), NOT(M49=Lists!$F$13))),0,IF(ISBLANK(N49)=FALSE,0,1))</f>
        <v>0</v>
      </c>
      <c r="AC49" s="105">
        <f>IF(OR(ISBLANK(P49), P49=0), 0, IF(OR(O49=Lists!$F$11, O49=Lists!$F$13), 0, 1))</f>
        <v>0</v>
      </c>
      <c r="AD49" s="105">
        <f>IF(OR($C49="", AND(NOT(O49=Lists!$F$11), NOT(O49=Lists!$F$13))),0,IF(ISBLANK(P49)=FALSE,0,1))</f>
        <v>0</v>
      </c>
      <c r="AE49" s="84"/>
      <c r="AF49" s="550">
        <f xml:space="preserve"> IF(OR( AND( K49 = Lists!$F$11, '3A'!L49 &lt; 0), AND( '3A'!M49 = Lists!$F$11, '3A'!N49 &lt; 0), AND( '3A'!O49 = Lists!$F$11, '3A'!P49 &lt; 0)), 1, 0)</f>
        <v>0</v>
      </c>
      <c r="AG49" s="550">
        <f xml:space="preserve"> IF( OR( AND( K49 = Lists!$F$13, '3A'!L49 &gt; 0), AND( M49 = Lists!$F$13, '3A'!N49 &gt; 0), AND( O49 = Lists!$F$13, '3A'!P49 &gt; 0 )), 1, 0)</f>
        <v>0</v>
      </c>
      <c r="AH49" s="551"/>
      <c r="AI49" s="742" t="e">
        <f>IF($P$1="Select company","",IF((HLOOKUP(((VLOOKUP($P$1,Lists!$B$4:$C$22,2,FALSE))&amp;'PC LIST'!$J$2),'PC list edited'!$A$2:$DT$65,(B49+1),FALSE))=0,"",HLOOKUP(((VLOOKUP($P$1,Lists!$B$4:$C$22,2,FALSE))&amp; 'PC LIST'!$J$2),'PC list edited'!$A$2:$DT$65,(B49+1),FALSE)))</f>
        <v>#N/A</v>
      </c>
    </row>
    <row r="50" spans="1:35" s="88" customFormat="1" ht="30" customHeight="1" x14ac:dyDescent="0.2">
      <c r="A50" s="87"/>
      <c r="B50" s="297">
        <f t="shared" si="3"/>
        <v>46</v>
      </c>
      <c r="C50" s="538" t="str">
        <f>IF($P$1="Select company","",IF((HLOOKUP((VLOOKUP($P$1,Lists!$B$4:$C$22,2,FALSE)),'PC list edited'!$A$2:$DV$65,(B50+1),FALSE))=0,"",HLOOKUP((VLOOKUP($P$1,Lists!$B$4:$C$22,2,FALSE)),'PC list edited'!$A$2:$DV$65,(B50+1),FALSE)))</f>
        <v/>
      </c>
      <c r="D50" s="853" t="str">
        <f>IF($P$1="Select company","",IF(C50 ="","",HLOOKUP(((VLOOKUP($P$1,Lists!$B$4:$C$22,2,FALSE))&amp;"PC"),'PC list edited'!$A$2:$DV$65,(B50+1),FALSE)))</f>
        <v/>
      </c>
      <c r="E50" s="320" t="str">
        <f>IF($P$1="Select company","",IF(C50 ="","",HLOOKUP(((VLOOKUP($P$1,Lists!$B$4:$C$22,2,FALSE))&amp;"unit"),'PC list edited'!$A$2:$DV$65,(B50+1),FALSE)))</f>
        <v/>
      </c>
      <c r="F50" s="320" t="str">
        <f>IF($P$1="Select company","",IF(C50 ="","",HLOOKUP(((VLOOKUP($P$1,Lists!$B$4:$C$22,2,FALSE))&amp;"UnitDes"),'PC list edited'!$A$2:$DV$65,(B50+1),FALSE)))</f>
        <v/>
      </c>
      <c r="G50" s="320" t="str">
        <f>IF($P$1="Select company","",IF(C50="","",HLOOKUP(((VLOOKUP($P$1,Lists!$B$4:$C$22,2,FALSE))&amp;"DP"),'PC list edited'!$A$2:$DV$65,(B50+1),FALSE)))</f>
        <v/>
      </c>
      <c r="H50" s="320" t="str">
        <f>IF($P$1="Select company","",IF(C50 = "","",HLOOKUP(((VLOOKUP($P$1,Lists!$B$4:$C$22,2,FALSE))&amp;"201516Actual"),'PC list edited'!$A$2:$DV$65,(B50+1),FALSE)))</f>
        <v/>
      </c>
      <c r="I50" s="586"/>
      <c r="J50" s="740"/>
      <c r="K50" s="542"/>
      <c r="L50" s="543"/>
      <c r="M50" s="542"/>
      <c r="N50" s="543"/>
      <c r="O50" s="542"/>
      <c r="P50" s="544"/>
      <c r="Q50" s="137"/>
      <c r="R50" s="548">
        <f t="shared" si="4"/>
        <v>0</v>
      </c>
      <c r="S50" s="28">
        <f t="shared" si="5"/>
        <v>0</v>
      </c>
      <c r="T50" s="83"/>
      <c r="U50" s="84"/>
      <c r="V50" s="105">
        <f t="shared" si="6"/>
        <v>0</v>
      </c>
      <c r="W50" s="105">
        <f>IF($C50="",0,IF(ISBLANK(#REF!)=FALSE,0,1))</f>
        <v>0</v>
      </c>
      <c r="X50" s="105">
        <f t="shared" ref="X50:X59" si="7">IF($C50="",0,IF(ISBLANK(J50)=FALSE,0,1))</f>
        <v>0</v>
      </c>
      <c r="Y50" s="105">
        <f>IF(OR(ISBLANK(L50), L50=0), 0, IF(OR(K50=Lists!$F$11, K50=Lists!$F$13), 0, 1))</f>
        <v>0</v>
      </c>
      <c r="Z50" s="105">
        <f>IF(OR($C50="", AND(NOT(K50=Lists!$F$11), NOT(K50=Lists!$F$13))),0,IF(ISBLANK(L50)=FALSE,0,1))</f>
        <v>0</v>
      </c>
      <c r="AA50" s="105">
        <f>IF(OR(ISBLANK(N50), N50=0), 0, IF(OR(M50=Lists!$F$11, M50=Lists!$F$13), 0, 1))</f>
        <v>0</v>
      </c>
      <c r="AB50" s="105">
        <f>IF(OR($C50="", AND(NOT(M50=Lists!$F$11), NOT(M50=Lists!$F$13))),0,IF(ISBLANK(N50)=FALSE,0,1))</f>
        <v>0</v>
      </c>
      <c r="AC50" s="105">
        <f>IF(OR(ISBLANK(P50), P50=0), 0, IF(OR(O50=Lists!$F$11, O50=Lists!$F$13), 0, 1))</f>
        <v>0</v>
      </c>
      <c r="AD50" s="105">
        <f>IF(OR($C50="", AND(NOT(O50=Lists!$F$11), NOT(O50=Lists!$F$13))),0,IF(ISBLANK(P50)=FALSE,0,1))</f>
        <v>0</v>
      </c>
      <c r="AE50" s="84"/>
      <c r="AF50" s="550">
        <f xml:space="preserve"> IF(OR( AND( K50 = Lists!$F$11, '3A'!L50 &lt; 0), AND( '3A'!M50 = Lists!$F$11, '3A'!N50 &lt; 0), AND( '3A'!O50 = Lists!$F$11, '3A'!P50 &lt; 0)), 1, 0)</f>
        <v>0</v>
      </c>
      <c r="AG50" s="550">
        <f xml:space="preserve"> IF( OR( AND( K50 = Lists!$F$13, '3A'!L50 &gt; 0), AND( M50 = Lists!$F$13, '3A'!N50 &gt; 0), AND( O50 = Lists!$F$13, '3A'!P50 &gt; 0 )), 1, 0)</f>
        <v>0</v>
      </c>
      <c r="AH50" s="551"/>
      <c r="AI50" s="742" t="e">
        <f>IF($P$1="Select company","",IF((HLOOKUP(((VLOOKUP($P$1,Lists!$B$4:$C$22,2,FALSE))&amp;'PC LIST'!$J$2),'PC list edited'!$A$2:$DT$65,(B50+1),FALSE))=0,"",HLOOKUP(((VLOOKUP($P$1,Lists!$B$4:$C$22,2,FALSE))&amp; 'PC LIST'!$J$2),'PC list edited'!$A$2:$DT$65,(B50+1),FALSE)))</f>
        <v>#N/A</v>
      </c>
    </row>
    <row r="51" spans="1:35" s="88" customFormat="1" ht="30" customHeight="1" x14ac:dyDescent="0.2">
      <c r="A51" s="87"/>
      <c r="B51" s="297">
        <f t="shared" si="3"/>
        <v>47</v>
      </c>
      <c r="C51" s="538" t="str">
        <f>IF($P$1="Select company","",IF((HLOOKUP((VLOOKUP($P$1,Lists!$B$4:$C$22,2,FALSE)),'PC list edited'!$A$2:$DV$65,(B51+1),FALSE))=0,"",HLOOKUP((VLOOKUP($P$1,Lists!$B$4:$C$22,2,FALSE)),'PC list edited'!$A$2:$DV$65,(B51+1),FALSE)))</f>
        <v/>
      </c>
      <c r="D51" s="853" t="str">
        <f>IF($P$1="Select company","",IF(C51 ="","",HLOOKUP(((VLOOKUP($P$1,Lists!$B$4:$C$22,2,FALSE))&amp;"PC"),'PC list edited'!$A$2:$DV$65,(B51+1),FALSE)))</f>
        <v/>
      </c>
      <c r="E51" s="320" t="str">
        <f>IF($P$1="Select company","",IF(C51 ="","",HLOOKUP(((VLOOKUP($P$1,Lists!$B$4:$C$22,2,FALSE))&amp;"unit"),'PC list edited'!$A$2:$DV$65,(B51+1),FALSE)))</f>
        <v/>
      </c>
      <c r="F51" s="320" t="str">
        <f>IF($P$1="Select company","",IF(C51 ="","",HLOOKUP(((VLOOKUP($P$1,Lists!$B$4:$C$22,2,FALSE))&amp;"UnitDes"),'PC list edited'!$A$2:$DV$65,(B51+1),FALSE)))</f>
        <v/>
      </c>
      <c r="G51" s="320" t="str">
        <f>IF($P$1="Select company","",IF(C51="","",HLOOKUP(((VLOOKUP($P$1,Lists!$B$4:$C$22,2,FALSE))&amp;"DP"),'PC list edited'!$A$2:$DV$65,(B51+1),FALSE)))</f>
        <v/>
      </c>
      <c r="H51" s="320" t="str">
        <f>IF($P$1="Select company","",IF(C51 = "","",HLOOKUP(((VLOOKUP($P$1,Lists!$B$4:$C$22,2,FALSE))&amp;"201516Actual"),'PC list edited'!$A$2:$DV$65,(B51+1),FALSE)))</f>
        <v/>
      </c>
      <c r="I51" s="586"/>
      <c r="J51" s="740"/>
      <c r="K51" s="542"/>
      <c r="L51" s="543"/>
      <c r="M51" s="542"/>
      <c r="N51" s="543"/>
      <c r="O51" s="542"/>
      <c r="P51" s="544"/>
      <c r="Q51" s="137"/>
      <c r="R51" s="548">
        <f t="shared" si="4"/>
        <v>0</v>
      </c>
      <c r="S51" s="28">
        <f t="shared" si="5"/>
        <v>0</v>
      </c>
      <c r="T51" s="83"/>
      <c r="U51" s="84"/>
      <c r="V51" s="105">
        <f t="shared" si="6"/>
        <v>0</v>
      </c>
      <c r="W51" s="105">
        <f>IF($C51="",0,IF(ISBLANK(#REF!)=FALSE,0,1))</f>
        <v>0</v>
      </c>
      <c r="X51" s="105">
        <f t="shared" si="7"/>
        <v>0</v>
      </c>
      <c r="Y51" s="105">
        <f>IF(OR(ISBLANK(L51), L51=0), 0, IF(OR(K51=Lists!$F$11, K51=Lists!$F$13), 0, 1))</f>
        <v>0</v>
      </c>
      <c r="Z51" s="105">
        <f>IF(OR($C51="", AND(NOT(K51=Lists!$F$11), NOT(K51=Lists!$F$13))),0,IF(ISBLANK(L51)=FALSE,0,1))</f>
        <v>0</v>
      </c>
      <c r="AA51" s="105">
        <f>IF(OR(ISBLANK(N51), N51=0), 0, IF(OR(M51=Lists!$F$11, M51=Lists!$F$13), 0, 1))</f>
        <v>0</v>
      </c>
      <c r="AB51" s="105">
        <f>IF(OR($C51="", AND(NOT(M51=Lists!$F$11), NOT(M51=Lists!$F$13))),0,IF(ISBLANK(N51)=FALSE,0,1))</f>
        <v>0</v>
      </c>
      <c r="AC51" s="105">
        <f>IF(OR(ISBLANK(P51), P51=0), 0, IF(OR(O51=Lists!$F$11, O51=Lists!$F$13), 0, 1))</f>
        <v>0</v>
      </c>
      <c r="AD51" s="105">
        <f>IF(OR($C51="", AND(NOT(O51=Lists!$F$11), NOT(O51=Lists!$F$13))),0,IF(ISBLANK(P51)=FALSE,0,1))</f>
        <v>0</v>
      </c>
      <c r="AE51" s="84"/>
      <c r="AF51" s="550">
        <f xml:space="preserve"> IF(OR( AND( K51 = Lists!$F$11, '3A'!L51 &lt; 0), AND( '3A'!M51 = Lists!$F$11, '3A'!N51 &lt; 0), AND( '3A'!O51 = Lists!$F$11, '3A'!P51 &lt; 0)), 1, 0)</f>
        <v>0</v>
      </c>
      <c r="AG51" s="550">
        <f xml:space="preserve"> IF( OR( AND( K51 = Lists!$F$13, '3A'!L51 &gt; 0), AND( M51 = Lists!$F$13, '3A'!N51 &gt; 0), AND( O51 = Lists!$F$13, '3A'!P51 &gt; 0 )), 1, 0)</f>
        <v>0</v>
      </c>
      <c r="AH51" s="551"/>
      <c r="AI51" s="742" t="e">
        <f>IF($P$1="Select company","",IF((HLOOKUP(((VLOOKUP($P$1,Lists!$B$4:$C$22,2,FALSE))&amp;'PC LIST'!$J$2),'PC list edited'!$A$2:$DT$65,(B51+1),FALSE))=0,"",HLOOKUP(((VLOOKUP($P$1,Lists!$B$4:$C$22,2,FALSE))&amp; 'PC LIST'!$J$2),'PC list edited'!$A$2:$DT$65,(B51+1),FALSE)))</f>
        <v>#N/A</v>
      </c>
    </row>
    <row r="52" spans="1:35" s="88" customFormat="1" ht="30" customHeight="1" x14ac:dyDescent="0.2">
      <c r="A52" s="87"/>
      <c r="B52" s="297">
        <f t="shared" si="3"/>
        <v>48</v>
      </c>
      <c r="C52" s="538" t="str">
        <f>IF($P$1="Select company","",IF((HLOOKUP((VLOOKUP($P$1,Lists!$B$4:$C$22,2,FALSE)),'PC list edited'!$A$2:$DV$65,(B52+1),FALSE))=0,"",HLOOKUP((VLOOKUP($P$1,Lists!$B$4:$C$22,2,FALSE)),'PC list edited'!$A$2:$DV$65,(B52+1),FALSE)))</f>
        <v/>
      </c>
      <c r="D52" s="853" t="str">
        <f>IF($P$1="Select company","",IF(C52 ="","",HLOOKUP(((VLOOKUP($P$1,Lists!$B$4:$C$22,2,FALSE))&amp;"PC"),'PC list edited'!$A$2:$DV$65,(B52+1),FALSE)))</f>
        <v/>
      </c>
      <c r="E52" s="320" t="str">
        <f>IF($P$1="Select company","",IF(C52 ="","",HLOOKUP(((VLOOKUP($P$1,Lists!$B$4:$C$22,2,FALSE))&amp;"unit"),'PC list edited'!$A$2:$DV$65,(B52+1),FALSE)))</f>
        <v/>
      </c>
      <c r="F52" s="320" t="str">
        <f>IF($P$1="Select company","",IF(C52 ="","",HLOOKUP(((VLOOKUP($P$1,Lists!$B$4:$C$22,2,FALSE))&amp;"UnitDes"),'PC list edited'!$A$2:$DV$65,(B52+1),FALSE)))</f>
        <v/>
      </c>
      <c r="G52" s="320" t="str">
        <f>IF($P$1="Select company","",IF(C52="","",HLOOKUP(((VLOOKUP($P$1,Lists!$B$4:$C$22,2,FALSE))&amp;"DP"),'PC list edited'!$A$2:$DV$65,(B52+1),FALSE)))</f>
        <v/>
      </c>
      <c r="H52" s="320" t="str">
        <f>IF($P$1="Select company","",IF(C52 = "","",HLOOKUP(((VLOOKUP($P$1,Lists!$B$4:$C$22,2,FALSE))&amp;"201516Actual"),'PC list edited'!$A$2:$DV$65,(B52+1),FALSE)))</f>
        <v/>
      </c>
      <c r="I52" s="586"/>
      <c r="J52" s="740"/>
      <c r="K52" s="542"/>
      <c r="L52" s="543"/>
      <c r="M52" s="542"/>
      <c r="N52" s="543"/>
      <c r="O52" s="542"/>
      <c r="P52" s="544"/>
      <c r="Q52" s="137"/>
      <c r="R52" s="548">
        <f t="shared" si="4"/>
        <v>0</v>
      </c>
      <c r="S52" s="28">
        <f t="shared" si="5"/>
        <v>0</v>
      </c>
      <c r="T52" s="83"/>
      <c r="U52" s="84"/>
      <c r="V52" s="105">
        <f t="shared" si="6"/>
        <v>0</v>
      </c>
      <c r="W52" s="105">
        <f>IF($C52="",0,IF(ISBLANK(#REF!)=FALSE,0,1))</f>
        <v>0</v>
      </c>
      <c r="X52" s="105">
        <f t="shared" si="7"/>
        <v>0</v>
      </c>
      <c r="Y52" s="105">
        <f>IF(OR(ISBLANK(L52), L52=0), 0, IF(OR(K52=Lists!$F$11, K52=Lists!$F$13), 0, 1))</f>
        <v>0</v>
      </c>
      <c r="Z52" s="105">
        <f>IF(OR($C52="", AND(NOT(K52=Lists!$F$11), NOT(K52=Lists!$F$13))),0,IF(ISBLANK(L52)=FALSE,0,1))</f>
        <v>0</v>
      </c>
      <c r="AA52" s="105">
        <f>IF(OR(ISBLANK(N52), N52=0), 0, IF(OR(M52=Lists!$F$11, M52=Lists!$F$13), 0, 1))</f>
        <v>0</v>
      </c>
      <c r="AB52" s="105">
        <f>IF(OR($C52="", AND(NOT(M52=Lists!$F$11), NOT(M52=Lists!$F$13))),0,IF(ISBLANK(N52)=FALSE,0,1))</f>
        <v>0</v>
      </c>
      <c r="AC52" s="105">
        <f>IF(OR(ISBLANK(P52), P52=0), 0, IF(OR(O52=Lists!$F$11, O52=Lists!$F$13), 0, 1))</f>
        <v>0</v>
      </c>
      <c r="AD52" s="105">
        <f>IF(OR($C52="", AND(NOT(O52=Lists!$F$11), NOT(O52=Lists!$F$13))),0,IF(ISBLANK(P52)=FALSE,0,1))</f>
        <v>0</v>
      </c>
      <c r="AE52" s="84"/>
      <c r="AF52" s="550">
        <f xml:space="preserve"> IF(OR( AND( K52 = Lists!$F$11, '3A'!L52 &lt; 0), AND( '3A'!M52 = Lists!$F$11, '3A'!N52 &lt; 0), AND( '3A'!O52 = Lists!$F$11, '3A'!P52 &lt; 0)), 1, 0)</f>
        <v>0</v>
      </c>
      <c r="AG52" s="550">
        <f xml:space="preserve"> IF( OR( AND( K52 = Lists!$F$13, '3A'!L52 &gt; 0), AND( M52 = Lists!$F$13, '3A'!N52 &gt; 0), AND( O52 = Lists!$F$13, '3A'!P52 &gt; 0 )), 1, 0)</f>
        <v>0</v>
      </c>
      <c r="AH52" s="551"/>
      <c r="AI52" s="742" t="e">
        <f>IF($P$1="Select company","",IF((HLOOKUP(((VLOOKUP($P$1,Lists!$B$4:$C$22,2,FALSE))&amp;'PC LIST'!$J$2),'PC list edited'!$A$2:$DT$65,(B52+1),FALSE))=0,"",HLOOKUP(((VLOOKUP($P$1,Lists!$B$4:$C$22,2,FALSE))&amp; 'PC LIST'!$J$2),'PC list edited'!$A$2:$DT$65,(B52+1),FALSE)))</f>
        <v>#N/A</v>
      </c>
    </row>
    <row r="53" spans="1:35" s="88" customFormat="1" ht="30" customHeight="1" x14ac:dyDescent="0.2">
      <c r="A53" s="87"/>
      <c r="B53" s="297">
        <f t="shared" si="3"/>
        <v>49</v>
      </c>
      <c r="C53" s="538" t="str">
        <f>IF($P$1="Select company","",IF((HLOOKUP((VLOOKUP($P$1,Lists!$B$4:$C$22,2,FALSE)),'PC list edited'!$A$2:$DV$65,(B53+1),FALSE))=0,"",HLOOKUP((VLOOKUP($P$1,Lists!$B$4:$C$22,2,FALSE)),'PC list edited'!$A$2:$DV$65,(B53+1),FALSE)))</f>
        <v/>
      </c>
      <c r="D53" s="853" t="str">
        <f>IF($P$1="Select company","",IF(C53 ="","",HLOOKUP(((VLOOKUP($P$1,Lists!$B$4:$C$22,2,FALSE))&amp;"PC"),'PC list edited'!$A$2:$DV$65,(B53+1),FALSE)))</f>
        <v/>
      </c>
      <c r="E53" s="320" t="str">
        <f>IF($P$1="Select company","",IF(C53 ="","",HLOOKUP(((VLOOKUP($P$1,Lists!$B$4:$C$22,2,FALSE))&amp;"unit"),'PC list edited'!$A$2:$DV$65,(B53+1),FALSE)))</f>
        <v/>
      </c>
      <c r="F53" s="320" t="str">
        <f>IF($P$1="Select company","",IF(C53 ="","",HLOOKUP(((VLOOKUP($P$1,Lists!$B$4:$C$22,2,FALSE))&amp;"UnitDes"),'PC list edited'!$A$2:$DV$65,(B53+1),FALSE)))</f>
        <v/>
      </c>
      <c r="G53" s="320" t="str">
        <f>IF($P$1="Select company","",IF(C53="","",HLOOKUP(((VLOOKUP($P$1,Lists!$B$4:$C$22,2,FALSE))&amp;"DP"),'PC list edited'!$A$2:$DV$65,(B53+1),FALSE)))</f>
        <v/>
      </c>
      <c r="H53" s="320" t="str">
        <f>IF($P$1="Select company","",IF(C53 = "","",HLOOKUP(((VLOOKUP($P$1,Lists!$B$4:$C$22,2,FALSE))&amp;"201516Actual"),'PC list edited'!$A$2:$DV$65,(B53+1),FALSE)))</f>
        <v/>
      </c>
      <c r="I53" s="586"/>
      <c r="J53" s="740"/>
      <c r="K53" s="542"/>
      <c r="L53" s="543"/>
      <c r="M53" s="542"/>
      <c r="N53" s="543"/>
      <c r="O53" s="542"/>
      <c r="P53" s="544"/>
      <c r="Q53" s="137"/>
      <c r="R53" s="548">
        <f t="shared" si="4"/>
        <v>0</v>
      </c>
      <c r="S53" s="28">
        <f t="shared" si="5"/>
        <v>0</v>
      </c>
      <c r="T53" s="83"/>
      <c r="U53" s="84"/>
      <c r="V53" s="105">
        <f t="shared" si="6"/>
        <v>0</v>
      </c>
      <c r="W53" s="105">
        <f>IF($C53="",0,IF(ISBLANK(#REF!)=FALSE,0,1))</f>
        <v>0</v>
      </c>
      <c r="X53" s="105">
        <f t="shared" si="7"/>
        <v>0</v>
      </c>
      <c r="Y53" s="105">
        <f>IF(OR(ISBLANK(L53), L53=0), 0, IF(OR(K53=Lists!$F$11, K53=Lists!$F$13), 0, 1))</f>
        <v>0</v>
      </c>
      <c r="Z53" s="105">
        <f>IF(OR($C53="", AND(NOT(K53=Lists!$F$11), NOT(K53=Lists!$F$13))),0,IF(ISBLANK(L53)=FALSE,0,1))</f>
        <v>0</v>
      </c>
      <c r="AA53" s="105">
        <f>IF(OR(ISBLANK(N53), N53=0), 0, IF(OR(M53=Lists!$F$11, M53=Lists!$F$13), 0, 1))</f>
        <v>0</v>
      </c>
      <c r="AB53" s="105">
        <f>IF(OR($C53="", AND(NOT(M53=Lists!$F$11), NOT(M53=Lists!$F$13))),0,IF(ISBLANK(N53)=FALSE,0,1))</f>
        <v>0</v>
      </c>
      <c r="AC53" s="105">
        <f>IF(OR(ISBLANK(P53), P53=0), 0, IF(OR(O53=Lists!$F$11, O53=Lists!$F$13), 0, 1))</f>
        <v>0</v>
      </c>
      <c r="AD53" s="105">
        <f>IF(OR($C53="", AND(NOT(O53=Lists!$F$11), NOT(O53=Lists!$F$13))),0,IF(ISBLANK(P53)=FALSE,0,1))</f>
        <v>0</v>
      </c>
      <c r="AE53" s="84"/>
      <c r="AF53" s="550">
        <f xml:space="preserve"> IF(OR( AND( K53 = Lists!$F$11, '3A'!L53 &lt; 0), AND( '3A'!M53 = Lists!$F$11, '3A'!N53 &lt; 0), AND( '3A'!O53 = Lists!$F$11, '3A'!P53 &lt; 0)), 1, 0)</f>
        <v>0</v>
      </c>
      <c r="AG53" s="550">
        <f xml:space="preserve"> IF( OR( AND( K53 = Lists!$F$13, '3A'!L53 &gt; 0), AND( M53 = Lists!$F$13, '3A'!N53 &gt; 0), AND( O53 = Lists!$F$13, '3A'!P53 &gt; 0 )), 1, 0)</f>
        <v>0</v>
      </c>
      <c r="AH53" s="551"/>
      <c r="AI53" s="742" t="e">
        <f>IF($P$1="Select company","",IF((HLOOKUP(((VLOOKUP($P$1,Lists!$B$4:$C$22,2,FALSE))&amp;'PC LIST'!$J$2),'PC list edited'!$A$2:$DT$65,(B53+1),FALSE))=0,"",HLOOKUP(((VLOOKUP($P$1,Lists!$B$4:$C$22,2,FALSE))&amp; 'PC LIST'!$J$2),'PC list edited'!$A$2:$DT$65,(B53+1),FALSE)))</f>
        <v>#N/A</v>
      </c>
    </row>
    <row r="54" spans="1:35" s="88" customFormat="1" ht="30" customHeight="1" x14ac:dyDescent="0.2">
      <c r="A54" s="87"/>
      <c r="B54" s="297">
        <f t="shared" si="3"/>
        <v>50</v>
      </c>
      <c r="C54" s="538" t="str">
        <f>IF($P$1="Select company","",IF((HLOOKUP((VLOOKUP($P$1,Lists!$B$4:$C$22,2,FALSE)),'PC list edited'!$A$2:$DV$65,(B54+1),FALSE))=0,"",HLOOKUP((VLOOKUP($P$1,Lists!$B$4:$C$22,2,FALSE)),'PC list edited'!$A$2:$DV$65,(B54+1),FALSE)))</f>
        <v/>
      </c>
      <c r="D54" s="853" t="str">
        <f>IF($P$1="Select company","",IF(C54 ="","",HLOOKUP(((VLOOKUP($P$1,Lists!$B$4:$C$22,2,FALSE))&amp;"PC"),'PC list edited'!$A$2:$DV$65,(B54+1),FALSE)))</f>
        <v/>
      </c>
      <c r="E54" s="320" t="str">
        <f>IF($P$1="Select company","",IF(C54 ="","",HLOOKUP(((VLOOKUP($P$1,Lists!$B$4:$C$22,2,FALSE))&amp;"unit"),'PC list edited'!$A$2:$DV$65,(B54+1),FALSE)))</f>
        <v/>
      </c>
      <c r="F54" s="320" t="str">
        <f>IF($P$1="Select company","",IF(C54 ="","",HLOOKUP(((VLOOKUP($P$1,Lists!$B$4:$C$22,2,FALSE))&amp;"UnitDes"),'PC list edited'!$A$2:$DV$65,(B54+1),FALSE)))</f>
        <v/>
      </c>
      <c r="G54" s="320" t="str">
        <f>IF($P$1="Select company","",IF(C54="","",HLOOKUP(((VLOOKUP($P$1,Lists!$B$4:$C$22,2,FALSE))&amp;"DP"),'PC list edited'!$A$2:$DV$65,(B54+1),FALSE)))</f>
        <v/>
      </c>
      <c r="H54" s="320" t="str">
        <f>IF($P$1="Select company","",IF(C54 = "","",HLOOKUP(((VLOOKUP($P$1,Lists!$B$4:$C$22,2,FALSE))&amp;"201516Actual"),'PC list edited'!$A$2:$DV$65,(B54+1),FALSE)))</f>
        <v/>
      </c>
      <c r="I54" s="586"/>
      <c r="J54" s="740"/>
      <c r="K54" s="542"/>
      <c r="L54" s="543"/>
      <c r="M54" s="542"/>
      <c r="N54" s="543"/>
      <c r="O54" s="542"/>
      <c r="P54" s="544"/>
      <c r="Q54" s="137"/>
      <c r="R54" s="548">
        <f t="shared" si="4"/>
        <v>0</v>
      </c>
      <c r="S54" s="28">
        <f t="shared" si="5"/>
        <v>0</v>
      </c>
      <c r="T54" s="83"/>
      <c r="U54" s="84"/>
      <c r="V54" s="105">
        <f t="shared" si="6"/>
        <v>0</v>
      </c>
      <c r="W54" s="105">
        <f>IF($C54="",0,IF(ISBLANK(#REF!)=FALSE,0,1))</f>
        <v>0</v>
      </c>
      <c r="X54" s="105">
        <f t="shared" si="7"/>
        <v>0</v>
      </c>
      <c r="Y54" s="105">
        <f>IF(OR(ISBLANK(L54), L54=0), 0, IF(OR(K54=Lists!$F$11, K54=Lists!$F$13), 0, 1))</f>
        <v>0</v>
      </c>
      <c r="Z54" s="105">
        <f>IF(OR($C54="", AND(NOT(K54=Lists!$F$11), NOT(K54=Lists!$F$13))),0,IF(ISBLANK(L54)=FALSE,0,1))</f>
        <v>0</v>
      </c>
      <c r="AA54" s="105">
        <f>IF(OR(ISBLANK(N54), N54=0), 0, IF(OR(M54=Lists!$F$11, M54=Lists!$F$13), 0, 1))</f>
        <v>0</v>
      </c>
      <c r="AB54" s="105">
        <f>IF(OR($C54="", AND(NOT(M54=Lists!$F$11), NOT(M54=Lists!$F$13))),0,IF(ISBLANK(N54)=FALSE,0,1))</f>
        <v>0</v>
      </c>
      <c r="AC54" s="105">
        <f>IF(OR(ISBLANK(P54), P54=0), 0, IF(OR(O54=Lists!$F$11, O54=Lists!$F$13), 0, 1))</f>
        <v>0</v>
      </c>
      <c r="AD54" s="105">
        <f>IF(OR($C54="", AND(NOT(O54=Lists!$F$11), NOT(O54=Lists!$F$13))),0,IF(ISBLANK(P54)=FALSE,0,1))</f>
        <v>0</v>
      </c>
      <c r="AE54" s="84"/>
      <c r="AF54" s="550">
        <f xml:space="preserve"> IF(OR( AND( K54 = Lists!$F$11, '3A'!L54 &lt; 0), AND( '3A'!M54 = Lists!$F$11, '3A'!N54 &lt; 0), AND( '3A'!O54 = Lists!$F$11, '3A'!P54 &lt; 0)), 1, 0)</f>
        <v>0</v>
      </c>
      <c r="AG54" s="550">
        <f xml:space="preserve"> IF( OR( AND( K54 = Lists!$F$13, '3A'!L54 &gt; 0), AND( M54 = Lists!$F$13, '3A'!N54 &gt; 0), AND( O54 = Lists!$F$13, '3A'!P54 &gt; 0 )), 1, 0)</f>
        <v>0</v>
      </c>
      <c r="AH54" s="551"/>
      <c r="AI54" s="742" t="e">
        <f>IF($P$1="Select company","",IF((HLOOKUP(((VLOOKUP($P$1,Lists!$B$4:$C$22,2,FALSE))&amp;'PC LIST'!$J$2),'PC list edited'!$A$2:$DT$65,(B54+1),FALSE))=0,"",HLOOKUP(((VLOOKUP($P$1,Lists!$B$4:$C$22,2,FALSE))&amp; 'PC LIST'!$J$2),'PC list edited'!$A$2:$DT$65,(B54+1),FALSE)))</f>
        <v>#N/A</v>
      </c>
    </row>
    <row r="55" spans="1:35" s="88" customFormat="1" ht="30" customHeight="1" x14ac:dyDescent="0.2">
      <c r="A55" s="87"/>
      <c r="B55" s="297">
        <f t="shared" si="3"/>
        <v>51</v>
      </c>
      <c r="C55" s="538" t="str">
        <f>IF($P$1="Select company","",IF((HLOOKUP((VLOOKUP($P$1,Lists!$B$4:$C$22,2,FALSE)),'PC list edited'!$A$2:$DV$65,(B55+1),FALSE))=0,"",HLOOKUP((VLOOKUP($P$1,Lists!$B$4:$C$22,2,FALSE)),'PC list edited'!$A$2:$DV$65,(B55+1),FALSE)))</f>
        <v/>
      </c>
      <c r="D55" s="853" t="str">
        <f>IF($P$1="Select company","",IF(C55 ="","",HLOOKUP(((VLOOKUP($P$1,Lists!$B$4:$C$22,2,FALSE))&amp;"PC"),'PC list edited'!$A$2:$DV$65,(B55+1),FALSE)))</f>
        <v/>
      </c>
      <c r="E55" s="320" t="str">
        <f>IF($P$1="Select company","",IF(C55 ="","",HLOOKUP(((VLOOKUP($P$1,Lists!$B$4:$C$22,2,FALSE))&amp;"unit"),'PC list edited'!$A$2:$DV$65,(B55+1),FALSE)))</f>
        <v/>
      </c>
      <c r="F55" s="320" t="str">
        <f>IF($P$1="Select company","",IF(C55 ="","",HLOOKUP(((VLOOKUP($P$1,Lists!$B$4:$C$22,2,FALSE))&amp;"UnitDes"),'PC list edited'!$A$2:$DV$65,(B55+1),FALSE)))</f>
        <v/>
      </c>
      <c r="G55" s="320" t="str">
        <f>IF($P$1="Select company","",IF(C55="","",HLOOKUP(((VLOOKUP($P$1,Lists!$B$4:$C$22,2,FALSE))&amp;"DP"),'PC list edited'!$A$2:$DV$65,(B55+1),FALSE)))</f>
        <v/>
      </c>
      <c r="H55" s="320" t="str">
        <f>IF($P$1="Select company","",IF(C55 = "","",HLOOKUP(((VLOOKUP($P$1,Lists!$B$4:$C$22,2,FALSE))&amp;"201516Actual"),'PC list edited'!$A$2:$DV$65,(B55+1),FALSE)))</f>
        <v/>
      </c>
      <c r="I55" s="586"/>
      <c r="J55" s="740"/>
      <c r="K55" s="542"/>
      <c r="L55" s="543"/>
      <c r="M55" s="542"/>
      <c r="N55" s="543"/>
      <c r="O55" s="542"/>
      <c r="P55" s="544"/>
      <c r="Q55" s="137"/>
      <c r="R55" s="548">
        <f t="shared" si="4"/>
        <v>0</v>
      </c>
      <c r="S55" s="28">
        <f t="shared" si="5"/>
        <v>0</v>
      </c>
      <c r="T55" s="83"/>
      <c r="U55" s="84"/>
      <c r="V55" s="105">
        <f t="shared" si="6"/>
        <v>0</v>
      </c>
      <c r="W55" s="105">
        <f>IF($C55="",0,IF(ISBLANK(#REF!)=FALSE,0,1))</f>
        <v>0</v>
      </c>
      <c r="X55" s="105">
        <f t="shared" si="7"/>
        <v>0</v>
      </c>
      <c r="Y55" s="105">
        <f>IF(OR(ISBLANK(L55), L55=0), 0, IF(OR(K55=Lists!$F$11, K55=Lists!$F$13), 0, 1))</f>
        <v>0</v>
      </c>
      <c r="Z55" s="105">
        <f>IF(OR($C55="", AND(NOT(K55=Lists!$F$11), NOT(K55=Lists!$F$13))),0,IF(ISBLANK(L55)=FALSE,0,1))</f>
        <v>0</v>
      </c>
      <c r="AA55" s="105">
        <f>IF(OR(ISBLANK(N55), N55=0), 0, IF(OR(M55=Lists!$F$11, M55=Lists!$F$13), 0, 1))</f>
        <v>0</v>
      </c>
      <c r="AB55" s="105">
        <f>IF(OR($C55="", AND(NOT(M55=Lists!$F$11), NOT(M55=Lists!$F$13))),0,IF(ISBLANK(N55)=FALSE,0,1))</f>
        <v>0</v>
      </c>
      <c r="AC55" s="105">
        <f>IF(OR(ISBLANK(P55), P55=0), 0, IF(OR(O55=Lists!$F$11, O55=Lists!$F$13), 0, 1))</f>
        <v>0</v>
      </c>
      <c r="AD55" s="105">
        <f>IF(OR($C55="", AND(NOT(O55=Lists!$F$11), NOT(O55=Lists!$F$13))),0,IF(ISBLANK(P55)=FALSE,0,1))</f>
        <v>0</v>
      </c>
      <c r="AE55" s="84"/>
      <c r="AF55" s="550">
        <f xml:space="preserve"> IF(OR( AND( K55 = Lists!$F$11, '3A'!L55 &lt; 0), AND( '3A'!M55 = Lists!$F$11, '3A'!N55 &lt; 0), AND( '3A'!O55 = Lists!$F$11, '3A'!P55 &lt; 0)), 1, 0)</f>
        <v>0</v>
      </c>
      <c r="AG55" s="550">
        <f xml:space="preserve"> IF( OR( AND( K55 = Lists!$F$13, '3A'!L55 &gt; 0), AND( M55 = Lists!$F$13, '3A'!N55 &gt; 0), AND( O55 = Lists!$F$13, '3A'!P55 &gt; 0 )), 1, 0)</f>
        <v>0</v>
      </c>
      <c r="AH55" s="551"/>
      <c r="AI55" s="742" t="e">
        <f>IF($P$1="Select company","",IF((HLOOKUP(((VLOOKUP($P$1,Lists!$B$4:$C$22,2,FALSE))&amp;'PC LIST'!$J$2),'PC list edited'!$A$2:$DT$65,(B55+1),FALSE))=0,"",HLOOKUP(((VLOOKUP($P$1,Lists!$B$4:$C$22,2,FALSE))&amp; 'PC LIST'!$J$2),'PC list edited'!$A$2:$DT$65,(B55+1),FALSE)))</f>
        <v>#N/A</v>
      </c>
    </row>
    <row r="56" spans="1:35" s="88" customFormat="1" ht="30" customHeight="1" x14ac:dyDescent="0.2">
      <c r="A56" s="87"/>
      <c r="B56" s="297">
        <f t="shared" si="3"/>
        <v>52</v>
      </c>
      <c r="C56" s="538" t="str">
        <f>IF($P$1="Select company","",IF((HLOOKUP((VLOOKUP($P$1,Lists!$B$4:$C$22,2,FALSE)),'PC list edited'!$A$2:$DV$65,(B56+1),FALSE))=0,"",HLOOKUP((VLOOKUP($P$1,Lists!$B$4:$C$22,2,FALSE)),'PC list edited'!$A$2:$DV$65,(B56+1),FALSE)))</f>
        <v/>
      </c>
      <c r="D56" s="853" t="str">
        <f>IF($P$1="Select company","",IF(C56 ="","",HLOOKUP(((VLOOKUP($P$1,Lists!$B$4:$C$22,2,FALSE))&amp;"PC"),'PC list edited'!$A$2:$DV$65,(B56+1),FALSE)))</f>
        <v/>
      </c>
      <c r="E56" s="320" t="str">
        <f>IF($P$1="Select company","",IF(C56 ="","",HLOOKUP(((VLOOKUP($P$1,Lists!$B$4:$C$22,2,FALSE))&amp;"unit"),'PC list edited'!$A$2:$DV$65,(B56+1),FALSE)))</f>
        <v/>
      </c>
      <c r="F56" s="320" t="str">
        <f>IF($P$1="Select company","",IF(C56 ="","",HLOOKUP(((VLOOKUP($P$1,Lists!$B$4:$C$22,2,FALSE))&amp;"UnitDes"),'PC list edited'!$A$2:$DV$65,(B56+1),FALSE)))</f>
        <v/>
      </c>
      <c r="G56" s="320" t="str">
        <f>IF($P$1="Select company","",IF(C56="","",HLOOKUP(((VLOOKUP($P$1,Lists!$B$4:$C$22,2,FALSE))&amp;"DP"),'PC list edited'!$A$2:$DV$65,(B56+1),FALSE)))</f>
        <v/>
      </c>
      <c r="H56" s="320" t="str">
        <f>IF($P$1="Select company","",IF(C56 = "","",HLOOKUP(((VLOOKUP($P$1,Lists!$B$4:$C$22,2,FALSE))&amp;"201516Actual"),'PC list edited'!$A$2:$DV$65,(B56+1),FALSE)))</f>
        <v/>
      </c>
      <c r="I56" s="586"/>
      <c r="J56" s="740"/>
      <c r="K56" s="542"/>
      <c r="L56" s="543"/>
      <c r="M56" s="542"/>
      <c r="N56" s="543"/>
      <c r="O56" s="542"/>
      <c r="P56" s="544"/>
      <c r="Q56" s="137"/>
      <c r="R56" s="548">
        <f t="shared" si="4"/>
        <v>0</v>
      </c>
      <c r="S56" s="28">
        <f t="shared" si="5"/>
        <v>0</v>
      </c>
      <c r="T56" s="83"/>
      <c r="U56" s="84"/>
      <c r="V56" s="105">
        <f t="shared" si="6"/>
        <v>0</v>
      </c>
      <c r="W56" s="105">
        <f>IF($C56="",0,IF(ISBLANK(#REF!)=FALSE,0,1))</f>
        <v>0</v>
      </c>
      <c r="X56" s="105">
        <f t="shared" si="7"/>
        <v>0</v>
      </c>
      <c r="Y56" s="105">
        <f>IF(OR(ISBLANK(L56), L56=0), 0, IF(OR(K56=Lists!$F$11, K56=Lists!$F$13), 0, 1))</f>
        <v>0</v>
      </c>
      <c r="Z56" s="105">
        <f>IF(OR($C56="", AND(NOT(K56=Lists!$F$11), NOT(K56=Lists!$F$13))),0,IF(ISBLANK(L56)=FALSE,0,1))</f>
        <v>0</v>
      </c>
      <c r="AA56" s="105">
        <f>IF(OR(ISBLANK(N56), N56=0), 0, IF(OR(M56=Lists!$F$11, M56=Lists!$F$13), 0, 1))</f>
        <v>0</v>
      </c>
      <c r="AB56" s="105">
        <f>IF(OR($C56="", AND(NOT(M56=Lists!$F$11), NOT(M56=Lists!$F$13))),0,IF(ISBLANK(N56)=FALSE,0,1))</f>
        <v>0</v>
      </c>
      <c r="AC56" s="105">
        <f>IF(OR(ISBLANK(P56), P56=0), 0, IF(OR(O56=Lists!$F$11, O56=Lists!$F$13), 0, 1))</f>
        <v>0</v>
      </c>
      <c r="AD56" s="105">
        <f>IF(OR($C56="", AND(NOT(O56=Lists!$F$11), NOT(O56=Lists!$F$13))),0,IF(ISBLANK(P56)=FALSE,0,1))</f>
        <v>0</v>
      </c>
      <c r="AE56" s="84"/>
      <c r="AF56" s="550">
        <f xml:space="preserve"> IF(OR( AND( K56 = Lists!$F$11, '3A'!L56 &lt; 0), AND( '3A'!M56 = Lists!$F$11, '3A'!N56 &lt; 0), AND( '3A'!O56 = Lists!$F$11, '3A'!P56 &lt; 0)), 1, 0)</f>
        <v>0</v>
      </c>
      <c r="AG56" s="550">
        <f xml:space="preserve"> IF( OR( AND( K56 = Lists!$F$13, '3A'!L56 &gt; 0), AND( M56 = Lists!$F$13, '3A'!N56 &gt; 0), AND( O56 = Lists!$F$13, '3A'!P56 &gt; 0 )), 1, 0)</f>
        <v>0</v>
      </c>
      <c r="AH56" s="551"/>
      <c r="AI56" s="742" t="e">
        <f>IF($P$1="Select company","",IF((HLOOKUP(((VLOOKUP($P$1,Lists!$B$4:$C$22,2,FALSE))&amp;'PC LIST'!$J$2),'PC list edited'!$A$2:$DT$65,(B56+1),FALSE))=0,"",HLOOKUP(((VLOOKUP($P$1,Lists!$B$4:$C$22,2,FALSE))&amp; 'PC LIST'!$J$2),'PC list edited'!$A$2:$DT$65,(B56+1),FALSE)))</f>
        <v>#N/A</v>
      </c>
    </row>
    <row r="57" spans="1:35" s="88" customFormat="1" ht="30" customHeight="1" x14ac:dyDescent="0.2">
      <c r="A57" s="87"/>
      <c r="B57" s="297">
        <f t="shared" si="3"/>
        <v>53</v>
      </c>
      <c r="C57" s="538" t="str">
        <f>IF($P$1="Select company","",IF((HLOOKUP((VLOOKUP($P$1,Lists!$B$4:$C$22,2,FALSE)),'PC list edited'!$A$2:$DV$65,(B57+1),FALSE))=0,"",HLOOKUP((VLOOKUP($P$1,Lists!$B$4:$C$22,2,FALSE)),'PC list edited'!$A$2:$DV$65,(B57+1),FALSE)))</f>
        <v/>
      </c>
      <c r="D57" s="853" t="str">
        <f>IF($P$1="Select company","",IF(C57 ="","",HLOOKUP(((VLOOKUP($P$1,Lists!$B$4:$C$22,2,FALSE))&amp;"PC"),'PC list edited'!$A$2:$DV$65,(B57+1),FALSE)))</f>
        <v/>
      </c>
      <c r="E57" s="320" t="str">
        <f>IF($P$1="Select company","",IF(C57 ="","",HLOOKUP(((VLOOKUP($P$1,Lists!$B$4:$C$22,2,FALSE))&amp;"unit"),'PC list edited'!$A$2:$DV$65,(B57+1),FALSE)))</f>
        <v/>
      </c>
      <c r="F57" s="320" t="str">
        <f>IF($P$1="Select company","",IF(C57 ="","",HLOOKUP(((VLOOKUP($P$1,Lists!$B$4:$C$22,2,FALSE))&amp;"UnitDes"),'PC list edited'!$A$2:$DV$65,(B57+1),FALSE)))</f>
        <v/>
      </c>
      <c r="G57" s="320" t="str">
        <f>IF($P$1="Select company","",IF(C57="","",HLOOKUP(((VLOOKUP($P$1,Lists!$B$4:$C$22,2,FALSE))&amp;"DP"),'PC list edited'!$A$2:$DV$65,(B57+1),FALSE)))</f>
        <v/>
      </c>
      <c r="H57" s="320" t="str">
        <f>IF($P$1="Select company","",IF(C57 = "","",HLOOKUP(((VLOOKUP($P$1,Lists!$B$4:$C$22,2,FALSE))&amp;"201516Actual"),'PC list edited'!$A$2:$DV$65,(B57+1),FALSE)))</f>
        <v/>
      </c>
      <c r="I57" s="586"/>
      <c r="J57" s="740"/>
      <c r="K57" s="542"/>
      <c r="L57" s="543"/>
      <c r="M57" s="542"/>
      <c r="N57" s="543"/>
      <c r="O57" s="542"/>
      <c r="P57" s="544"/>
      <c r="Q57" s="137"/>
      <c r="R57" s="548">
        <f t="shared" si="4"/>
        <v>0</v>
      </c>
      <c r="S57" s="28">
        <f t="shared" si="5"/>
        <v>0</v>
      </c>
      <c r="T57" s="83"/>
      <c r="U57" s="84"/>
      <c r="V57" s="105">
        <f t="shared" si="6"/>
        <v>0</v>
      </c>
      <c r="W57" s="105">
        <f>IF($C57="",0,IF(ISBLANK(#REF!)=FALSE,0,1))</f>
        <v>0</v>
      </c>
      <c r="X57" s="105">
        <f t="shared" si="7"/>
        <v>0</v>
      </c>
      <c r="Y57" s="105">
        <f>IF(OR(ISBLANK(L57), L57=0), 0, IF(OR(K57=Lists!$F$11, K57=Lists!$F$13), 0, 1))</f>
        <v>0</v>
      </c>
      <c r="Z57" s="105">
        <f>IF(OR($C57="", AND(NOT(K57=Lists!$F$11), NOT(K57=Lists!$F$13))),0,IF(ISBLANK(L57)=FALSE,0,1))</f>
        <v>0</v>
      </c>
      <c r="AA57" s="105">
        <f>IF(OR(ISBLANK(N57), N57=0), 0, IF(OR(M57=Lists!$F$11, M57=Lists!$F$13), 0, 1))</f>
        <v>0</v>
      </c>
      <c r="AB57" s="105">
        <f>IF(OR($C57="", AND(NOT(M57=Lists!$F$11), NOT(M57=Lists!$F$13))),0,IF(ISBLANK(N57)=FALSE,0,1))</f>
        <v>0</v>
      </c>
      <c r="AC57" s="105">
        <f>IF(OR(ISBLANK(P57), P57=0), 0, IF(OR(O57=Lists!$F$11, O57=Lists!$F$13), 0, 1))</f>
        <v>0</v>
      </c>
      <c r="AD57" s="105">
        <f>IF(OR($C57="", AND(NOT(O57=Lists!$F$11), NOT(O57=Lists!$F$13))),0,IF(ISBLANK(P57)=FALSE,0,1))</f>
        <v>0</v>
      </c>
      <c r="AE57" s="84"/>
      <c r="AF57" s="550">
        <f xml:space="preserve"> IF(OR( AND( K57 = Lists!$F$11, '3A'!L57 &lt; 0), AND( '3A'!M57 = Lists!$F$11, '3A'!N57 &lt; 0), AND( '3A'!O57 = Lists!$F$11, '3A'!P57 &lt; 0)), 1, 0)</f>
        <v>0</v>
      </c>
      <c r="AG57" s="550">
        <f xml:space="preserve"> IF( OR( AND( K57 = Lists!$F$13, '3A'!L57 &gt; 0), AND( M57 = Lists!$F$13, '3A'!N57 &gt; 0), AND( O57 = Lists!$F$13, '3A'!P57 &gt; 0 )), 1, 0)</f>
        <v>0</v>
      </c>
      <c r="AH57" s="551"/>
      <c r="AI57" s="742" t="e">
        <f>IF($P$1="Select company","",IF((HLOOKUP(((VLOOKUP($P$1,Lists!$B$4:$C$22,2,FALSE))&amp;'PC LIST'!$J$2),'PC list edited'!$A$2:$DT$65,(B57+1),FALSE))=0,"",HLOOKUP(((VLOOKUP($P$1,Lists!$B$4:$C$22,2,FALSE))&amp; 'PC LIST'!$J$2),'PC list edited'!$A$2:$DT$65,(B57+1),FALSE)))</f>
        <v>#N/A</v>
      </c>
    </row>
    <row r="58" spans="1:35" s="88" customFormat="1" ht="30" customHeight="1" x14ac:dyDescent="0.2">
      <c r="A58" s="87"/>
      <c r="B58" s="297">
        <f t="shared" si="3"/>
        <v>54</v>
      </c>
      <c r="C58" s="538" t="str">
        <f>IF($P$1="Select company","",IF((HLOOKUP((VLOOKUP($P$1,Lists!$B$4:$C$22,2,FALSE)),'PC list edited'!$A$2:$DV$65,(B58+1),FALSE))=0,"",HLOOKUP((VLOOKUP($P$1,Lists!$B$4:$C$22,2,FALSE)),'PC list edited'!$A$2:$DV$65,(B58+1),FALSE)))</f>
        <v/>
      </c>
      <c r="D58" s="853" t="str">
        <f>IF($P$1="Select company","",IF(C58 ="","",HLOOKUP(((VLOOKUP($P$1,Lists!$B$4:$C$22,2,FALSE))&amp;"PC"),'PC list edited'!$A$2:$DV$65,(B58+1),FALSE)))</f>
        <v/>
      </c>
      <c r="E58" s="320" t="str">
        <f>IF($P$1="Select company","",IF(C58 ="","",HLOOKUP(((VLOOKUP($P$1,Lists!$B$4:$C$22,2,FALSE))&amp;"unit"),'PC list edited'!$A$2:$DV$65,(B58+1),FALSE)))</f>
        <v/>
      </c>
      <c r="F58" s="320" t="str">
        <f>IF($P$1="Select company","",IF(C58 ="","",HLOOKUP(((VLOOKUP($P$1,Lists!$B$4:$C$22,2,FALSE))&amp;"UnitDes"),'PC list edited'!$A$2:$DV$65,(B58+1),FALSE)))</f>
        <v/>
      </c>
      <c r="G58" s="320" t="str">
        <f>IF($P$1="Select company","",IF(C58="","",HLOOKUP(((VLOOKUP($P$1,Lists!$B$4:$C$22,2,FALSE))&amp;"DP"),'PC list edited'!$A$2:$DV$65,(B58+1),FALSE)))</f>
        <v/>
      </c>
      <c r="H58" s="320" t="str">
        <f>IF($P$1="Select company","",IF(C58 = "","",HLOOKUP(((VLOOKUP($P$1,Lists!$B$4:$C$22,2,FALSE))&amp;"201516Actual"),'PC list edited'!$A$2:$DV$65,(B58+1),FALSE)))</f>
        <v/>
      </c>
      <c r="I58" s="586"/>
      <c r="J58" s="740"/>
      <c r="K58" s="542"/>
      <c r="L58" s="543"/>
      <c r="M58" s="542"/>
      <c r="N58" s="543"/>
      <c r="O58" s="542"/>
      <c r="P58" s="544"/>
      <c r="Q58" s="137"/>
      <c r="R58" s="548">
        <f t="shared" si="4"/>
        <v>0</v>
      </c>
      <c r="S58" s="28">
        <f t="shared" si="5"/>
        <v>0</v>
      </c>
      <c r="T58" s="83"/>
      <c r="U58" s="84"/>
      <c r="V58" s="105">
        <f t="shared" si="6"/>
        <v>0</v>
      </c>
      <c r="W58" s="105">
        <f>IF($C58="",0,IF(ISBLANK(#REF!)=FALSE,0,1))</f>
        <v>0</v>
      </c>
      <c r="X58" s="105">
        <f t="shared" si="7"/>
        <v>0</v>
      </c>
      <c r="Y58" s="105">
        <f>IF(OR(ISBLANK(L58), L58=0), 0, IF(OR(K58=Lists!$F$11, K58=Lists!$F$13), 0, 1))</f>
        <v>0</v>
      </c>
      <c r="Z58" s="105">
        <f>IF(OR($C58="", AND(NOT(K58=Lists!$F$11), NOT(K58=Lists!$F$13))),0,IF(ISBLANK(L58)=FALSE,0,1))</f>
        <v>0</v>
      </c>
      <c r="AA58" s="105">
        <f>IF(OR(ISBLANK(N58), N58=0), 0, IF(OR(M58=Lists!$F$11, M58=Lists!$F$13), 0, 1))</f>
        <v>0</v>
      </c>
      <c r="AB58" s="105">
        <f>IF(OR($C58="", AND(NOT(M58=Lists!$F$11), NOT(M58=Lists!$F$13))),0,IF(ISBLANK(N58)=FALSE,0,1))</f>
        <v>0</v>
      </c>
      <c r="AC58" s="105">
        <f>IF(OR(ISBLANK(P58), P58=0), 0, IF(OR(O58=Lists!$F$11, O58=Lists!$F$13), 0, 1))</f>
        <v>0</v>
      </c>
      <c r="AD58" s="105">
        <f>IF(OR($C58="", AND(NOT(O58=Lists!$F$11), NOT(O58=Lists!$F$13))),0,IF(ISBLANK(P58)=FALSE,0,1))</f>
        <v>0</v>
      </c>
      <c r="AE58" s="84"/>
      <c r="AF58" s="550">
        <f xml:space="preserve"> IF(OR( AND( K58 = Lists!$F$11, '3A'!L58 &lt; 0), AND( '3A'!M58 = Lists!$F$11, '3A'!N58 &lt; 0), AND( '3A'!O58 = Lists!$F$11, '3A'!P58 &lt; 0)), 1, 0)</f>
        <v>0</v>
      </c>
      <c r="AG58" s="550">
        <f xml:space="preserve"> IF( OR( AND( K58 = Lists!$F$13, '3A'!L58 &gt; 0), AND( M58 = Lists!$F$13, '3A'!N58 &gt; 0), AND( O58 = Lists!$F$13, '3A'!P58 &gt; 0 )), 1, 0)</f>
        <v>0</v>
      </c>
      <c r="AH58" s="551"/>
      <c r="AI58" s="742" t="e">
        <f>IF($P$1="Select company","",IF((HLOOKUP(((VLOOKUP($P$1,Lists!$B$4:$C$22,2,FALSE))&amp;'PC LIST'!$J$2),'PC list edited'!$A$2:$DT$65,(B58+1),FALSE))=0,"",HLOOKUP(((VLOOKUP($P$1,Lists!$B$4:$C$22,2,FALSE))&amp; 'PC LIST'!$J$2),'PC list edited'!$A$2:$DT$65,(B58+1),FALSE)))</f>
        <v>#N/A</v>
      </c>
    </row>
    <row r="59" spans="1:35" s="88" customFormat="1" ht="30" customHeight="1" thickBot="1" x14ac:dyDescent="0.25">
      <c r="A59" s="87"/>
      <c r="B59" s="298">
        <f t="shared" si="3"/>
        <v>55</v>
      </c>
      <c r="C59" s="723" t="str">
        <f>IF($P$1="Select company","",IF((HLOOKUP((VLOOKUP($P$1,Lists!$B$4:$C$22,2,FALSE)),'PC list edited'!$A$2:$DV$65,(B59+1),FALSE))=0,"",HLOOKUP((VLOOKUP($P$1,Lists!$B$4:$C$22,2,FALSE)),'PC list edited'!$A$2:$DV$65,(B59+1),FALSE)))</f>
        <v/>
      </c>
      <c r="D59" s="852" t="str">
        <f>IF($P$1="Select company","",IF(C59 ="","",HLOOKUP(((VLOOKUP($P$1,Lists!$B$4:$C$22,2,FALSE))&amp;"PC"),'PC list edited'!$A$2:$DV$65,(B59+1),FALSE)))</f>
        <v/>
      </c>
      <c r="E59" s="321" t="str">
        <f>IF($P$1="Select company","",IF(C59 ="","",HLOOKUP(((VLOOKUP($P$1,Lists!$B$4:$C$22,2,FALSE))&amp;"unit"),'PC list edited'!$A$2:$DV$65,(B59+1),FALSE)))</f>
        <v/>
      </c>
      <c r="F59" s="321" t="str">
        <f>IF($P$1="Select company","",IF(C59 ="","",HLOOKUP(((VLOOKUP($P$1,Lists!$B$4:$C$22,2,FALSE))&amp;"UnitDes"),'PC list edited'!$A$2:$DV$65,(B59+1),FALSE)))</f>
        <v/>
      </c>
      <c r="G59" s="321" t="str">
        <f>IF($P$1="Select company","",IF(C59="","",HLOOKUP(((VLOOKUP($P$1,Lists!$B$4:$C$22,2,FALSE))&amp;"DP"),'PC list edited'!$A$2:$DV$65,(B59+1),FALSE)))</f>
        <v/>
      </c>
      <c r="H59" s="321" t="str">
        <f>IF($P$1="Select company","",IF(C59 = "","",HLOOKUP(((VLOOKUP($P$1,Lists!$B$4:$C$22,2,FALSE))&amp;"201516Actual"),'PC list edited'!$A$2:$DV$65,(B59+1),FALSE)))</f>
        <v/>
      </c>
      <c r="I59" s="588"/>
      <c r="J59" s="741"/>
      <c r="K59" s="545"/>
      <c r="L59" s="546"/>
      <c r="M59" s="545"/>
      <c r="N59" s="546"/>
      <c r="O59" s="545"/>
      <c r="P59" s="547"/>
      <c r="Q59" s="137"/>
      <c r="R59" s="548">
        <f t="shared" si="4"/>
        <v>0</v>
      </c>
      <c r="S59" s="28">
        <f t="shared" si="5"/>
        <v>0</v>
      </c>
      <c r="T59" s="83"/>
      <c r="U59" s="84"/>
      <c r="V59" s="105">
        <f t="shared" si="6"/>
        <v>0</v>
      </c>
      <c r="W59" s="105">
        <f>IF($C59="",0,IF(ISBLANK(#REF!)=FALSE,0,1))</f>
        <v>0</v>
      </c>
      <c r="X59" s="105">
        <f t="shared" si="7"/>
        <v>0</v>
      </c>
      <c r="Y59" s="105">
        <f>IF(OR(ISBLANK(L59), L59=0), 0, IF(OR(K59=Lists!$F$11, K59=Lists!$F$13), 0, 1))</f>
        <v>0</v>
      </c>
      <c r="Z59" s="105">
        <f>IF(OR($C59="", AND(NOT(K59=Lists!$F$11), NOT(K59=Lists!$F$13))),0,IF(ISBLANK(L59)=FALSE,0,1))</f>
        <v>0</v>
      </c>
      <c r="AA59" s="105">
        <f>IF(OR(ISBLANK(N59), N59=0), 0, IF(OR(M59=Lists!$F$11, M59=Lists!$F$13), 0, 1))</f>
        <v>0</v>
      </c>
      <c r="AB59" s="105">
        <f>IF(OR($C59="", AND(NOT(M59=Lists!$F$11), NOT(M59=Lists!$F$13))),0,IF(ISBLANK(N59)=FALSE,0,1))</f>
        <v>0</v>
      </c>
      <c r="AC59" s="105">
        <f>IF(OR(ISBLANK(P59), P59=0), 0, IF(OR(O59=Lists!$F$11, O59=Lists!$F$13), 0, 1))</f>
        <v>0</v>
      </c>
      <c r="AD59" s="105">
        <f>IF(OR($C59="", AND(NOT(O59=Lists!$F$11), NOT(O59=Lists!$F$13))),0,IF(ISBLANK(P59)=FALSE,0,1))</f>
        <v>0</v>
      </c>
      <c r="AE59" s="84"/>
      <c r="AF59" s="550">
        <f xml:space="preserve"> IF(OR( AND( K59 = Lists!$F$11, '3A'!L59 &lt; 0), AND( '3A'!M59 = Lists!$F$11, '3A'!N59 &lt; 0), AND( '3A'!O59 = Lists!$F$11, '3A'!P59 &lt; 0)), 1, 0)</f>
        <v>0</v>
      </c>
      <c r="AG59" s="550">
        <f xml:space="preserve"> IF( OR( AND( K59 = Lists!$F$13, '3A'!L59 &gt; 0), AND( M59 = Lists!$F$13, '3A'!N59 &gt; 0), AND( O59 = Lists!$F$13, '3A'!P59 &gt; 0 )), 1, 0)</f>
        <v>0</v>
      </c>
      <c r="AH59" s="551"/>
      <c r="AI59" s="742" t="e">
        <f>IF($P$1="Select company","",IF((HLOOKUP(((VLOOKUP($P$1,Lists!$B$4:$C$22,2,FALSE))&amp;'PC LIST'!$J$2),'PC list edited'!$A$2:$DT$65,(B59+1),FALSE))=0,"",HLOOKUP(((VLOOKUP($P$1,Lists!$B$4:$C$22,2,FALSE))&amp; 'PC LIST'!$J$2),'PC list edited'!$A$2:$DT$65,(B59+1),FALSE)))</f>
        <v>#N/A</v>
      </c>
    </row>
    <row r="60" spans="1:35" s="88" customFormat="1" x14ac:dyDescent="0.2">
      <c r="A60" s="87"/>
      <c r="B60" s="279"/>
      <c r="C60" s="279"/>
      <c r="D60" s="87"/>
      <c r="E60" s="169"/>
      <c r="F60" s="169"/>
      <c r="G60" s="169"/>
      <c r="H60" s="169"/>
      <c r="I60" s="174"/>
      <c r="J60" s="87"/>
      <c r="K60" s="87"/>
      <c r="L60" s="87"/>
      <c r="M60" s="87"/>
      <c r="N60" s="87"/>
      <c r="O60" s="87"/>
      <c r="P60" s="87"/>
      <c r="Q60" s="137"/>
      <c r="R60" s="137"/>
      <c r="S60" s="83"/>
      <c r="T60" s="83"/>
      <c r="U60" s="84"/>
      <c r="V60" s="83"/>
      <c r="W60" s="83"/>
      <c r="X60" s="83"/>
      <c r="Y60" s="83"/>
      <c r="Z60" s="83"/>
      <c r="AA60" s="83"/>
      <c r="AB60" s="83"/>
      <c r="AC60" s="83"/>
      <c r="AD60" s="83"/>
      <c r="AE60" s="84"/>
      <c r="AH60" s="551"/>
    </row>
    <row r="61" spans="1:35" s="169" customFormat="1" x14ac:dyDescent="0.2">
      <c r="B61" s="322" t="s">
        <v>101</v>
      </c>
      <c r="C61" s="322"/>
      <c r="I61" s="791"/>
      <c r="P61" s="135"/>
      <c r="Q61" s="83"/>
      <c r="R61" s="83"/>
      <c r="S61" s="83"/>
      <c r="T61" s="83"/>
      <c r="U61" s="84"/>
      <c r="V61" s="83"/>
      <c r="W61" s="83"/>
      <c r="X61" s="83"/>
      <c r="Y61" s="83"/>
      <c r="Z61" s="83"/>
      <c r="AA61" s="83"/>
      <c r="AB61" s="83"/>
      <c r="AC61" s="83"/>
      <c r="AD61" s="83"/>
      <c r="AE61" s="84"/>
      <c r="AH61" s="552"/>
    </row>
    <row r="62" spans="1:35" s="169" customFormat="1" x14ac:dyDescent="0.2">
      <c r="B62" s="146"/>
      <c r="C62" s="146"/>
      <c r="I62" s="791"/>
      <c r="O62" s="135"/>
      <c r="Q62" s="83"/>
      <c r="R62" s="83"/>
      <c r="S62" s="83"/>
      <c r="T62" s="83"/>
      <c r="U62" s="84"/>
      <c r="V62" s="83"/>
      <c r="W62" s="83"/>
      <c r="X62" s="83"/>
      <c r="Y62" s="83"/>
      <c r="Z62" s="83"/>
      <c r="AA62" s="83"/>
      <c r="AB62" s="83"/>
      <c r="AC62" s="83"/>
      <c r="AD62" s="83"/>
      <c r="AE62" s="84"/>
      <c r="AH62" s="552"/>
    </row>
    <row r="63" spans="1:35" s="169" customFormat="1" x14ac:dyDescent="0.2">
      <c r="B63" s="29"/>
      <c r="C63" s="148" t="s">
        <v>102</v>
      </c>
      <c r="I63" s="791"/>
      <c r="O63" s="135"/>
      <c r="Q63" s="83"/>
      <c r="R63" s="83"/>
      <c r="S63" s="83"/>
      <c r="T63" s="83"/>
      <c r="U63" s="84"/>
      <c r="V63" s="83"/>
      <c r="W63" s="83"/>
      <c r="X63" s="83"/>
      <c r="Y63" s="83"/>
      <c r="Z63" s="83"/>
      <c r="AA63" s="83"/>
      <c r="AB63" s="83"/>
      <c r="AC63" s="83"/>
      <c r="AD63" s="83"/>
      <c r="AE63" s="84"/>
      <c r="AH63" s="552"/>
    </row>
    <row r="64" spans="1:35" s="169" customFormat="1" x14ac:dyDescent="0.2">
      <c r="B64" s="146"/>
      <c r="C64" s="147"/>
      <c r="I64" s="791"/>
      <c r="O64" s="135"/>
      <c r="Q64" s="83"/>
      <c r="R64" s="83"/>
      <c r="S64" s="83"/>
      <c r="T64" s="83"/>
      <c r="U64" s="84"/>
      <c r="V64" s="83"/>
      <c r="W64" s="83"/>
      <c r="X64" s="83"/>
      <c r="Y64" s="83"/>
      <c r="Z64" s="83"/>
      <c r="AA64" s="83"/>
      <c r="AB64" s="83"/>
      <c r="AC64" s="83"/>
      <c r="AD64" s="83"/>
      <c r="AE64" s="84"/>
      <c r="AH64" s="552"/>
    </row>
    <row r="65" spans="1:34" s="169" customFormat="1" x14ac:dyDescent="0.2">
      <c r="B65" s="149"/>
      <c r="C65" s="148" t="s">
        <v>103</v>
      </c>
      <c r="I65" s="791"/>
      <c r="O65" s="135"/>
      <c r="Q65" s="83"/>
      <c r="R65" s="83"/>
      <c r="S65" s="83"/>
      <c r="T65" s="83"/>
      <c r="U65" s="84"/>
      <c r="V65" s="83"/>
      <c r="W65" s="83"/>
      <c r="X65" s="83"/>
      <c r="Y65" s="83"/>
      <c r="Z65" s="83"/>
      <c r="AA65" s="83"/>
      <c r="AB65" s="83"/>
      <c r="AC65" s="83"/>
      <c r="AD65" s="83"/>
      <c r="AE65" s="84"/>
      <c r="AH65" s="552"/>
    </row>
    <row r="66" spans="1:34" s="169" customFormat="1" x14ac:dyDescent="0.2">
      <c r="B66" s="150"/>
      <c r="C66" s="148"/>
      <c r="I66" s="791"/>
      <c r="O66" s="135"/>
      <c r="Q66" s="83"/>
      <c r="R66" s="83"/>
      <c r="S66" s="83"/>
      <c r="T66" s="83"/>
      <c r="U66" s="84"/>
      <c r="V66" s="83"/>
      <c r="W66" s="83"/>
      <c r="X66" s="83"/>
      <c r="Y66" s="83"/>
      <c r="Z66" s="83"/>
      <c r="AA66" s="83"/>
      <c r="AB66" s="83"/>
      <c r="AC66" s="83"/>
      <c r="AD66" s="83"/>
      <c r="AE66" s="84"/>
      <c r="AH66" s="552"/>
    </row>
    <row r="67" spans="1:34" s="169" customFormat="1" x14ac:dyDescent="0.2">
      <c r="B67" s="151"/>
      <c r="C67" s="148" t="s">
        <v>104</v>
      </c>
      <c r="I67" s="791"/>
      <c r="O67" s="135"/>
      <c r="Q67" s="83"/>
      <c r="R67" s="83"/>
      <c r="S67" s="83"/>
      <c r="T67" s="83"/>
      <c r="U67" s="84"/>
      <c r="V67" s="83"/>
      <c r="W67" s="83"/>
      <c r="X67" s="83"/>
      <c r="Y67" s="83"/>
      <c r="Z67" s="83"/>
      <c r="AA67" s="83"/>
      <c r="AB67" s="83"/>
      <c r="AC67" s="83"/>
      <c r="AD67" s="83"/>
      <c r="AE67" s="84"/>
      <c r="AH67" s="552"/>
    </row>
    <row r="68" spans="1:34" s="186" customFormat="1" x14ac:dyDescent="0.2">
      <c r="A68" s="156"/>
      <c r="B68" s="156"/>
      <c r="C68" s="157"/>
      <c r="I68" s="792"/>
      <c r="K68" s="323"/>
      <c r="L68" s="87"/>
      <c r="M68" s="83"/>
      <c r="N68" s="83"/>
      <c r="T68" s="87"/>
      <c r="U68" s="84"/>
      <c r="V68" s="83"/>
      <c r="W68" s="83"/>
      <c r="X68" s="83"/>
      <c r="AE68" s="84"/>
      <c r="AH68" s="553"/>
    </row>
    <row r="69" spans="1:34" ht="15" thickBot="1" x14ac:dyDescent="0.25"/>
    <row r="70" spans="1:34" s="122" customFormat="1" ht="16.5" thickBot="1" x14ac:dyDescent="0.25">
      <c r="B70" s="152" t="str">
        <f ca="1" xml:space="preserve"> RIGHT(CELL("filename", $A$1), LEN(CELL("filename", $A$1)) - SEARCH("]", CELL("filename", $A$1)))&amp;" - Column definitions"</f>
        <v>3A - Column definitions</v>
      </c>
      <c r="C70" s="153"/>
      <c r="D70" s="154"/>
      <c r="E70" s="154"/>
      <c r="F70" s="154"/>
      <c r="G70" s="154"/>
      <c r="H70" s="154"/>
      <c r="I70" s="793"/>
      <c r="J70" s="154"/>
      <c r="K70" s="154"/>
      <c r="L70" s="154"/>
      <c r="M70" s="154"/>
      <c r="N70" s="154"/>
      <c r="O70" s="154"/>
      <c r="P70" s="260"/>
      <c r="T70" s="87"/>
      <c r="U70" s="84"/>
      <c r="V70" s="83"/>
      <c r="W70" s="83"/>
      <c r="X70" s="83"/>
      <c r="AE70" s="84"/>
      <c r="AH70" s="555"/>
    </row>
    <row r="71" spans="1:34" s="122" customFormat="1" ht="15" thickBot="1" x14ac:dyDescent="0.25">
      <c r="B71" s="87"/>
      <c r="C71" s="161"/>
      <c r="D71" s="87"/>
      <c r="E71" s="87"/>
      <c r="F71" s="87"/>
      <c r="G71" s="87"/>
      <c r="H71" s="87"/>
      <c r="I71" s="174"/>
      <c r="L71" s="87"/>
      <c r="N71" s="83"/>
      <c r="T71" s="87"/>
      <c r="U71" s="84"/>
      <c r="V71" s="83"/>
      <c r="W71" s="83"/>
      <c r="X71" s="83"/>
      <c r="AE71" s="84"/>
      <c r="AH71" s="555"/>
    </row>
    <row r="72" spans="1:34" s="186" customFormat="1" ht="15" thickBot="1" x14ac:dyDescent="0.25">
      <c r="B72" s="162" t="s">
        <v>616</v>
      </c>
      <c r="C72" s="863" t="s">
        <v>106</v>
      </c>
      <c r="D72" s="325"/>
      <c r="E72" s="325"/>
      <c r="F72" s="325"/>
      <c r="G72" s="325"/>
      <c r="H72" s="325"/>
      <c r="I72" s="794"/>
      <c r="J72" s="325"/>
      <c r="K72" s="326"/>
      <c r="L72" s="327"/>
      <c r="M72" s="326"/>
      <c r="N72" s="328"/>
      <c r="O72" s="329"/>
      <c r="P72" s="330"/>
      <c r="T72" s="87"/>
      <c r="U72" s="84"/>
      <c r="V72" s="97" t="s">
        <v>107</v>
      </c>
      <c r="W72" s="83"/>
      <c r="X72" s="83"/>
      <c r="AE72" s="84"/>
      <c r="AH72" s="553"/>
    </row>
    <row r="73" spans="1:34" s="122" customFormat="1" ht="48.75" customHeight="1" x14ac:dyDescent="0.2">
      <c r="B73" s="802" t="s">
        <v>599</v>
      </c>
      <c r="C73" s="997" t="s">
        <v>617</v>
      </c>
      <c r="D73" s="997"/>
      <c r="E73" s="997"/>
      <c r="F73" s="997"/>
      <c r="G73" s="997"/>
      <c r="H73" s="997"/>
      <c r="I73" s="997"/>
      <c r="J73" s="997"/>
      <c r="K73" s="997"/>
      <c r="L73" s="997"/>
      <c r="M73" s="997"/>
      <c r="N73" s="997"/>
      <c r="O73" s="997"/>
      <c r="P73" s="998"/>
      <c r="Q73"/>
      <c r="R73"/>
      <c r="S73"/>
      <c r="T73" s="87"/>
      <c r="U73" s="84"/>
      <c r="V73" s="168" t="s">
        <v>112</v>
      </c>
      <c r="AE73" s="84"/>
      <c r="AH73" s="555"/>
    </row>
    <row r="74" spans="1:34" s="122" customFormat="1" ht="37.5" customHeight="1" x14ac:dyDescent="0.2">
      <c r="B74" s="802" t="s">
        <v>600</v>
      </c>
      <c r="C74" s="997" t="s">
        <v>618</v>
      </c>
      <c r="D74" s="997"/>
      <c r="E74" s="997"/>
      <c r="F74" s="997"/>
      <c r="G74" s="997"/>
      <c r="H74" s="997"/>
      <c r="I74" s="997"/>
      <c r="J74" s="997"/>
      <c r="K74" s="997"/>
      <c r="L74" s="997"/>
      <c r="M74" s="997"/>
      <c r="N74" s="997"/>
      <c r="O74" s="997"/>
      <c r="P74" s="998"/>
      <c r="Q74"/>
      <c r="R74"/>
      <c r="S74"/>
      <c r="T74" s="87"/>
      <c r="U74" s="84"/>
      <c r="V74" s="168" t="s">
        <v>112</v>
      </c>
      <c r="AE74" s="84"/>
      <c r="AH74" s="555"/>
    </row>
    <row r="75" spans="1:34" ht="60" customHeight="1" x14ac:dyDescent="0.2">
      <c r="B75" s="802" t="s">
        <v>601</v>
      </c>
      <c r="C75" s="997" t="s">
        <v>619</v>
      </c>
      <c r="D75" s="997"/>
      <c r="E75" s="997"/>
      <c r="F75" s="997"/>
      <c r="G75" s="997"/>
      <c r="H75" s="997"/>
      <c r="I75" s="997"/>
      <c r="J75" s="997"/>
      <c r="K75" s="997"/>
      <c r="L75" s="997"/>
      <c r="M75" s="997"/>
      <c r="N75" s="997"/>
      <c r="O75" s="997"/>
      <c r="P75" s="998"/>
      <c r="Q75"/>
      <c r="R75"/>
      <c r="S75"/>
      <c r="V75" s="168" t="s">
        <v>396</v>
      </c>
    </row>
    <row r="76" spans="1:34" ht="86.25" customHeight="1" x14ac:dyDescent="0.2">
      <c r="B76" s="802" t="s">
        <v>602</v>
      </c>
      <c r="C76" s="993" t="s">
        <v>620</v>
      </c>
      <c r="D76" s="993"/>
      <c r="E76" s="993"/>
      <c r="F76" s="993"/>
      <c r="G76" s="993"/>
      <c r="H76" s="993"/>
      <c r="I76" s="993"/>
      <c r="J76" s="993"/>
      <c r="K76" s="993"/>
      <c r="L76" s="993"/>
      <c r="M76" s="993"/>
      <c r="N76" s="993"/>
      <c r="O76" s="993"/>
      <c r="P76" s="994"/>
      <c r="Q76"/>
      <c r="R76"/>
      <c r="S76"/>
      <c r="V76" s="168" t="s">
        <v>356</v>
      </c>
    </row>
    <row r="77" spans="1:34" ht="60" customHeight="1" x14ac:dyDescent="0.2">
      <c r="B77" s="802" t="s">
        <v>603</v>
      </c>
      <c r="C77" s="993" t="s">
        <v>621</v>
      </c>
      <c r="D77" s="993"/>
      <c r="E77" s="993"/>
      <c r="F77" s="993"/>
      <c r="G77" s="993"/>
      <c r="H77" s="993"/>
      <c r="I77" s="993"/>
      <c r="J77" s="993"/>
      <c r="K77" s="993"/>
      <c r="L77" s="993"/>
      <c r="M77" s="993"/>
      <c r="N77" s="993"/>
      <c r="O77" s="993"/>
      <c r="P77" s="994"/>
      <c r="Q77"/>
      <c r="R77"/>
      <c r="S77"/>
      <c r="V77" s="168" t="s">
        <v>356</v>
      </c>
    </row>
    <row r="78" spans="1:34" ht="86.25" customHeight="1" x14ac:dyDescent="0.2">
      <c r="B78" s="802" t="s">
        <v>604</v>
      </c>
      <c r="C78" s="993" t="s">
        <v>622</v>
      </c>
      <c r="D78" s="993"/>
      <c r="E78" s="993"/>
      <c r="F78" s="993"/>
      <c r="G78" s="993"/>
      <c r="H78" s="993"/>
      <c r="I78" s="993"/>
      <c r="J78" s="993"/>
      <c r="K78" s="993"/>
      <c r="L78" s="993"/>
      <c r="M78" s="993"/>
      <c r="N78" s="993"/>
      <c r="O78" s="993"/>
      <c r="P78" s="994"/>
      <c r="Q78"/>
      <c r="R78"/>
      <c r="S78"/>
      <c r="V78" s="168" t="s">
        <v>356</v>
      </c>
    </row>
    <row r="79" spans="1:34" ht="112.5" customHeight="1" x14ac:dyDescent="0.2">
      <c r="B79" s="802" t="s">
        <v>623</v>
      </c>
      <c r="C79" s="993" t="s">
        <v>624</v>
      </c>
      <c r="D79" s="993"/>
      <c r="E79" s="993"/>
      <c r="F79" s="993"/>
      <c r="G79" s="993"/>
      <c r="H79" s="993"/>
      <c r="I79" s="993"/>
      <c r="J79" s="993"/>
      <c r="K79" s="993"/>
      <c r="L79" s="993"/>
      <c r="M79" s="993"/>
      <c r="N79" s="993"/>
      <c r="O79" s="993"/>
      <c r="P79" s="994"/>
      <c r="Q79"/>
      <c r="R79"/>
      <c r="S79"/>
      <c r="V79" s="168" t="s">
        <v>185</v>
      </c>
    </row>
    <row r="80" spans="1:34" ht="60" customHeight="1" thickBot="1" x14ac:dyDescent="0.25">
      <c r="B80" s="803" t="s">
        <v>625</v>
      </c>
      <c r="C80" s="995" t="s">
        <v>626</v>
      </c>
      <c r="D80" s="995"/>
      <c r="E80" s="995"/>
      <c r="F80" s="995"/>
      <c r="G80" s="995"/>
      <c r="H80" s="995"/>
      <c r="I80" s="995"/>
      <c r="J80" s="995"/>
      <c r="K80" s="995"/>
      <c r="L80" s="995"/>
      <c r="M80" s="995"/>
      <c r="N80" s="995"/>
      <c r="O80" s="995"/>
      <c r="P80" s="996"/>
      <c r="Q80"/>
      <c r="R80"/>
      <c r="S80"/>
      <c r="V80" s="168" t="s">
        <v>356</v>
      </c>
    </row>
    <row r="81" spans="2:34" ht="15" thickBot="1" x14ac:dyDescent="0.25">
      <c r="Q81"/>
      <c r="R81"/>
      <c r="S81"/>
      <c r="V81" s="168"/>
    </row>
    <row r="82" spans="2:34" s="122" customFormat="1" ht="16.5" thickBot="1" x14ac:dyDescent="0.25">
      <c r="B82" s="152" t="s">
        <v>627</v>
      </c>
      <c r="C82" s="153"/>
      <c r="D82" s="154"/>
      <c r="E82" s="154"/>
      <c r="F82" s="154"/>
      <c r="G82" s="154"/>
      <c r="H82" s="154"/>
      <c r="I82" s="793"/>
      <c r="J82" s="154"/>
      <c r="K82" s="154"/>
      <c r="L82" s="154"/>
      <c r="M82" s="154"/>
      <c r="N82" s="154"/>
      <c r="O82" s="154"/>
      <c r="P82" s="260"/>
      <c r="T82" s="87"/>
      <c r="U82" s="84"/>
      <c r="V82" s="83"/>
      <c r="W82" s="83"/>
      <c r="X82" s="83"/>
      <c r="AE82" s="84"/>
      <c r="AH82" s="555"/>
    </row>
    <row r="83" spans="2:34" s="122" customFormat="1" ht="15" thickBot="1" x14ac:dyDescent="0.25">
      <c r="B83" s="87"/>
      <c r="C83" s="161"/>
      <c r="D83" s="87"/>
      <c r="E83" s="87"/>
      <c r="F83" s="87"/>
      <c r="G83" s="87"/>
      <c r="H83" s="87"/>
      <c r="I83" s="174"/>
      <c r="L83" s="87"/>
      <c r="N83" s="83"/>
      <c r="T83" s="87"/>
      <c r="U83" s="84"/>
      <c r="V83" s="83"/>
      <c r="W83" s="83"/>
      <c r="X83" s="83"/>
      <c r="AE83" s="84"/>
      <c r="AH83" s="555"/>
    </row>
    <row r="84" spans="2:34" s="186" customFormat="1" ht="77.25" thickBot="1" x14ac:dyDescent="0.25">
      <c r="B84" s="990" t="s">
        <v>628</v>
      </c>
      <c r="C84" s="991"/>
      <c r="D84" s="991"/>
      <c r="E84" s="991"/>
      <c r="F84" s="991"/>
      <c r="G84" s="991"/>
      <c r="H84" s="991"/>
      <c r="I84" s="991"/>
      <c r="J84" s="991"/>
      <c r="K84" s="991"/>
      <c r="L84" s="991"/>
      <c r="M84" s="991"/>
      <c r="N84" s="991"/>
      <c r="O84" s="991"/>
      <c r="P84" s="992"/>
      <c r="T84" s="87"/>
      <c r="U84" s="84"/>
      <c r="V84" s="168" t="s">
        <v>285</v>
      </c>
      <c r="W84" s="83"/>
      <c r="X84" s="83"/>
      <c r="AE84" s="84"/>
      <c r="AH84" s="553"/>
    </row>
    <row r="85" spans="2:34" x14ac:dyDescent="0.2">
      <c r="Q85"/>
      <c r="R85"/>
      <c r="S85"/>
    </row>
    <row r="86" spans="2:34" hidden="1" x14ac:dyDescent="0.2">
      <c r="Q86"/>
      <c r="R86"/>
      <c r="S86"/>
    </row>
    <row r="87" spans="2:34" hidden="1" x14ac:dyDescent="0.2">
      <c r="Q87"/>
      <c r="R87"/>
      <c r="S87"/>
    </row>
    <row r="88" spans="2:34" hidden="1" x14ac:dyDescent="0.2">
      <c r="Q88"/>
      <c r="R88"/>
      <c r="S88"/>
    </row>
    <row r="89" spans="2:34" hidden="1" x14ac:dyDescent="0.2">
      <c r="Q89"/>
      <c r="R89"/>
      <c r="S89"/>
    </row>
    <row r="90" spans="2:34" hidden="1" x14ac:dyDescent="0.2">
      <c r="Q90"/>
      <c r="R90"/>
      <c r="S90"/>
    </row>
    <row r="91" spans="2:34" hidden="1" x14ac:dyDescent="0.2">
      <c r="Q91"/>
      <c r="R91"/>
      <c r="S91"/>
    </row>
    <row r="92" spans="2:34" hidden="1" x14ac:dyDescent="0.2">
      <c r="Q92"/>
      <c r="R92"/>
      <c r="S92"/>
    </row>
    <row r="93" spans="2:34" hidden="1" x14ac:dyDescent="0.2">
      <c r="Q93"/>
      <c r="R93"/>
      <c r="S93"/>
    </row>
    <row r="94" spans="2:34" hidden="1" x14ac:dyDescent="0.2">
      <c r="Q94"/>
      <c r="R94"/>
      <c r="S94"/>
    </row>
    <row r="95" spans="2:34" hidden="1" x14ac:dyDescent="0.2">
      <c r="Q95"/>
      <c r="R95"/>
      <c r="S95"/>
    </row>
    <row r="96" spans="2:34" hidden="1" x14ac:dyDescent="0.2">
      <c r="Q96"/>
      <c r="R96"/>
      <c r="S96"/>
    </row>
  </sheetData>
  <sheetProtection algorithmName="SHA-512" hashValue="eHeTkPQK9EVcLJt6of/hcfC9KJd2nZ6gMd/KIwi39q3DOdvS2CyGQNQuc310xZX3/HptXFpSjSTFXr84QGZpvQ==" saltValue="Z7Lo5YW+ROKaH4xCn1tKJQ==" spinCount="100000" sheet="1" objects="1" scenarios="1"/>
  <mergeCells count="9">
    <mergeCell ref="B84:P84"/>
    <mergeCell ref="C78:P78"/>
    <mergeCell ref="C79:P79"/>
    <mergeCell ref="C80:P80"/>
    <mergeCell ref="C73:P73"/>
    <mergeCell ref="C74:P74"/>
    <mergeCell ref="C75:P75"/>
    <mergeCell ref="C76:P76"/>
    <mergeCell ref="C77:P77"/>
  </mergeCells>
  <conditionalFormatting sqref="I5:I59">
    <cfRule type="expression" dxfId="124" priority="6" stopIfTrue="1">
      <formula xml:space="preserve"> INDIRECT("G" &amp; ROW()) = 0</formula>
    </cfRule>
    <cfRule type="expression" dxfId="123" priority="7" stopIfTrue="1">
      <formula xml:space="preserve"> INDIRECT("G" &amp; ROW()) = 1</formula>
    </cfRule>
    <cfRule type="expression" dxfId="122" priority="8" stopIfTrue="1">
      <formula xml:space="preserve"> INDIRECT("G" &amp; ROW()) = 2</formula>
    </cfRule>
    <cfRule type="expression" dxfId="121" priority="9" stopIfTrue="1">
      <formula xml:space="preserve"> INDIRECT("G" &amp; ROW()) = 3</formula>
    </cfRule>
    <cfRule type="expression" dxfId="120" priority="10" stopIfTrue="1">
      <formula xml:space="preserve"> INDIRECT("G" &amp; ROW()) = 4</formula>
    </cfRule>
    <cfRule type="expression" dxfId="119" priority="11" stopIfTrue="1">
      <formula xml:space="preserve"> INDIRECT("G" &amp; ROW()) = 5</formula>
    </cfRule>
    <cfRule type="expression" dxfId="118" priority="12" stopIfTrue="1">
      <formula xml:space="preserve"> INDIRECT("G" &amp; ROW()) = 6</formula>
    </cfRule>
  </conditionalFormatting>
  <conditionalFormatting sqref="K5:P59">
    <cfRule type="expression" dxfId="117" priority="1">
      <formula xml:space="preserve"> $AI5 = "NFI"</formula>
    </cfRule>
  </conditionalFormatting>
  <conditionalFormatting sqref="R5:S59">
    <cfRule type="cellIs" dxfId="98" priority="43" operator="equal">
      <formula>0</formula>
    </cfRule>
  </conditionalFormatting>
  <hyperlinks>
    <hyperlink ref="B84:P84" r:id="rId1" display="http://www.ofwat.gov.uk/regulated-companies/price-review/price-review-2014/final-determinations/" xr:uid="{00000000-0004-0000-1500-000000000000}"/>
  </hyperlinks>
  <printOptions horizontalCentered="1"/>
  <pageMargins left="0.39370078740157483" right="0.39370078740157483" top="0.78740157480314965" bottom="0.78740157480314965" header="0.31496062992125984" footer="0.31496062992125984"/>
  <pageSetup paperSize="9" scale="26" orientation="portrait" r:id="rId2"/>
  <headerFooter>
    <oddHeader>&amp;L&amp;9&amp;K857362Page &amp;P of &amp;N&amp;C&amp;9 &amp;K8573622017 annual performance report tables (May 2017) &amp;R&amp;9&amp;G</oddHeader>
    <oddFooter>&amp;L&amp;9&amp;K857362&amp;A&amp;R&amp;9&amp;K857362Printed: &amp;D &amp;T</oddFooter>
  </headerFooter>
  <legacyDrawingHF r:id="rId3"/>
  <extLst>
    <ext xmlns:x14="http://schemas.microsoft.com/office/spreadsheetml/2009/9/main" uri="{78C0D931-6437-407d-A8EE-F0AAD7539E65}">
      <x14:conditionalFormattings>
        <x14:conditionalFormatting xmlns:xm="http://schemas.microsoft.com/office/excel/2006/main">
          <x14:cfRule type="expression" priority="19" id="{D8F3013F-4D73-4FC4-8AB7-39FCF915A9F0}">
            <xm:f>K5='C:\Regulatory Strategy\Annual Performance Report\2016-17\APR Tables\[2016-17-APR-tables-June-2017 V1.xlsx]Lists'!#REF!</xm:f>
            <x14:dxf>
              <fill>
                <patternFill>
                  <bgColor rgb="FFE0DCD8"/>
                </patternFill>
              </fill>
            </x14:dxf>
          </x14:cfRule>
          <x14:cfRule type="expression" priority="22" id="{FC05D123-4777-48B9-AA48-3151742D2177}">
            <xm:f>K5='C:\Regulatory Strategy\Annual Performance Report\2016-17\APR Tables\[2016-17-APR-tables-June-2017 V1.xlsx]Lists'!#REF!</xm:f>
            <x14:dxf>
              <font>
                <color auto="1"/>
              </font>
              <fill>
                <patternFill>
                  <bgColor rgb="FFE0DCD8"/>
                </patternFill>
              </fill>
            </x14:dxf>
          </x14:cfRule>
          <xm:sqref>L5:L38</xm:sqref>
        </x14:conditionalFormatting>
        <x14:conditionalFormatting xmlns:xm="http://schemas.microsoft.com/office/excel/2006/main">
          <x14:cfRule type="expression" priority="39" id="{A9E25563-0041-40CC-9DD4-C9FAEB0E0361}">
            <xm:f>K39=Lists!$F$16</xm:f>
            <x14:dxf>
              <fill>
                <patternFill>
                  <bgColor rgb="FFE0DCD8"/>
                </patternFill>
              </fill>
            </x14:dxf>
          </x14:cfRule>
          <x14:cfRule type="expression" priority="40" id="{744E93E1-46DD-4CBD-82E0-625EFF7B7179}">
            <xm:f>K39=Lists!$F$15</xm:f>
            <x14:dxf>
              <fill>
                <patternFill>
                  <bgColor rgb="FFE0DCD8"/>
                </patternFill>
              </fill>
            </x14:dxf>
          </x14:cfRule>
          <x14:cfRule type="expression" priority="41" id="{707EE4B1-0291-463F-8E26-85E4DD55D361}">
            <xm:f>K39=Lists!$F$14</xm:f>
            <x14:dxf>
              <fill>
                <patternFill>
                  <bgColor rgb="FFE0DCD8"/>
                </patternFill>
              </fill>
            </x14:dxf>
          </x14:cfRule>
          <x14:cfRule type="expression" priority="42" id="{0766AFC6-67B9-43A3-B735-EA6B8C679E3B}">
            <xm:f>K39=Lists!$F$12</xm:f>
            <x14:dxf>
              <font>
                <color auto="1"/>
              </font>
              <fill>
                <patternFill>
                  <bgColor rgb="FFE0DCD8"/>
                </patternFill>
              </fill>
            </x14:dxf>
          </x14:cfRule>
          <xm:sqref>L39:L59</xm:sqref>
        </x14:conditionalFormatting>
        <x14:conditionalFormatting xmlns:xm="http://schemas.microsoft.com/office/excel/2006/main">
          <x14:cfRule type="expression" priority="2" id="{C267221F-F2E9-485F-A9BE-4116B5E12102}">
            <xm:f>M5='http://our.kelda/governance/annperfrep/APR2017/005 Tables, Explanatory Notes and Supporting Information/Section 3/Tables/[Section 3 Complete 16.06.17.xlsx]Lists'!#REF!</xm:f>
            <x14:dxf>
              <fill>
                <patternFill>
                  <bgColor rgb="FFE0DCD8"/>
                </patternFill>
              </fill>
            </x14:dxf>
          </x14:cfRule>
          <x14:cfRule type="expression" priority="5" id="{985D3DA6-768B-476E-96C4-7EE2EBB9A1DA}">
            <xm:f>M5='http://our.kelda/governance/annperfrep/APR2017/005 Tables, Explanatory Notes and Supporting Information/Section 3/Tables/[Section 3 Complete 16.06.17.xlsx]Lists'!#REF!</xm:f>
            <x14:dxf>
              <font>
                <color auto="1"/>
              </font>
              <fill>
                <patternFill>
                  <bgColor rgb="FFE0DCD8"/>
                </patternFill>
              </fill>
            </x14:dxf>
          </x14:cfRule>
          <xm:sqref>N5:N38</xm:sqref>
        </x14:conditionalFormatting>
        <x14:conditionalFormatting xmlns:xm="http://schemas.microsoft.com/office/excel/2006/main">
          <x14:cfRule type="expression" priority="35" id="{F69E6454-E493-4BEB-82ED-832A15E2A4C6}">
            <xm:f>M39=Lists!$F$16</xm:f>
            <x14:dxf>
              <fill>
                <patternFill>
                  <bgColor rgb="FFE0DCD8"/>
                </patternFill>
              </fill>
            </x14:dxf>
          </x14:cfRule>
          <x14:cfRule type="expression" priority="36" id="{63F4D9E1-AFF7-4290-871B-712E643C504B}">
            <xm:f>M39=Lists!$F$15</xm:f>
            <x14:dxf>
              <fill>
                <patternFill>
                  <bgColor rgb="FFE0DCD8"/>
                </patternFill>
              </fill>
            </x14:dxf>
          </x14:cfRule>
          <x14:cfRule type="expression" priority="37" id="{627EDD62-D94D-4A0E-84C1-F3C2E2DCF8AA}">
            <xm:f>M39=Lists!$F$14</xm:f>
            <x14:dxf>
              <fill>
                <patternFill>
                  <bgColor rgb="FFE0DCD8"/>
                </patternFill>
              </fill>
            </x14:dxf>
          </x14:cfRule>
          <x14:cfRule type="expression" priority="38" id="{CDD2C458-6B8D-4215-9020-60B771EF8EE9}">
            <xm:f>M39=Lists!$F$12</xm:f>
            <x14:dxf>
              <font>
                <color auto="1"/>
              </font>
              <fill>
                <patternFill>
                  <bgColor rgb="FFE0DCD8"/>
                </patternFill>
              </fill>
            </x14:dxf>
          </x14:cfRule>
          <xm:sqref>N39:N59</xm:sqref>
        </x14:conditionalFormatting>
        <x14:conditionalFormatting xmlns:xm="http://schemas.microsoft.com/office/excel/2006/main">
          <x14:cfRule type="expression" priority="15" id="{AE3ED4B8-B026-4BD8-BF30-469A9876BBF5}">
            <xm:f>O5='C:\Regulatory Strategy\Annual Performance Report\2016-17\APR Tables\[2016-17-APR-tables-June-2017 V1.xlsx]Lists'!#REF!</xm:f>
            <x14:dxf>
              <fill>
                <patternFill>
                  <bgColor rgb="FFE0DCD8"/>
                </patternFill>
              </fill>
            </x14:dxf>
          </x14:cfRule>
          <x14:cfRule type="expression" priority="18" id="{29B6A19D-565E-432E-8E43-D2E3A62AE6BB}">
            <xm:f>O5='C:\Regulatory Strategy\Annual Performance Report\2016-17\APR Tables\[2016-17-APR-tables-June-2017 V1.xlsx]Lists'!#REF!</xm:f>
            <x14:dxf>
              <font>
                <color auto="1"/>
              </font>
              <fill>
                <patternFill>
                  <bgColor rgb="FFE0DCD8"/>
                </patternFill>
              </fill>
            </x14:dxf>
          </x14:cfRule>
          <xm:sqref>P5:P38</xm:sqref>
        </x14:conditionalFormatting>
        <x14:conditionalFormatting xmlns:xm="http://schemas.microsoft.com/office/excel/2006/main">
          <x14:cfRule type="expression" priority="31" id="{ADA781DA-03C2-403B-8F25-5AAF4237E54A}">
            <xm:f>O39=Lists!$F$16</xm:f>
            <x14:dxf>
              <fill>
                <patternFill>
                  <bgColor rgb="FFE0DCD8"/>
                </patternFill>
              </fill>
            </x14:dxf>
          </x14:cfRule>
          <x14:cfRule type="expression" priority="32" id="{00B40E04-927E-4785-89F9-72F4091C5C1E}">
            <xm:f>O39=Lists!$F$15</xm:f>
            <x14:dxf>
              <fill>
                <patternFill>
                  <bgColor rgb="FFE0DCD8"/>
                </patternFill>
              </fill>
            </x14:dxf>
          </x14:cfRule>
          <x14:cfRule type="expression" priority="33" id="{2B30CA79-787E-44E0-8F7D-34610284DB1F}">
            <xm:f>O39=Lists!$F$14</xm:f>
            <x14:dxf>
              <fill>
                <patternFill>
                  <bgColor rgb="FFE0DCD8"/>
                </patternFill>
              </fill>
            </x14:dxf>
          </x14:cfRule>
          <x14:cfRule type="expression" priority="34" id="{A3FAF9E0-EF65-4430-8BEE-BCEC3463DE7F}">
            <xm:f>O39=Lists!$F$12</xm:f>
            <x14:dxf>
              <font>
                <color auto="1"/>
              </font>
              <fill>
                <patternFill>
                  <bgColor rgb="FFE0DCD8"/>
                </patternFill>
              </fill>
            </x14:dxf>
          </x14:cfRule>
          <xm:sqref>P39:P59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0000000}">
          <x14:formula1>
            <xm:f>Lists!$F$11:$F$15</xm:f>
          </x14:formula1>
          <xm:sqref>K5:K59 M5:M59 O5:O59</xm:sqref>
        </x14:dataValidation>
        <x14:dataValidation type="list" allowBlank="1" showInputMessage="1" showErrorMessage="1" xr:uid="{00000000-0002-0000-1500-000001000000}">
          <x14:formula1>
            <xm:f>Lists!$F$6:$F$8</xm:f>
          </x14:formula1>
          <xm:sqref>J5:J59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V61"/>
  <sheetViews>
    <sheetView showGridLines="0" zoomScale="85" zoomScaleNormal="85" workbookViewId="0">
      <selection activeCell="H23" sqref="H23"/>
    </sheetView>
  </sheetViews>
  <sheetFormatPr defaultColWidth="0" defaultRowHeight="14.25" zeroHeight="1" x14ac:dyDescent="0.2"/>
  <cols>
    <col min="1" max="1" width="2.25" style="557" customWidth="1"/>
    <col min="2" max="2" width="6.125" style="557" customWidth="1"/>
    <col min="3" max="3" width="17.25" style="557" bestFit="1" customWidth="1"/>
    <col min="4" max="4" width="14" style="576" customWidth="1"/>
    <col min="5" max="5" width="75" style="557" customWidth="1"/>
    <col min="6" max="6" width="8.75" style="576" customWidth="1"/>
    <col min="7" max="7" width="12.75" style="576" customWidth="1"/>
    <col min="8" max="8" width="18.75" style="576" customWidth="1"/>
    <col min="9" max="9" width="18.75" style="580" customWidth="1"/>
    <col min="10" max="10" width="9" style="582" customWidth="1"/>
    <col min="11" max="11" width="4" style="557" customWidth="1"/>
    <col min="12" max="12" width="33.75" style="557" customWidth="1"/>
    <col min="13" max="13" width="23" style="557" bestFit="1" customWidth="1"/>
    <col min="14" max="14" width="1.625" style="557" customWidth="1"/>
    <col min="15" max="15" width="1.625" style="558" hidden="1" customWidth="1"/>
    <col min="16" max="17" width="9.25" style="559" hidden="1" customWidth="1"/>
    <col min="18" max="18" width="1.625" style="590" hidden="1" customWidth="1"/>
    <col min="19" max="20" width="9.125" style="559" hidden="1" customWidth="1"/>
    <col min="21" max="21" width="1.625" style="590" hidden="1" customWidth="1"/>
    <col min="22" max="22" width="1.625" style="557" hidden="1" customWidth="1"/>
    <col min="23" max="16384" width="9" style="557" hidden="1"/>
  </cols>
  <sheetData>
    <row r="1" spans="1:20" ht="20.25" x14ac:dyDescent="0.2">
      <c r="A1" s="161"/>
      <c r="B1" s="80" t="s">
        <v>629</v>
      </c>
      <c r="C1" s="80"/>
      <c r="D1" s="572"/>
      <c r="E1" s="80"/>
      <c r="F1" s="80" t="str">
        <f>Validation!B3</f>
        <v>Yorkshire Water</v>
      </c>
      <c r="G1" s="572"/>
      <c r="H1" s="572"/>
      <c r="I1" s="577"/>
      <c r="J1" s="82"/>
      <c r="K1" s="82"/>
      <c r="L1" s="82"/>
      <c r="M1" s="82" t="s">
        <v>72</v>
      </c>
    </row>
    <row r="2" spans="1:20" ht="19.5" thickBot="1" x14ac:dyDescent="0.25">
      <c r="B2" s="560" t="s">
        <v>55</v>
      </c>
      <c r="C2" s="561"/>
      <c r="D2" s="583"/>
      <c r="E2" s="161"/>
      <c r="F2" s="161"/>
      <c r="G2" s="161"/>
      <c r="H2" s="161"/>
      <c r="I2" s="578"/>
      <c r="J2" s="581"/>
      <c r="K2" s="161"/>
      <c r="L2" s="161"/>
      <c r="M2" s="562"/>
      <c r="P2" s="89" t="s">
        <v>83</v>
      </c>
      <c r="Q2" s="563"/>
      <c r="S2" s="563" t="s">
        <v>630</v>
      </c>
      <c r="T2" s="563"/>
    </row>
    <row r="3" spans="1:20" ht="27.75" thickBot="1" x14ac:dyDescent="0.25">
      <c r="B3" s="848" t="s">
        <v>578</v>
      </c>
      <c r="C3" s="848" t="s">
        <v>579</v>
      </c>
      <c r="D3" s="313" t="s">
        <v>631</v>
      </c>
      <c r="E3" s="312" t="s">
        <v>632</v>
      </c>
      <c r="F3" s="313" t="s">
        <v>581</v>
      </c>
      <c r="G3" s="313" t="s">
        <v>583</v>
      </c>
      <c r="H3" s="313" t="s">
        <v>584</v>
      </c>
      <c r="I3" s="579" t="s">
        <v>585</v>
      </c>
      <c r="J3" s="305" t="s">
        <v>586</v>
      </c>
      <c r="K3" s="562"/>
      <c r="L3" s="194" t="s">
        <v>593</v>
      </c>
      <c r="M3" s="195" t="s">
        <v>79</v>
      </c>
      <c r="P3" s="564" t="s">
        <v>84</v>
      </c>
      <c r="S3" s="559" t="s">
        <v>633</v>
      </c>
    </row>
    <row r="4" spans="1:20" ht="7.5" customHeight="1" thickBot="1" x14ac:dyDescent="0.25">
      <c r="B4" s="161"/>
      <c r="C4" s="161"/>
      <c r="D4" s="303"/>
      <c r="E4" s="161"/>
      <c r="F4" s="303"/>
      <c r="G4" s="303"/>
      <c r="H4" s="303"/>
      <c r="I4" s="578"/>
      <c r="J4" s="581"/>
      <c r="P4" s="559" t="s">
        <v>598</v>
      </c>
      <c r="Q4" s="559" t="s">
        <v>599</v>
      </c>
    </row>
    <row r="5" spans="1:20" ht="18.75" customHeight="1" x14ac:dyDescent="0.2">
      <c r="B5" s="565">
        <v>1</v>
      </c>
      <c r="C5" s="566" t="str">
        <f>IF($F$1="Select company","",IF((HLOOKUP((VLOOKUP($F$1,Lists!$B$4:$C$22,2,FALSE)),'SUB list edited'!$A$2:$DC$42,($B5+1),FALSE))=0,"",HLOOKUP((VLOOKUP($F$1,Lists!$B$4:$C$22,2,FALSE)),'SUB list edited'!$A$2:$DC$42,($B5+1),FALSE)))</f>
        <v>PR14YKYWSW_WA4</v>
      </c>
      <c r="D5" s="573" t="str">
        <f>IF($F$1="Select company","",IF(C5 = "","",HLOOKUP(((VLOOKUP($F$1,Lists!$B$4:$C$22,2,FALSE))&amp;"ID"),'SUB list edited'!$A$2:$DC$42,($B5+1),FALSE)))</f>
        <v>00</v>
      </c>
      <c r="E5" s="566" t="str">
        <f>IF($F$1="Select company","",IF(C5 = "","",HLOOKUP(((VLOOKUP($F$1,Lists!$B$4:$C$22,2,FALSE))&amp;"PC"),'SUB list edited'!$A$2:$DC$42,($B5+1),FALSE)))</f>
        <v>WA4: Water quality stability and reliability factor</v>
      </c>
      <c r="F5" s="573" t="str">
        <f>IF($F$1="Select company","",IF(C5 = "","",HLOOKUP(((VLOOKUP($F$1,Lists!$B$4:$C$22,2,FALSE))&amp;"unit"),'SUB list edited'!$A$2:$DC$42,($B5+1),FALSE)))</f>
        <v>category</v>
      </c>
      <c r="G5" s="573" t="str">
        <f>IF($F$1="Select company","",IF(C5="","",HLOOKUP(((VLOOKUP($F$1,Lists!$B$4:$C$22,2,FALSE))&amp;"DP"),'SUB list edited'!$A$2:$DC$42,($B5+1),FALSE)))</f>
        <v>na</v>
      </c>
      <c r="H5" s="573" t="str">
        <f>IF($F$1="Select company","",IF(C5 = "","",HLOOKUP(((VLOOKUP($F$1,Lists!$B$4:$C$22,2,FALSE))&amp;"201516ActPerf"),'SUB list edited'!$A$2:$DD$42,($B5+1),FALSE)))</f>
        <v>Stable</v>
      </c>
      <c r="I5" s="584" t="s">
        <v>608</v>
      </c>
      <c r="J5" s="585" t="s">
        <v>609</v>
      </c>
      <c r="L5" s="567">
        <f>IF(SUM(S5:T5) &gt; 0, $S$3, 0)</f>
        <v>0</v>
      </c>
      <c r="M5" s="567">
        <f>IF(SUM(P5:Q5) &gt; 0, $P$3, 0)</f>
        <v>0</v>
      </c>
      <c r="P5" s="563">
        <f>IF($C5="", 0, IF(ISBLANK(I5), 1, 0))</f>
        <v>0</v>
      </c>
      <c r="Q5" s="563">
        <f>IF($C5="", 0, IF(ISBLANK(J5), 1, 0))</f>
        <v>0</v>
      </c>
      <c r="S5" s="563">
        <f xml:space="preserve"> IF(C5 = "", 0, IF(AND(NOT(INDEX('3A'!I$5:I$59, MATCH('3B'!$C5, '3A'!$C$5:$C$59, 0))=I5), $D5="00"), 1, 0))</f>
        <v>0</v>
      </c>
      <c r="T5" s="563">
        <f xml:space="preserve"> IF(C5 = "", 0, IF(AND(NOT(INDEX('3A'!J$5:J$59, MATCH('3B'!$C5, '3A'!$C$5:$C$59, 0))=J5), $D5="00"), 1, 0))</f>
        <v>0</v>
      </c>
    </row>
    <row r="6" spans="1:20" ht="18.75" customHeight="1" x14ac:dyDescent="0.2">
      <c r="B6" s="568">
        <f xml:space="preserve"> B5 + 1</f>
        <v>2</v>
      </c>
      <c r="C6" s="569" t="str">
        <f>IF($F$1="Select company","",IF((HLOOKUP((VLOOKUP($F$1,Lists!$B$4:$C$22,2,FALSE)),'SUB list edited'!$A$2:$DC$42,($B6+1),FALSE))=0,"",HLOOKUP((VLOOKUP($F$1,Lists!$B$4:$C$22,2,FALSE)),'SUB list edited'!$A$2:$DC$42,($B6+1),FALSE)))</f>
        <v>PR14YKYWSW_WA4</v>
      </c>
      <c r="D6" s="574" t="str">
        <f>IF($F$1="Select company","",IF(C6 = "","",HLOOKUP(((VLOOKUP($F$1,Lists!$B$4:$C$22,2,FALSE))&amp;"ID"),'SUB list edited'!$A$2:$DC$42,($B6+1),FALSE)))</f>
        <v>01</v>
      </c>
      <c r="E6" s="569" t="str">
        <f>IF($F$1="Select company","",IF(C6 = "","",HLOOKUP(((VLOOKUP($F$1,Lists!$B$4:$C$22,2,FALSE))&amp;"PC"),'SUB list edited'!$A$2:$DC$42,($B6+1),FALSE)))</f>
        <v>WTW coliform non-compliance</v>
      </c>
      <c r="F6" s="574" t="str">
        <f>IF($F$1="Select company","",IF(C6 = "","",HLOOKUP(((VLOOKUP($F$1,Lists!$B$4:$C$22,2,FALSE))&amp;"unit"),'SUB list edited'!$A$2:$DC$42,($B6+1),FALSE)))</f>
        <v>%</v>
      </c>
      <c r="G6" s="574">
        <f>IF($F$1="Select company","",IF(C6="","",HLOOKUP(((VLOOKUP($F$1,Lists!$B$4:$C$22,2,FALSE))&amp;"DP"),'SUB list edited'!$A$2:$DC$42,($B6+1),FALSE)))</f>
        <v>3</v>
      </c>
      <c r="H6" s="574">
        <f>IF($F$1="Select company","",IF(C6 = "","",HLOOKUP(((VLOOKUP($F$1,Lists!$B$4:$C$22,2,FALSE))&amp;"201516ActPerf"),'SUB list edited'!$A$2:$DD$42,($B6+1),FALSE)))</f>
        <v>1.4E-2</v>
      </c>
      <c r="I6" s="586">
        <v>7.0000000000000001E-3</v>
      </c>
      <c r="J6" s="587" t="s">
        <v>605</v>
      </c>
      <c r="L6" s="567">
        <f t="shared" ref="L6:L44" si="0">IF(SUM(S6:T6) &gt; 0, $S$3, 0)</f>
        <v>0</v>
      </c>
      <c r="M6" s="567">
        <f t="shared" ref="M6:M44" si="1">IF(SUM(P6:Q6) &gt; 0, $P$3, 0)</f>
        <v>0</v>
      </c>
      <c r="P6" s="563">
        <f t="shared" ref="P6:P44" si="2">IF($C6="", 0, IF(ISBLANK(I6), 1, 0))</f>
        <v>0</v>
      </c>
      <c r="Q6" s="563">
        <f t="shared" ref="Q6:Q44" si="3">IF($C6="", 0, IF(ISBLANK(J6), 1, 0))</f>
        <v>0</v>
      </c>
      <c r="S6" s="563">
        <f xml:space="preserve"> IF(C6 = "", 0, IF(AND(NOT(INDEX('3A'!I$5:I$59, MATCH('3B'!$C6, '3A'!$C$5:$C$59, 0))=I6), $D6="00"), 1, 0))</f>
        <v>0</v>
      </c>
      <c r="T6" s="563">
        <f xml:space="preserve"> IF(C6 = "", 0, IF(AND(NOT(INDEX('3A'!J$5:J$59, MATCH('3B'!$C6, '3A'!$C$5:$C$59, 0))=J6), $D6="00"), 1, 0))</f>
        <v>0</v>
      </c>
    </row>
    <row r="7" spans="1:20" ht="18.75" customHeight="1" x14ac:dyDescent="0.2">
      <c r="B7" s="568">
        <f t="shared" ref="B7:B11" si="4" xml:space="preserve"> B6 + 1</f>
        <v>3</v>
      </c>
      <c r="C7" s="569" t="str">
        <f>IF($F$1="Select company","",IF((HLOOKUP((VLOOKUP($F$1,Lists!$B$4:$C$22,2,FALSE)),'SUB list edited'!$A$2:$DC$42,($B7+1),FALSE))=0,"",HLOOKUP((VLOOKUP($F$1,Lists!$B$4:$C$22,2,FALSE)),'SUB list edited'!$A$2:$DC$42,($B7+1),FALSE)))</f>
        <v>PR14YKYWSW_WA4</v>
      </c>
      <c r="D7" s="574" t="str">
        <f>IF($F$1="Select company","",IF(C7 = "","",HLOOKUP(((VLOOKUP($F$1,Lists!$B$4:$C$22,2,FALSE))&amp;"ID"),'SUB list edited'!$A$2:$DC$42,($B7+1),FALSE)))</f>
        <v>02</v>
      </c>
      <c r="E7" s="569" t="str">
        <f>IF($F$1="Select company","",IF(C7 = "","",HLOOKUP(((VLOOKUP($F$1,Lists!$B$4:$C$22,2,FALSE))&amp;"PC"),'SUB list edited'!$A$2:$DC$42,($B7+1),FALSE)))</f>
        <v>SR coliform non-compliance</v>
      </c>
      <c r="F7" s="574" t="str">
        <f>IF($F$1="Select company","",IF(C7 = "","",HLOOKUP(((VLOOKUP($F$1,Lists!$B$4:$C$22,2,FALSE))&amp;"unit"),'SUB list edited'!$A$2:$DC$42,($B7+1),FALSE)))</f>
        <v>%</v>
      </c>
      <c r="G7" s="574">
        <f>IF($F$1="Select company","",IF(C7="","",HLOOKUP(((VLOOKUP($F$1,Lists!$B$4:$C$22,2,FALSE))&amp;"DP"),'SUB list edited'!$A$2:$DC$42,($B7+1),FALSE)))</f>
        <v>2</v>
      </c>
      <c r="H7" s="574">
        <f>IF($F$1="Select company","",IF(C7 = "","",HLOOKUP(((VLOOKUP($F$1,Lists!$B$4:$C$22,2,FALSE))&amp;"201516ActPerf"),'SUB list edited'!$A$2:$DD$42,($B7+1),FALSE)))</f>
        <v>0</v>
      </c>
      <c r="I7" s="586">
        <v>0</v>
      </c>
      <c r="J7" s="587" t="s">
        <v>605</v>
      </c>
      <c r="L7" s="567">
        <f t="shared" si="0"/>
        <v>0</v>
      </c>
      <c r="M7" s="567">
        <f t="shared" si="1"/>
        <v>0</v>
      </c>
      <c r="P7" s="563">
        <f t="shared" si="2"/>
        <v>0</v>
      </c>
      <c r="Q7" s="563">
        <f t="shared" si="3"/>
        <v>0</v>
      </c>
      <c r="S7" s="563">
        <f xml:space="preserve"> IF(C7 = "", 0, IF(AND(NOT(INDEX('3A'!I$5:I$59, MATCH('3B'!$C7, '3A'!$C$5:$C$59, 0))=I7), $D7="00"), 1, 0))</f>
        <v>0</v>
      </c>
      <c r="T7" s="563">
        <f xml:space="preserve"> IF(C7 = "", 0, IF(AND(NOT(INDEX('3A'!J$5:J$59, MATCH('3B'!$C7, '3A'!$C$5:$C$59, 0))=J7), $D7="00"), 1, 0))</f>
        <v>0</v>
      </c>
    </row>
    <row r="8" spans="1:20" ht="18.75" customHeight="1" x14ac:dyDescent="0.2">
      <c r="B8" s="568">
        <f t="shared" si="4"/>
        <v>4</v>
      </c>
      <c r="C8" s="569" t="str">
        <f>IF($F$1="Select company","",IF((HLOOKUP((VLOOKUP($F$1,Lists!$B$4:$C$22,2,FALSE)),'SUB list edited'!$A$2:$DC$42,($B8+1),FALSE))=0,"",HLOOKUP((VLOOKUP($F$1,Lists!$B$4:$C$22,2,FALSE)),'SUB list edited'!$A$2:$DC$42,($B8+1),FALSE)))</f>
        <v>PR14YKYWSW_WA4</v>
      </c>
      <c r="D8" s="574" t="str">
        <f>IF($F$1="Select company","",IF(C8 = "","",HLOOKUP(((VLOOKUP($F$1,Lists!$B$4:$C$22,2,FALSE))&amp;"ID"),'SUB list edited'!$A$2:$DC$42,($B8+1),FALSE)))</f>
        <v>03</v>
      </c>
      <c r="E8" s="569" t="str">
        <f>IF($F$1="Select company","",IF(C8 = "","",HLOOKUP(((VLOOKUP($F$1,Lists!$B$4:$C$22,2,FALSE))&amp;"PC"),'SUB list edited'!$A$2:$DC$42,($B8+1),FALSE)))</f>
        <v>Turbidity</v>
      </c>
      <c r="F8" s="574" t="str">
        <f>IF($F$1="Select company","",IF(C8 = "","",HLOOKUP(((VLOOKUP($F$1,Lists!$B$4:$C$22,2,FALSE))&amp;"unit"),'SUB list edited'!$A$2:$DC$42,($B8+1),FALSE)))</f>
        <v>nr</v>
      </c>
      <c r="G8" s="574">
        <f>IF($F$1="Select company","",IF(C8="","",HLOOKUP(((VLOOKUP($F$1,Lists!$B$4:$C$22,2,FALSE))&amp;"DP"),'SUB list edited'!$A$2:$DC$42,($B8+1),FALSE)))</f>
        <v>0</v>
      </c>
      <c r="H8" s="574">
        <f>IF($F$1="Select company","",IF(C8 = "","",HLOOKUP(((VLOOKUP($F$1,Lists!$B$4:$C$22,2,FALSE))&amp;"201516ActPerf"),'SUB list edited'!$A$2:$DD$42,($B8+1),FALSE)))</f>
        <v>0</v>
      </c>
      <c r="I8" s="586">
        <v>1</v>
      </c>
      <c r="J8" s="587" t="s">
        <v>606</v>
      </c>
      <c r="L8" s="567">
        <f t="shared" si="0"/>
        <v>0</v>
      </c>
      <c r="M8" s="567">
        <f t="shared" si="1"/>
        <v>0</v>
      </c>
      <c r="P8" s="563">
        <f t="shared" si="2"/>
        <v>0</v>
      </c>
      <c r="Q8" s="563">
        <f t="shared" si="3"/>
        <v>0</v>
      </c>
      <c r="S8" s="563">
        <f xml:space="preserve"> IF(C8 = "", 0, IF(AND(NOT(INDEX('3A'!I$5:I$59, MATCH('3B'!$C8, '3A'!$C$5:$C$59, 0))=I8), $D8="00"), 1, 0))</f>
        <v>0</v>
      </c>
      <c r="T8" s="563">
        <f xml:space="preserve"> IF(C8 = "", 0, IF(AND(NOT(INDEX('3A'!J$5:J$59, MATCH('3B'!$C8, '3A'!$C$5:$C$59, 0))=J8), $D8="00"), 1, 0))</f>
        <v>0</v>
      </c>
    </row>
    <row r="9" spans="1:20" ht="18.75" customHeight="1" x14ac:dyDescent="0.2">
      <c r="B9" s="568">
        <f t="shared" si="4"/>
        <v>5</v>
      </c>
      <c r="C9" s="569" t="str">
        <f>IF($F$1="Select company","",IF((HLOOKUP((VLOOKUP($F$1,Lists!$B$4:$C$22,2,FALSE)),'SUB list edited'!$A$2:$DC$42,($B9+1),FALSE))=0,"",HLOOKUP((VLOOKUP($F$1,Lists!$B$4:$C$22,2,FALSE)),'SUB list edited'!$A$2:$DC$42,($B9+1),FALSE)))</f>
        <v>PR14YKYWSW_WA4</v>
      </c>
      <c r="D9" s="574" t="str">
        <f>IF($F$1="Select company","",IF(C9 = "","",HLOOKUP(((VLOOKUP($F$1,Lists!$B$4:$C$22,2,FALSE))&amp;"ID"),'SUB list edited'!$A$2:$DC$42,($B9+1),FALSE)))</f>
        <v>04</v>
      </c>
      <c r="E9" s="569" t="str">
        <f>IF($F$1="Select company","",IF(C9 = "","",HLOOKUP(((VLOOKUP($F$1,Lists!$B$4:$C$22,2,FALSE))&amp;"PC"),'SUB list edited'!$A$2:$DC$42,($B9+1),FALSE)))</f>
        <v>Enforcements</v>
      </c>
      <c r="F9" s="574" t="str">
        <f>IF($F$1="Select company","",IF(C9 = "","",HLOOKUP(((VLOOKUP($F$1,Lists!$B$4:$C$22,2,FALSE))&amp;"unit"),'SUB list edited'!$A$2:$DC$42,($B9+1),FALSE)))</f>
        <v>nr</v>
      </c>
      <c r="G9" s="574">
        <f>IF($F$1="Select company","",IF(C9="","",HLOOKUP(((VLOOKUP($F$1,Lists!$B$4:$C$22,2,FALSE))&amp;"DP"),'SUB list edited'!$A$2:$DC$42,($B9+1),FALSE)))</f>
        <v>0</v>
      </c>
      <c r="H9" s="574">
        <f>IF($F$1="Select company","",IF(C9 = "","",HLOOKUP(((VLOOKUP($F$1,Lists!$B$4:$C$22,2,FALSE))&amp;"201516ActPerf"),'SUB list edited'!$A$2:$DD$42,($B9+1),FALSE)))</f>
        <v>0</v>
      </c>
      <c r="I9" s="586">
        <v>0</v>
      </c>
      <c r="J9" s="587" t="s">
        <v>605</v>
      </c>
      <c r="L9" s="567">
        <f t="shared" si="0"/>
        <v>0</v>
      </c>
      <c r="M9" s="567">
        <f t="shared" si="1"/>
        <v>0</v>
      </c>
      <c r="P9" s="563">
        <f t="shared" si="2"/>
        <v>0</v>
      </c>
      <c r="Q9" s="563">
        <f t="shared" si="3"/>
        <v>0</v>
      </c>
      <c r="S9" s="563">
        <f xml:space="preserve"> IF(C9 = "", 0, IF(AND(NOT(INDEX('3A'!I$5:I$59, MATCH('3B'!$C9, '3A'!$C$5:$C$59, 0))=I9), $D9="00"), 1, 0))</f>
        <v>0</v>
      </c>
      <c r="T9" s="563">
        <f xml:space="preserve"> IF(C9 = "", 0, IF(AND(NOT(INDEX('3A'!J$5:J$59, MATCH('3B'!$C9, '3A'!$C$5:$C$59, 0))=J9), $D9="00"), 1, 0))</f>
        <v>0</v>
      </c>
    </row>
    <row r="10" spans="1:20" ht="18.75" customHeight="1" x14ac:dyDescent="0.2">
      <c r="B10" s="568">
        <f t="shared" si="4"/>
        <v>6</v>
      </c>
      <c r="C10" s="569" t="str">
        <f>IF($F$1="Select company","",IF((HLOOKUP((VLOOKUP($F$1,Lists!$B$4:$C$22,2,FALSE)),'SUB list edited'!$A$2:$DC$42,($B10+1),FALSE))=0,"",HLOOKUP((VLOOKUP($F$1,Lists!$B$4:$C$22,2,FALSE)),'SUB list edited'!$A$2:$DC$42,($B10+1),FALSE)))</f>
        <v>PR14YKYWSW_WA4</v>
      </c>
      <c r="D10" s="574" t="str">
        <f>IF($F$1="Select company","",IF(C10 = "","",HLOOKUP(((VLOOKUP($F$1,Lists!$B$4:$C$22,2,FALSE))&amp;"ID"),'SUB list edited'!$A$2:$DC$42,($B10+1),FALSE)))</f>
        <v>05</v>
      </c>
      <c r="E10" s="569" t="str">
        <f>IF($F$1="Select company","",IF(C10 = "","",HLOOKUP(((VLOOKUP($F$1,Lists!$B$4:$C$22,2,FALSE))&amp;"PC"),'SUB list edited'!$A$2:$DC$42,($B10+1),FALSE)))</f>
        <v>Reactive equipment failures</v>
      </c>
      <c r="F10" s="574" t="str">
        <f>IF($F$1="Select company","",IF(C10 = "","",HLOOKUP(((VLOOKUP($F$1,Lists!$B$4:$C$22,2,FALSE))&amp;"unit"),'SUB list edited'!$A$2:$DC$42,($B10+1),FALSE)))</f>
        <v>nr</v>
      </c>
      <c r="G10" s="574">
        <f>IF($F$1="Select company","",IF(C10="","",HLOOKUP(((VLOOKUP($F$1,Lists!$B$4:$C$22,2,FALSE))&amp;"DP"),'SUB list edited'!$A$2:$DC$42,($B10+1),FALSE)))</f>
        <v>0</v>
      </c>
      <c r="H10" s="574">
        <f>IF($F$1="Select company","",IF(C10 = "","",HLOOKUP(((VLOOKUP($F$1,Lists!$B$4:$C$22,2,FALSE))&amp;"201516ActPerf"),'SUB list edited'!$A$2:$DD$42,($B10+1),FALSE)))</f>
        <v>3955</v>
      </c>
      <c r="I10" s="586">
        <v>4386</v>
      </c>
      <c r="J10" s="587" t="s">
        <v>605</v>
      </c>
      <c r="L10" s="567">
        <f t="shared" si="0"/>
        <v>0</v>
      </c>
      <c r="M10" s="567">
        <f t="shared" si="1"/>
        <v>0</v>
      </c>
      <c r="P10" s="563">
        <f t="shared" si="2"/>
        <v>0</v>
      </c>
      <c r="Q10" s="563">
        <f t="shared" si="3"/>
        <v>0</v>
      </c>
      <c r="S10" s="563">
        <f xml:space="preserve"> IF(C10 = "", 0, IF(AND(NOT(INDEX('3A'!I$5:I$59, MATCH('3B'!$C10, '3A'!$C$5:$C$59, 0))=I10), $D10="00"), 1, 0))</f>
        <v>0</v>
      </c>
      <c r="T10" s="563">
        <f xml:space="preserve"> IF(C10 = "", 0, IF(AND(NOT(INDEX('3A'!J$5:J$59, MATCH('3B'!$C10, '3A'!$C$5:$C$59, 0))=J10), $D10="00"), 1, 0))</f>
        <v>0</v>
      </c>
    </row>
    <row r="11" spans="1:20" ht="18.75" customHeight="1" x14ac:dyDescent="0.2">
      <c r="B11" s="568">
        <f t="shared" si="4"/>
        <v>7</v>
      </c>
      <c r="C11" s="569" t="str">
        <f>IF($F$1="Select company","",IF((HLOOKUP((VLOOKUP($F$1,Lists!$B$4:$C$22,2,FALSE)),'SUB list edited'!$A$2:$DC$42,($B11+1),FALSE))=0,"",HLOOKUP((VLOOKUP($F$1,Lists!$B$4:$C$22,2,FALSE)),'SUB list edited'!$A$2:$DC$42,($B11+1),FALSE)))</f>
        <v>PR14YKYWSW_WB4</v>
      </c>
      <c r="D11" s="574" t="str">
        <f>IF($F$1="Select company","",IF(C11 = "","",HLOOKUP(((VLOOKUP($F$1,Lists!$B$4:$C$22,2,FALSE))&amp;"ID"),'SUB list edited'!$A$2:$DC$42,($B11+1),FALSE)))</f>
        <v>00</v>
      </c>
      <c r="E11" s="569" t="str">
        <f>IF($F$1="Select company","",IF(C11 = "","",HLOOKUP(((VLOOKUP($F$1,Lists!$B$4:$C$22,2,FALSE))&amp;"PC"),'SUB list edited'!$A$2:$DC$42,($B11+1),FALSE)))</f>
        <v>WB4: Water network stability and reliability factor</v>
      </c>
      <c r="F11" s="574" t="str">
        <f>IF($F$1="Select company","",IF(C11 = "","",HLOOKUP(((VLOOKUP($F$1,Lists!$B$4:$C$22,2,FALSE))&amp;"unit"),'SUB list edited'!$A$2:$DC$42,($B11+1),FALSE)))</f>
        <v>category</v>
      </c>
      <c r="G11" s="574" t="str">
        <f>IF($F$1="Select company","",IF(C11="","",HLOOKUP(((VLOOKUP($F$1,Lists!$B$4:$C$22,2,FALSE))&amp;"DP"),'SUB list edited'!$A$2:$DC$42,($B11+1),FALSE)))</f>
        <v>na</v>
      </c>
      <c r="H11" s="574" t="str">
        <f>IF($F$1="Select company","",IF(C11 = "","",HLOOKUP(((VLOOKUP($F$1,Lists!$B$4:$C$22,2,FALSE))&amp;"201516ActPerf"),'SUB list edited'!$A$2:$DD$42,($B11+1),FALSE)))</f>
        <v>Stable</v>
      </c>
      <c r="I11" s="586" t="s">
        <v>612</v>
      </c>
      <c r="J11" s="587" t="s">
        <v>609</v>
      </c>
      <c r="L11" s="567">
        <f t="shared" si="0"/>
        <v>0</v>
      </c>
      <c r="M11" s="567">
        <f t="shared" si="1"/>
        <v>0</v>
      </c>
      <c r="P11" s="563">
        <f t="shared" si="2"/>
        <v>0</v>
      </c>
      <c r="Q11" s="563">
        <f t="shared" si="3"/>
        <v>0</v>
      </c>
      <c r="S11" s="563">
        <f xml:space="preserve"> IF(C11 = "", 0, IF(AND(NOT(INDEX('3A'!I$5:I$59, MATCH('3B'!$C11, '3A'!$C$5:$C$59, 0))=I11), $D11="00"), 1, 0))</f>
        <v>0</v>
      </c>
      <c r="T11" s="563">
        <f xml:space="preserve"> IF(C11 = "", 0, IF(AND(NOT(INDEX('3A'!J$5:J$59, MATCH('3B'!$C11, '3A'!$C$5:$C$59, 0))=J11), $D11="00"), 1, 0))</f>
        <v>0</v>
      </c>
    </row>
    <row r="12" spans="1:20" ht="18.75" customHeight="1" x14ac:dyDescent="0.2">
      <c r="B12" s="568">
        <f xml:space="preserve"> B11 + 1</f>
        <v>8</v>
      </c>
      <c r="C12" s="569" t="str">
        <f>IF($F$1="Select company","",IF((HLOOKUP((VLOOKUP($F$1,Lists!$B$4:$C$22,2,FALSE)),'SUB list edited'!$A$2:$DC$42,($B12+1),FALSE))=0,"",HLOOKUP((VLOOKUP($F$1,Lists!$B$4:$C$22,2,FALSE)),'SUB list edited'!$A$2:$DC$42,($B12+1),FALSE)))</f>
        <v>PR14YKYWSW_WB4</v>
      </c>
      <c r="D12" s="574" t="str">
        <f>IF($F$1="Select company","",IF(C12 = "","",HLOOKUP(((VLOOKUP($F$1,Lists!$B$4:$C$22,2,FALSE))&amp;"ID"),'SUB list edited'!$A$2:$DC$42,($B12+1),FALSE)))</f>
        <v>01</v>
      </c>
      <c r="E12" s="569" t="str">
        <f>IF($F$1="Select company","",IF(C12 = "","",HLOOKUP(((VLOOKUP($F$1,Lists!$B$4:$C$22,2,FALSE))&amp;"PC"),'SUB list edited'!$A$2:$DC$42,($B12+1),FALSE)))</f>
        <v>Total bursts</v>
      </c>
      <c r="F12" s="574" t="str">
        <f>IF($F$1="Select company","",IF(C12 = "","",HLOOKUP(((VLOOKUP($F$1,Lists!$B$4:$C$22,2,FALSE))&amp;"unit"),'SUB list edited'!$A$2:$DC$42,($B12+1),FALSE)))</f>
        <v>nr</v>
      </c>
      <c r="G12" s="574">
        <f>IF($F$1="Select company","",IF(C12="","",HLOOKUP(((VLOOKUP($F$1,Lists!$B$4:$C$22,2,FALSE))&amp;"DP"),'SUB list edited'!$A$2:$DC$42,($B12+1),FALSE)))</f>
        <v>0</v>
      </c>
      <c r="H12" s="574">
        <f>IF($F$1="Select company","",IF(C12 = "","",HLOOKUP(((VLOOKUP($F$1,Lists!$B$4:$C$22,2,FALSE))&amp;"201516ActPerf"),'SUB list edited'!$A$2:$DD$42,($B12+1),FALSE)))</f>
        <v>5027</v>
      </c>
      <c r="I12" s="586">
        <v>5724</v>
      </c>
      <c r="J12" s="587" t="s">
        <v>605</v>
      </c>
      <c r="L12" s="567">
        <f t="shared" si="0"/>
        <v>0</v>
      </c>
      <c r="M12" s="567">
        <f t="shared" si="1"/>
        <v>0</v>
      </c>
      <c r="P12" s="563">
        <f t="shared" si="2"/>
        <v>0</v>
      </c>
      <c r="Q12" s="563">
        <f t="shared" si="3"/>
        <v>0</v>
      </c>
      <c r="S12" s="563">
        <f xml:space="preserve"> IF(C12 = "", 0, IF(AND(NOT(INDEX('3A'!I$5:I$59, MATCH('3B'!$C12, '3A'!$C$5:$C$59, 0))=I12), $D12="00"), 1, 0))</f>
        <v>0</v>
      </c>
      <c r="T12" s="563">
        <f xml:space="preserve"> IF(C12 = "", 0, IF(AND(NOT(INDEX('3A'!J$5:J$59, MATCH('3B'!$C12, '3A'!$C$5:$C$59, 0))=J12), $D12="00"), 1, 0))</f>
        <v>0</v>
      </c>
    </row>
    <row r="13" spans="1:20" ht="18.75" customHeight="1" x14ac:dyDescent="0.2">
      <c r="B13" s="568">
        <f t="shared" ref="B13:B15" si="5" xml:space="preserve"> B12 + 1</f>
        <v>9</v>
      </c>
      <c r="C13" s="569" t="str">
        <f>IF($F$1="Select company","",IF((HLOOKUP((VLOOKUP($F$1,Lists!$B$4:$C$22,2,FALSE)),'SUB list edited'!$A$2:$DC$42,($B13+1),FALSE))=0,"",HLOOKUP((VLOOKUP($F$1,Lists!$B$4:$C$22,2,FALSE)),'SUB list edited'!$A$2:$DC$42,($B13+1),FALSE)))</f>
        <v>PR14YKYWSW_WB4</v>
      </c>
      <c r="D13" s="574" t="str">
        <f>IF($F$1="Select company","",IF(C13 = "","",HLOOKUP(((VLOOKUP($F$1,Lists!$B$4:$C$22,2,FALSE))&amp;"ID"),'SUB list edited'!$A$2:$DC$42,($B13+1),FALSE)))</f>
        <v>02</v>
      </c>
      <c r="E13" s="569" t="str">
        <f>IF($F$1="Select company","",IF(C13 = "","",HLOOKUP(((VLOOKUP($F$1,Lists!$B$4:$C$22,2,FALSE))&amp;"PC"),'SUB list edited'!$A$2:$DC$42,($B13+1),FALSE)))</f>
        <v>Interruptions &gt;12 hours</v>
      </c>
      <c r="F13" s="574" t="str">
        <f>IF($F$1="Select company","",IF(C13 = "","",HLOOKUP(((VLOOKUP($F$1,Lists!$B$4:$C$22,2,FALSE))&amp;"unit"),'SUB list edited'!$A$2:$DC$42,($B13+1),FALSE)))</f>
        <v>nr</v>
      </c>
      <c r="G13" s="574">
        <f>IF($F$1="Select company","",IF(C13="","",HLOOKUP(((VLOOKUP($F$1,Lists!$B$4:$C$22,2,FALSE))&amp;"DP"),'SUB list edited'!$A$2:$DC$42,($B13+1),FALSE)))</f>
        <v>0</v>
      </c>
      <c r="H13" s="574">
        <f>IF($F$1="Select company","",IF(C13 = "","",HLOOKUP(((VLOOKUP($F$1,Lists!$B$4:$C$22,2,FALSE))&amp;"201516ActPerf"),'SUB list edited'!$A$2:$DD$42,($B13+1),FALSE)))</f>
        <v>3414</v>
      </c>
      <c r="I13" s="586">
        <v>114</v>
      </c>
      <c r="J13" s="587" t="s">
        <v>605</v>
      </c>
      <c r="L13" s="567">
        <f t="shared" si="0"/>
        <v>0</v>
      </c>
      <c r="M13" s="567">
        <f t="shared" si="1"/>
        <v>0</v>
      </c>
      <c r="P13" s="563">
        <f t="shared" si="2"/>
        <v>0</v>
      </c>
      <c r="Q13" s="563">
        <f t="shared" si="3"/>
        <v>0</v>
      </c>
      <c r="S13" s="563">
        <f xml:space="preserve"> IF(C13 = "", 0, IF(AND(NOT(INDEX('3A'!I$5:I$59, MATCH('3B'!$C13, '3A'!$C$5:$C$59, 0))=I13), $D13="00"), 1, 0))</f>
        <v>0</v>
      </c>
      <c r="T13" s="563">
        <f xml:space="preserve"> IF(C13 = "", 0, IF(AND(NOT(INDEX('3A'!J$5:J$59, MATCH('3B'!$C13, '3A'!$C$5:$C$59, 0))=J13), $D13="00"), 1, 0))</f>
        <v>0</v>
      </c>
    </row>
    <row r="14" spans="1:20" ht="18.75" customHeight="1" x14ac:dyDescent="0.2">
      <c r="B14" s="568">
        <f t="shared" si="5"/>
        <v>10</v>
      </c>
      <c r="C14" s="569" t="str">
        <f>IF($F$1="Select company","",IF((HLOOKUP((VLOOKUP($F$1,Lists!$B$4:$C$22,2,FALSE)),'SUB list edited'!$A$2:$DC$42,($B14+1),FALSE))=0,"",HLOOKUP((VLOOKUP($F$1,Lists!$B$4:$C$22,2,FALSE)),'SUB list edited'!$A$2:$DC$42,($B14+1),FALSE)))</f>
        <v>PR14YKYWSW_WB4</v>
      </c>
      <c r="D14" s="574" t="str">
        <f>IF($F$1="Select company","",IF(C14 = "","",HLOOKUP(((VLOOKUP($F$1,Lists!$B$4:$C$22,2,FALSE))&amp;"ID"),'SUB list edited'!$A$2:$DC$42,($B14+1),FALSE)))</f>
        <v>03</v>
      </c>
      <c r="E14" s="569" t="str">
        <f>IF($F$1="Select company","",IF(C14 = "","",HLOOKUP(((VLOOKUP($F$1,Lists!$B$4:$C$22,2,FALSE))&amp;"PC"),'SUB list edited'!$A$2:$DC$42,($B14+1),FALSE)))</f>
        <v>DG2 low pressure</v>
      </c>
      <c r="F14" s="574" t="str">
        <f>IF($F$1="Select company","",IF(C14 = "","",HLOOKUP(((VLOOKUP($F$1,Lists!$B$4:$C$22,2,FALSE))&amp;"unit"),'SUB list edited'!$A$2:$DC$42,($B14+1),FALSE)))</f>
        <v>nr</v>
      </c>
      <c r="G14" s="574">
        <f>IF($F$1="Select company","",IF(C14="","",HLOOKUP(((VLOOKUP($F$1,Lists!$B$4:$C$22,2,FALSE))&amp;"DP"),'SUB list edited'!$A$2:$DC$42,($B14+1),FALSE)))</f>
        <v>0</v>
      </c>
      <c r="H14" s="574">
        <f>IF($F$1="Select company","",IF(C14 = "","",HLOOKUP(((VLOOKUP($F$1,Lists!$B$4:$C$22,2,FALSE))&amp;"201516ActPerf"),'SUB list edited'!$A$2:$DD$42,($B14+1),FALSE)))</f>
        <v>11</v>
      </c>
      <c r="I14" s="586">
        <v>8</v>
      </c>
      <c r="J14" s="587" t="s">
        <v>605</v>
      </c>
      <c r="L14" s="567">
        <f t="shared" si="0"/>
        <v>0</v>
      </c>
      <c r="M14" s="567">
        <f t="shared" si="1"/>
        <v>0</v>
      </c>
      <c r="P14" s="563">
        <f t="shared" si="2"/>
        <v>0</v>
      </c>
      <c r="Q14" s="563">
        <f t="shared" si="3"/>
        <v>0</v>
      </c>
      <c r="S14" s="563">
        <f xml:space="preserve"> IF(C14 = "", 0, IF(AND(NOT(INDEX('3A'!I$5:I$59, MATCH('3B'!$C14, '3A'!$C$5:$C$59, 0))=I14), $D14="00"), 1, 0))</f>
        <v>0</v>
      </c>
      <c r="T14" s="563">
        <f xml:space="preserve"> IF(C14 = "", 0, IF(AND(NOT(INDEX('3A'!J$5:J$59, MATCH('3B'!$C14, '3A'!$C$5:$C$59, 0))=J14), $D14="00"), 1, 0))</f>
        <v>0</v>
      </c>
    </row>
    <row r="15" spans="1:20" ht="18.75" customHeight="1" x14ac:dyDescent="0.2">
      <c r="B15" s="568">
        <f t="shared" si="5"/>
        <v>11</v>
      </c>
      <c r="C15" s="569" t="str">
        <f>IF($F$1="Select company","",IF((HLOOKUP((VLOOKUP($F$1,Lists!$B$4:$C$22,2,FALSE)),'SUB list edited'!$A$2:$DC$42,($B15+1),FALSE))=0,"",HLOOKUP((VLOOKUP($F$1,Lists!$B$4:$C$22,2,FALSE)),'SUB list edited'!$A$2:$DC$42,($B15+1),FALSE)))</f>
        <v>PR14YKYWSW_WB4</v>
      </c>
      <c r="D15" s="574" t="str">
        <f>IF($F$1="Select company","",IF(C15 = "","",HLOOKUP(((VLOOKUP($F$1,Lists!$B$4:$C$22,2,FALSE))&amp;"ID"),'SUB list edited'!$A$2:$DC$42,($B15+1),FALSE)))</f>
        <v>04</v>
      </c>
      <c r="E15" s="569" t="str">
        <f>IF($F$1="Select company","",IF(C15 = "","",HLOOKUP(((VLOOKUP($F$1,Lists!$B$4:$C$22,2,FALSE))&amp;"PC"),'SUB list edited'!$A$2:$DC$42,($B15+1),FALSE)))</f>
        <v>Customer contacts for discolouration (nr per 1,000 population)</v>
      </c>
      <c r="F15" s="574" t="str">
        <f>IF($F$1="Select company","",IF(C15 = "","",HLOOKUP(((VLOOKUP($F$1,Lists!$B$4:$C$22,2,FALSE))&amp;"unit"),'SUB list edited'!$A$2:$DC$42,($B15+1),FALSE)))</f>
        <v>nr</v>
      </c>
      <c r="G15" s="574">
        <f>IF($F$1="Select company","",IF(C15="","",HLOOKUP(((VLOOKUP($F$1,Lists!$B$4:$C$22,2,FALSE))&amp;"DP"),'SUB list edited'!$A$2:$DC$42,($B15+1),FALSE)))</f>
        <v>3</v>
      </c>
      <c r="H15" s="574">
        <f>IF($F$1="Select company","",IF(C15 = "","",HLOOKUP(((VLOOKUP($F$1,Lists!$B$4:$C$22,2,FALSE))&amp;"201516ActPerf"),'SUB list edited'!$A$2:$DD$42,($B15+1),FALSE)))</f>
        <v>1.0329999999999999</v>
      </c>
      <c r="I15" s="586">
        <v>0.96499999999999997</v>
      </c>
      <c r="J15" s="587" t="s">
        <v>605</v>
      </c>
      <c r="L15" s="567">
        <f t="shared" si="0"/>
        <v>0</v>
      </c>
      <c r="M15" s="567">
        <f t="shared" si="1"/>
        <v>0</v>
      </c>
      <c r="P15" s="563">
        <f t="shared" si="2"/>
        <v>0</v>
      </c>
      <c r="Q15" s="563">
        <f t="shared" si="3"/>
        <v>0</v>
      </c>
      <c r="S15" s="563">
        <f xml:space="preserve"> IF(C15 = "", 0, IF(AND(NOT(INDEX('3A'!I$5:I$59, MATCH('3B'!$C15, '3A'!$C$5:$C$59, 0))=I15), $D15="00"), 1, 0))</f>
        <v>0</v>
      </c>
      <c r="T15" s="563">
        <f xml:space="preserve"> IF(C15 = "", 0, IF(AND(NOT(INDEX('3A'!J$5:J$59, MATCH('3B'!$C15, '3A'!$C$5:$C$59, 0))=J15), $D15="00"), 1, 0))</f>
        <v>0</v>
      </c>
    </row>
    <row r="16" spans="1:20" ht="18.75" customHeight="1" x14ac:dyDescent="0.2">
      <c r="B16" s="568">
        <f xml:space="preserve"> B15 + 1</f>
        <v>12</v>
      </c>
      <c r="C16" s="569" t="str">
        <f>IF($F$1="Select company","",IF((HLOOKUP((VLOOKUP($F$1,Lists!$B$4:$C$22,2,FALSE)),'SUB list edited'!$A$2:$DC$42,($B16+1),FALSE))=0,"",HLOOKUP((VLOOKUP($F$1,Lists!$B$4:$C$22,2,FALSE)),'SUB list edited'!$A$2:$DC$42,($B16+1),FALSE)))</f>
        <v>PR14YKYWSW_WB4</v>
      </c>
      <c r="D16" s="574" t="str">
        <f>IF($F$1="Select company","",IF(C16 = "","",HLOOKUP(((VLOOKUP($F$1,Lists!$B$4:$C$22,2,FALSE))&amp;"ID"),'SUB list edited'!$A$2:$DC$42,($B16+1),FALSE)))</f>
        <v>05</v>
      </c>
      <c r="E16" s="569" t="str">
        <f>IF($F$1="Select company","",IF(C16 = "","",HLOOKUP(((VLOOKUP($F$1,Lists!$B$4:$C$22,2,FALSE))&amp;"PC"),'SUB list edited'!$A$2:$DC$42,($B16+1),FALSE)))</f>
        <v>Distribution index TIM (100 - mean zonal compliance)</v>
      </c>
      <c r="F16" s="574" t="str">
        <f>IF($F$1="Select company","",IF(C16 = "","",HLOOKUP(((VLOOKUP($F$1,Lists!$B$4:$C$22,2,FALSE))&amp;"unit"),'SUB list edited'!$A$2:$DC$42,($B16+1),FALSE)))</f>
        <v>%</v>
      </c>
      <c r="G16" s="574">
        <f>IF($F$1="Select company","",IF(C16="","",HLOOKUP(((VLOOKUP($F$1,Lists!$B$4:$C$22,2,FALSE))&amp;"DP"),'SUB list edited'!$A$2:$DC$42,($B16+1),FALSE)))</f>
        <v>3</v>
      </c>
      <c r="H16" s="574">
        <f>IF($F$1="Select company","",IF(C16 = "","",HLOOKUP(((VLOOKUP($F$1,Lists!$B$4:$C$22,2,FALSE))&amp;"201516ActPerf"),'SUB list edited'!$A$2:$DD$42,($B16+1),FALSE)))</f>
        <v>0.14199999999999999</v>
      </c>
      <c r="I16" s="586">
        <v>6.8000000000000005E-2</v>
      </c>
      <c r="J16" s="587" t="s">
        <v>605</v>
      </c>
      <c r="L16" s="567">
        <f t="shared" si="0"/>
        <v>0</v>
      </c>
      <c r="M16" s="567">
        <f t="shared" si="1"/>
        <v>0</v>
      </c>
      <c r="P16" s="563">
        <f t="shared" si="2"/>
        <v>0</v>
      </c>
      <c r="Q16" s="563">
        <f t="shared" si="3"/>
        <v>0</v>
      </c>
      <c r="S16" s="563">
        <f xml:space="preserve"> IF(C16 = "", 0, IF(AND(NOT(INDEX('3A'!I$5:I$59, MATCH('3B'!$C16, '3A'!$C$5:$C$59, 0))=I16), $D16="00"), 1, 0))</f>
        <v>0</v>
      </c>
      <c r="T16" s="563">
        <f xml:space="preserve"> IF(C16 = "", 0, IF(AND(NOT(INDEX('3A'!J$5:J$59, MATCH('3B'!$C16, '3A'!$C$5:$C$59, 0))=J16), $D16="00"), 1, 0))</f>
        <v>0</v>
      </c>
    </row>
    <row r="17" spans="2:20" ht="18.75" customHeight="1" x14ac:dyDescent="0.2">
      <c r="B17" s="568">
        <f t="shared" ref="B17:B44" si="6" xml:space="preserve"> B16 + 1</f>
        <v>13</v>
      </c>
      <c r="C17" s="569" t="str">
        <f>IF($F$1="Select company","",IF((HLOOKUP((VLOOKUP($F$1,Lists!$B$4:$C$22,2,FALSE)),'SUB list edited'!$A$2:$DC$42,($B17+1),FALSE))=0,"",HLOOKUP((VLOOKUP($F$1,Lists!$B$4:$C$22,2,FALSE)),'SUB list edited'!$A$2:$DC$42,($B17+1),FALSE)))</f>
        <v>PR14YKYWSW_WB4</v>
      </c>
      <c r="D17" s="574" t="str">
        <f>IF($F$1="Select company","",IF(C17 = "","",HLOOKUP(((VLOOKUP($F$1,Lists!$B$4:$C$22,2,FALSE))&amp;"ID"),'SUB list edited'!$A$2:$DC$42,($B17+1),FALSE)))</f>
        <v>06</v>
      </c>
      <c r="E17" s="569" t="str">
        <f>IF($F$1="Select company","",IF(C17 = "","",HLOOKUP(((VLOOKUP($F$1,Lists!$B$4:$C$22,2,FALSE))&amp;"PC"),'SUB list edited'!$A$2:$DC$42,($B17+1),FALSE)))</f>
        <v>Reactive equipment failures</v>
      </c>
      <c r="F17" s="574" t="str">
        <f>IF($F$1="Select company","",IF(C17 = "","",HLOOKUP(((VLOOKUP($F$1,Lists!$B$4:$C$22,2,FALSE))&amp;"unit"),'SUB list edited'!$A$2:$DC$42,($B17+1),FALSE)))</f>
        <v>nr</v>
      </c>
      <c r="G17" s="574">
        <f>IF($F$1="Select company","",IF(C17="","",HLOOKUP(((VLOOKUP($F$1,Lists!$B$4:$C$22,2,FALSE))&amp;"DP"),'SUB list edited'!$A$2:$DC$42,($B17+1),FALSE)))</f>
        <v>0</v>
      </c>
      <c r="H17" s="574">
        <f>IF($F$1="Select company","",IF(C17 = "","",HLOOKUP(((VLOOKUP($F$1,Lists!$B$4:$C$22,2,FALSE))&amp;"201516ActPerf"),'SUB list edited'!$A$2:$DD$42,($B17+1),FALSE)))</f>
        <v>1339</v>
      </c>
      <c r="I17" s="586">
        <v>1228</v>
      </c>
      <c r="J17" s="587" t="s">
        <v>605</v>
      </c>
      <c r="L17" s="567">
        <f t="shared" si="0"/>
        <v>0</v>
      </c>
      <c r="M17" s="567">
        <f t="shared" si="1"/>
        <v>0</v>
      </c>
      <c r="P17" s="563">
        <f t="shared" si="2"/>
        <v>0</v>
      </c>
      <c r="Q17" s="563">
        <f t="shared" si="3"/>
        <v>0</v>
      </c>
      <c r="S17" s="563">
        <f xml:space="preserve"> IF(C17 = "", 0, IF(AND(NOT(INDEX('3A'!I$5:I$59, MATCH('3B'!$C17, '3A'!$C$5:$C$59, 0))=I17), $D17="00"), 1, 0))</f>
        <v>0</v>
      </c>
      <c r="T17" s="563">
        <f xml:space="preserve"> IF(C17 = "", 0, IF(AND(NOT(INDEX('3A'!J$5:J$59, MATCH('3B'!$C17, '3A'!$C$5:$C$59, 0))=J17), $D17="00"), 1, 0))</f>
        <v>0</v>
      </c>
    </row>
    <row r="18" spans="2:20" ht="18.75" customHeight="1" x14ac:dyDescent="0.2">
      <c r="B18" s="568">
        <f t="shared" si="6"/>
        <v>14</v>
      </c>
      <c r="C18" s="569" t="str">
        <f>IF($F$1="Select company","",IF((HLOOKUP((VLOOKUP($F$1,Lists!$B$4:$C$22,2,FALSE)),'SUB list edited'!$A$2:$DC$42,($B18+1),FALSE))=0,"",HLOOKUP((VLOOKUP($F$1,Lists!$B$4:$C$22,2,FALSE)),'SUB list edited'!$A$2:$DC$42,($B18+1),FALSE)))</f>
        <v>PR14YKYWSWW_SA4</v>
      </c>
      <c r="D18" s="574" t="str">
        <f>IF($F$1="Select company","",IF(C18 = "","",HLOOKUP(((VLOOKUP($F$1,Lists!$B$4:$C$22,2,FALSE))&amp;"ID"),'SUB list edited'!$A$2:$DC$42,($B18+1),FALSE)))</f>
        <v>00</v>
      </c>
      <c r="E18" s="569" t="str">
        <f>IF($F$1="Select company","",IF(C18 = "","",HLOOKUP(((VLOOKUP($F$1,Lists!$B$4:$C$22,2,FALSE))&amp;"PC"),'SUB list edited'!$A$2:$DC$42,($B18+1),FALSE)))</f>
        <v>SA4: Sewer network stability and reliability factor</v>
      </c>
      <c r="F18" s="574" t="str">
        <f>IF($F$1="Select company","",IF(C18 = "","",HLOOKUP(((VLOOKUP($F$1,Lists!$B$4:$C$22,2,FALSE))&amp;"unit"),'SUB list edited'!$A$2:$DC$42,($B18+1),FALSE)))</f>
        <v>category</v>
      </c>
      <c r="G18" s="574" t="str">
        <f>IF($F$1="Select company","",IF(C18="","",HLOOKUP(((VLOOKUP($F$1,Lists!$B$4:$C$22,2,FALSE))&amp;"DP"),'SUB list edited'!$A$2:$DC$42,($B18+1),FALSE)))</f>
        <v>na</v>
      </c>
      <c r="H18" s="574" t="str">
        <f>IF($F$1="Select company","",IF(C18 = "","",HLOOKUP(((VLOOKUP($F$1,Lists!$B$4:$C$22,2,FALSE))&amp;"201516ActPerf"),'SUB list edited'!$A$2:$DD$42,($B18+1),FALSE)))</f>
        <v>Stable</v>
      </c>
      <c r="I18" s="586" t="s">
        <v>608</v>
      </c>
      <c r="J18" s="587" t="s">
        <v>609</v>
      </c>
      <c r="L18" s="567">
        <f t="shared" si="0"/>
        <v>0</v>
      </c>
      <c r="M18" s="567">
        <f t="shared" si="1"/>
        <v>0</v>
      </c>
      <c r="P18" s="563">
        <f t="shared" si="2"/>
        <v>0</v>
      </c>
      <c r="Q18" s="563">
        <f t="shared" si="3"/>
        <v>0</v>
      </c>
      <c r="S18" s="563">
        <f xml:space="preserve"> IF(C18 = "", 0, IF(AND(NOT(INDEX('3A'!I$5:I$59, MATCH('3B'!$C18, '3A'!$C$5:$C$59, 0))=I18), $D18="00"), 1, 0))</f>
        <v>0</v>
      </c>
      <c r="T18" s="563">
        <f xml:space="preserve"> IF(C18 = "", 0, IF(AND(NOT(INDEX('3A'!J$5:J$59, MATCH('3B'!$C18, '3A'!$C$5:$C$59, 0))=J18), $D18="00"), 1, 0))</f>
        <v>0</v>
      </c>
    </row>
    <row r="19" spans="2:20" ht="18.75" customHeight="1" x14ac:dyDescent="0.2">
      <c r="B19" s="568">
        <f t="shared" si="6"/>
        <v>15</v>
      </c>
      <c r="C19" s="569" t="str">
        <f>IF($F$1="Select company","",IF((HLOOKUP((VLOOKUP($F$1,Lists!$B$4:$C$22,2,FALSE)),'SUB list edited'!$A$2:$DC$42,($B19+1),FALSE))=0,"",HLOOKUP((VLOOKUP($F$1,Lists!$B$4:$C$22,2,FALSE)),'SUB list edited'!$A$2:$DC$42,($B19+1),FALSE)))</f>
        <v>PR14YKYWSWW_SA4</v>
      </c>
      <c r="D19" s="574" t="str">
        <f>IF($F$1="Select company","",IF(C19 = "","",HLOOKUP(((VLOOKUP($F$1,Lists!$B$4:$C$22,2,FALSE))&amp;"ID"),'SUB list edited'!$A$2:$DC$42,($B19+1),FALSE)))</f>
        <v>01</v>
      </c>
      <c r="E19" s="569" t="str">
        <f>IF($F$1="Select company","",IF(C19 = "","",HLOOKUP(((VLOOKUP($F$1,Lists!$B$4:$C$22,2,FALSE))&amp;"PC"),'SUB list edited'!$A$2:$DC$42,($B19+1),FALSE)))</f>
        <v>Sewer collapses</v>
      </c>
      <c r="F19" s="574" t="str">
        <f>IF($F$1="Select company","",IF(C19 = "","",HLOOKUP(((VLOOKUP($F$1,Lists!$B$4:$C$22,2,FALSE))&amp;"unit"),'SUB list edited'!$A$2:$DC$42,($B19+1),FALSE)))</f>
        <v>nr</v>
      </c>
      <c r="G19" s="574">
        <f>IF($F$1="Select company","",IF(C19="","",HLOOKUP(((VLOOKUP($F$1,Lists!$B$4:$C$22,2,FALSE))&amp;"DP"),'SUB list edited'!$A$2:$DC$42,($B19+1),FALSE)))</f>
        <v>0</v>
      </c>
      <c r="H19" s="574">
        <f>IF($F$1="Select company","",IF(C19 = "","",HLOOKUP(((VLOOKUP($F$1,Lists!$B$4:$C$22,2,FALSE))&amp;"201516ActPerf"),'SUB list edited'!$A$2:$DD$42,($B19+1),FALSE)))</f>
        <v>261</v>
      </c>
      <c r="I19" s="586">
        <v>243</v>
      </c>
      <c r="J19" s="587" t="s">
        <v>605</v>
      </c>
      <c r="L19" s="567">
        <f t="shared" si="0"/>
        <v>0</v>
      </c>
      <c r="M19" s="567">
        <f t="shared" si="1"/>
        <v>0</v>
      </c>
      <c r="P19" s="563">
        <f t="shared" si="2"/>
        <v>0</v>
      </c>
      <c r="Q19" s="563">
        <f t="shared" si="3"/>
        <v>0</v>
      </c>
      <c r="S19" s="563">
        <f xml:space="preserve"> IF(C19 = "", 0, IF(AND(NOT(INDEX('3A'!I$5:I$59, MATCH('3B'!$C19, '3A'!$C$5:$C$59, 0))=I19), $D19="00"), 1, 0))</f>
        <v>0</v>
      </c>
      <c r="T19" s="563">
        <f xml:space="preserve"> IF(C19 = "", 0, IF(AND(NOT(INDEX('3A'!J$5:J$59, MATCH('3B'!$C19, '3A'!$C$5:$C$59, 0))=J19), $D19="00"), 1, 0))</f>
        <v>0</v>
      </c>
    </row>
    <row r="20" spans="2:20" ht="18.75" customHeight="1" x14ac:dyDescent="0.2">
      <c r="B20" s="568">
        <f t="shared" si="6"/>
        <v>16</v>
      </c>
      <c r="C20" s="569" t="str">
        <f>IF($F$1="Select company","",IF((HLOOKUP((VLOOKUP($F$1,Lists!$B$4:$C$22,2,FALSE)),'SUB list edited'!$A$2:$DC$42,($B20+1),FALSE))=0,"",HLOOKUP((VLOOKUP($F$1,Lists!$B$4:$C$22,2,FALSE)),'SUB list edited'!$A$2:$DC$42,($B20+1),FALSE)))</f>
        <v>PR14YKYWSWW_SA4</v>
      </c>
      <c r="D20" s="574" t="str">
        <f>IF($F$1="Select company","",IF(C20 = "","",HLOOKUP(((VLOOKUP($F$1,Lists!$B$4:$C$22,2,FALSE))&amp;"ID"),'SUB list edited'!$A$2:$DC$42,($B20+1),FALSE)))</f>
        <v>02</v>
      </c>
      <c r="E20" s="569" t="str">
        <f>IF($F$1="Select company","",IF(C20 = "","",HLOOKUP(((VLOOKUP($F$1,Lists!$B$4:$C$22,2,FALSE))&amp;"PC"),'SUB list edited'!$A$2:$DC$42,($B20+1),FALSE)))</f>
        <v>Pollution incidents (CSO, RM, FS and SPS)</v>
      </c>
      <c r="F20" s="574" t="str">
        <f>IF($F$1="Select company","",IF(C20 = "","",HLOOKUP(((VLOOKUP($F$1,Lists!$B$4:$C$22,2,FALSE))&amp;"unit"),'SUB list edited'!$A$2:$DC$42,($B20+1),FALSE)))</f>
        <v>nr</v>
      </c>
      <c r="G20" s="574">
        <f>IF($F$1="Select company","",IF(C20="","",HLOOKUP(((VLOOKUP($F$1,Lists!$B$4:$C$22,2,FALSE))&amp;"DP"),'SUB list edited'!$A$2:$DC$42,($B20+1),FALSE)))</f>
        <v>0</v>
      </c>
      <c r="H20" s="574">
        <f>IF($F$1="Select company","",IF(C20 = "","",HLOOKUP(((VLOOKUP($F$1,Lists!$B$4:$C$22,2,FALSE))&amp;"201516ActPerf"),'SUB list edited'!$A$2:$DD$42,($B20+1),FALSE)))</f>
        <v>140</v>
      </c>
      <c r="I20" s="586">
        <v>167</v>
      </c>
      <c r="J20" s="587" t="s">
        <v>605</v>
      </c>
      <c r="L20" s="567">
        <f t="shared" si="0"/>
        <v>0</v>
      </c>
      <c r="M20" s="567">
        <f t="shared" si="1"/>
        <v>0</v>
      </c>
      <c r="P20" s="563">
        <f t="shared" si="2"/>
        <v>0</v>
      </c>
      <c r="Q20" s="563">
        <f t="shared" si="3"/>
        <v>0</v>
      </c>
      <c r="S20" s="563">
        <f xml:space="preserve"> IF(C20 = "", 0, IF(AND(NOT(INDEX('3A'!I$5:I$59, MATCH('3B'!$C20, '3A'!$C$5:$C$59, 0))=I20), $D20="00"), 1, 0))</f>
        <v>0</v>
      </c>
      <c r="T20" s="563">
        <f xml:space="preserve"> IF(C20 = "", 0, IF(AND(NOT(INDEX('3A'!J$5:J$59, MATCH('3B'!$C20, '3A'!$C$5:$C$59, 0))=J20), $D20="00"), 1, 0))</f>
        <v>0</v>
      </c>
    </row>
    <row r="21" spans="2:20" ht="18.75" customHeight="1" x14ac:dyDescent="0.2">
      <c r="B21" s="568">
        <f t="shared" si="6"/>
        <v>17</v>
      </c>
      <c r="C21" s="569" t="str">
        <f>IF($F$1="Select company","",IF((HLOOKUP((VLOOKUP($F$1,Lists!$B$4:$C$22,2,FALSE)),'SUB list edited'!$A$2:$DC$42,($B21+1),FALSE))=0,"",HLOOKUP((VLOOKUP($F$1,Lists!$B$4:$C$22,2,FALSE)),'SUB list edited'!$A$2:$DC$42,($B21+1),FALSE)))</f>
        <v>PR14YKYWSWW_SA4</v>
      </c>
      <c r="D21" s="574" t="str">
        <f>IF($F$1="Select company","",IF(C21 = "","",HLOOKUP(((VLOOKUP($F$1,Lists!$B$4:$C$22,2,FALSE))&amp;"ID"),'SUB list edited'!$A$2:$DC$42,($B21+1),FALSE)))</f>
        <v>03</v>
      </c>
      <c r="E21" s="569" t="str">
        <f>IF($F$1="Select company","",IF(C21 = "","",HLOOKUP(((VLOOKUP($F$1,Lists!$B$4:$C$22,2,FALSE))&amp;"PC"),'SUB list edited'!$A$2:$DC$42,($B21+1),FALSE)))</f>
        <v>Properties flooded due to other causes</v>
      </c>
      <c r="F21" s="574" t="str">
        <f>IF($F$1="Select company","",IF(C21 = "","",HLOOKUP(((VLOOKUP($F$1,Lists!$B$4:$C$22,2,FALSE))&amp;"unit"),'SUB list edited'!$A$2:$DC$42,($B21+1),FALSE)))</f>
        <v>nr</v>
      </c>
      <c r="G21" s="574">
        <f>IF($F$1="Select company","",IF(C21="","",HLOOKUP(((VLOOKUP($F$1,Lists!$B$4:$C$22,2,FALSE))&amp;"DP"),'SUB list edited'!$A$2:$DC$42,($B21+1),FALSE)))</f>
        <v>0</v>
      </c>
      <c r="H21" s="574">
        <f>IF($F$1="Select company","",IF(C21 = "","",HLOOKUP(((VLOOKUP($F$1,Lists!$B$4:$C$22,2,FALSE))&amp;"201516ActPerf"),'SUB list edited'!$A$2:$DD$42,($B21+1),FALSE)))</f>
        <v>346</v>
      </c>
      <c r="I21" s="586">
        <v>372</v>
      </c>
      <c r="J21" s="587" t="s">
        <v>606</v>
      </c>
      <c r="L21" s="567">
        <f t="shared" si="0"/>
        <v>0</v>
      </c>
      <c r="M21" s="567">
        <f t="shared" si="1"/>
        <v>0</v>
      </c>
      <c r="P21" s="563">
        <f t="shared" si="2"/>
        <v>0</v>
      </c>
      <c r="Q21" s="563">
        <f t="shared" si="3"/>
        <v>0</v>
      </c>
      <c r="S21" s="563">
        <f xml:space="preserve"> IF(C21 = "", 0, IF(AND(NOT(INDEX('3A'!I$5:I$59, MATCH('3B'!$C21, '3A'!$C$5:$C$59, 0))=I21), $D21="00"), 1, 0))</f>
        <v>0</v>
      </c>
      <c r="T21" s="563">
        <f xml:space="preserve"> IF(C21 = "", 0, IF(AND(NOT(INDEX('3A'!J$5:J$59, MATCH('3B'!$C21, '3A'!$C$5:$C$59, 0))=J21), $D21="00"), 1, 0))</f>
        <v>0</v>
      </c>
    </row>
    <row r="22" spans="2:20" ht="18.75" customHeight="1" x14ac:dyDescent="0.2">
      <c r="B22" s="568">
        <f t="shared" si="6"/>
        <v>18</v>
      </c>
      <c r="C22" s="569" t="str">
        <f>IF($F$1="Select company","",IF((HLOOKUP((VLOOKUP($F$1,Lists!$B$4:$C$22,2,FALSE)),'SUB list edited'!$A$2:$DC$42,($B22+1),FALSE))=0,"",HLOOKUP((VLOOKUP($F$1,Lists!$B$4:$C$22,2,FALSE)),'SUB list edited'!$A$2:$DC$42,($B22+1),FALSE)))</f>
        <v>PR14YKYWSWW_SA4</v>
      </c>
      <c r="D22" s="574" t="str">
        <f>IF($F$1="Select company","",IF(C22 = "","",HLOOKUP(((VLOOKUP($F$1,Lists!$B$4:$C$22,2,FALSE))&amp;"ID"),'SUB list edited'!$A$2:$DC$42,($B22+1),FALSE)))</f>
        <v>04</v>
      </c>
      <c r="E22" s="569" t="str">
        <f>IF($F$1="Select company","",IF(C22 = "","",HLOOKUP(((VLOOKUP($F$1,Lists!$B$4:$C$22,2,FALSE))&amp;"PC"),'SUB list edited'!$A$2:$DC$42,($B22+1),FALSE)))</f>
        <v>Properties flooded due to overloaded sewers, excluding severe weather</v>
      </c>
      <c r="F22" s="574" t="str">
        <f>IF($F$1="Select company","",IF(C22 = "","",HLOOKUP(((VLOOKUP($F$1,Lists!$B$4:$C$22,2,FALSE))&amp;"unit"),'SUB list edited'!$A$2:$DC$42,($B22+1),FALSE)))</f>
        <v>nr</v>
      </c>
      <c r="G22" s="574">
        <f>IF($F$1="Select company","",IF(C22="","",HLOOKUP(((VLOOKUP($F$1,Lists!$B$4:$C$22,2,FALSE))&amp;"DP"),'SUB list edited'!$A$2:$DC$42,($B22+1),FALSE)))</f>
        <v>0</v>
      </c>
      <c r="H22" s="574">
        <f>IF($F$1="Select company","",IF(C22 = "","",HLOOKUP(((VLOOKUP($F$1,Lists!$B$4:$C$22,2,FALSE))&amp;"201516ActPerf"),'SUB list edited'!$A$2:$DD$42,($B22+1),FALSE)))</f>
        <v>50</v>
      </c>
      <c r="I22" s="586">
        <v>33</v>
      </c>
      <c r="J22" s="587" t="s">
        <v>605</v>
      </c>
      <c r="L22" s="567">
        <f t="shared" si="0"/>
        <v>0</v>
      </c>
      <c r="M22" s="567">
        <f t="shared" si="1"/>
        <v>0</v>
      </c>
      <c r="P22" s="563">
        <f t="shared" si="2"/>
        <v>0</v>
      </c>
      <c r="Q22" s="563">
        <f t="shared" si="3"/>
        <v>0</v>
      </c>
      <c r="S22" s="563">
        <f xml:space="preserve"> IF(C22 = "", 0, IF(AND(NOT(INDEX('3A'!I$5:I$59, MATCH('3B'!$C22, '3A'!$C$5:$C$59, 0))=I22), $D22="00"), 1, 0))</f>
        <v>0</v>
      </c>
      <c r="T22" s="563">
        <f xml:space="preserve"> IF(C22 = "", 0, IF(AND(NOT(INDEX('3A'!J$5:J$59, MATCH('3B'!$C22, '3A'!$C$5:$C$59, 0))=J22), $D22="00"), 1, 0))</f>
        <v>0</v>
      </c>
    </row>
    <row r="23" spans="2:20" ht="18.75" customHeight="1" x14ac:dyDescent="0.2">
      <c r="B23" s="568">
        <f t="shared" si="6"/>
        <v>19</v>
      </c>
      <c r="C23" s="569" t="str">
        <f>IF($F$1="Select company","",IF((HLOOKUP((VLOOKUP($F$1,Lists!$B$4:$C$22,2,FALSE)),'SUB list edited'!$A$2:$DC$42,($B23+1),FALSE))=0,"",HLOOKUP((VLOOKUP($F$1,Lists!$B$4:$C$22,2,FALSE)),'SUB list edited'!$A$2:$DC$42,($B23+1),FALSE)))</f>
        <v>PR14YKYWSWW_SA4</v>
      </c>
      <c r="D23" s="574" t="str">
        <f>IF($F$1="Select company","",IF(C23 = "","",HLOOKUP(((VLOOKUP($F$1,Lists!$B$4:$C$22,2,FALSE))&amp;"ID"),'SUB list edited'!$A$2:$DC$42,($B23+1),FALSE)))</f>
        <v>05</v>
      </c>
      <c r="E23" s="569" t="str">
        <f>IF($F$1="Select company","",IF(C23 = "","",HLOOKUP(((VLOOKUP($F$1,Lists!$B$4:$C$22,2,FALSE))&amp;"PC"),'SUB list edited'!$A$2:$DC$42,($B23+1),FALSE)))</f>
        <v>Sewer blockages</v>
      </c>
      <c r="F23" s="574" t="str">
        <f>IF($F$1="Select company","",IF(C23 = "","",HLOOKUP(((VLOOKUP($F$1,Lists!$B$4:$C$22,2,FALSE))&amp;"unit"),'SUB list edited'!$A$2:$DC$42,($B23+1),FALSE)))</f>
        <v>nr</v>
      </c>
      <c r="G23" s="574">
        <f>IF($F$1="Select company","",IF(C23="","",HLOOKUP(((VLOOKUP($F$1,Lists!$B$4:$C$22,2,FALSE))&amp;"DP"),'SUB list edited'!$A$2:$DC$42,($B23+1),FALSE)))</f>
        <v>0</v>
      </c>
      <c r="H23" s="574">
        <f>IF($F$1="Select company","",IF(C23 = "","",HLOOKUP(((VLOOKUP($F$1,Lists!$B$4:$C$22,2,FALSE))&amp;"201516ActPerf"),'SUB list edited'!$A$2:$DD$42,($B23+1),FALSE)))</f>
        <v>19423</v>
      </c>
      <c r="I23" s="586">
        <v>17398</v>
      </c>
      <c r="J23" s="587" t="s">
        <v>605</v>
      </c>
      <c r="L23" s="567">
        <f t="shared" si="0"/>
        <v>0</v>
      </c>
      <c r="M23" s="567">
        <f t="shared" si="1"/>
        <v>0</v>
      </c>
      <c r="P23" s="563">
        <f t="shared" si="2"/>
        <v>0</v>
      </c>
      <c r="Q23" s="563">
        <f t="shared" si="3"/>
        <v>0</v>
      </c>
      <c r="S23" s="563">
        <f xml:space="preserve"> IF(C23 = "", 0, IF(AND(NOT(INDEX('3A'!I$5:I$59, MATCH('3B'!$C23, '3A'!$C$5:$C$59, 0))=I23), $D23="00"), 1, 0))</f>
        <v>0</v>
      </c>
      <c r="T23" s="563">
        <f xml:space="preserve"> IF(C23 = "", 0, IF(AND(NOT(INDEX('3A'!J$5:J$59, MATCH('3B'!$C23, '3A'!$C$5:$C$59, 0))=J23), $D23="00"), 1, 0))</f>
        <v>0</v>
      </c>
    </row>
    <row r="24" spans="2:20" ht="18.75" customHeight="1" x14ac:dyDescent="0.2">
      <c r="B24" s="568">
        <f t="shared" si="6"/>
        <v>20</v>
      </c>
      <c r="C24" s="569" t="str">
        <f>IF($F$1="Select company","",IF((HLOOKUP((VLOOKUP($F$1,Lists!$B$4:$C$22,2,FALSE)),'SUB list edited'!$A$2:$DC$42,($B24+1),FALSE))=0,"",HLOOKUP((VLOOKUP($F$1,Lists!$B$4:$C$22,2,FALSE)),'SUB list edited'!$A$2:$DC$42,($B24+1),FALSE)))</f>
        <v>PR14YKYWSWW_SA4</v>
      </c>
      <c r="D24" s="574" t="str">
        <f>IF($F$1="Select company","",IF(C24 = "","",HLOOKUP(((VLOOKUP($F$1,Lists!$B$4:$C$22,2,FALSE))&amp;"ID"),'SUB list edited'!$A$2:$DC$42,($B24+1),FALSE)))</f>
        <v>06</v>
      </c>
      <c r="E24" s="569" t="str">
        <f>IF($F$1="Select company","",IF(C24 = "","",HLOOKUP(((VLOOKUP($F$1,Lists!$B$4:$C$22,2,FALSE))&amp;"PC"),'SUB list edited'!$A$2:$DC$42,($B24+1),FALSE)))</f>
        <v>Reactive equipment failures</v>
      </c>
      <c r="F24" s="574" t="str">
        <f>IF($F$1="Select company","",IF(C24 = "","",HLOOKUP(((VLOOKUP($F$1,Lists!$B$4:$C$22,2,FALSE))&amp;"unit"),'SUB list edited'!$A$2:$DC$42,($B24+1),FALSE)))</f>
        <v>nr</v>
      </c>
      <c r="G24" s="574">
        <f>IF($F$1="Select company","",IF(C24="","",HLOOKUP(((VLOOKUP($F$1,Lists!$B$4:$C$22,2,FALSE))&amp;"DP"),'SUB list edited'!$A$2:$DC$42,($B24+1),FALSE)))</f>
        <v>0</v>
      </c>
      <c r="H24" s="574">
        <f>IF($F$1="Select company","",IF(C24 = "","",HLOOKUP(((VLOOKUP($F$1,Lists!$B$4:$C$22,2,FALSE))&amp;"201516ActPerf"),'SUB list edited'!$A$2:$DD$42,($B24+1),FALSE)))</f>
        <v>3364</v>
      </c>
      <c r="I24" s="586">
        <v>3695</v>
      </c>
      <c r="J24" s="587" t="s">
        <v>605</v>
      </c>
      <c r="L24" s="567">
        <f t="shared" si="0"/>
        <v>0</v>
      </c>
      <c r="M24" s="567">
        <f t="shared" si="1"/>
        <v>0</v>
      </c>
      <c r="P24" s="563">
        <f t="shared" si="2"/>
        <v>0</v>
      </c>
      <c r="Q24" s="563">
        <f t="shared" si="3"/>
        <v>0</v>
      </c>
      <c r="S24" s="563">
        <f xml:space="preserve"> IF(C24 = "", 0, IF(AND(NOT(INDEX('3A'!I$5:I$59, MATCH('3B'!$C24, '3A'!$C$5:$C$59, 0))=I24), $D24="00"), 1, 0))</f>
        <v>0</v>
      </c>
      <c r="T24" s="563">
        <f xml:space="preserve"> IF(C24 = "", 0, IF(AND(NOT(INDEX('3A'!J$5:J$59, MATCH('3B'!$C24, '3A'!$C$5:$C$59, 0))=J24), $D24="00"), 1, 0))</f>
        <v>0</v>
      </c>
    </row>
    <row r="25" spans="2:20" ht="18.75" customHeight="1" x14ac:dyDescent="0.2">
      <c r="B25" s="568">
        <f t="shared" si="6"/>
        <v>21</v>
      </c>
      <c r="C25" s="569" t="str">
        <f>IF($F$1="Select company","",IF((HLOOKUP((VLOOKUP($F$1,Lists!$B$4:$C$22,2,FALSE)),'SUB list edited'!$A$2:$DC$42,($B25+1),FALSE))=0,"",HLOOKUP((VLOOKUP($F$1,Lists!$B$4:$C$22,2,FALSE)),'SUB list edited'!$A$2:$DC$42,($B25+1),FALSE)))</f>
        <v>PR14YKYWSWW_SB2</v>
      </c>
      <c r="D25" s="574" t="str">
        <f>IF($F$1="Select company","",IF(C25 = "","",HLOOKUP(((VLOOKUP($F$1,Lists!$B$4:$C$22,2,FALSE))&amp;"ID"),'SUB list edited'!$A$2:$DC$42,($B25+1),FALSE)))</f>
        <v>00</v>
      </c>
      <c r="E25" s="569" t="str">
        <f>IF($F$1="Select company","",IF(C25 = "","",HLOOKUP(((VLOOKUP($F$1,Lists!$B$4:$C$22,2,FALSE))&amp;"PC"),'SUB list edited'!$A$2:$DC$42,($B25+1),FALSE)))</f>
        <v>SB2: Wastewater quality stability and reliability factor</v>
      </c>
      <c r="F25" s="574" t="str">
        <f>IF($F$1="Select company","",IF(C25 = "","",HLOOKUP(((VLOOKUP($F$1,Lists!$B$4:$C$22,2,FALSE))&amp;"unit"),'SUB list edited'!$A$2:$DC$42,($B25+1),FALSE)))</f>
        <v>category</v>
      </c>
      <c r="G25" s="574" t="str">
        <f>IF($F$1="Select company","",IF(C25="","",HLOOKUP(((VLOOKUP($F$1,Lists!$B$4:$C$22,2,FALSE))&amp;"DP"),'SUB list edited'!$A$2:$DC$42,($B25+1),FALSE)))</f>
        <v>na</v>
      </c>
      <c r="H25" s="574" t="str">
        <f>IF($F$1="Select company","",IF(C25 = "","",HLOOKUP(((VLOOKUP($F$1,Lists!$B$4:$C$22,2,FALSE))&amp;"201516ActPerf"),'SUB list edited'!$A$2:$DD$42,($B25+1),FALSE)))</f>
        <v>Stable</v>
      </c>
      <c r="I25" s="586" t="s">
        <v>608</v>
      </c>
      <c r="J25" s="587" t="s">
        <v>609</v>
      </c>
      <c r="L25" s="567">
        <f t="shared" si="0"/>
        <v>0</v>
      </c>
      <c r="M25" s="567">
        <f t="shared" si="1"/>
        <v>0</v>
      </c>
      <c r="P25" s="563">
        <f t="shared" si="2"/>
        <v>0</v>
      </c>
      <c r="Q25" s="563">
        <f t="shared" si="3"/>
        <v>0</v>
      </c>
      <c r="S25" s="563">
        <f xml:space="preserve"> IF(C25 = "", 0, IF(AND(NOT(INDEX('3A'!I$5:I$59, MATCH('3B'!$C25, '3A'!$C$5:$C$59, 0))=I25), $D25="00"), 1, 0))</f>
        <v>0</v>
      </c>
      <c r="T25" s="563">
        <f xml:space="preserve"> IF(C25 = "", 0, IF(AND(NOT(INDEX('3A'!J$5:J$59, MATCH('3B'!$C25, '3A'!$C$5:$C$59, 0))=J25), $D25="00"), 1, 0))</f>
        <v>0</v>
      </c>
    </row>
    <row r="26" spans="2:20" ht="18" customHeight="1" x14ac:dyDescent="0.2">
      <c r="B26" s="568">
        <f t="shared" si="6"/>
        <v>22</v>
      </c>
      <c r="C26" s="569" t="str">
        <f>IF($F$1="Select company","",IF((HLOOKUP((VLOOKUP($F$1,Lists!$B$4:$C$22,2,FALSE)),'SUB list edited'!$A$2:$DC$42,($B26+1),FALSE))=0,"",HLOOKUP((VLOOKUP($F$1,Lists!$B$4:$C$22,2,FALSE)),'SUB list edited'!$A$2:$DC$42,($B26+1),FALSE)))</f>
        <v>PR14YKYWSWW_SB2</v>
      </c>
      <c r="D26" s="574" t="str">
        <f>IF($F$1="Select company","",IF(C26 = "","",HLOOKUP(((VLOOKUP($F$1,Lists!$B$4:$C$22,2,FALSE))&amp;"ID"),'SUB list edited'!$A$2:$DC$42,($B26+1),FALSE)))</f>
        <v>01</v>
      </c>
      <c r="E26" s="569" t="str">
        <f>IF($F$1="Select company","",IF(C26 = "","",HLOOKUP(((VLOOKUP($F$1,Lists!$B$4:$C$22,2,FALSE))&amp;"PC"),'SUB list edited'!$A$2:$DC$42,($B26+1),FALSE)))</f>
        <v>Sewage treatment works non-compliance</v>
      </c>
      <c r="F26" s="574" t="str">
        <f>IF($F$1="Select company","",IF(C26 = "","",HLOOKUP(((VLOOKUP($F$1,Lists!$B$4:$C$22,2,FALSE))&amp;"unit"),'SUB list edited'!$A$2:$DC$42,($B26+1),FALSE)))</f>
        <v>nr</v>
      </c>
      <c r="G26" s="574">
        <f>IF($F$1="Select company","",IF(C26="","",HLOOKUP(((VLOOKUP($F$1,Lists!$B$4:$C$22,2,FALSE))&amp;"DP"),'SUB list edited'!$A$2:$DC$42,($B26+1),FALSE)))</f>
        <v>0</v>
      </c>
      <c r="H26" s="574">
        <f>IF($F$1="Select company","",IF(C26 = "","",HLOOKUP(((VLOOKUP($F$1,Lists!$B$4:$C$22,2,FALSE))&amp;"201516ActPerf"),'SUB list edited'!$A$2:$DD$42,($B26+1),FALSE)))</f>
        <v>2</v>
      </c>
      <c r="I26" s="586">
        <v>7</v>
      </c>
      <c r="J26" s="587" t="s">
        <v>606</v>
      </c>
      <c r="L26" s="567">
        <f t="shared" si="0"/>
        <v>0</v>
      </c>
      <c r="M26" s="567">
        <f t="shared" si="1"/>
        <v>0</v>
      </c>
      <c r="P26" s="563">
        <f t="shared" si="2"/>
        <v>0</v>
      </c>
      <c r="Q26" s="563">
        <f t="shared" si="3"/>
        <v>0</v>
      </c>
      <c r="S26" s="563">
        <f xml:space="preserve"> IF(C26 = "", 0, IF(AND(NOT(INDEX('3A'!I$5:I$59, MATCH('3B'!$C26, '3A'!$C$5:$C$59, 0))=I26), $D26="00"), 1, 0))</f>
        <v>0</v>
      </c>
      <c r="T26" s="563">
        <f xml:space="preserve"> IF(C26 = "", 0, IF(AND(NOT(INDEX('3A'!J$5:J$59, MATCH('3B'!$C26, '3A'!$C$5:$C$59, 0))=J26), $D26="00"), 1, 0))</f>
        <v>0</v>
      </c>
    </row>
    <row r="27" spans="2:20" ht="18.75" customHeight="1" x14ac:dyDescent="0.2">
      <c r="B27" s="568">
        <f t="shared" si="6"/>
        <v>23</v>
      </c>
      <c r="C27" s="569" t="str">
        <f>IF($F$1="Select company","",IF((HLOOKUP((VLOOKUP($F$1,Lists!$B$4:$C$22,2,FALSE)),'SUB list edited'!$A$2:$DC$42,($B27+1),FALSE))=0,"",HLOOKUP((VLOOKUP($F$1,Lists!$B$4:$C$22,2,FALSE)),'SUB list edited'!$A$2:$DC$42,($B27+1),FALSE)))</f>
        <v>PR14YKYWSWW_SB2</v>
      </c>
      <c r="D27" s="574" t="str">
        <f>IF($F$1="Select company","",IF(C27 = "","",HLOOKUP(((VLOOKUP($F$1,Lists!$B$4:$C$22,2,FALSE))&amp;"ID"),'SUB list edited'!$A$2:$DC$42,($B27+1),FALSE)))</f>
        <v>02</v>
      </c>
      <c r="E27" s="569" t="str">
        <f>IF($F$1="Select company","",IF(C27 = "","",HLOOKUP(((VLOOKUP($F$1,Lists!$B$4:$C$22,2,FALSE))&amp;"PC"),'SUB list edited'!$A$2:$DC$42,($B27+1),FALSE)))</f>
        <v>Population equivalent non-compliance</v>
      </c>
      <c r="F27" s="574" t="str">
        <f>IF($F$1="Select company","",IF(C27 = "","",HLOOKUP(((VLOOKUP($F$1,Lists!$B$4:$C$22,2,FALSE))&amp;"unit"),'SUB list edited'!$A$2:$DC$42,($B27+1),FALSE)))</f>
        <v>%</v>
      </c>
      <c r="G27" s="574">
        <f>IF($F$1="Select company","",IF(C27="","",HLOOKUP(((VLOOKUP($F$1,Lists!$B$4:$C$22,2,FALSE))&amp;"DP"),'SUB list edited'!$A$2:$DC$42,($B27+1),FALSE)))</f>
        <v>1</v>
      </c>
      <c r="H27" s="574">
        <f>IF($F$1="Select company","",IF(C27 = "","",HLOOKUP(((VLOOKUP($F$1,Lists!$B$4:$C$22,2,FALSE))&amp;"201516ActPerf"),'SUB list edited'!$A$2:$DD$42,($B27+1),FALSE)))</f>
        <v>0</v>
      </c>
      <c r="I27" s="586">
        <v>0.7</v>
      </c>
      <c r="J27" s="587" t="s">
        <v>606</v>
      </c>
      <c r="L27" s="567">
        <f t="shared" si="0"/>
        <v>0</v>
      </c>
      <c r="M27" s="567">
        <f t="shared" si="1"/>
        <v>0</v>
      </c>
      <c r="P27" s="563">
        <f t="shared" si="2"/>
        <v>0</v>
      </c>
      <c r="Q27" s="563">
        <f t="shared" si="3"/>
        <v>0</v>
      </c>
      <c r="S27" s="563">
        <f xml:space="preserve"> IF(C27 = "", 0, IF(AND(NOT(INDEX('3A'!I$5:I$59, MATCH('3B'!$C27, '3A'!$C$5:$C$59, 0))=I27), $D27="00"), 1, 0))</f>
        <v>0</v>
      </c>
      <c r="T27" s="563">
        <f xml:space="preserve"> IF(C27 = "", 0, IF(AND(NOT(INDEX('3A'!J$5:J$59, MATCH('3B'!$C27, '3A'!$C$5:$C$59, 0))=J27), $D27="00"), 1, 0))</f>
        <v>0</v>
      </c>
    </row>
    <row r="28" spans="2:20" ht="18.75" customHeight="1" x14ac:dyDescent="0.2">
      <c r="B28" s="568">
        <f t="shared" si="6"/>
        <v>24</v>
      </c>
      <c r="C28" s="569" t="str">
        <f>IF($F$1="Select company","",IF((HLOOKUP((VLOOKUP($F$1,Lists!$B$4:$C$22,2,FALSE)),'SUB list edited'!$A$2:$DC$42,($B28+1),FALSE))=0,"",HLOOKUP((VLOOKUP($F$1,Lists!$B$4:$C$22,2,FALSE)),'SUB list edited'!$A$2:$DC$42,($B28+1),FALSE)))</f>
        <v>PR14YKYWSWW_SB2</v>
      </c>
      <c r="D28" s="574" t="str">
        <f>IF($F$1="Select company","",IF(C28 = "","",HLOOKUP(((VLOOKUP($F$1,Lists!$B$4:$C$22,2,FALSE))&amp;"ID"),'SUB list edited'!$A$2:$DC$42,($B28+1),FALSE)))</f>
        <v>03</v>
      </c>
      <c r="E28" s="569" t="str">
        <f>IF($F$1="Select company","",IF(C28 = "","",HLOOKUP(((VLOOKUP($F$1,Lists!$B$4:$C$22,2,FALSE))&amp;"PC"),'SUB list edited'!$A$2:$DC$42,($B28+1),FALSE)))</f>
        <v>Reactive equipment failures</v>
      </c>
      <c r="F28" s="574" t="str">
        <f>IF($F$1="Select company","",IF(C28 = "","",HLOOKUP(((VLOOKUP($F$1,Lists!$B$4:$C$22,2,FALSE))&amp;"unit"),'SUB list edited'!$A$2:$DC$42,($B28+1),FALSE)))</f>
        <v>nr</v>
      </c>
      <c r="G28" s="574">
        <f>IF($F$1="Select company","",IF(C28="","",HLOOKUP(((VLOOKUP($F$1,Lists!$B$4:$C$22,2,FALSE))&amp;"DP"),'SUB list edited'!$A$2:$DC$42,($B28+1),FALSE)))</f>
        <v>0</v>
      </c>
      <c r="H28" s="574">
        <f>IF($F$1="Select company","",IF(C28 = "","",HLOOKUP(((VLOOKUP($F$1,Lists!$B$4:$C$22,2,FALSE))&amp;"201516ActPerf"),'SUB list edited'!$A$2:$DD$42,($B28+1),FALSE)))</f>
        <v>12115</v>
      </c>
      <c r="I28" s="586">
        <v>11564</v>
      </c>
      <c r="J28" s="587" t="s">
        <v>605</v>
      </c>
      <c r="L28" s="567">
        <f t="shared" si="0"/>
        <v>0</v>
      </c>
      <c r="M28" s="567">
        <f t="shared" si="1"/>
        <v>0</v>
      </c>
      <c r="P28" s="563">
        <f t="shared" si="2"/>
        <v>0</v>
      </c>
      <c r="Q28" s="563">
        <f t="shared" si="3"/>
        <v>0</v>
      </c>
      <c r="S28" s="563">
        <f xml:space="preserve"> IF(C28 = "", 0, IF(AND(NOT(INDEX('3A'!I$5:I$59, MATCH('3B'!$C28, '3A'!$C$5:$C$59, 0))=I28), $D28="00"), 1, 0))</f>
        <v>0</v>
      </c>
      <c r="T28" s="563">
        <f xml:space="preserve"> IF(C28 = "", 0, IF(AND(NOT(INDEX('3A'!J$5:J$59, MATCH('3B'!$C28, '3A'!$C$5:$C$59, 0))=J28), $D28="00"), 1, 0))</f>
        <v>0</v>
      </c>
    </row>
    <row r="29" spans="2:20" ht="18.75" customHeight="1" x14ac:dyDescent="0.2">
      <c r="B29" s="568">
        <f t="shared" si="6"/>
        <v>25</v>
      </c>
      <c r="C29" s="569" t="str">
        <f>IF($F$1="Select company","",IF((HLOOKUP((VLOOKUP($F$1,Lists!$B$4:$C$22,2,FALSE)),'SUB list edited'!$A$2:$DC$42,($B29+1),FALSE))=0,"",HLOOKUP((VLOOKUP($F$1,Lists!$B$4:$C$22,2,FALSE)),'SUB list edited'!$A$2:$DC$42,($B29+1),FALSE)))</f>
        <v/>
      </c>
      <c r="D29" s="574" t="str">
        <f>IF($F$1="Select company","",IF(C29 = "","",HLOOKUP(((VLOOKUP($F$1,Lists!$B$4:$C$22,2,FALSE))&amp;"ID"),'SUB list edited'!$A$2:$DC$42,($B29+1),FALSE)))</f>
        <v/>
      </c>
      <c r="E29" s="569" t="str">
        <f>IF($F$1="Select company","",IF(C29 = "","",HLOOKUP(((VLOOKUP($F$1,Lists!$B$4:$C$22,2,FALSE))&amp;"PC"),'SUB list edited'!$A$2:$DC$42,($B29+1),FALSE)))</f>
        <v/>
      </c>
      <c r="F29" s="574" t="str">
        <f>IF($F$1="Select company","",IF(C29 = "","",HLOOKUP(((VLOOKUP($F$1,Lists!$B$4:$C$22,2,FALSE))&amp;"unit"),'SUB list edited'!$A$2:$DC$42,($B29+1),FALSE)))</f>
        <v/>
      </c>
      <c r="G29" s="574" t="str">
        <f>IF($F$1="Select company","",IF(C29="","",HLOOKUP(((VLOOKUP($F$1,Lists!$B$4:$C$22,2,FALSE))&amp;"DP"),'SUB list edited'!$A$2:$DC$42,($B29+1),FALSE)))</f>
        <v/>
      </c>
      <c r="H29" s="574" t="str">
        <f>IF($F$1="Select company","",IF(C29 = "","",HLOOKUP(((VLOOKUP($F$1,Lists!$B$4:$C$22,2,FALSE))&amp;"201516ActPerf"),'SUB list edited'!$A$2:$DD$42,($B29+1),FALSE)))</f>
        <v/>
      </c>
      <c r="I29" s="586"/>
      <c r="J29" s="587"/>
      <c r="L29" s="567">
        <f t="shared" si="0"/>
        <v>0</v>
      </c>
      <c r="M29" s="567">
        <f t="shared" si="1"/>
        <v>0</v>
      </c>
      <c r="P29" s="563">
        <f t="shared" si="2"/>
        <v>0</v>
      </c>
      <c r="Q29" s="563">
        <f t="shared" si="3"/>
        <v>0</v>
      </c>
      <c r="S29" s="563">
        <f xml:space="preserve"> IF(C29 = "", 0, IF(AND(NOT(INDEX('3A'!I$5:I$59, MATCH('3B'!$C29, '3A'!$C$5:$C$59, 0))=I29), $D29="00"), 1, 0))</f>
        <v>0</v>
      </c>
      <c r="T29" s="563">
        <f xml:space="preserve"> IF(C29 = "", 0, IF(AND(NOT(INDEX('3A'!J$5:J$59, MATCH('3B'!$C29, '3A'!$C$5:$C$59, 0))=J29), $D29="00"), 1, 0))</f>
        <v>0</v>
      </c>
    </row>
    <row r="30" spans="2:20" ht="18.75" customHeight="1" x14ac:dyDescent="0.2">
      <c r="B30" s="568">
        <f t="shared" si="6"/>
        <v>26</v>
      </c>
      <c r="C30" s="569" t="str">
        <f>IF($F$1="Select company","",IF((HLOOKUP((VLOOKUP($F$1,Lists!$B$4:$C$22,2,FALSE)),'SUB list edited'!$A$2:$DC$42,($B30+1),FALSE))=0,"",HLOOKUP((VLOOKUP($F$1,Lists!$B$4:$C$22,2,FALSE)),'SUB list edited'!$A$2:$DC$42,($B30+1),FALSE)))</f>
        <v/>
      </c>
      <c r="D30" s="574" t="str">
        <f>IF($F$1="Select company","",IF(C30 = "","",HLOOKUP(((VLOOKUP($F$1,Lists!$B$4:$C$22,2,FALSE))&amp;"ID"),'SUB list edited'!$A$2:$DC$42,($B30+1),FALSE)))</f>
        <v/>
      </c>
      <c r="E30" s="569" t="str">
        <f>IF($F$1="Select company","",IF(C30 = "","",HLOOKUP(((VLOOKUP($F$1,Lists!$B$4:$C$22,2,FALSE))&amp;"PC"),'SUB list edited'!$A$2:$DC$42,($B30+1),FALSE)))</f>
        <v/>
      </c>
      <c r="F30" s="574" t="str">
        <f>IF($F$1="Select company","",IF(C30 = "","",HLOOKUP(((VLOOKUP($F$1,Lists!$B$4:$C$22,2,FALSE))&amp;"unit"),'SUB list edited'!$A$2:$DC$42,($B30+1),FALSE)))</f>
        <v/>
      </c>
      <c r="G30" s="574" t="str">
        <f>IF($F$1="Select company","",IF(C30="","",HLOOKUP(((VLOOKUP($F$1,Lists!$B$4:$C$22,2,FALSE))&amp;"DP"),'SUB list edited'!$A$2:$DC$42,($B30+1),FALSE)))</f>
        <v/>
      </c>
      <c r="H30" s="574" t="str">
        <f>IF($F$1="Select company","",IF(C30 = "","",HLOOKUP(((VLOOKUP($F$1,Lists!$B$4:$C$22,2,FALSE))&amp;"201516ActPerf"),'SUB list edited'!$A$2:$DD$42,($B30+1),FALSE)))</f>
        <v/>
      </c>
      <c r="I30" s="586"/>
      <c r="J30" s="587"/>
      <c r="L30" s="567">
        <f t="shared" si="0"/>
        <v>0</v>
      </c>
      <c r="M30" s="567">
        <f t="shared" si="1"/>
        <v>0</v>
      </c>
      <c r="P30" s="563">
        <f t="shared" si="2"/>
        <v>0</v>
      </c>
      <c r="Q30" s="563">
        <f t="shared" si="3"/>
        <v>0</v>
      </c>
      <c r="S30" s="563">
        <f xml:space="preserve"> IF(C30 = "", 0, IF(AND(NOT(INDEX('3A'!I$5:I$59, MATCH('3B'!$C30, '3A'!$C$5:$C$59, 0))=I30), $D30="00"), 1, 0))</f>
        <v>0</v>
      </c>
      <c r="T30" s="563">
        <f xml:space="preserve"> IF(C30 = "", 0, IF(AND(NOT(INDEX('3A'!J$5:J$59, MATCH('3B'!$C30, '3A'!$C$5:$C$59, 0))=J30), $D30="00"), 1, 0))</f>
        <v>0</v>
      </c>
    </row>
    <row r="31" spans="2:20" ht="18.75" customHeight="1" x14ac:dyDescent="0.2">
      <c r="B31" s="568">
        <f t="shared" si="6"/>
        <v>27</v>
      </c>
      <c r="C31" s="569" t="str">
        <f>IF($F$1="Select company","",IF((HLOOKUP((VLOOKUP($F$1,Lists!$B$4:$C$22,2,FALSE)),'SUB list edited'!$A$2:$DC$42,($B31+1),FALSE))=0,"",HLOOKUP((VLOOKUP($F$1,Lists!$B$4:$C$22,2,FALSE)),'SUB list edited'!$A$2:$DC$42,($B31+1),FALSE)))</f>
        <v/>
      </c>
      <c r="D31" s="574" t="str">
        <f>IF($F$1="Select company","",IF(C31 = "","",HLOOKUP(((VLOOKUP($F$1,Lists!$B$4:$C$22,2,FALSE))&amp;"ID"),'SUB list edited'!$A$2:$DC$42,($B31+1),FALSE)))</f>
        <v/>
      </c>
      <c r="E31" s="569" t="str">
        <f>IF($F$1="Select company","",IF(C31 = "","",HLOOKUP(((VLOOKUP($F$1,Lists!$B$4:$C$22,2,FALSE))&amp;"PC"),'SUB list edited'!$A$2:$DC$42,($B31+1),FALSE)))</f>
        <v/>
      </c>
      <c r="F31" s="574" t="str">
        <f>IF($F$1="Select company","",IF(C31 = "","",HLOOKUP(((VLOOKUP($F$1,Lists!$B$4:$C$22,2,FALSE))&amp;"unit"),'SUB list edited'!$A$2:$DC$42,($B31+1),FALSE)))</f>
        <v/>
      </c>
      <c r="G31" s="574" t="str">
        <f>IF($F$1="Select company","",IF(C31="","",HLOOKUP(((VLOOKUP($F$1,Lists!$B$4:$C$22,2,FALSE))&amp;"DP"),'SUB list edited'!$A$2:$DC$42,($B31+1),FALSE)))</f>
        <v/>
      </c>
      <c r="H31" s="574" t="str">
        <f>IF($F$1="Select company","",IF(C31 = "","",HLOOKUP(((VLOOKUP($F$1,Lists!$B$4:$C$22,2,FALSE))&amp;"201516ActPerf"),'SUB list edited'!$A$2:$DD$42,($B31+1),FALSE)))</f>
        <v/>
      </c>
      <c r="I31" s="586"/>
      <c r="J31" s="587"/>
      <c r="L31" s="567">
        <f t="shared" si="0"/>
        <v>0</v>
      </c>
      <c r="M31" s="567">
        <f t="shared" si="1"/>
        <v>0</v>
      </c>
      <c r="P31" s="563">
        <f t="shared" si="2"/>
        <v>0</v>
      </c>
      <c r="Q31" s="563">
        <f t="shared" si="3"/>
        <v>0</v>
      </c>
      <c r="S31" s="563">
        <f xml:space="preserve"> IF(C31 = "", 0, IF(AND(NOT(INDEX('3A'!I$5:I$59, MATCH('3B'!$C31, '3A'!$C$5:$C$59, 0))=I31), $D31="00"), 1, 0))</f>
        <v>0</v>
      </c>
      <c r="T31" s="563">
        <f xml:space="preserve"> IF(C31 = "", 0, IF(AND(NOT(INDEX('3A'!J$5:J$59, MATCH('3B'!$C31, '3A'!$C$5:$C$59, 0))=J31), $D31="00"), 1, 0))</f>
        <v>0</v>
      </c>
    </row>
    <row r="32" spans="2:20" ht="18.75" customHeight="1" x14ac:dyDescent="0.2">
      <c r="B32" s="568">
        <f t="shared" si="6"/>
        <v>28</v>
      </c>
      <c r="C32" s="569" t="str">
        <f>IF($F$1="Select company","",IF((HLOOKUP((VLOOKUP($F$1,Lists!$B$4:$C$22,2,FALSE)),'SUB list edited'!$A$2:$DC$42,($B32+1),FALSE))=0,"",HLOOKUP((VLOOKUP($F$1,Lists!$B$4:$C$22,2,FALSE)),'SUB list edited'!$A$2:$DC$42,($B32+1),FALSE)))</f>
        <v/>
      </c>
      <c r="D32" s="574" t="str">
        <f>IF($F$1="Select company","",IF(C32 = "","",HLOOKUP(((VLOOKUP($F$1,Lists!$B$4:$C$22,2,FALSE))&amp;"ID"),'SUB list edited'!$A$2:$DC$42,($B32+1),FALSE)))</f>
        <v/>
      </c>
      <c r="E32" s="569" t="str">
        <f>IF($F$1="Select company","",IF(C32 = "","",HLOOKUP(((VLOOKUP($F$1,Lists!$B$4:$C$22,2,FALSE))&amp;"PC"),'SUB list edited'!$A$2:$DC$42,($B32+1),FALSE)))</f>
        <v/>
      </c>
      <c r="F32" s="574" t="str">
        <f>IF($F$1="Select company","",IF(C32 = "","",HLOOKUP(((VLOOKUP($F$1,Lists!$B$4:$C$22,2,FALSE))&amp;"unit"),'SUB list edited'!$A$2:$DC$42,($B32+1),FALSE)))</f>
        <v/>
      </c>
      <c r="G32" s="574" t="str">
        <f>IF($F$1="Select company","",IF(C32="","",HLOOKUP(((VLOOKUP($F$1,Lists!$B$4:$C$22,2,FALSE))&amp;"DP"),'SUB list edited'!$A$2:$DC$42,($B32+1),FALSE)))</f>
        <v/>
      </c>
      <c r="H32" s="574" t="str">
        <f>IF($F$1="Select company","",IF(C32 = "","",HLOOKUP(((VLOOKUP($F$1,Lists!$B$4:$C$22,2,FALSE))&amp;"201516ActPerf"),'SUB list edited'!$A$2:$DD$42,($B32+1),FALSE)))</f>
        <v/>
      </c>
      <c r="I32" s="586"/>
      <c r="J32" s="587"/>
      <c r="L32" s="567">
        <f t="shared" si="0"/>
        <v>0</v>
      </c>
      <c r="M32" s="567">
        <f t="shared" si="1"/>
        <v>0</v>
      </c>
      <c r="P32" s="563">
        <f t="shared" si="2"/>
        <v>0</v>
      </c>
      <c r="Q32" s="563">
        <f t="shared" si="3"/>
        <v>0</v>
      </c>
      <c r="S32" s="563">
        <f xml:space="preserve"> IF(C32 = "", 0, IF(AND(NOT(INDEX('3A'!I$5:I$59, MATCH('3B'!$C32, '3A'!$C$5:$C$59, 0))=I32), $D32="00"), 1, 0))</f>
        <v>0</v>
      </c>
      <c r="T32" s="563">
        <f xml:space="preserve"> IF(C32 = "", 0, IF(AND(NOT(INDEX('3A'!J$5:J$59, MATCH('3B'!$C32, '3A'!$C$5:$C$59, 0))=J32), $D32="00"), 1, 0))</f>
        <v>0</v>
      </c>
    </row>
    <row r="33" spans="2:20" ht="18.75" customHeight="1" x14ac:dyDescent="0.2">
      <c r="B33" s="568">
        <f t="shared" si="6"/>
        <v>29</v>
      </c>
      <c r="C33" s="569" t="str">
        <f>IF($F$1="Select company","",IF((HLOOKUP((VLOOKUP($F$1,Lists!$B$4:$C$22,2,FALSE)),'SUB list edited'!$A$2:$DC$42,($B33+1),FALSE))=0,"",HLOOKUP((VLOOKUP($F$1,Lists!$B$4:$C$22,2,FALSE)),'SUB list edited'!$A$2:$DC$42,($B33+1),FALSE)))</f>
        <v/>
      </c>
      <c r="D33" s="574" t="str">
        <f>IF($F$1="Select company","",IF(C33 = "","",HLOOKUP(((VLOOKUP($F$1,Lists!$B$4:$C$22,2,FALSE))&amp;"ID"),'SUB list edited'!$A$2:$DC$42,($B33+1),FALSE)))</f>
        <v/>
      </c>
      <c r="E33" s="569" t="str">
        <f>IF($F$1="Select company","",IF(C33 = "","",HLOOKUP(((VLOOKUP($F$1,Lists!$B$4:$C$22,2,FALSE))&amp;"PC"),'SUB list edited'!$A$2:$DC$42,($B33+1),FALSE)))</f>
        <v/>
      </c>
      <c r="F33" s="574" t="str">
        <f>IF($F$1="Select company","",IF(C33 = "","",HLOOKUP(((VLOOKUP($F$1,Lists!$B$4:$C$22,2,FALSE))&amp;"unit"),'SUB list edited'!$A$2:$DC$42,($B33+1),FALSE)))</f>
        <v/>
      </c>
      <c r="G33" s="574" t="str">
        <f>IF($F$1="Select company","",IF(C33="","",HLOOKUP(((VLOOKUP($F$1,Lists!$B$4:$C$22,2,FALSE))&amp;"DP"),'SUB list edited'!$A$2:$DC$42,($B33+1),FALSE)))</f>
        <v/>
      </c>
      <c r="H33" s="574" t="str">
        <f>IF($F$1="Select company","",IF(C33 = "","",HLOOKUP(((VLOOKUP($F$1,Lists!$B$4:$C$22,2,FALSE))&amp;"201516ActPerf"),'SUB list edited'!$A$2:$DD$42,($B33+1),FALSE)))</f>
        <v/>
      </c>
      <c r="I33" s="586"/>
      <c r="J33" s="587"/>
      <c r="L33" s="567">
        <f t="shared" si="0"/>
        <v>0</v>
      </c>
      <c r="M33" s="567">
        <f t="shared" si="1"/>
        <v>0</v>
      </c>
      <c r="P33" s="563">
        <f t="shared" si="2"/>
        <v>0</v>
      </c>
      <c r="Q33" s="563">
        <f t="shared" si="3"/>
        <v>0</v>
      </c>
      <c r="S33" s="563">
        <f xml:space="preserve"> IF(C33 = "", 0, IF(AND(NOT(INDEX('3A'!I$5:I$59, MATCH('3B'!$C33, '3A'!$C$5:$C$59, 0))=I33), $D33="00"), 1, 0))</f>
        <v>0</v>
      </c>
      <c r="T33" s="563">
        <f xml:space="preserve"> IF(C33 = "", 0, IF(AND(NOT(INDEX('3A'!J$5:J$59, MATCH('3B'!$C33, '3A'!$C$5:$C$59, 0))=J33), $D33="00"), 1, 0))</f>
        <v>0</v>
      </c>
    </row>
    <row r="34" spans="2:20" ht="18.75" customHeight="1" x14ac:dyDescent="0.2">
      <c r="B34" s="568">
        <f t="shared" si="6"/>
        <v>30</v>
      </c>
      <c r="C34" s="569" t="str">
        <f>IF($F$1="Select company","",IF((HLOOKUP((VLOOKUP($F$1,Lists!$B$4:$C$22,2,FALSE)),'SUB list edited'!$A$2:$DC$42,($B34+1),FALSE))=0,"",HLOOKUP((VLOOKUP($F$1,Lists!$B$4:$C$22,2,FALSE)),'SUB list edited'!$A$2:$DC$42,($B34+1),FALSE)))</f>
        <v/>
      </c>
      <c r="D34" s="574" t="str">
        <f>IF($F$1="Select company","",IF(C34 = "","",HLOOKUP(((VLOOKUP($F$1,Lists!$B$4:$C$22,2,FALSE))&amp;"ID"),'SUB list edited'!$A$2:$DC$42,($B34+1),FALSE)))</f>
        <v/>
      </c>
      <c r="E34" s="569" t="str">
        <f>IF($F$1="Select company","",IF(C34 = "","",HLOOKUP(((VLOOKUP($F$1,Lists!$B$4:$C$22,2,FALSE))&amp;"PC"),'SUB list edited'!$A$2:$DC$42,($B34+1),FALSE)))</f>
        <v/>
      </c>
      <c r="F34" s="574" t="str">
        <f>IF($F$1="Select company","",IF(C34 = "","",HLOOKUP(((VLOOKUP($F$1,Lists!$B$4:$C$22,2,FALSE))&amp;"unit"),'SUB list edited'!$A$2:$DC$42,($B34+1),FALSE)))</f>
        <v/>
      </c>
      <c r="G34" s="574" t="str">
        <f>IF($F$1="Select company","",IF(C34="","",HLOOKUP(((VLOOKUP($F$1,Lists!$B$4:$C$22,2,FALSE))&amp;"DP"),'SUB list edited'!$A$2:$DC$42,($B34+1),FALSE)))</f>
        <v/>
      </c>
      <c r="H34" s="574" t="str">
        <f>IF($F$1="Select company","",IF(C34 = "","",HLOOKUP(((VLOOKUP($F$1,Lists!$B$4:$C$22,2,FALSE))&amp;"201516ActPerf"),'SUB list edited'!$A$2:$DD$42,($B34+1),FALSE)))</f>
        <v/>
      </c>
      <c r="I34" s="586"/>
      <c r="J34" s="587"/>
      <c r="L34" s="567">
        <f t="shared" si="0"/>
        <v>0</v>
      </c>
      <c r="M34" s="567">
        <f t="shared" si="1"/>
        <v>0</v>
      </c>
      <c r="P34" s="563">
        <f t="shared" si="2"/>
        <v>0</v>
      </c>
      <c r="Q34" s="563">
        <f t="shared" si="3"/>
        <v>0</v>
      </c>
      <c r="S34" s="563">
        <f xml:space="preserve"> IF(C34 = "", 0, IF(AND(NOT(INDEX('3A'!I$5:I$59, MATCH('3B'!$C34, '3A'!$C$5:$C$59, 0))=I34), $D34="00"), 1, 0))</f>
        <v>0</v>
      </c>
      <c r="T34" s="563">
        <f xml:space="preserve"> IF(C34 = "", 0, IF(AND(NOT(INDEX('3A'!J$5:J$59, MATCH('3B'!$C34, '3A'!$C$5:$C$59, 0))=J34), $D34="00"), 1, 0))</f>
        <v>0</v>
      </c>
    </row>
    <row r="35" spans="2:20" ht="18.75" customHeight="1" x14ac:dyDescent="0.2">
      <c r="B35" s="568">
        <f t="shared" si="6"/>
        <v>31</v>
      </c>
      <c r="C35" s="569" t="str">
        <f>IF($F$1="Select company","",IF((HLOOKUP((VLOOKUP($F$1,Lists!$B$4:$C$22,2,FALSE)),'SUB list edited'!$A$2:$DC$42,($B35+1),FALSE))=0,"",HLOOKUP((VLOOKUP($F$1,Lists!$B$4:$C$22,2,FALSE)),'SUB list edited'!$A$2:$DC$42,($B35+1),FALSE)))</f>
        <v/>
      </c>
      <c r="D35" s="574" t="str">
        <f>IF($F$1="Select company","",IF(C35 = "","",HLOOKUP(((VLOOKUP($F$1,Lists!$B$4:$C$22,2,FALSE))&amp;"ID"),'SUB list edited'!$A$2:$DC$42,($B35+1),FALSE)))</f>
        <v/>
      </c>
      <c r="E35" s="569" t="str">
        <f>IF($F$1="Select company","",IF(C35 = "","",HLOOKUP(((VLOOKUP($F$1,Lists!$B$4:$C$22,2,FALSE))&amp;"PC"),'SUB list edited'!$A$2:$DC$42,($B35+1),FALSE)))</f>
        <v/>
      </c>
      <c r="F35" s="574" t="str">
        <f>IF($F$1="Select company","",IF(C35 = "","",HLOOKUP(((VLOOKUP($F$1,Lists!$B$4:$C$22,2,FALSE))&amp;"unit"),'SUB list edited'!$A$2:$DC$42,($B35+1),FALSE)))</f>
        <v/>
      </c>
      <c r="G35" s="574" t="str">
        <f>IF($F$1="Select company","",IF(C35="","",HLOOKUP(((VLOOKUP($F$1,Lists!$B$4:$C$22,2,FALSE))&amp;"DP"),'SUB list edited'!$A$2:$DC$42,($B35+1),FALSE)))</f>
        <v/>
      </c>
      <c r="H35" s="574" t="str">
        <f>IF($F$1="Select company","",IF(C35 = "","",HLOOKUP(((VLOOKUP($F$1,Lists!$B$4:$C$22,2,FALSE))&amp;"201516ActPerf"),'SUB list edited'!$A$2:$DD$42,($B35+1),FALSE)))</f>
        <v/>
      </c>
      <c r="I35" s="586"/>
      <c r="J35" s="587"/>
      <c r="L35" s="567">
        <f t="shared" si="0"/>
        <v>0</v>
      </c>
      <c r="M35" s="567">
        <f t="shared" si="1"/>
        <v>0</v>
      </c>
      <c r="P35" s="563">
        <f t="shared" si="2"/>
        <v>0</v>
      </c>
      <c r="Q35" s="563">
        <f t="shared" si="3"/>
        <v>0</v>
      </c>
      <c r="S35" s="563">
        <f xml:space="preserve"> IF(C35 = "", 0, IF(AND(NOT(INDEX('3A'!I$5:I$59, MATCH('3B'!$C35, '3A'!$C$5:$C$59, 0))=I35), $D35="00"), 1, 0))</f>
        <v>0</v>
      </c>
      <c r="T35" s="563">
        <f xml:space="preserve"> IF(C35 = "", 0, IF(AND(NOT(INDEX('3A'!J$5:J$59, MATCH('3B'!$C35, '3A'!$C$5:$C$59, 0))=J35), $D35="00"), 1, 0))</f>
        <v>0</v>
      </c>
    </row>
    <row r="36" spans="2:20" ht="18.75" customHeight="1" x14ac:dyDescent="0.2">
      <c r="B36" s="568">
        <f t="shared" si="6"/>
        <v>32</v>
      </c>
      <c r="C36" s="569" t="str">
        <f>IF($F$1="Select company","",IF((HLOOKUP((VLOOKUP($F$1,Lists!$B$4:$C$22,2,FALSE)),'SUB list edited'!$A$2:$DC$42,($B36+1),FALSE))=0,"",HLOOKUP((VLOOKUP($F$1,Lists!$B$4:$C$22,2,FALSE)),'SUB list edited'!$A$2:$DC$42,($B36+1),FALSE)))</f>
        <v/>
      </c>
      <c r="D36" s="574" t="str">
        <f>IF($F$1="Select company","",IF(C36 = "","",HLOOKUP(((VLOOKUP($F$1,Lists!$B$4:$C$22,2,FALSE))&amp;"ID"),'SUB list edited'!$A$2:$DC$42,($B36+1),FALSE)))</f>
        <v/>
      </c>
      <c r="E36" s="569" t="str">
        <f>IF($F$1="Select company","",IF(C36 = "","",HLOOKUP(((VLOOKUP($F$1,Lists!$B$4:$C$22,2,FALSE))&amp;"PC"),'SUB list edited'!$A$2:$DC$42,($B36+1),FALSE)))</f>
        <v/>
      </c>
      <c r="F36" s="574" t="str">
        <f>IF($F$1="Select company","",IF(C36 = "","",HLOOKUP(((VLOOKUP($F$1,Lists!$B$4:$C$22,2,FALSE))&amp;"unit"),'SUB list edited'!$A$2:$DC$42,($B36+1),FALSE)))</f>
        <v/>
      </c>
      <c r="G36" s="574" t="str">
        <f>IF($F$1="Select company","",IF(C36="","",HLOOKUP(((VLOOKUP($F$1,Lists!$B$4:$C$22,2,FALSE))&amp;"DP"),'SUB list edited'!$A$2:$DC$42,($B36+1),FALSE)))</f>
        <v/>
      </c>
      <c r="H36" s="574" t="str">
        <f>IF($F$1="Select company","",IF(C36 = "","",HLOOKUP(((VLOOKUP($F$1,Lists!$B$4:$C$22,2,FALSE))&amp;"201516ActPerf"),'SUB list edited'!$A$2:$DD$42,($B36+1),FALSE)))</f>
        <v/>
      </c>
      <c r="I36" s="586"/>
      <c r="J36" s="587"/>
      <c r="L36" s="567">
        <f t="shared" si="0"/>
        <v>0</v>
      </c>
      <c r="M36" s="567">
        <f t="shared" si="1"/>
        <v>0</v>
      </c>
      <c r="P36" s="563">
        <f t="shared" si="2"/>
        <v>0</v>
      </c>
      <c r="Q36" s="563">
        <f t="shared" si="3"/>
        <v>0</v>
      </c>
      <c r="S36" s="563">
        <f xml:space="preserve"> IF(C36 = "", 0, IF(AND(NOT(INDEX('3A'!I$5:I$59, MATCH('3B'!$C36, '3A'!$C$5:$C$59, 0))=I36), $D36="00"), 1, 0))</f>
        <v>0</v>
      </c>
      <c r="T36" s="563">
        <f xml:space="preserve"> IF(C36 = "", 0, IF(AND(NOT(INDEX('3A'!J$5:J$59, MATCH('3B'!$C36, '3A'!$C$5:$C$59, 0))=J36), $D36="00"), 1, 0))</f>
        <v>0</v>
      </c>
    </row>
    <row r="37" spans="2:20" ht="18.75" customHeight="1" x14ac:dyDescent="0.2">
      <c r="B37" s="568">
        <f t="shared" si="6"/>
        <v>33</v>
      </c>
      <c r="C37" s="569" t="str">
        <f>IF($F$1="Select company","",IF((HLOOKUP((VLOOKUP($F$1,Lists!$B$4:$C$22,2,FALSE)),'SUB list edited'!$A$2:$DC$42,($B37+1),FALSE))=0,"",HLOOKUP((VLOOKUP($F$1,Lists!$B$4:$C$22,2,FALSE)),'SUB list edited'!$A$2:$DC$42,($B37+1),FALSE)))</f>
        <v/>
      </c>
      <c r="D37" s="574" t="str">
        <f>IF($F$1="Select company","",IF(C37 = "","",HLOOKUP(((VLOOKUP($F$1,Lists!$B$4:$C$22,2,FALSE))&amp;"ID"),'SUB list edited'!$A$2:$DC$42,($B37+1),FALSE)))</f>
        <v/>
      </c>
      <c r="E37" s="569" t="str">
        <f>IF($F$1="Select company","",IF(C37 = "","",HLOOKUP(((VLOOKUP($F$1,Lists!$B$4:$C$22,2,FALSE))&amp;"PC"),'SUB list edited'!$A$2:$DC$42,($B37+1),FALSE)))</f>
        <v/>
      </c>
      <c r="F37" s="574" t="str">
        <f>IF($F$1="Select company","",IF(C37 = "","",HLOOKUP(((VLOOKUP($F$1,Lists!$B$4:$C$22,2,FALSE))&amp;"unit"),'SUB list edited'!$A$2:$DC$42,($B37+1),FALSE)))</f>
        <v/>
      </c>
      <c r="G37" s="574" t="str">
        <f>IF($F$1="Select company","",IF(C37="","",HLOOKUP(((VLOOKUP($F$1,Lists!$B$4:$C$22,2,FALSE))&amp;"DP"),'SUB list edited'!$A$2:$DC$42,($B37+1),FALSE)))</f>
        <v/>
      </c>
      <c r="H37" s="574" t="str">
        <f>IF($F$1="Select company","",IF(C37 = "","",HLOOKUP(((VLOOKUP($F$1,Lists!$B$4:$C$22,2,FALSE))&amp;"201516ActPerf"),'SUB list edited'!$A$2:$DD$42,($B37+1),FALSE)))</f>
        <v/>
      </c>
      <c r="I37" s="586"/>
      <c r="J37" s="587"/>
      <c r="L37" s="567">
        <f t="shared" si="0"/>
        <v>0</v>
      </c>
      <c r="M37" s="567">
        <f t="shared" si="1"/>
        <v>0</v>
      </c>
      <c r="P37" s="563">
        <f t="shared" si="2"/>
        <v>0</v>
      </c>
      <c r="Q37" s="563">
        <f t="shared" si="3"/>
        <v>0</v>
      </c>
      <c r="S37" s="563">
        <f xml:space="preserve"> IF(C37 = "", 0, IF(AND(NOT(INDEX('3A'!I$5:I$59, MATCH('3B'!$C37, '3A'!$C$5:$C$59, 0))=I37), $D37="00"), 1, 0))</f>
        <v>0</v>
      </c>
      <c r="T37" s="563">
        <f xml:space="preserve"> IF(C37 = "", 0, IF(AND(NOT(INDEX('3A'!J$5:J$59, MATCH('3B'!$C37, '3A'!$C$5:$C$59, 0))=J37), $D37="00"), 1, 0))</f>
        <v>0</v>
      </c>
    </row>
    <row r="38" spans="2:20" ht="18.75" customHeight="1" x14ac:dyDescent="0.2">
      <c r="B38" s="568">
        <f xml:space="preserve"> B37 + 1</f>
        <v>34</v>
      </c>
      <c r="C38" s="569" t="str">
        <f>IF($F$1="Select company","",IF((HLOOKUP((VLOOKUP($F$1,Lists!$B$4:$C$22,2,FALSE)),'SUB list edited'!$A$2:$DC$42,($B38+1),FALSE))=0,"",HLOOKUP((VLOOKUP($F$1,Lists!$B$4:$C$22,2,FALSE)),'SUB list edited'!$A$2:$DC$42,($B38+1),FALSE)))</f>
        <v/>
      </c>
      <c r="D38" s="574" t="str">
        <f>IF($F$1="Select company","",IF(C38 = "","",HLOOKUP(((VLOOKUP($F$1,Lists!$B$4:$C$22,2,FALSE))&amp;"ID"),'SUB list edited'!$A$2:$DC$42,($B38+1),FALSE)))</f>
        <v/>
      </c>
      <c r="E38" s="569" t="str">
        <f>IF($F$1="Select company","",IF(C38 = "","",HLOOKUP(((VLOOKUP($F$1,Lists!$B$4:$C$22,2,FALSE))&amp;"PC"),'SUB list edited'!$A$2:$DC$42,($B38+1),FALSE)))</f>
        <v/>
      </c>
      <c r="F38" s="574" t="str">
        <f>IF($F$1="Select company","",IF(C38 = "","",HLOOKUP(((VLOOKUP($F$1,Lists!$B$4:$C$22,2,FALSE))&amp;"unit"),'SUB list edited'!$A$2:$DC$42,($B38+1),FALSE)))</f>
        <v/>
      </c>
      <c r="G38" s="574" t="str">
        <f>IF($F$1="Select company","",IF(C38="","",HLOOKUP(((VLOOKUP($F$1,Lists!$B$4:$C$22,2,FALSE))&amp;"DP"),'SUB list edited'!$A$2:$DC$42,($B38+1),FALSE)))</f>
        <v/>
      </c>
      <c r="H38" s="574" t="str">
        <f>IF($F$1="Select company","",IF(C38 = "","",HLOOKUP(((VLOOKUP($F$1,Lists!$B$4:$C$22,2,FALSE))&amp;"201516ActPerf"),'SUB list edited'!$A$2:$DD$42,($B38+1),FALSE)))</f>
        <v/>
      </c>
      <c r="I38" s="586"/>
      <c r="J38" s="587"/>
      <c r="L38" s="567">
        <f t="shared" si="0"/>
        <v>0</v>
      </c>
      <c r="M38" s="567">
        <f t="shared" si="1"/>
        <v>0</v>
      </c>
      <c r="P38" s="563">
        <f t="shared" si="2"/>
        <v>0</v>
      </c>
      <c r="Q38" s="563">
        <f t="shared" si="3"/>
        <v>0</v>
      </c>
      <c r="S38" s="563">
        <f xml:space="preserve"> IF(C38 = "", 0, IF(AND(NOT(INDEX('3A'!I$5:I$59, MATCH('3B'!$C38, '3A'!$C$5:$C$59, 0))=I38), $D38="00"), 1, 0))</f>
        <v>0</v>
      </c>
      <c r="T38" s="563">
        <f xml:space="preserve"> IF(C38 = "", 0, IF(AND(NOT(INDEX('3A'!J$5:J$59, MATCH('3B'!$C38, '3A'!$C$5:$C$59, 0))=J38), $D38="00"), 1, 0))</f>
        <v>0</v>
      </c>
    </row>
    <row r="39" spans="2:20" ht="18.75" customHeight="1" x14ac:dyDescent="0.2">
      <c r="B39" s="568">
        <f t="shared" si="6"/>
        <v>35</v>
      </c>
      <c r="C39" s="569" t="str">
        <f>IF($F$1="Select company","",IF((HLOOKUP((VLOOKUP($F$1,Lists!$B$4:$C$22,2,FALSE)),'SUB list edited'!$A$2:$DC$42,($B39+1),FALSE))=0,"",HLOOKUP((VLOOKUP($F$1,Lists!$B$4:$C$22,2,FALSE)),'SUB list edited'!$A$2:$DC$42,($B39+1),FALSE)))</f>
        <v/>
      </c>
      <c r="D39" s="574" t="str">
        <f>IF($F$1="Select company","",IF(C39 = "","",HLOOKUP(((VLOOKUP($F$1,Lists!$B$4:$C$22,2,FALSE))&amp;"ID"),'SUB list edited'!$A$2:$DC$42,($B39+1),FALSE)))</f>
        <v/>
      </c>
      <c r="E39" s="569" t="str">
        <f>IF($F$1="Select company","",IF(C39 = "","",HLOOKUP(((VLOOKUP($F$1,Lists!$B$4:$C$22,2,FALSE))&amp;"PC"),'SUB list edited'!$A$2:$DC$42,($B39+1),FALSE)))</f>
        <v/>
      </c>
      <c r="F39" s="574" t="str">
        <f>IF($F$1="Select company","",IF(C39 = "","",HLOOKUP(((VLOOKUP($F$1,Lists!$B$4:$C$22,2,FALSE))&amp;"unit"),'SUB list edited'!$A$2:$DC$42,($B39+1),FALSE)))</f>
        <v/>
      </c>
      <c r="G39" s="574" t="str">
        <f>IF($F$1="Select company","",IF(C39="","",HLOOKUP(((VLOOKUP($F$1,Lists!$B$4:$C$22,2,FALSE))&amp;"DP"),'SUB list edited'!$A$2:$DC$42,($B39+1),FALSE)))</f>
        <v/>
      </c>
      <c r="H39" s="574" t="str">
        <f>IF($F$1="Select company","",IF(C39 = "","",HLOOKUP(((VLOOKUP($F$1,Lists!$B$4:$C$22,2,FALSE))&amp;"201516ActPerf"),'SUB list edited'!$A$2:$DD$42,($B39+1),FALSE)))</f>
        <v/>
      </c>
      <c r="I39" s="586"/>
      <c r="J39" s="587"/>
      <c r="L39" s="567">
        <f t="shared" si="0"/>
        <v>0</v>
      </c>
      <c r="M39" s="567">
        <f t="shared" si="1"/>
        <v>0</v>
      </c>
      <c r="P39" s="563">
        <f t="shared" si="2"/>
        <v>0</v>
      </c>
      <c r="Q39" s="563">
        <f t="shared" si="3"/>
        <v>0</v>
      </c>
      <c r="S39" s="563">
        <f xml:space="preserve"> IF(C39 = "", 0, IF(AND(NOT(INDEX('3A'!I$5:I$59, MATCH('3B'!$C39, '3A'!$C$5:$C$59, 0))=I39), $D39="00"), 1, 0))</f>
        <v>0</v>
      </c>
      <c r="T39" s="563">
        <f xml:space="preserve"> IF(C39 = "", 0, IF(AND(NOT(INDEX('3A'!J$5:J$59, MATCH('3B'!$C39, '3A'!$C$5:$C$59, 0))=J39), $D39="00"), 1, 0))</f>
        <v>0</v>
      </c>
    </row>
    <row r="40" spans="2:20" ht="18.75" customHeight="1" x14ac:dyDescent="0.2">
      <c r="B40" s="568">
        <f t="shared" si="6"/>
        <v>36</v>
      </c>
      <c r="C40" s="569" t="str">
        <f>IF($F$1="Select company","",IF((HLOOKUP((VLOOKUP($F$1,Lists!$B$4:$C$22,2,FALSE)),'SUB list edited'!$A$2:$DC$42,($B40+1),FALSE))=0,"",HLOOKUP((VLOOKUP($F$1,Lists!$B$4:$C$22,2,FALSE)),'SUB list edited'!$A$2:$DC$42,($B40+1),FALSE)))</f>
        <v/>
      </c>
      <c r="D40" s="574" t="str">
        <f>IF($F$1="Select company","",IF(C40 = "","",HLOOKUP(((VLOOKUP($F$1,Lists!$B$4:$C$22,2,FALSE))&amp;"ID"),'SUB list edited'!$A$2:$DC$42,($B40+1),FALSE)))</f>
        <v/>
      </c>
      <c r="E40" s="569" t="str">
        <f>IF($F$1="Select company","",IF(C40 = "","",HLOOKUP(((VLOOKUP($F$1,Lists!$B$4:$C$22,2,FALSE))&amp;"PC"),'SUB list edited'!$A$2:$DC$42,($B40+1),FALSE)))</f>
        <v/>
      </c>
      <c r="F40" s="574" t="str">
        <f>IF($F$1="Select company","",IF(C40 = "","",HLOOKUP(((VLOOKUP($F$1,Lists!$B$4:$C$22,2,FALSE))&amp;"unit"),'SUB list edited'!$A$2:$DC$42,($B40+1),FALSE)))</f>
        <v/>
      </c>
      <c r="G40" s="574" t="str">
        <f>IF($F$1="Select company","",IF(C40="","",HLOOKUP(((VLOOKUP($F$1,Lists!$B$4:$C$22,2,FALSE))&amp;"DP"),'SUB list edited'!$A$2:$DC$42,($B40+1),FALSE)))</f>
        <v/>
      </c>
      <c r="H40" s="574" t="str">
        <f>IF($F$1="Select company","",IF(C40 = "","",HLOOKUP(((VLOOKUP($F$1,Lists!$B$4:$C$22,2,FALSE))&amp;"201516ActPerf"),'SUB list edited'!$A$2:$DD$42,($B40+1),FALSE)))</f>
        <v/>
      </c>
      <c r="I40" s="586"/>
      <c r="J40" s="587"/>
      <c r="L40" s="567">
        <f t="shared" si="0"/>
        <v>0</v>
      </c>
      <c r="M40" s="567">
        <f t="shared" si="1"/>
        <v>0</v>
      </c>
      <c r="P40" s="563">
        <f t="shared" si="2"/>
        <v>0</v>
      </c>
      <c r="Q40" s="563">
        <f t="shared" si="3"/>
        <v>0</v>
      </c>
      <c r="S40" s="563">
        <f xml:space="preserve"> IF(C40 = "", 0, IF(AND(NOT(INDEX('3A'!I$5:I$59, MATCH('3B'!$C40, '3A'!$C$5:$C$59, 0))=I40), $D40="00"), 1, 0))</f>
        <v>0</v>
      </c>
      <c r="T40" s="563">
        <f xml:space="preserve"> IF(C40 = "", 0, IF(AND(NOT(INDEX('3A'!J$5:J$59, MATCH('3B'!$C40, '3A'!$C$5:$C$59, 0))=J40), $D40="00"), 1, 0))</f>
        <v>0</v>
      </c>
    </row>
    <row r="41" spans="2:20" ht="18.75" customHeight="1" x14ac:dyDescent="0.2">
      <c r="B41" s="568">
        <f t="shared" si="6"/>
        <v>37</v>
      </c>
      <c r="C41" s="569" t="str">
        <f>IF($F$1="Select company","",IF((HLOOKUP((VLOOKUP($F$1,Lists!$B$4:$C$22,2,FALSE)),'SUB list edited'!$A$2:$DC$42,($B41+1),FALSE))=0,"",HLOOKUP((VLOOKUP($F$1,Lists!$B$4:$C$22,2,FALSE)),'SUB list edited'!$A$2:$DC$42,($B41+1),FALSE)))</f>
        <v/>
      </c>
      <c r="D41" s="574" t="str">
        <f>IF($F$1="Select company","",IF(C41 = "","",HLOOKUP(((VLOOKUP($F$1,Lists!$B$4:$C$22,2,FALSE))&amp;"ID"),'SUB list edited'!$A$2:$DC$42,($B41+1),FALSE)))</f>
        <v/>
      </c>
      <c r="E41" s="569" t="str">
        <f>IF($F$1="Select company","",IF(C41 = "","",HLOOKUP(((VLOOKUP($F$1,Lists!$B$4:$C$22,2,FALSE))&amp;"PC"),'SUB list edited'!$A$2:$DC$42,($B41+1),FALSE)))</f>
        <v/>
      </c>
      <c r="F41" s="574" t="str">
        <f>IF($F$1="Select company","",IF(C41 = "","",HLOOKUP(((VLOOKUP($F$1,Lists!$B$4:$C$22,2,FALSE))&amp;"unit"),'SUB list edited'!$A$2:$DC$42,($B41+1),FALSE)))</f>
        <v/>
      </c>
      <c r="G41" s="574" t="str">
        <f>IF($F$1="Select company","",IF(C41="","",HLOOKUP(((VLOOKUP($F$1,Lists!$B$4:$C$22,2,FALSE))&amp;"DP"),'SUB list edited'!$A$2:$DC$42,($B41+1),FALSE)))</f>
        <v/>
      </c>
      <c r="H41" s="574" t="str">
        <f>IF($F$1="Select company","",IF(C41 = "","",HLOOKUP(((VLOOKUP($F$1,Lists!$B$4:$C$22,2,FALSE))&amp;"201516ActPerf"),'SUB list edited'!$A$2:$DD$42,($B41+1),FALSE)))</f>
        <v/>
      </c>
      <c r="I41" s="586"/>
      <c r="J41" s="587"/>
      <c r="L41" s="567">
        <f t="shared" si="0"/>
        <v>0</v>
      </c>
      <c r="M41" s="567">
        <f t="shared" si="1"/>
        <v>0</v>
      </c>
      <c r="P41" s="563">
        <f t="shared" si="2"/>
        <v>0</v>
      </c>
      <c r="Q41" s="563">
        <f t="shared" si="3"/>
        <v>0</v>
      </c>
      <c r="S41" s="563">
        <f xml:space="preserve"> IF(C41 = "", 0, IF(AND(NOT(INDEX('3A'!I$5:I$59, MATCH('3B'!$C41, '3A'!$C$5:$C$59, 0))=I41), $D41="00"), 1, 0))</f>
        <v>0</v>
      </c>
      <c r="T41" s="563">
        <f xml:space="preserve"> IF(C41 = "", 0, IF(AND(NOT(INDEX('3A'!J$5:J$59, MATCH('3B'!$C41, '3A'!$C$5:$C$59, 0))=J41), $D41="00"), 1, 0))</f>
        <v>0</v>
      </c>
    </row>
    <row r="42" spans="2:20" ht="18.75" customHeight="1" x14ac:dyDescent="0.2">
      <c r="B42" s="568">
        <f t="shared" si="6"/>
        <v>38</v>
      </c>
      <c r="C42" s="569" t="str">
        <f>IF($F$1="Select company","",IF((HLOOKUP((VLOOKUP($F$1,Lists!$B$4:$C$22,2,FALSE)),'SUB list edited'!$A$2:$DC$42,($B42+1),FALSE))=0,"",HLOOKUP((VLOOKUP($F$1,Lists!$B$4:$C$22,2,FALSE)),'SUB list edited'!$A$2:$DC$42,($B42+1),FALSE)))</f>
        <v/>
      </c>
      <c r="D42" s="574" t="str">
        <f>IF($F$1="Select company","",IF(C42 = "","",HLOOKUP(((VLOOKUP($F$1,Lists!$B$4:$C$22,2,FALSE))&amp;"ID"),'SUB list edited'!$A$2:$DC$42,($B42+1),FALSE)))</f>
        <v/>
      </c>
      <c r="E42" s="569" t="str">
        <f>IF($F$1="Select company","",IF(C42 = "","",HLOOKUP(((VLOOKUP($F$1,Lists!$B$4:$C$22,2,FALSE))&amp;"PC"),'SUB list edited'!$A$2:$DC$42,($B42+1),FALSE)))</f>
        <v/>
      </c>
      <c r="F42" s="574" t="str">
        <f>IF($F$1="Select company","",IF(C42 = "","",HLOOKUP(((VLOOKUP($F$1,Lists!$B$4:$C$22,2,FALSE))&amp;"unit"),'SUB list edited'!$A$2:$DC$42,($B42+1),FALSE)))</f>
        <v/>
      </c>
      <c r="G42" s="574" t="str">
        <f>IF($F$1="Select company","",IF(C42="","",HLOOKUP(((VLOOKUP($F$1,Lists!$B$4:$C$22,2,FALSE))&amp;"DP"),'SUB list edited'!$A$2:$DC$42,($B42+1),FALSE)))</f>
        <v/>
      </c>
      <c r="H42" s="574" t="str">
        <f>IF($F$1="Select company","",IF(C42 = "","",HLOOKUP(((VLOOKUP($F$1,Lists!$B$4:$C$22,2,FALSE))&amp;"201516ActPerf"),'SUB list edited'!$A$2:$DD$42,($B42+1),FALSE)))</f>
        <v/>
      </c>
      <c r="I42" s="586"/>
      <c r="J42" s="587"/>
      <c r="L42" s="567">
        <f t="shared" si="0"/>
        <v>0</v>
      </c>
      <c r="M42" s="567">
        <f t="shared" si="1"/>
        <v>0</v>
      </c>
      <c r="P42" s="563">
        <f t="shared" si="2"/>
        <v>0</v>
      </c>
      <c r="Q42" s="563">
        <f t="shared" si="3"/>
        <v>0</v>
      </c>
      <c r="S42" s="563">
        <f xml:space="preserve"> IF(C42 = "", 0, IF(AND(NOT(INDEX('3A'!I$5:I$59, MATCH('3B'!$C42, '3A'!$C$5:$C$59, 0))=I42), $D42="00"), 1, 0))</f>
        <v>0</v>
      </c>
      <c r="T42" s="563">
        <f xml:space="preserve"> IF(C42 = "", 0, IF(AND(NOT(INDEX('3A'!J$5:J$59, MATCH('3B'!$C42, '3A'!$C$5:$C$59, 0))=J42), $D42="00"), 1, 0))</f>
        <v>0</v>
      </c>
    </row>
    <row r="43" spans="2:20" ht="18" customHeight="1" x14ac:dyDescent="0.2">
      <c r="B43" s="568">
        <f t="shared" si="6"/>
        <v>39</v>
      </c>
      <c r="C43" s="569" t="str">
        <f>IF($F$1="Select company","",IF((HLOOKUP((VLOOKUP($F$1,Lists!$B$4:$C$22,2,FALSE)),'SUB list edited'!$A$2:$DC$42,($B43+1),FALSE))=0,"",HLOOKUP((VLOOKUP($F$1,Lists!$B$4:$C$22,2,FALSE)),'SUB list edited'!$A$2:$DC$42,($B43+1),FALSE)))</f>
        <v/>
      </c>
      <c r="D43" s="574" t="str">
        <f>IF($F$1="Select company","",IF(C43 = "","",HLOOKUP(((VLOOKUP($F$1,Lists!$B$4:$C$22,2,FALSE))&amp;"ID"),'SUB list edited'!$A$2:$DC$42,($B43+1),FALSE)))</f>
        <v/>
      </c>
      <c r="E43" s="569" t="str">
        <f>IF($F$1="Select company","",IF(C43 = "","",HLOOKUP(((VLOOKUP($F$1,Lists!$B$4:$C$22,2,FALSE))&amp;"PC"),'SUB list edited'!$A$2:$DC$42,($B43+1),FALSE)))</f>
        <v/>
      </c>
      <c r="F43" s="574" t="str">
        <f>IF($F$1="Select company","",IF(C43 = "","",HLOOKUP(((VLOOKUP($F$1,Lists!$B$4:$C$22,2,FALSE))&amp;"unit"),'SUB list edited'!$A$2:$DC$42,($B43+1),FALSE)))</f>
        <v/>
      </c>
      <c r="G43" s="574" t="str">
        <f>IF($F$1="Select company","",IF(C43="","",HLOOKUP(((VLOOKUP($F$1,Lists!$B$4:$C$22,2,FALSE))&amp;"DP"),'SUB list edited'!$A$2:$DC$42,($B43+1),FALSE)))</f>
        <v/>
      </c>
      <c r="H43" s="574" t="str">
        <f>IF($F$1="Select company","",IF(C43 = "","",HLOOKUP(((VLOOKUP($F$1,Lists!$B$4:$C$22,2,FALSE))&amp;"201516ActPerf"),'SUB list edited'!$A$2:$DD$42,($B43+1),FALSE)))</f>
        <v/>
      </c>
      <c r="I43" s="586"/>
      <c r="J43" s="587"/>
      <c r="L43" s="567">
        <f t="shared" si="0"/>
        <v>0</v>
      </c>
      <c r="M43" s="567">
        <f t="shared" si="1"/>
        <v>0</v>
      </c>
      <c r="P43" s="563">
        <f t="shared" si="2"/>
        <v>0</v>
      </c>
      <c r="Q43" s="563">
        <f t="shared" si="3"/>
        <v>0</v>
      </c>
      <c r="S43" s="563">
        <f xml:space="preserve"> IF(C43 = "", 0, IF(AND(NOT(INDEX('3A'!I$5:I$59, MATCH('3B'!$C43, '3A'!$C$5:$C$59, 0))=I43), $D43="00"), 1, 0))</f>
        <v>0</v>
      </c>
      <c r="T43" s="563">
        <f xml:space="preserve"> IF(C43 = "", 0, IF(AND(NOT(INDEX('3A'!J$5:J$59, MATCH('3B'!$C43, '3A'!$C$5:$C$59, 0))=J43), $D43="00"), 1, 0))</f>
        <v>0</v>
      </c>
    </row>
    <row r="44" spans="2:20" ht="18.75" customHeight="1" thickBot="1" x14ac:dyDescent="0.25">
      <c r="B44" s="570">
        <f t="shared" si="6"/>
        <v>40</v>
      </c>
      <c r="C44" s="571" t="str">
        <f>IF($F$1="Select company","",IF((HLOOKUP((VLOOKUP($F$1,Lists!$B$4:$C$22,2,FALSE)),'SUB list edited'!$A$2:$DC$42,($B44+1),FALSE))=0,"",HLOOKUP((VLOOKUP($F$1,Lists!$B$4:$C$22,2,FALSE)),'SUB list edited'!$A$2:$DC$42,($B44+1),FALSE)))</f>
        <v/>
      </c>
      <c r="D44" s="575" t="str">
        <f>IF($F$1="Select company","",IF(C44 = "","",HLOOKUP(((VLOOKUP($F$1,Lists!$B$4:$C$22,2,FALSE))&amp;"ID"),'SUB list edited'!$A$2:$DC$42,($B44+1),FALSE)))</f>
        <v/>
      </c>
      <c r="E44" s="571" t="str">
        <f>IF($F$1="Select company","",IF(C44 = "","",HLOOKUP(((VLOOKUP($F$1,Lists!$B$4:$C$22,2,FALSE))&amp;"PC"),'SUB list edited'!$A$2:$DC$42,($B44+1),FALSE)))</f>
        <v/>
      </c>
      <c r="F44" s="575" t="str">
        <f>IF($F$1="Select company","",IF(C44 = "","",HLOOKUP(((VLOOKUP($F$1,Lists!$B$4:$C$22,2,FALSE))&amp;"unit"),'SUB list edited'!$A$2:$DC$42,($B44+1),FALSE)))</f>
        <v/>
      </c>
      <c r="G44" s="575" t="str">
        <f>IF($F$1="Select company","",IF(C44="","",HLOOKUP(((VLOOKUP($F$1,Lists!$B$4:$C$22,2,FALSE))&amp;"DP"),'SUB list edited'!$A$2:$DC$42,($B44+1),FALSE)))</f>
        <v/>
      </c>
      <c r="H44" s="575" t="str">
        <f>IF($F$1="Select company","",IF(C44 = "","",HLOOKUP(((VLOOKUP($F$1,Lists!$B$4:$C$22,2,FALSE))&amp;"201516ActPerf"),'SUB list edited'!$A$2:$DD$42,($B44+1),FALSE)))</f>
        <v/>
      </c>
      <c r="I44" s="588"/>
      <c r="J44" s="589"/>
      <c r="L44" s="567">
        <f t="shared" si="0"/>
        <v>0</v>
      </c>
      <c r="M44" s="567">
        <f t="shared" si="1"/>
        <v>0</v>
      </c>
      <c r="P44" s="563">
        <f t="shared" si="2"/>
        <v>0</v>
      </c>
      <c r="Q44" s="563">
        <f t="shared" si="3"/>
        <v>0</v>
      </c>
      <c r="S44" s="563">
        <f xml:space="preserve"> IF(C44 = "", 0, IF(AND(NOT(INDEX('3A'!I$5:I$59, MATCH('3B'!$C44, '3A'!$C$5:$C$59, 0))=I44), $D44="00"), 1, 0))</f>
        <v>0</v>
      </c>
      <c r="T44" s="563">
        <f xml:space="preserve"> IF(C44 = "", 0, IF(AND(NOT(INDEX('3A'!J$5:J$59, MATCH('3B'!$C44, '3A'!$C$5:$C$59, 0))=J44), $D44="00"), 1, 0))</f>
        <v>0</v>
      </c>
    </row>
    <row r="45" spans="2:20" x14ac:dyDescent="0.2"/>
    <row r="46" spans="2:20" x14ac:dyDescent="0.2">
      <c r="B46" s="322" t="s">
        <v>101</v>
      </c>
      <c r="C46" s="322"/>
    </row>
    <row r="47" spans="2:20" x14ac:dyDescent="0.2">
      <c r="B47" s="146"/>
      <c r="C47" s="146"/>
    </row>
    <row r="48" spans="2:20" x14ac:dyDescent="0.2">
      <c r="B48" s="29"/>
      <c r="C48" s="148" t="s">
        <v>102</v>
      </c>
    </row>
    <row r="49" spans="2:16" x14ac:dyDescent="0.2">
      <c r="B49" s="146"/>
      <c r="C49" s="147"/>
    </row>
    <row r="50" spans="2:16" x14ac:dyDescent="0.2">
      <c r="B50" s="149"/>
      <c r="C50" s="148" t="s">
        <v>103</v>
      </c>
    </row>
    <row r="51" spans="2:16" x14ac:dyDescent="0.2">
      <c r="B51" s="150"/>
      <c r="C51" s="148"/>
    </row>
    <row r="52" spans="2:16" x14ac:dyDescent="0.2">
      <c r="B52" s="151"/>
      <c r="C52" s="148" t="s">
        <v>104</v>
      </c>
    </row>
    <row r="53" spans="2:16" x14ac:dyDescent="0.2"/>
    <row r="54" spans="2:16" ht="15" thickBot="1" x14ac:dyDescent="0.25"/>
    <row r="55" spans="2:16" ht="16.5" thickBot="1" x14ac:dyDescent="0.25">
      <c r="B55" s="152" t="str">
        <f ca="1" xml:space="preserve"> RIGHT(CELL("filename", $A$1), LEN(CELL("filename", $A$1)) - SEARCH("]", CELL("filename", $A$1)))&amp;" - Column definitions"</f>
        <v>3B - Column definitions</v>
      </c>
      <c r="C55" s="153"/>
      <c r="D55" s="154"/>
      <c r="E55" s="154"/>
      <c r="F55" s="154"/>
      <c r="G55" s="154"/>
      <c r="H55" s="154"/>
      <c r="I55" s="154"/>
      <c r="J55" s="260"/>
      <c r="K55"/>
      <c r="L55"/>
      <c r="M55"/>
      <c r="N55"/>
    </row>
    <row r="56" spans="2:16" ht="15" thickBot="1" x14ac:dyDescent="0.25">
      <c r="B56" s="87"/>
      <c r="C56" s="161"/>
      <c r="D56" s="87"/>
      <c r="E56" s="87"/>
      <c r="F56" s="87"/>
      <c r="G56" s="87"/>
      <c r="H56" s="87"/>
      <c r="I56" s="122"/>
      <c r="J56" s="122"/>
      <c r="K56"/>
      <c r="L56"/>
      <c r="M56"/>
      <c r="N56"/>
    </row>
    <row r="57" spans="2:16" ht="15" thickBot="1" x14ac:dyDescent="0.25">
      <c r="B57" s="162" t="s">
        <v>616</v>
      </c>
      <c r="C57" s="863" t="s">
        <v>106</v>
      </c>
      <c r="D57" s="325"/>
      <c r="E57" s="325"/>
      <c r="F57" s="325"/>
      <c r="G57" s="325"/>
      <c r="H57" s="325"/>
      <c r="I57" s="325"/>
      <c r="J57" s="591"/>
      <c r="K57"/>
      <c r="L57"/>
      <c r="M57"/>
      <c r="N57"/>
      <c r="P57" s="97" t="s">
        <v>107</v>
      </c>
    </row>
    <row r="58" spans="2:16" ht="45" customHeight="1" x14ac:dyDescent="0.2">
      <c r="B58" s="802" t="s">
        <v>599</v>
      </c>
      <c r="C58" s="1002" t="s">
        <v>634</v>
      </c>
      <c r="D58" s="1003"/>
      <c r="E58" s="1003"/>
      <c r="F58" s="1003"/>
      <c r="G58" s="1003"/>
      <c r="H58" s="1003"/>
      <c r="I58" s="1003"/>
      <c r="J58" s="1004"/>
      <c r="K58"/>
      <c r="L58"/>
      <c r="M58"/>
      <c r="N58"/>
      <c r="O58" s="592"/>
      <c r="P58" s="690" t="s">
        <v>109</v>
      </c>
    </row>
    <row r="59" spans="2:16" ht="33.75" customHeight="1" thickBot="1" x14ac:dyDescent="0.25">
      <c r="B59" s="803" t="s">
        <v>600</v>
      </c>
      <c r="C59" s="999" t="s">
        <v>635</v>
      </c>
      <c r="D59" s="1000"/>
      <c r="E59" s="1000"/>
      <c r="F59" s="1000"/>
      <c r="G59" s="1000"/>
      <c r="H59" s="1000"/>
      <c r="I59" s="1000"/>
      <c r="J59" s="1001"/>
      <c r="K59"/>
      <c r="L59"/>
      <c r="M59"/>
      <c r="N59"/>
      <c r="O59" s="592"/>
      <c r="P59" s="690" t="s">
        <v>109</v>
      </c>
    </row>
    <row r="60" spans="2:16" x14ac:dyDescent="0.2"/>
    <row r="61" spans="2:16" x14ac:dyDescent="0.2"/>
  </sheetData>
  <sheetProtection algorithmName="SHA-512" hashValue="BncLKlwQmdwh9Z7be7ANTIdoUTq3yIoGSZ0/5NrtqXQKUubDiIzBayqnPwID+30b90YXSjt+DuDkeSszvkkiCQ==" saltValue="8YEf4AbVg/7smIOx6ldLFw==" spinCount="100000" sheet="1" objects="1" scenarios="1"/>
  <mergeCells count="2">
    <mergeCell ref="C59:J59"/>
    <mergeCell ref="C58:J58"/>
  </mergeCells>
  <conditionalFormatting sqref="B5:H44">
    <cfRule type="expression" dxfId="97" priority="17">
      <formula>$D5="00"</formula>
    </cfRule>
  </conditionalFormatting>
  <conditionalFormatting sqref="I5:I44">
    <cfRule type="expression" dxfId="96" priority="1" stopIfTrue="1">
      <formula xml:space="preserve"> INDIRECT("G" &amp; ROW()) = 0</formula>
    </cfRule>
    <cfRule type="expression" dxfId="95" priority="2" stopIfTrue="1">
      <formula xml:space="preserve"> INDIRECT("G" &amp; ROW()) = 1</formula>
    </cfRule>
    <cfRule type="expression" dxfId="94" priority="3" stopIfTrue="1">
      <formula xml:space="preserve"> INDIRECT("G" &amp; ROW()) = 2</formula>
    </cfRule>
    <cfRule type="expression" dxfId="93" priority="4" stopIfTrue="1">
      <formula xml:space="preserve"> INDIRECT("G" &amp; ROW()) = 3</formula>
    </cfRule>
    <cfRule type="expression" dxfId="92" priority="5" stopIfTrue="1">
      <formula xml:space="preserve"> INDIRECT("G" &amp; ROW()) = 4</formula>
    </cfRule>
    <cfRule type="expression" dxfId="91" priority="6" stopIfTrue="1">
      <formula xml:space="preserve"> INDIRECT("G" &amp; ROW()) = 5</formula>
    </cfRule>
    <cfRule type="expression" dxfId="90" priority="7" stopIfTrue="1">
      <formula xml:space="preserve"> INDIRECT("G" &amp; ROW()) = 6</formula>
    </cfRule>
  </conditionalFormatting>
  <conditionalFormatting sqref="L5:M44">
    <cfRule type="cellIs" dxfId="89" priority="15" operator="equal">
      <formula>0</formula>
    </cfRule>
  </conditionalFormatting>
  <printOptions horizontalCentered="1"/>
  <pageMargins left="0.39370078740157483" right="0.39370078740157483" top="0.78740157480314965" bottom="0.78740157480314965" header="0.31496062992125984" footer="0.31496062992125984"/>
  <pageSetup paperSize="9" scale="36" orientation="portrait" r:id="rId1"/>
  <headerFooter>
    <oddHeader>&amp;L&amp;9&amp;K857362Page &amp;P of &amp;N&amp;C&amp;9 &amp;K8573622017 annual performance report tables (May 2017) &amp;R&amp;9&amp;G</oddHeader>
    <oddFooter>&amp;L&amp;9&amp;K857362&amp;A&amp;R&amp;9&amp;K857362Printed: &amp;D &amp;T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Lists!$F$6:$F$8</xm:f>
          </x14:formula1>
          <xm:sqref>J5:J44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X56"/>
  <sheetViews>
    <sheetView showGridLines="0" zoomScale="85" zoomScaleNormal="85" workbookViewId="0">
      <selection sqref="A1:C1"/>
    </sheetView>
  </sheetViews>
  <sheetFormatPr defaultColWidth="0" defaultRowHeight="14.25" zeroHeight="1" x14ac:dyDescent="0.2"/>
  <cols>
    <col min="1" max="1" width="1.625" customWidth="1"/>
    <col min="2" max="2" width="9" customWidth="1"/>
    <col min="3" max="3" width="27.25" customWidth="1"/>
    <col min="4" max="4" width="9" customWidth="1"/>
    <col min="5" max="5" width="13.25" customWidth="1"/>
    <col min="6" max="6" width="16.625" customWidth="1"/>
    <col min="7" max="7" width="17.625" customWidth="1"/>
    <col min="8" max="8" width="20.25" customWidth="1"/>
    <col min="9" max="9" width="23.75" customWidth="1"/>
    <col min="10" max="10" width="9" customWidth="1"/>
    <col min="11" max="11" width="31.25" customWidth="1"/>
    <col min="12" max="12" width="18.75" bestFit="1" customWidth="1"/>
    <col min="13" max="13" width="1.625" customWidth="1"/>
    <col min="14" max="14" width="1.625" style="554" hidden="1" customWidth="1"/>
    <col min="15" max="18" width="5.75" hidden="1" customWidth="1"/>
    <col min="19" max="19" width="1.625" style="554" hidden="1" customWidth="1"/>
    <col min="20" max="23" width="9.75" hidden="1" customWidth="1"/>
    <col min="24" max="24" width="1.625" style="554" hidden="1" customWidth="1"/>
    <col min="25" max="16384" width="9" hidden="1"/>
  </cols>
  <sheetData>
    <row r="1" spans="1:23" ht="20.25" x14ac:dyDescent="0.2">
      <c r="A1" s="87"/>
      <c r="B1" s="79" t="s">
        <v>636</v>
      </c>
      <c r="C1" s="79"/>
      <c r="D1" s="79"/>
      <c r="E1" s="79"/>
      <c r="F1" s="79"/>
      <c r="G1" s="79"/>
      <c r="H1" s="79"/>
      <c r="I1" s="79"/>
      <c r="J1" s="79"/>
      <c r="K1" s="82"/>
      <c r="L1" s="82" t="s">
        <v>72</v>
      </c>
    </row>
    <row r="2" spans="1:23" ht="19.5" thickBot="1" x14ac:dyDescent="0.25">
      <c r="B2" s="86" t="s">
        <v>55</v>
      </c>
      <c r="C2" s="311"/>
      <c r="D2" s="311"/>
      <c r="E2" s="87"/>
      <c r="O2" s="636" t="s">
        <v>83</v>
      </c>
      <c r="P2" s="636"/>
      <c r="Q2" s="636"/>
      <c r="R2" s="636"/>
      <c r="T2" s="636" t="s">
        <v>637</v>
      </c>
      <c r="U2" s="761"/>
      <c r="V2" s="761"/>
      <c r="W2" s="761"/>
    </row>
    <row r="3" spans="1:23" ht="41.25" thickBot="1" x14ac:dyDescent="0.25">
      <c r="B3" s="304" t="s">
        <v>578</v>
      </c>
      <c r="C3" s="849" t="s">
        <v>638</v>
      </c>
      <c r="D3" s="314" t="s">
        <v>583</v>
      </c>
      <c r="E3" s="314" t="s">
        <v>639</v>
      </c>
      <c r="F3" s="314" t="s">
        <v>640</v>
      </c>
      <c r="G3" s="314" t="s">
        <v>641</v>
      </c>
      <c r="H3" s="314" t="s">
        <v>642</v>
      </c>
      <c r="I3" s="305" t="s">
        <v>643</v>
      </c>
      <c r="K3" s="304" t="s">
        <v>593</v>
      </c>
      <c r="L3" s="305" t="s">
        <v>79</v>
      </c>
      <c r="O3" s="92" t="s">
        <v>644</v>
      </c>
      <c r="P3" s="27"/>
      <c r="Q3" s="27"/>
      <c r="R3" s="27"/>
      <c r="T3" s="27" t="s">
        <v>645</v>
      </c>
    </row>
    <row r="4" spans="1:23" ht="15" thickBot="1" x14ac:dyDescent="0.25">
      <c r="B4" s="87"/>
      <c r="C4" s="87"/>
      <c r="D4" s="87"/>
      <c r="E4" s="87"/>
      <c r="O4" s="637" t="s">
        <v>165</v>
      </c>
      <c r="P4" s="637" t="s">
        <v>596</v>
      </c>
      <c r="Q4" s="637" t="s">
        <v>597</v>
      </c>
      <c r="R4" s="637" t="s">
        <v>598</v>
      </c>
      <c r="T4" s="637" t="s">
        <v>165</v>
      </c>
      <c r="U4" s="637" t="s">
        <v>596</v>
      </c>
      <c r="V4" s="637" t="s">
        <v>597</v>
      </c>
      <c r="W4" s="637" t="s">
        <v>598</v>
      </c>
    </row>
    <row r="5" spans="1:23" x14ac:dyDescent="0.2">
      <c r="B5" s="296">
        <v>1</v>
      </c>
      <c r="C5" s="644"/>
      <c r="D5" s="319" t="str">
        <f>IF(ISBLANK(C5), "", 0)</f>
        <v/>
      </c>
      <c r="E5" s="639"/>
      <c r="F5" s="639"/>
      <c r="G5" s="639"/>
      <c r="H5" s="639"/>
      <c r="I5" s="634"/>
      <c r="K5" s="28">
        <f>IF(SUM(T5:W5) &gt; 0, $T$3, 0)</f>
        <v>0</v>
      </c>
      <c r="L5" s="28">
        <f>IF(SUM(O5:R5) &gt; 0, $O$3, 0)</f>
        <v>0</v>
      </c>
      <c r="O5" s="638">
        <f>IF(ISBLANK($C5), 0, IF(ISBLANK(E5), 1, 0))</f>
        <v>0</v>
      </c>
      <c r="P5" s="638">
        <f>IF(ISBLANK($C5), 0, IF(ISBLANK(F5), 1, 0))</f>
        <v>0</v>
      </c>
      <c r="Q5" s="638">
        <f>IF(ISBLANK($C5), 0, IF(ISBLANK(G5), 1, 0))</f>
        <v>0</v>
      </c>
      <c r="R5" s="638">
        <f>IF(ISBLANK($C5), 0, IF(ISBLANK(H5), 1, 0))</f>
        <v>0</v>
      </c>
      <c r="T5" s="638">
        <f>IF(ISBLANK($C5), 0, IF(ISNUMBER(E5), 0, 1))</f>
        <v>0</v>
      </c>
      <c r="U5" s="638">
        <f t="shared" ref="U5:W5" si="0">IF(ISBLANK($C5), 0, IF(ISNUMBER(F5), 0, 1))</f>
        <v>0</v>
      </c>
      <c r="V5" s="638">
        <f t="shared" si="0"/>
        <v>0</v>
      </c>
      <c r="W5" s="638">
        <f t="shared" si="0"/>
        <v>0</v>
      </c>
    </row>
    <row r="6" spans="1:23" x14ac:dyDescent="0.2">
      <c r="B6" s="297">
        <v>2</v>
      </c>
      <c r="C6" s="29"/>
      <c r="D6" s="320" t="str">
        <f t="shared" ref="D6:D29" si="1">IF(ISBLANK(C6), "", 0)</f>
        <v/>
      </c>
      <c r="E6" s="640"/>
      <c r="F6" s="640"/>
      <c r="G6" s="640"/>
      <c r="H6" s="640"/>
      <c r="I6" s="635"/>
      <c r="K6" s="28">
        <f t="shared" ref="K6:K29" si="2">IF(SUM(T6:W6) &gt; 0, $T$3, 0)</f>
        <v>0</v>
      </c>
      <c r="L6" s="28">
        <f t="shared" ref="L6:L29" si="3">IF(SUM(O6:R6) &gt; 0, $O$3, 0)</f>
        <v>0</v>
      </c>
      <c r="O6" s="638">
        <f t="shared" ref="O6:O29" si="4">IF(ISBLANK($C6), 0, IF(ISBLANK(E6), 1, 0))</f>
        <v>0</v>
      </c>
      <c r="P6" s="638">
        <f t="shared" ref="P6:P29" si="5">IF(ISBLANK($C6), 0, IF(ISBLANK(F6), 1, 0))</f>
        <v>0</v>
      </c>
      <c r="Q6" s="638">
        <f t="shared" ref="Q6:Q29" si="6">IF(ISBLANK($C6), 0, IF(ISBLANK(G6), 1, 0))</f>
        <v>0</v>
      </c>
      <c r="R6" s="638">
        <f t="shared" ref="R6:R29" si="7">IF(ISBLANK($C6), 0, IF(ISBLANK(H6), 1, 0))</f>
        <v>0</v>
      </c>
      <c r="T6" s="638">
        <f t="shared" ref="T6:T29" si="8">IF(ISBLANK($C6), 0, IF(ISNUMBER(E6), 0, 1))</f>
        <v>0</v>
      </c>
      <c r="U6" s="638">
        <f t="shared" ref="U6:U29" si="9">IF(ISBLANK($C6), 0, IF(ISNUMBER(F6), 0, 1))</f>
        <v>0</v>
      </c>
      <c r="V6" s="638">
        <f t="shared" ref="V6:V29" si="10">IF(ISBLANK($C6), 0, IF(ISNUMBER(G6), 0, 1))</f>
        <v>0</v>
      </c>
      <c r="W6" s="638">
        <f t="shared" ref="W6:W29" si="11">IF(ISBLANK($C6), 0, IF(ISNUMBER(H6), 0, 1))</f>
        <v>0</v>
      </c>
    </row>
    <row r="7" spans="1:23" x14ac:dyDescent="0.2">
      <c r="B7" s="297">
        <v>3</v>
      </c>
      <c r="C7" s="29"/>
      <c r="D7" s="320" t="str">
        <f t="shared" si="1"/>
        <v/>
      </c>
      <c r="E7" s="640"/>
      <c r="F7" s="640"/>
      <c r="G7" s="640"/>
      <c r="H7" s="640"/>
      <c r="I7" s="635"/>
      <c r="K7" s="28">
        <f>IF(SUM(T7:W7) &gt; 0, $T$3, 0)</f>
        <v>0</v>
      </c>
      <c r="L7" s="28">
        <f t="shared" si="3"/>
        <v>0</v>
      </c>
      <c r="O7" s="638">
        <f t="shared" si="4"/>
        <v>0</v>
      </c>
      <c r="P7" s="638">
        <f t="shared" si="5"/>
        <v>0</v>
      </c>
      <c r="Q7" s="638">
        <f t="shared" si="6"/>
        <v>0</v>
      </c>
      <c r="R7" s="638">
        <f t="shared" si="7"/>
        <v>0</v>
      </c>
      <c r="T7" s="638">
        <f t="shared" si="8"/>
        <v>0</v>
      </c>
      <c r="U7" s="638">
        <f t="shared" si="9"/>
        <v>0</v>
      </c>
      <c r="V7" s="638">
        <f t="shared" si="10"/>
        <v>0</v>
      </c>
      <c r="W7" s="638">
        <f t="shared" si="11"/>
        <v>0</v>
      </c>
    </row>
    <row r="8" spans="1:23" x14ac:dyDescent="0.2">
      <c r="B8" s="297">
        <v>4</v>
      </c>
      <c r="C8" s="29"/>
      <c r="D8" s="320" t="str">
        <f t="shared" si="1"/>
        <v/>
      </c>
      <c r="E8" s="640"/>
      <c r="F8" s="640"/>
      <c r="G8" s="640"/>
      <c r="H8" s="640"/>
      <c r="I8" s="635"/>
      <c r="K8" s="28">
        <f t="shared" si="2"/>
        <v>0</v>
      </c>
      <c r="L8" s="28">
        <f t="shared" si="3"/>
        <v>0</v>
      </c>
      <c r="O8" s="638">
        <f t="shared" si="4"/>
        <v>0</v>
      </c>
      <c r="P8" s="638">
        <f t="shared" si="5"/>
        <v>0</v>
      </c>
      <c r="Q8" s="638">
        <f t="shared" si="6"/>
        <v>0</v>
      </c>
      <c r="R8" s="638">
        <f t="shared" si="7"/>
        <v>0</v>
      </c>
      <c r="T8" s="638">
        <f t="shared" si="8"/>
        <v>0</v>
      </c>
      <c r="U8" s="638">
        <f t="shared" si="9"/>
        <v>0</v>
      </c>
      <c r="V8" s="638">
        <f t="shared" si="10"/>
        <v>0</v>
      </c>
      <c r="W8" s="638">
        <f t="shared" si="11"/>
        <v>0</v>
      </c>
    </row>
    <row r="9" spans="1:23" x14ac:dyDescent="0.2">
      <c r="B9" s="297">
        <v>5</v>
      </c>
      <c r="C9" s="29"/>
      <c r="D9" s="320" t="str">
        <f t="shared" si="1"/>
        <v/>
      </c>
      <c r="E9" s="640"/>
      <c r="F9" s="640"/>
      <c r="G9" s="640"/>
      <c r="H9" s="640"/>
      <c r="I9" s="635"/>
      <c r="K9" s="28">
        <f t="shared" si="2"/>
        <v>0</v>
      </c>
      <c r="L9" s="28">
        <f t="shared" si="3"/>
        <v>0</v>
      </c>
      <c r="O9" s="638">
        <f t="shared" si="4"/>
        <v>0</v>
      </c>
      <c r="P9" s="638">
        <f t="shared" si="5"/>
        <v>0</v>
      </c>
      <c r="Q9" s="638">
        <f t="shared" si="6"/>
        <v>0</v>
      </c>
      <c r="R9" s="638">
        <f t="shared" si="7"/>
        <v>0</v>
      </c>
      <c r="T9" s="638">
        <f t="shared" si="8"/>
        <v>0</v>
      </c>
      <c r="U9" s="638">
        <f t="shared" si="9"/>
        <v>0</v>
      </c>
      <c r="V9" s="638">
        <f t="shared" si="10"/>
        <v>0</v>
      </c>
      <c r="W9" s="638">
        <f t="shared" si="11"/>
        <v>0</v>
      </c>
    </row>
    <row r="10" spans="1:23" x14ac:dyDescent="0.2">
      <c r="B10" s="297">
        <v>6</v>
      </c>
      <c r="C10" s="29"/>
      <c r="D10" s="320" t="str">
        <f t="shared" si="1"/>
        <v/>
      </c>
      <c r="E10" s="640"/>
      <c r="F10" s="640"/>
      <c r="G10" s="640"/>
      <c r="H10" s="640"/>
      <c r="I10" s="635"/>
      <c r="K10" s="28">
        <f t="shared" si="2"/>
        <v>0</v>
      </c>
      <c r="L10" s="28">
        <f t="shared" si="3"/>
        <v>0</v>
      </c>
      <c r="O10" s="638">
        <f t="shared" si="4"/>
        <v>0</v>
      </c>
      <c r="P10" s="638">
        <f t="shared" si="5"/>
        <v>0</v>
      </c>
      <c r="Q10" s="638">
        <f t="shared" si="6"/>
        <v>0</v>
      </c>
      <c r="R10" s="638">
        <f t="shared" si="7"/>
        <v>0</v>
      </c>
      <c r="T10" s="638">
        <f t="shared" si="8"/>
        <v>0</v>
      </c>
      <c r="U10" s="638">
        <f t="shared" si="9"/>
        <v>0</v>
      </c>
      <c r="V10" s="638">
        <f t="shared" si="10"/>
        <v>0</v>
      </c>
      <c r="W10" s="638">
        <f t="shared" si="11"/>
        <v>0</v>
      </c>
    </row>
    <row r="11" spans="1:23" x14ac:dyDescent="0.2">
      <c r="B11" s="297">
        <v>7</v>
      </c>
      <c r="C11" s="29"/>
      <c r="D11" s="320" t="str">
        <f t="shared" si="1"/>
        <v/>
      </c>
      <c r="E11" s="640"/>
      <c r="F11" s="640"/>
      <c r="G11" s="640"/>
      <c r="H11" s="640"/>
      <c r="I11" s="635"/>
      <c r="K11" s="28">
        <f t="shared" si="2"/>
        <v>0</v>
      </c>
      <c r="L11" s="28">
        <f t="shared" si="3"/>
        <v>0</v>
      </c>
      <c r="O11" s="638">
        <f t="shared" si="4"/>
        <v>0</v>
      </c>
      <c r="P11" s="638">
        <f t="shared" si="5"/>
        <v>0</v>
      </c>
      <c r="Q11" s="638">
        <f t="shared" si="6"/>
        <v>0</v>
      </c>
      <c r="R11" s="638">
        <f t="shared" si="7"/>
        <v>0</v>
      </c>
      <c r="T11" s="638">
        <f t="shared" si="8"/>
        <v>0</v>
      </c>
      <c r="U11" s="638">
        <f t="shared" si="9"/>
        <v>0</v>
      </c>
      <c r="V11" s="638">
        <f t="shared" si="10"/>
        <v>0</v>
      </c>
      <c r="W11" s="638">
        <f t="shared" si="11"/>
        <v>0</v>
      </c>
    </row>
    <row r="12" spans="1:23" x14ac:dyDescent="0.2">
      <c r="B12" s="297">
        <v>8</v>
      </c>
      <c r="C12" s="29"/>
      <c r="D12" s="320" t="str">
        <f t="shared" si="1"/>
        <v/>
      </c>
      <c r="E12" s="640"/>
      <c r="F12" s="640"/>
      <c r="G12" s="640"/>
      <c r="H12" s="640"/>
      <c r="I12" s="635"/>
      <c r="K12" s="28">
        <f t="shared" si="2"/>
        <v>0</v>
      </c>
      <c r="L12" s="28">
        <f t="shared" si="3"/>
        <v>0</v>
      </c>
      <c r="O12" s="638">
        <f t="shared" si="4"/>
        <v>0</v>
      </c>
      <c r="P12" s="638">
        <f t="shared" si="5"/>
        <v>0</v>
      </c>
      <c r="Q12" s="638">
        <f t="shared" si="6"/>
        <v>0</v>
      </c>
      <c r="R12" s="638">
        <f t="shared" si="7"/>
        <v>0</v>
      </c>
      <c r="T12" s="638">
        <f t="shared" si="8"/>
        <v>0</v>
      </c>
      <c r="U12" s="638">
        <f t="shared" si="9"/>
        <v>0</v>
      </c>
      <c r="V12" s="638">
        <f t="shared" si="10"/>
        <v>0</v>
      </c>
      <c r="W12" s="638">
        <f t="shared" si="11"/>
        <v>0</v>
      </c>
    </row>
    <row r="13" spans="1:23" x14ac:dyDescent="0.2">
      <c r="B13" s="297">
        <v>9</v>
      </c>
      <c r="C13" s="29"/>
      <c r="D13" s="320" t="str">
        <f t="shared" si="1"/>
        <v/>
      </c>
      <c r="E13" s="640"/>
      <c r="F13" s="640"/>
      <c r="G13" s="640"/>
      <c r="H13" s="640"/>
      <c r="I13" s="635"/>
      <c r="K13" s="28">
        <f t="shared" si="2"/>
        <v>0</v>
      </c>
      <c r="L13" s="28">
        <f t="shared" si="3"/>
        <v>0</v>
      </c>
      <c r="O13" s="638">
        <f t="shared" si="4"/>
        <v>0</v>
      </c>
      <c r="P13" s="638">
        <f t="shared" si="5"/>
        <v>0</v>
      </c>
      <c r="Q13" s="638">
        <f t="shared" si="6"/>
        <v>0</v>
      </c>
      <c r="R13" s="638">
        <f t="shared" si="7"/>
        <v>0</v>
      </c>
      <c r="T13" s="638">
        <f t="shared" si="8"/>
        <v>0</v>
      </c>
      <c r="U13" s="638">
        <f t="shared" si="9"/>
        <v>0</v>
      </c>
      <c r="V13" s="638">
        <f t="shared" si="10"/>
        <v>0</v>
      </c>
      <c r="W13" s="638">
        <f t="shared" si="11"/>
        <v>0</v>
      </c>
    </row>
    <row r="14" spans="1:23" x14ac:dyDescent="0.2">
      <c r="B14" s="297">
        <v>10</v>
      </c>
      <c r="C14" s="29"/>
      <c r="D14" s="320" t="str">
        <f t="shared" si="1"/>
        <v/>
      </c>
      <c r="E14" s="640"/>
      <c r="F14" s="640"/>
      <c r="G14" s="640"/>
      <c r="H14" s="640"/>
      <c r="I14" s="635"/>
      <c r="K14" s="28">
        <f t="shared" si="2"/>
        <v>0</v>
      </c>
      <c r="L14" s="28">
        <f t="shared" si="3"/>
        <v>0</v>
      </c>
      <c r="O14" s="638">
        <f t="shared" si="4"/>
        <v>0</v>
      </c>
      <c r="P14" s="638">
        <f t="shared" si="5"/>
        <v>0</v>
      </c>
      <c r="Q14" s="638">
        <f t="shared" si="6"/>
        <v>0</v>
      </c>
      <c r="R14" s="638">
        <f t="shared" si="7"/>
        <v>0</v>
      </c>
      <c r="T14" s="638">
        <f t="shared" si="8"/>
        <v>0</v>
      </c>
      <c r="U14" s="638">
        <f t="shared" si="9"/>
        <v>0</v>
      </c>
      <c r="V14" s="638">
        <f t="shared" si="10"/>
        <v>0</v>
      </c>
      <c r="W14" s="638">
        <f t="shared" si="11"/>
        <v>0</v>
      </c>
    </row>
    <row r="15" spans="1:23" x14ac:dyDescent="0.2">
      <c r="B15" s="297">
        <v>11</v>
      </c>
      <c r="C15" s="29"/>
      <c r="D15" s="320" t="str">
        <f t="shared" si="1"/>
        <v/>
      </c>
      <c r="E15" s="640"/>
      <c r="F15" s="640"/>
      <c r="G15" s="640"/>
      <c r="H15" s="640"/>
      <c r="I15" s="635"/>
      <c r="K15" s="28">
        <f t="shared" si="2"/>
        <v>0</v>
      </c>
      <c r="L15" s="28">
        <f t="shared" si="3"/>
        <v>0</v>
      </c>
      <c r="O15" s="638">
        <f t="shared" si="4"/>
        <v>0</v>
      </c>
      <c r="P15" s="638">
        <f t="shared" si="5"/>
        <v>0</v>
      </c>
      <c r="Q15" s="638">
        <f t="shared" si="6"/>
        <v>0</v>
      </c>
      <c r="R15" s="638">
        <f t="shared" si="7"/>
        <v>0</v>
      </c>
      <c r="T15" s="638">
        <f t="shared" si="8"/>
        <v>0</v>
      </c>
      <c r="U15" s="638">
        <f t="shared" si="9"/>
        <v>0</v>
      </c>
      <c r="V15" s="638">
        <f t="shared" si="10"/>
        <v>0</v>
      </c>
      <c r="W15" s="638">
        <f t="shared" si="11"/>
        <v>0</v>
      </c>
    </row>
    <row r="16" spans="1:23" x14ac:dyDescent="0.2">
      <c r="B16" s="297">
        <v>12</v>
      </c>
      <c r="C16" s="29"/>
      <c r="D16" s="320" t="str">
        <f t="shared" si="1"/>
        <v/>
      </c>
      <c r="E16" s="640"/>
      <c r="F16" s="640"/>
      <c r="G16" s="640"/>
      <c r="H16" s="640"/>
      <c r="I16" s="635"/>
      <c r="K16" s="28">
        <f t="shared" si="2"/>
        <v>0</v>
      </c>
      <c r="L16" s="28">
        <f t="shared" si="3"/>
        <v>0</v>
      </c>
      <c r="O16" s="638">
        <f t="shared" si="4"/>
        <v>0</v>
      </c>
      <c r="P16" s="638">
        <f t="shared" si="5"/>
        <v>0</v>
      </c>
      <c r="Q16" s="638">
        <f t="shared" si="6"/>
        <v>0</v>
      </c>
      <c r="R16" s="638">
        <f t="shared" si="7"/>
        <v>0</v>
      </c>
      <c r="T16" s="638">
        <f t="shared" si="8"/>
        <v>0</v>
      </c>
      <c r="U16" s="638">
        <f t="shared" si="9"/>
        <v>0</v>
      </c>
      <c r="V16" s="638">
        <f t="shared" si="10"/>
        <v>0</v>
      </c>
      <c r="W16" s="638">
        <f t="shared" si="11"/>
        <v>0</v>
      </c>
    </row>
    <row r="17" spans="2:23" x14ac:dyDescent="0.2">
      <c r="B17" s="297">
        <v>13</v>
      </c>
      <c r="C17" s="29"/>
      <c r="D17" s="320" t="str">
        <f t="shared" si="1"/>
        <v/>
      </c>
      <c r="E17" s="640"/>
      <c r="F17" s="640"/>
      <c r="G17" s="640"/>
      <c r="H17" s="640"/>
      <c r="I17" s="635"/>
      <c r="K17" s="28">
        <f t="shared" si="2"/>
        <v>0</v>
      </c>
      <c r="L17" s="28">
        <f t="shared" si="3"/>
        <v>0</v>
      </c>
      <c r="O17" s="638">
        <f t="shared" si="4"/>
        <v>0</v>
      </c>
      <c r="P17" s="638">
        <f t="shared" si="5"/>
        <v>0</v>
      </c>
      <c r="Q17" s="638">
        <f t="shared" si="6"/>
        <v>0</v>
      </c>
      <c r="R17" s="638">
        <f t="shared" si="7"/>
        <v>0</v>
      </c>
      <c r="T17" s="638">
        <f t="shared" si="8"/>
        <v>0</v>
      </c>
      <c r="U17" s="638">
        <f t="shared" si="9"/>
        <v>0</v>
      </c>
      <c r="V17" s="638">
        <f t="shared" si="10"/>
        <v>0</v>
      </c>
      <c r="W17" s="638">
        <f t="shared" si="11"/>
        <v>0</v>
      </c>
    </row>
    <row r="18" spans="2:23" x14ac:dyDescent="0.2">
      <c r="B18" s="297">
        <v>14</v>
      </c>
      <c r="C18" s="29"/>
      <c r="D18" s="320" t="str">
        <f t="shared" si="1"/>
        <v/>
      </c>
      <c r="E18" s="640"/>
      <c r="F18" s="640"/>
      <c r="G18" s="640"/>
      <c r="H18" s="640"/>
      <c r="I18" s="635"/>
      <c r="K18" s="28">
        <f t="shared" si="2"/>
        <v>0</v>
      </c>
      <c r="L18" s="28">
        <f t="shared" si="3"/>
        <v>0</v>
      </c>
      <c r="O18" s="638">
        <f t="shared" si="4"/>
        <v>0</v>
      </c>
      <c r="P18" s="638">
        <f t="shared" si="5"/>
        <v>0</v>
      </c>
      <c r="Q18" s="638">
        <f t="shared" si="6"/>
        <v>0</v>
      </c>
      <c r="R18" s="638">
        <f t="shared" si="7"/>
        <v>0</v>
      </c>
      <c r="T18" s="638">
        <f t="shared" si="8"/>
        <v>0</v>
      </c>
      <c r="U18" s="638">
        <f t="shared" si="9"/>
        <v>0</v>
      </c>
      <c r="V18" s="638">
        <f t="shared" si="10"/>
        <v>0</v>
      </c>
      <c r="W18" s="638">
        <f t="shared" si="11"/>
        <v>0</v>
      </c>
    </row>
    <row r="19" spans="2:23" x14ac:dyDescent="0.2">
      <c r="B19" s="297">
        <v>15</v>
      </c>
      <c r="C19" s="29"/>
      <c r="D19" s="320" t="str">
        <f t="shared" si="1"/>
        <v/>
      </c>
      <c r="E19" s="640"/>
      <c r="F19" s="640"/>
      <c r="G19" s="640"/>
      <c r="H19" s="640"/>
      <c r="I19" s="635"/>
      <c r="K19" s="28">
        <f t="shared" si="2"/>
        <v>0</v>
      </c>
      <c r="L19" s="28">
        <f t="shared" si="3"/>
        <v>0</v>
      </c>
      <c r="O19" s="638">
        <f t="shared" si="4"/>
        <v>0</v>
      </c>
      <c r="P19" s="638">
        <f t="shared" si="5"/>
        <v>0</v>
      </c>
      <c r="Q19" s="638">
        <f t="shared" si="6"/>
        <v>0</v>
      </c>
      <c r="R19" s="638">
        <f t="shared" si="7"/>
        <v>0</v>
      </c>
      <c r="T19" s="638">
        <f t="shared" si="8"/>
        <v>0</v>
      </c>
      <c r="U19" s="638">
        <f t="shared" si="9"/>
        <v>0</v>
      </c>
      <c r="V19" s="638">
        <f t="shared" si="10"/>
        <v>0</v>
      </c>
      <c r="W19" s="638">
        <f t="shared" si="11"/>
        <v>0</v>
      </c>
    </row>
    <row r="20" spans="2:23" x14ac:dyDescent="0.2">
      <c r="B20" s="297">
        <v>16</v>
      </c>
      <c r="C20" s="29"/>
      <c r="D20" s="320" t="str">
        <f t="shared" si="1"/>
        <v/>
      </c>
      <c r="E20" s="640"/>
      <c r="F20" s="640"/>
      <c r="G20" s="640"/>
      <c r="H20" s="640"/>
      <c r="I20" s="635"/>
      <c r="K20" s="28">
        <f t="shared" si="2"/>
        <v>0</v>
      </c>
      <c r="L20" s="28">
        <f t="shared" si="3"/>
        <v>0</v>
      </c>
      <c r="O20" s="638">
        <f t="shared" si="4"/>
        <v>0</v>
      </c>
      <c r="P20" s="638">
        <f t="shared" si="5"/>
        <v>0</v>
      </c>
      <c r="Q20" s="638">
        <f t="shared" si="6"/>
        <v>0</v>
      </c>
      <c r="R20" s="638">
        <f t="shared" si="7"/>
        <v>0</v>
      </c>
      <c r="T20" s="638">
        <f t="shared" si="8"/>
        <v>0</v>
      </c>
      <c r="U20" s="638">
        <f t="shared" si="9"/>
        <v>0</v>
      </c>
      <c r="V20" s="638">
        <f t="shared" si="10"/>
        <v>0</v>
      </c>
      <c r="W20" s="638">
        <f t="shared" si="11"/>
        <v>0</v>
      </c>
    </row>
    <row r="21" spans="2:23" x14ac:dyDescent="0.2">
      <c r="B21" s="297">
        <v>17</v>
      </c>
      <c r="C21" s="29"/>
      <c r="D21" s="320" t="str">
        <f t="shared" si="1"/>
        <v/>
      </c>
      <c r="E21" s="640"/>
      <c r="F21" s="640"/>
      <c r="G21" s="640"/>
      <c r="H21" s="640"/>
      <c r="I21" s="635"/>
      <c r="K21" s="28">
        <f t="shared" si="2"/>
        <v>0</v>
      </c>
      <c r="L21" s="28">
        <f t="shared" si="3"/>
        <v>0</v>
      </c>
      <c r="O21" s="638">
        <f t="shared" si="4"/>
        <v>0</v>
      </c>
      <c r="P21" s="638">
        <f t="shared" si="5"/>
        <v>0</v>
      </c>
      <c r="Q21" s="638">
        <f t="shared" si="6"/>
        <v>0</v>
      </c>
      <c r="R21" s="638">
        <f t="shared" si="7"/>
        <v>0</v>
      </c>
      <c r="T21" s="638">
        <f t="shared" si="8"/>
        <v>0</v>
      </c>
      <c r="U21" s="638">
        <f t="shared" si="9"/>
        <v>0</v>
      </c>
      <c r="V21" s="638">
        <f t="shared" si="10"/>
        <v>0</v>
      </c>
      <c r="W21" s="638">
        <f t="shared" si="11"/>
        <v>0</v>
      </c>
    </row>
    <row r="22" spans="2:23" x14ac:dyDescent="0.2">
      <c r="B22" s="297">
        <v>18</v>
      </c>
      <c r="C22" s="29"/>
      <c r="D22" s="320" t="str">
        <f t="shared" si="1"/>
        <v/>
      </c>
      <c r="E22" s="640"/>
      <c r="F22" s="640"/>
      <c r="G22" s="640"/>
      <c r="H22" s="640"/>
      <c r="I22" s="635"/>
      <c r="K22" s="28">
        <f t="shared" si="2"/>
        <v>0</v>
      </c>
      <c r="L22" s="28">
        <f t="shared" si="3"/>
        <v>0</v>
      </c>
      <c r="O22" s="638">
        <f t="shared" si="4"/>
        <v>0</v>
      </c>
      <c r="P22" s="638">
        <f t="shared" si="5"/>
        <v>0</v>
      </c>
      <c r="Q22" s="638">
        <f t="shared" si="6"/>
        <v>0</v>
      </c>
      <c r="R22" s="638">
        <f t="shared" si="7"/>
        <v>0</v>
      </c>
      <c r="T22" s="638">
        <f t="shared" si="8"/>
        <v>0</v>
      </c>
      <c r="U22" s="638">
        <f t="shared" si="9"/>
        <v>0</v>
      </c>
      <c r="V22" s="638">
        <f t="shared" si="10"/>
        <v>0</v>
      </c>
      <c r="W22" s="638">
        <f t="shared" si="11"/>
        <v>0</v>
      </c>
    </row>
    <row r="23" spans="2:23" x14ac:dyDescent="0.2">
      <c r="B23" s="297">
        <v>19</v>
      </c>
      <c r="C23" s="29"/>
      <c r="D23" s="320" t="str">
        <f t="shared" si="1"/>
        <v/>
      </c>
      <c r="E23" s="640"/>
      <c r="F23" s="640"/>
      <c r="G23" s="640"/>
      <c r="H23" s="640"/>
      <c r="I23" s="635"/>
      <c r="K23" s="28">
        <f t="shared" si="2"/>
        <v>0</v>
      </c>
      <c r="L23" s="28">
        <f t="shared" si="3"/>
        <v>0</v>
      </c>
      <c r="O23" s="638">
        <f t="shared" si="4"/>
        <v>0</v>
      </c>
      <c r="P23" s="638">
        <f t="shared" si="5"/>
        <v>0</v>
      </c>
      <c r="Q23" s="638">
        <f t="shared" si="6"/>
        <v>0</v>
      </c>
      <c r="R23" s="638">
        <f t="shared" si="7"/>
        <v>0</v>
      </c>
      <c r="T23" s="638">
        <f t="shared" si="8"/>
        <v>0</v>
      </c>
      <c r="U23" s="638">
        <f t="shared" si="9"/>
        <v>0</v>
      </c>
      <c r="V23" s="638">
        <f t="shared" si="10"/>
        <v>0</v>
      </c>
      <c r="W23" s="638">
        <f t="shared" si="11"/>
        <v>0</v>
      </c>
    </row>
    <row r="24" spans="2:23" x14ac:dyDescent="0.2">
      <c r="B24" s="297">
        <v>20</v>
      </c>
      <c r="C24" s="29"/>
      <c r="D24" s="320" t="str">
        <f t="shared" si="1"/>
        <v/>
      </c>
      <c r="E24" s="640"/>
      <c r="F24" s="640"/>
      <c r="G24" s="640"/>
      <c r="H24" s="640"/>
      <c r="I24" s="635"/>
      <c r="K24" s="28">
        <f t="shared" si="2"/>
        <v>0</v>
      </c>
      <c r="L24" s="28">
        <f t="shared" si="3"/>
        <v>0</v>
      </c>
      <c r="O24" s="638">
        <f t="shared" si="4"/>
        <v>0</v>
      </c>
      <c r="P24" s="638">
        <f t="shared" si="5"/>
        <v>0</v>
      </c>
      <c r="Q24" s="638">
        <f t="shared" si="6"/>
        <v>0</v>
      </c>
      <c r="R24" s="638">
        <f t="shared" si="7"/>
        <v>0</v>
      </c>
      <c r="T24" s="638">
        <f t="shared" si="8"/>
        <v>0</v>
      </c>
      <c r="U24" s="638">
        <f t="shared" si="9"/>
        <v>0</v>
      </c>
      <c r="V24" s="638">
        <f t="shared" si="10"/>
        <v>0</v>
      </c>
      <c r="W24" s="638">
        <f t="shared" si="11"/>
        <v>0</v>
      </c>
    </row>
    <row r="25" spans="2:23" x14ac:dyDescent="0.2">
      <c r="B25" s="297">
        <v>21</v>
      </c>
      <c r="C25" s="29"/>
      <c r="D25" s="320" t="str">
        <f t="shared" si="1"/>
        <v/>
      </c>
      <c r="E25" s="640"/>
      <c r="F25" s="640"/>
      <c r="G25" s="640"/>
      <c r="H25" s="640"/>
      <c r="I25" s="635"/>
      <c r="K25" s="28">
        <f t="shared" si="2"/>
        <v>0</v>
      </c>
      <c r="L25" s="28">
        <f t="shared" si="3"/>
        <v>0</v>
      </c>
      <c r="O25" s="638">
        <f t="shared" si="4"/>
        <v>0</v>
      </c>
      <c r="P25" s="638">
        <f t="shared" si="5"/>
        <v>0</v>
      </c>
      <c r="Q25" s="638">
        <f t="shared" si="6"/>
        <v>0</v>
      </c>
      <c r="R25" s="638">
        <f t="shared" si="7"/>
        <v>0</v>
      </c>
      <c r="T25" s="638">
        <f t="shared" si="8"/>
        <v>0</v>
      </c>
      <c r="U25" s="638">
        <f t="shared" si="9"/>
        <v>0</v>
      </c>
      <c r="V25" s="638">
        <f t="shared" si="10"/>
        <v>0</v>
      </c>
      <c r="W25" s="638">
        <f t="shared" si="11"/>
        <v>0</v>
      </c>
    </row>
    <row r="26" spans="2:23" x14ac:dyDescent="0.2">
      <c r="B26" s="297">
        <v>22</v>
      </c>
      <c r="C26" s="29"/>
      <c r="D26" s="320" t="str">
        <f t="shared" si="1"/>
        <v/>
      </c>
      <c r="E26" s="640"/>
      <c r="F26" s="640"/>
      <c r="G26" s="640"/>
      <c r="H26" s="640"/>
      <c r="I26" s="635"/>
      <c r="K26" s="28">
        <f t="shared" si="2"/>
        <v>0</v>
      </c>
      <c r="L26" s="28">
        <f t="shared" si="3"/>
        <v>0</v>
      </c>
      <c r="O26" s="638">
        <f t="shared" si="4"/>
        <v>0</v>
      </c>
      <c r="P26" s="638">
        <f t="shared" si="5"/>
        <v>0</v>
      </c>
      <c r="Q26" s="638">
        <f t="shared" si="6"/>
        <v>0</v>
      </c>
      <c r="R26" s="638">
        <f t="shared" si="7"/>
        <v>0</v>
      </c>
      <c r="T26" s="638">
        <f t="shared" si="8"/>
        <v>0</v>
      </c>
      <c r="U26" s="638">
        <f t="shared" si="9"/>
        <v>0</v>
      </c>
      <c r="V26" s="638">
        <f t="shared" si="10"/>
        <v>0</v>
      </c>
      <c r="W26" s="638">
        <f t="shared" si="11"/>
        <v>0</v>
      </c>
    </row>
    <row r="27" spans="2:23" x14ac:dyDescent="0.2">
      <c r="B27" s="297">
        <v>23</v>
      </c>
      <c r="C27" s="29"/>
      <c r="D27" s="320" t="str">
        <f t="shared" si="1"/>
        <v/>
      </c>
      <c r="E27" s="640"/>
      <c r="F27" s="640"/>
      <c r="G27" s="640"/>
      <c r="H27" s="640"/>
      <c r="I27" s="635"/>
      <c r="K27" s="28">
        <f t="shared" si="2"/>
        <v>0</v>
      </c>
      <c r="L27" s="28">
        <f t="shared" si="3"/>
        <v>0</v>
      </c>
      <c r="O27" s="638">
        <f t="shared" si="4"/>
        <v>0</v>
      </c>
      <c r="P27" s="638">
        <f t="shared" si="5"/>
        <v>0</v>
      </c>
      <c r="Q27" s="638">
        <f t="shared" si="6"/>
        <v>0</v>
      </c>
      <c r="R27" s="638">
        <f t="shared" si="7"/>
        <v>0</v>
      </c>
      <c r="T27" s="638">
        <f t="shared" si="8"/>
        <v>0</v>
      </c>
      <c r="U27" s="638">
        <f t="shared" si="9"/>
        <v>0</v>
      </c>
      <c r="V27" s="638">
        <f t="shared" si="10"/>
        <v>0</v>
      </c>
      <c r="W27" s="638">
        <f t="shared" si="11"/>
        <v>0</v>
      </c>
    </row>
    <row r="28" spans="2:23" x14ac:dyDescent="0.2">
      <c r="B28" s="297">
        <v>24</v>
      </c>
      <c r="C28" s="29"/>
      <c r="D28" s="320" t="str">
        <f t="shared" si="1"/>
        <v/>
      </c>
      <c r="E28" s="640"/>
      <c r="F28" s="640"/>
      <c r="G28" s="640"/>
      <c r="H28" s="640"/>
      <c r="I28" s="635"/>
      <c r="K28" s="28">
        <f t="shared" si="2"/>
        <v>0</v>
      </c>
      <c r="L28" s="28">
        <f t="shared" si="3"/>
        <v>0</v>
      </c>
      <c r="O28" s="638">
        <f t="shared" si="4"/>
        <v>0</v>
      </c>
      <c r="P28" s="638">
        <f t="shared" si="5"/>
        <v>0</v>
      </c>
      <c r="Q28" s="638">
        <f t="shared" si="6"/>
        <v>0</v>
      </c>
      <c r="R28" s="638">
        <f t="shared" si="7"/>
        <v>0</v>
      </c>
      <c r="T28" s="638">
        <f t="shared" si="8"/>
        <v>0</v>
      </c>
      <c r="U28" s="638">
        <f t="shared" si="9"/>
        <v>0</v>
      </c>
      <c r="V28" s="638">
        <f t="shared" si="10"/>
        <v>0</v>
      </c>
      <c r="W28" s="638">
        <f t="shared" si="11"/>
        <v>0</v>
      </c>
    </row>
    <row r="29" spans="2:23" ht="15" thickBot="1" x14ac:dyDescent="0.25">
      <c r="B29" s="297">
        <v>25</v>
      </c>
      <c r="C29" s="29"/>
      <c r="D29" s="320" t="str">
        <f t="shared" si="1"/>
        <v/>
      </c>
      <c r="E29" s="640"/>
      <c r="F29" s="640"/>
      <c r="G29" s="640"/>
      <c r="H29" s="640"/>
      <c r="I29" s="635"/>
      <c r="K29" s="28">
        <f t="shared" si="2"/>
        <v>0</v>
      </c>
      <c r="L29" s="28">
        <f t="shared" si="3"/>
        <v>0</v>
      </c>
      <c r="O29" s="638">
        <f t="shared" si="4"/>
        <v>0</v>
      </c>
      <c r="P29" s="638">
        <f t="shared" si="5"/>
        <v>0</v>
      </c>
      <c r="Q29" s="638">
        <f t="shared" si="6"/>
        <v>0</v>
      </c>
      <c r="R29" s="638">
        <f t="shared" si="7"/>
        <v>0</v>
      </c>
      <c r="T29" s="638">
        <f t="shared" si="8"/>
        <v>0</v>
      </c>
      <c r="U29" s="638">
        <f t="shared" si="9"/>
        <v>0</v>
      </c>
      <c r="V29" s="638">
        <f t="shared" si="10"/>
        <v>0</v>
      </c>
      <c r="W29" s="638">
        <f t="shared" si="11"/>
        <v>0</v>
      </c>
    </row>
    <row r="30" spans="2:23" ht="15" thickBot="1" x14ac:dyDescent="0.25">
      <c r="B30" s="647" t="s">
        <v>257</v>
      </c>
      <c r="C30" s="648"/>
      <c r="D30" s="649">
        <v>0</v>
      </c>
      <c r="E30" s="645">
        <f>SUM(E5:E29)</f>
        <v>0</v>
      </c>
      <c r="F30" s="645">
        <f>SUM(F5:F29)</f>
        <v>0</v>
      </c>
      <c r="G30" s="645">
        <f>SUM(G5:G29)</f>
        <v>0</v>
      </c>
      <c r="H30" s="645">
        <f>SUM(H5:H29)</f>
        <v>0</v>
      </c>
      <c r="I30" s="646"/>
    </row>
    <row r="31" spans="2:23" x14ac:dyDescent="0.2"/>
    <row r="32" spans="2:23" x14ac:dyDescent="0.2"/>
    <row r="33" spans="2:15" x14ac:dyDescent="0.2">
      <c r="B33" s="322" t="s">
        <v>101</v>
      </c>
      <c r="C33" s="322"/>
    </row>
    <row r="34" spans="2:15" x14ac:dyDescent="0.2">
      <c r="B34" s="146"/>
      <c r="C34" s="146"/>
    </row>
    <row r="35" spans="2:15" x14ac:dyDescent="0.2">
      <c r="B35" s="29"/>
      <c r="C35" s="148" t="s">
        <v>102</v>
      </c>
    </row>
    <row r="36" spans="2:15" x14ac:dyDescent="0.2">
      <c r="B36" s="146"/>
      <c r="C36" s="147"/>
    </row>
    <row r="37" spans="2:15" x14ac:dyDescent="0.2">
      <c r="B37" s="149"/>
      <c r="C37" s="148" t="s">
        <v>103</v>
      </c>
    </row>
    <row r="38" spans="2:15" x14ac:dyDescent="0.2">
      <c r="B38" s="150"/>
      <c r="C38" s="148"/>
    </row>
    <row r="39" spans="2:15" x14ac:dyDescent="0.2">
      <c r="B39" s="151"/>
      <c r="C39" s="148" t="s">
        <v>104</v>
      </c>
    </row>
    <row r="40" spans="2:15" x14ac:dyDescent="0.2"/>
    <row r="41" spans="2:15" ht="15" thickBot="1" x14ac:dyDescent="0.25"/>
    <row r="42" spans="2:15" ht="16.5" thickBot="1" x14ac:dyDescent="0.25">
      <c r="B42" s="152" t="str">
        <f ca="1" xml:space="preserve"> RIGHT(CELL("filename", $A$1), LEN(CELL("filename", $A$1)) - SEARCH("]", CELL("filename", $A$1)))&amp;" - Column definitions"</f>
        <v>3C - Column definitions</v>
      </c>
      <c r="C42" s="153"/>
      <c r="D42" s="154"/>
      <c r="E42" s="154"/>
      <c r="F42" s="154"/>
      <c r="G42" s="154"/>
      <c r="H42" s="154"/>
      <c r="I42" s="260"/>
    </row>
    <row r="43" spans="2:15" ht="15" thickBot="1" x14ac:dyDescent="0.25">
      <c r="B43" s="87"/>
      <c r="C43" s="161"/>
      <c r="D43" s="87"/>
      <c r="E43" s="87"/>
      <c r="F43" s="87"/>
    </row>
    <row r="44" spans="2:15" ht="15" thickBot="1" x14ac:dyDescent="0.25">
      <c r="B44" s="857" t="s">
        <v>616</v>
      </c>
      <c r="C44" s="1011" t="s">
        <v>106</v>
      </c>
      <c r="D44" s="1012"/>
      <c r="E44" s="1012"/>
      <c r="F44" s="1012"/>
      <c r="G44" s="1012"/>
      <c r="H44" s="1012"/>
      <c r="I44" s="1013"/>
      <c r="O44" s="97" t="s">
        <v>107</v>
      </c>
    </row>
    <row r="45" spans="2:15" ht="17.25" customHeight="1" x14ac:dyDescent="0.2">
      <c r="B45" s="641" t="s">
        <v>149</v>
      </c>
      <c r="C45" s="1014" t="s">
        <v>646</v>
      </c>
      <c r="D45" s="1015"/>
      <c r="E45" s="1015"/>
      <c r="F45" s="1015"/>
      <c r="G45" s="1015"/>
      <c r="H45" s="1015"/>
      <c r="I45" s="1016"/>
      <c r="O45" s="720">
        <v>1</v>
      </c>
    </row>
    <row r="46" spans="2:15" ht="43.5" customHeight="1" x14ac:dyDescent="0.2">
      <c r="B46" s="641" t="s">
        <v>165</v>
      </c>
      <c r="C46" s="1014" t="s">
        <v>647</v>
      </c>
      <c r="D46" s="1015"/>
      <c r="E46" s="1015"/>
      <c r="F46" s="1015"/>
      <c r="G46" s="1015"/>
      <c r="H46" s="1015"/>
      <c r="I46" s="1016"/>
      <c r="N46" s="619"/>
      <c r="O46" s="720" t="s">
        <v>109</v>
      </c>
    </row>
    <row r="47" spans="2:15" ht="31.5" customHeight="1" x14ac:dyDescent="0.2">
      <c r="B47" s="642" t="s">
        <v>596</v>
      </c>
      <c r="C47" s="1005" t="s">
        <v>648</v>
      </c>
      <c r="D47" s="1006"/>
      <c r="E47" s="1006"/>
      <c r="F47" s="1006"/>
      <c r="G47" s="1006"/>
      <c r="H47" s="1006"/>
      <c r="I47" s="1007"/>
      <c r="N47" s="619"/>
      <c r="O47" s="720" t="s">
        <v>112</v>
      </c>
    </row>
    <row r="48" spans="2:15" ht="18.75" customHeight="1" x14ac:dyDescent="0.2">
      <c r="B48" s="642" t="s">
        <v>597</v>
      </c>
      <c r="C48" s="1005" t="s">
        <v>649</v>
      </c>
      <c r="D48" s="1006"/>
      <c r="E48" s="1006"/>
      <c r="F48" s="1006"/>
      <c r="G48" s="1006"/>
      <c r="H48" s="1006"/>
      <c r="I48" s="1007"/>
      <c r="O48" s="721">
        <v>1</v>
      </c>
    </row>
    <row r="49" spans="2:15" ht="18.75" customHeight="1" x14ac:dyDescent="0.2">
      <c r="B49" s="642" t="s">
        <v>598</v>
      </c>
      <c r="C49" s="1005" t="s">
        <v>650</v>
      </c>
      <c r="D49" s="1006"/>
      <c r="E49" s="1006"/>
      <c r="F49" s="1006"/>
      <c r="G49" s="1006"/>
      <c r="H49" s="1006"/>
      <c r="I49" s="1007"/>
      <c r="O49" s="720">
        <v>1</v>
      </c>
    </row>
    <row r="50" spans="2:15" ht="34.5" customHeight="1" thickBot="1" x14ac:dyDescent="0.25">
      <c r="B50" s="643" t="s">
        <v>599</v>
      </c>
      <c r="C50" s="1008" t="s">
        <v>651</v>
      </c>
      <c r="D50" s="1009"/>
      <c r="E50" s="1009"/>
      <c r="F50" s="1009"/>
      <c r="G50" s="1009"/>
      <c r="H50" s="1009"/>
      <c r="I50" s="1010"/>
      <c r="N50" s="619"/>
      <c r="O50" s="720" t="s">
        <v>109</v>
      </c>
    </row>
    <row r="51" spans="2:15" x14ac:dyDescent="0.2"/>
    <row r="52" spans="2:15" x14ac:dyDescent="0.2"/>
    <row r="53" spans="2:15" x14ac:dyDescent="0.2"/>
    <row r="54" spans="2:15" x14ac:dyDescent="0.2"/>
    <row r="55" spans="2:15" x14ac:dyDescent="0.2"/>
    <row r="56" spans="2:15" x14ac:dyDescent="0.2"/>
  </sheetData>
  <sheetProtection algorithmName="SHA-512" hashValue="x/EfEst7hYrwISgEFHYwm1mRRbnCkzX2cCfXrLpp8Vric73pJiS0JRBcpXN961kEwe6gbNEQ9KSs0GdJRdU+OA==" saltValue="AejcSOAMjdZat6gB7EU5Gg==" spinCount="100000" sheet="1" objects="1" scenarios="1"/>
  <mergeCells count="7">
    <mergeCell ref="C49:I49"/>
    <mergeCell ref="C50:I50"/>
    <mergeCell ref="C44:I44"/>
    <mergeCell ref="C46:I46"/>
    <mergeCell ref="C47:I47"/>
    <mergeCell ref="C48:I48"/>
    <mergeCell ref="C45:I45"/>
  </mergeCells>
  <conditionalFormatting sqref="K5:L29">
    <cfRule type="cellIs" dxfId="88" priority="1" operator="equal">
      <formula>0</formula>
    </cfRule>
  </conditionalFormatting>
  <printOptions horizontalCentered="1"/>
  <pageMargins left="0.39370078740157483" right="0.39370078740157483" top="0.78740157480314965" bottom="0.78740157480314965" header="0.31496062992125984" footer="0.31496062992125984"/>
  <pageSetup paperSize="9" scale="44" orientation="portrait" r:id="rId1"/>
  <headerFooter>
    <oddHeader>&amp;L&amp;9&amp;K857362Page &amp;P of &amp;N&amp;C&amp;9 &amp;K8573622017 annual performance report tables (May 2017) &amp;R&amp;9&amp;G</oddHeader>
    <oddFooter>&amp;L&amp;9&amp;K857362&amp;A&amp;R&amp;9&amp;K857362Printed: &amp;D &amp;T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40"/>
  <sheetViews>
    <sheetView showGridLines="0" topLeftCell="B1" zoomScale="85" zoomScaleNormal="85" workbookViewId="0">
      <selection activeCell="F15" sqref="F15"/>
    </sheetView>
  </sheetViews>
  <sheetFormatPr defaultColWidth="0" defaultRowHeight="14.25" zeroHeight="1" x14ac:dyDescent="0.2"/>
  <cols>
    <col min="1" max="1" width="1.625" customWidth="1"/>
    <col min="2" max="2" width="5" customWidth="1"/>
    <col min="3" max="3" width="33" customWidth="1"/>
    <col min="4" max="4" width="19.5" customWidth="1"/>
    <col min="5" max="5" width="12.75" customWidth="1"/>
    <col min="6" max="6" width="11.25" customWidth="1"/>
    <col min="7" max="7" width="9" customWidth="1"/>
    <col min="8" max="8" width="30.75" bestFit="1" customWidth="1"/>
    <col min="9" max="9" width="16.25" customWidth="1"/>
    <col min="10" max="10" width="1.625" customWidth="1"/>
    <col min="11" max="11" width="1.625" style="554" hidden="1" customWidth="1"/>
    <col min="12" max="12" width="14.75" hidden="1" customWidth="1"/>
    <col min="13" max="13" width="1.625" style="554" hidden="1" customWidth="1"/>
    <col min="14" max="16" width="21.5" hidden="1" customWidth="1"/>
    <col min="17" max="17" width="1.625" style="554" hidden="1" customWidth="1"/>
    <col min="18" max="16384" width="9" hidden="1"/>
  </cols>
  <sheetData>
    <row r="1" spans="2:19" ht="20.25" x14ac:dyDescent="0.2">
      <c r="B1" s="79" t="s">
        <v>652</v>
      </c>
      <c r="C1" s="79"/>
      <c r="D1" s="80" t="str">
        <f>Validation!B3</f>
        <v>Yorkshire Water</v>
      </c>
      <c r="E1" s="79"/>
      <c r="F1" s="79"/>
      <c r="G1" s="79"/>
      <c r="H1" s="82"/>
      <c r="I1" s="82" t="s">
        <v>72</v>
      </c>
    </row>
    <row r="2" spans="2:19" x14ac:dyDescent="0.2">
      <c r="B2" s="86" t="s">
        <v>55</v>
      </c>
      <c r="L2" s="607" t="s">
        <v>83</v>
      </c>
      <c r="M2" s="608"/>
      <c r="N2" s="609" t="s">
        <v>653</v>
      </c>
      <c r="O2" s="609"/>
      <c r="P2" s="610"/>
      <c r="Q2" s="608"/>
      <c r="R2" s="610"/>
      <c r="S2" s="610"/>
    </row>
    <row r="3" spans="2:19" ht="15" thickBot="1" x14ac:dyDescent="0.25">
      <c r="L3" s="97" t="s">
        <v>654</v>
      </c>
      <c r="M3" s="608"/>
      <c r="N3" s="610" t="s">
        <v>655</v>
      </c>
      <c r="O3" s="610" t="s">
        <v>656</v>
      </c>
      <c r="P3" s="610" t="s">
        <v>657</v>
      </c>
      <c r="Q3" s="608"/>
      <c r="R3" s="610"/>
      <c r="S3" s="610"/>
    </row>
    <row r="4" spans="2:19" ht="15" thickBot="1" x14ac:dyDescent="0.25">
      <c r="B4" s="272" t="s">
        <v>578</v>
      </c>
      <c r="C4" s="389" t="s">
        <v>73</v>
      </c>
      <c r="D4" s="389" t="s">
        <v>74</v>
      </c>
      <c r="E4" s="389" t="s">
        <v>583</v>
      </c>
      <c r="F4" s="390" t="s">
        <v>658</v>
      </c>
      <c r="G4" s="605"/>
      <c r="H4" s="272" t="s">
        <v>659</v>
      </c>
      <c r="I4" s="390" t="s">
        <v>79</v>
      </c>
      <c r="L4" s="611"/>
      <c r="M4" s="612"/>
      <c r="N4" s="610"/>
      <c r="O4" s="610"/>
      <c r="P4" s="610"/>
      <c r="Q4" s="612"/>
      <c r="R4" s="610"/>
      <c r="S4" s="610"/>
    </row>
    <row r="5" spans="2:19" ht="15" thickBot="1" x14ac:dyDescent="0.25">
      <c r="L5" s="610"/>
      <c r="M5" s="613"/>
      <c r="N5" s="610"/>
      <c r="O5" s="610"/>
      <c r="P5" s="610"/>
      <c r="Q5" s="613"/>
      <c r="R5" s="610"/>
      <c r="S5" s="610"/>
    </row>
    <row r="6" spans="2:19" ht="15" thickBot="1" x14ac:dyDescent="0.25">
      <c r="B6" s="620" t="s">
        <v>134</v>
      </c>
      <c r="C6" s="593" t="s">
        <v>660</v>
      </c>
      <c r="L6" s="614" t="s">
        <v>596</v>
      </c>
      <c r="M6" s="613"/>
      <c r="N6" s="615" t="s">
        <v>661</v>
      </c>
      <c r="O6" s="615" t="s">
        <v>662</v>
      </c>
      <c r="P6" s="614" t="s">
        <v>663</v>
      </c>
      <c r="Q6" s="613"/>
      <c r="R6" s="610"/>
      <c r="S6" s="610"/>
    </row>
    <row r="7" spans="2:19" x14ac:dyDescent="0.2">
      <c r="B7" s="296">
        <v>1</v>
      </c>
      <c r="C7" s="595" t="s">
        <v>664</v>
      </c>
      <c r="D7" s="621" t="s">
        <v>665</v>
      </c>
      <c r="E7" s="622">
        <v>2</v>
      </c>
      <c r="F7" s="630">
        <v>4.5199999999999996</v>
      </c>
      <c r="H7" s="606">
        <f>IF(SUM(N7&gt;0),$N$3,0)</f>
        <v>0</v>
      </c>
      <c r="I7" s="606">
        <f>IF(L7&gt;0, $L$3, 0)</f>
        <v>0</v>
      </c>
      <c r="L7" s="616">
        <f>IF(ISBLANK(F7), 1, 0)</f>
        <v>0</v>
      </c>
      <c r="M7" s="613"/>
      <c r="N7" s="617">
        <f>IF(AND(F7&gt;=1, F7&lt;=5), 0, 1)</f>
        <v>0</v>
      </c>
      <c r="O7" s="615"/>
      <c r="P7" s="614"/>
      <c r="Q7" s="613"/>
      <c r="R7" s="610"/>
      <c r="S7" s="610"/>
    </row>
    <row r="8" spans="2:19" x14ac:dyDescent="0.2">
      <c r="B8" s="297">
        <f xml:space="preserve"> B7 + 1</f>
        <v>2</v>
      </c>
      <c r="C8" s="594" t="s">
        <v>666</v>
      </c>
      <c r="D8" s="623" t="s">
        <v>665</v>
      </c>
      <c r="E8" s="624">
        <v>2</v>
      </c>
      <c r="F8" s="631">
        <v>4.3899999999999997</v>
      </c>
      <c r="H8" s="606">
        <f t="shared" ref="H8:H10" si="0">IF(SUM(N8&gt;0),$N$3,0)</f>
        <v>0</v>
      </c>
      <c r="I8" s="606">
        <f t="shared" ref="I8:I10" si="1">IF(L8&gt;0, $L$3, 0)</f>
        <v>0</v>
      </c>
      <c r="L8" s="616">
        <f t="shared" ref="L8:L10" si="2">IF(ISBLANK(F8), 1, 0)</f>
        <v>0</v>
      </c>
      <c r="M8" s="613"/>
      <c r="N8" s="617">
        <f t="shared" ref="N8:N10" si="3">IF(AND(F8&gt;=1, F8&lt;=5), 0, 1)</f>
        <v>0</v>
      </c>
      <c r="O8" s="615"/>
      <c r="P8" s="614"/>
      <c r="Q8" s="613"/>
      <c r="R8" s="610"/>
      <c r="S8" s="610"/>
    </row>
    <row r="9" spans="2:19" x14ac:dyDescent="0.2">
      <c r="B9" s="297">
        <f t="shared" ref="B9:B11" si="4" xml:space="preserve"> B8 + 1</f>
        <v>3</v>
      </c>
      <c r="C9" s="594" t="s">
        <v>667</v>
      </c>
      <c r="D9" s="623" t="s">
        <v>665</v>
      </c>
      <c r="E9" s="624">
        <v>2</v>
      </c>
      <c r="F9" s="631">
        <v>4.37</v>
      </c>
      <c r="H9" s="606">
        <f t="shared" si="0"/>
        <v>0</v>
      </c>
      <c r="I9" s="606">
        <f t="shared" si="1"/>
        <v>0</v>
      </c>
      <c r="L9" s="616">
        <f t="shared" si="2"/>
        <v>0</v>
      </c>
      <c r="M9" s="613"/>
      <c r="N9" s="617">
        <f t="shared" si="3"/>
        <v>0</v>
      </c>
      <c r="O9" s="615"/>
      <c r="P9" s="614"/>
      <c r="Q9" s="613"/>
      <c r="R9" s="610"/>
      <c r="S9" s="610"/>
    </row>
    <row r="10" spans="2:19" x14ac:dyDescent="0.2">
      <c r="B10" s="297">
        <f t="shared" si="4"/>
        <v>4</v>
      </c>
      <c r="C10" s="594" t="s">
        <v>668</v>
      </c>
      <c r="D10" s="623" t="s">
        <v>665</v>
      </c>
      <c r="E10" s="624">
        <v>2</v>
      </c>
      <c r="F10" s="631">
        <v>4.41</v>
      </c>
      <c r="H10" s="606">
        <f t="shared" si="0"/>
        <v>0</v>
      </c>
      <c r="I10" s="606">
        <f t="shared" si="1"/>
        <v>0</v>
      </c>
      <c r="L10" s="616">
        <f t="shared" si="2"/>
        <v>0</v>
      </c>
      <c r="M10" s="613"/>
      <c r="N10" s="617">
        <f t="shared" si="3"/>
        <v>0</v>
      </c>
      <c r="O10" s="615"/>
      <c r="P10" s="614"/>
      <c r="Q10" s="613"/>
      <c r="R10" s="610"/>
      <c r="S10" s="610"/>
    </row>
    <row r="11" spans="2:19" ht="15" thickBot="1" x14ac:dyDescent="0.25">
      <c r="B11" s="298">
        <f t="shared" si="4"/>
        <v>5</v>
      </c>
      <c r="C11" s="596" t="s">
        <v>669</v>
      </c>
      <c r="D11" s="625" t="s">
        <v>665</v>
      </c>
      <c r="E11" s="626">
        <v>2</v>
      </c>
      <c r="F11" s="838">
        <v>64.17</v>
      </c>
      <c r="H11" s="606">
        <f>IF(SUM(O11&gt;0),$O$3,0)</f>
        <v>0</v>
      </c>
      <c r="I11" s="606">
        <f>IF(L11&gt;0, $L$3, 0)</f>
        <v>0</v>
      </c>
      <c r="L11" s="616">
        <f t="shared" ref="L11" si="5">IF(ISBLANK(F11), 1, 0)</f>
        <v>0</v>
      </c>
      <c r="M11" s="613"/>
      <c r="O11" s="617">
        <f>IF(AND(F11&gt;=1, F11&lt;=75), 0, 1)</f>
        <v>0</v>
      </c>
      <c r="P11" s="614"/>
      <c r="Q11" s="613"/>
      <c r="R11" s="610"/>
      <c r="S11" s="610"/>
    </row>
    <row r="12" spans="2:19" ht="15" thickBot="1" x14ac:dyDescent="0.25">
      <c r="D12" s="605"/>
      <c r="E12" s="605"/>
      <c r="F12" s="629"/>
      <c r="L12" s="610"/>
      <c r="M12" s="613"/>
      <c r="N12" s="615"/>
      <c r="O12" s="615"/>
      <c r="P12" s="614"/>
      <c r="Q12" s="613"/>
      <c r="R12" s="610"/>
      <c r="S12" s="610"/>
    </row>
    <row r="13" spans="2:19" ht="15" thickBot="1" x14ac:dyDescent="0.25">
      <c r="B13" s="620" t="s">
        <v>143</v>
      </c>
      <c r="C13" s="593" t="s">
        <v>670</v>
      </c>
      <c r="D13" s="605"/>
      <c r="E13" s="605"/>
      <c r="F13" s="629"/>
      <c r="L13" s="610"/>
      <c r="M13" s="613"/>
      <c r="N13" s="615"/>
      <c r="O13" s="615"/>
      <c r="P13" s="614"/>
      <c r="Q13" s="613"/>
      <c r="R13" s="610"/>
      <c r="S13" s="610"/>
    </row>
    <row r="14" spans="2:19" x14ac:dyDescent="0.2">
      <c r="B14" s="598">
        <f xml:space="preserve"> B11 + 1</f>
        <v>6</v>
      </c>
      <c r="C14" s="600" t="s">
        <v>671</v>
      </c>
      <c r="D14" s="621" t="s">
        <v>665</v>
      </c>
      <c r="E14" s="622">
        <v>2</v>
      </c>
      <c r="F14" s="630">
        <v>115</v>
      </c>
      <c r="H14" s="606">
        <f>IF(SUM(P14)&gt;0, P3, 0)</f>
        <v>0</v>
      </c>
      <c r="I14" s="606">
        <f t="shared" ref="I14" si="6">IF(L14&gt;0, $L$3, 0)</f>
        <v>0</v>
      </c>
      <c r="L14" s="616">
        <f t="shared" ref="L14" si="7">IF(ISBLANK(F14), 1, 0)</f>
        <v>0</v>
      </c>
      <c r="M14" s="613"/>
      <c r="N14" s="615"/>
      <c r="O14" s="615"/>
      <c r="P14" s="616">
        <f>IF(ISNUMBER(F14), IF(F14&gt;0, 0, 1), 1)</f>
        <v>0</v>
      </c>
      <c r="Q14" s="613"/>
      <c r="R14" s="610"/>
      <c r="S14" s="610"/>
    </row>
    <row r="15" spans="2:19" ht="15" thickBot="1" x14ac:dyDescent="0.25">
      <c r="B15" s="599">
        <f t="shared" ref="B15" si="8" xml:space="preserve"> B14 + 1</f>
        <v>7</v>
      </c>
      <c r="C15" s="601" t="s">
        <v>672</v>
      </c>
      <c r="D15" s="625" t="s">
        <v>673</v>
      </c>
      <c r="E15" s="626">
        <v>2</v>
      </c>
      <c r="F15" s="632">
        <f>IF(F14&gt;500, 0, (1-((F14-0)/(500-0)))*25)</f>
        <v>19.25</v>
      </c>
      <c r="L15" s="610"/>
      <c r="M15" s="613"/>
      <c r="N15" s="610"/>
      <c r="O15" s="610"/>
      <c r="P15" s="610"/>
      <c r="Q15" s="613"/>
      <c r="R15" s="610"/>
      <c r="S15" s="610"/>
    </row>
    <row r="16" spans="2:19" ht="15" thickBot="1" x14ac:dyDescent="0.25">
      <c r="D16" s="605"/>
      <c r="E16" s="605"/>
      <c r="F16" s="629"/>
    </row>
    <row r="17" spans="2:12" ht="15" thickBot="1" x14ac:dyDescent="0.25">
      <c r="B17" s="620" t="s">
        <v>149</v>
      </c>
      <c r="C17" s="593" t="s">
        <v>674</v>
      </c>
      <c r="D17" s="605"/>
      <c r="E17" s="605"/>
      <c r="F17" s="629"/>
    </row>
    <row r="18" spans="2:12" ht="15" thickBot="1" x14ac:dyDescent="0.25">
      <c r="B18" s="342">
        <f xml:space="preserve"> B15 + 1</f>
        <v>8</v>
      </c>
      <c r="C18" s="597" t="s">
        <v>675</v>
      </c>
      <c r="D18" s="627" t="s">
        <v>673</v>
      </c>
      <c r="E18" s="628">
        <v>0</v>
      </c>
      <c r="F18" s="633">
        <f>F15+F11</f>
        <v>83.42</v>
      </c>
    </row>
    <row r="19" spans="2:12" x14ac:dyDescent="0.2"/>
    <row r="20" spans="2:12" x14ac:dyDescent="0.2">
      <c r="B20" s="322" t="s">
        <v>101</v>
      </c>
      <c r="C20" s="322"/>
    </row>
    <row r="21" spans="2:12" x14ac:dyDescent="0.2">
      <c r="B21" s="146"/>
      <c r="C21" s="146"/>
    </row>
    <row r="22" spans="2:12" x14ac:dyDescent="0.2">
      <c r="B22" s="29"/>
      <c r="C22" s="148" t="s">
        <v>102</v>
      </c>
    </row>
    <row r="23" spans="2:12" x14ac:dyDescent="0.2">
      <c r="B23" s="146"/>
      <c r="C23" s="147"/>
    </row>
    <row r="24" spans="2:12" x14ac:dyDescent="0.2">
      <c r="B24" s="149"/>
      <c r="C24" s="148" t="s">
        <v>103</v>
      </c>
    </row>
    <row r="25" spans="2:12" x14ac:dyDescent="0.2">
      <c r="B25" s="150"/>
      <c r="C25" s="148"/>
    </row>
    <row r="26" spans="2:12" x14ac:dyDescent="0.2">
      <c r="B26" s="151"/>
      <c r="C26" s="148" t="s">
        <v>104</v>
      </c>
    </row>
    <row r="27" spans="2:12" x14ac:dyDescent="0.2"/>
    <row r="28" spans="2:12" ht="15" thickBot="1" x14ac:dyDescent="0.25"/>
    <row r="29" spans="2:12" ht="16.5" thickBot="1" x14ac:dyDescent="0.25">
      <c r="B29" s="152" t="str">
        <f ca="1" xml:space="preserve"> RIGHT(CELL("filename", $A$1), LEN(CELL("filename", $A$1)) - SEARCH("]", CELL("filename", $A$1)))&amp;" - Column definitions"</f>
        <v>3D - Column definitions</v>
      </c>
      <c r="C29" s="153"/>
      <c r="D29" s="154"/>
      <c r="E29" s="154"/>
      <c r="F29" s="260"/>
    </row>
    <row r="30" spans="2:12" ht="15" thickBot="1" x14ac:dyDescent="0.25">
      <c r="B30" s="87"/>
      <c r="C30" s="161"/>
      <c r="D30" s="87"/>
      <c r="E30" s="87"/>
      <c r="F30" s="87"/>
    </row>
    <row r="31" spans="2:12" ht="15" thickBot="1" x14ac:dyDescent="0.25">
      <c r="B31" s="862" t="s">
        <v>105</v>
      </c>
      <c r="C31" s="860" t="s">
        <v>106</v>
      </c>
      <c r="D31" s="325"/>
      <c r="E31" s="325"/>
      <c r="F31" s="602"/>
      <c r="L31" s="97" t="s">
        <v>107</v>
      </c>
    </row>
    <row r="32" spans="2:12" x14ac:dyDescent="0.2">
      <c r="B32" s="603">
        <v>1</v>
      </c>
      <c r="C32" s="1023" t="s">
        <v>676</v>
      </c>
      <c r="D32" s="1024"/>
      <c r="E32" s="1024"/>
      <c r="F32" s="1025"/>
      <c r="L32" s="722">
        <v>1</v>
      </c>
    </row>
    <row r="33" spans="2:12" x14ac:dyDescent="0.2">
      <c r="B33" s="603">
        <v>2</v>
      </c>
      <c r="C33" s="1026" t="s">
        <v>677</v>
      </c>
      <c r="D33" s="1006"/>
      <c r="E33" s="1006"/>
      <c r="F33" s="1007"/>
      <c r="L33" s="722">
        <v>1</v>
      </c>
    </row>
    <row r="34" spans="2:12" x14ac:dyDescent="0.2">
      <c r="B34" s="603">
        <v>3</v>
      </c>
      <c r="C34" s="1026" t="s">
        <v>678</v>
      </c>
      <c r="D34" s="1006"/>
      <c r="E34" s="1006"/>
      <c r="F34" s="1007"/>
      <c r="L34" s="722">
        <v>1</v>
      </c>
    </row>
    <row r="35" spans="2:12" ht="14.25" customHeight="1" x14ac:dyDescent="0.2">
      <c r="B35" s="603">
        <v>4</v>
      </c>
      <c r="C35" s="1026" t="s">
        <v>679</v>
      </c>
      <c r="D35" s="1006"/>
      <c r="E35" s="1006"/>
      <c r="F35" s="1007"/>
      <c r="L35" s="722">
        <v>1</v>
      </c>
    </row>
    <row r="36" spans="2:12" ht="112.5" customHeight="1" x14ac:dyDescent="0.2">
      <c r="B36" s="603">
        <v>5</v>
      </c>
      <c r="C36" s="1017" t="s">
        <v>680</v>
      </c>
      <c r="D36" s="1018"/>
      <c r="E36" s="1018"/>
      <c r="F36" s="1019"/>
      <c r="K36" s="619"/>
      <c r="L36" s="719" t="s">
        <v>285</v>
      </c>
    </row>
    <row r="37" spans="2:12" ht="42.75" customHeight="1" x14ac:dyDescent="0.2">
      <c r="B37" s="603">
        <v>6</v>
      </c>
      <c r="C37" s="1017" t="s">
        <v>681</v>
      </c>
      <c r="D37" s="1018"/>
      <c r="E37" s="1018"/>
      <c r="F37" s="1019"/>
      <c r="K37" s="619"/>
      <c r="L37" s="719" t="s">
        <v>118</v>
      </c>
    </row>
    <row r="38" spans="2:12" ht="90.75" customHeight="1" x14ac:dyDescent="0.2">
      <c r="B38" s="603">
        <v>7</v>
      </c>
      <c r="C38" s="1017" t="s">
        <v>682</v>
      </c>
      <c r="D38" s="1018"/>
      <c r="E38" s="1018"/>
      <c r="F38" s="1019"/>
      <c r="K38" s="619"/>
      <c r="L38" s="719" t="s">
        <v>285</v>
      </c>
    </row>
    <row r="39" spans="2:12" ht="15" thickBot="1" x14ac:dyDescent="0.25">
      <c r="B39" s="604">
        <v>8</v>
      </c>
      <c r="C39" s="1020" t="s">
        <v>683</v>
      </c>
      <c r="D39" s="1021"/>
      <c r="E39" s="1021"/>
      <c r="F39" s="1022"/>
      <c r="L39" s="722">
        <v>1</v>
      </c>
    </row>
    <row r="40" spans="2:12" x14ac:dyDescent="0.2"/>
  </sheetData>
  <sheetProtection algorithmName="SHA-512" hashValue="PnPu3RU+vIswnrDcnWEUSmdH/umueiEwrHm56887W5kf0GxxhYbJrF4XkoSvwz9A5sJqOnP68XwLO/dFiOkAjA==" saltValue="akqhUpYhZpylKUKUmwcltw==" spinCount="100000" sheet="1" objects="1" scenarios="1"/>
  <mergeCells count="8">
    <mergeCell ref="C37:F37"/>
    <mergeCell ref="C38:F38"/>
    <mergeCell ref="C39:F39"/>
    <mergeCell ref="C32:F32"/>
    <mergeCell ref="C33:F33"/>
    <mergeCell ref="C34:F34"/>
    <mergeCell ref="C35:F35"/>
    <mergeCell ref="C36:F36"/>
  </mergeCells>
  <conditionalFormatting sqref="H7:I11">
    <cfRule type="cellIs" dxfId="87" priority="1" operator="equal">
      <formula>0</formula>
    </cfRule>
  </conditionalFormatting>
  <conditionalFormatting sqref="H14:I14">
    <cfRule type="cellIs" dxfId="86" priority="4" operator="equal">
      <formula>0</formula>
    </cfRule>
  </conditionalFormatting>
  <printOptions horizontalCentered="1"/>
  <pageMargins left="0.39370078740157483" right="0.39370078740157483" top="0.78740157480314965" bottom="0.78740157480314965" header="0.31496062992125984" footer="0.31496062992125984"/>
  <pageSetup paperSize="9" scale="63" orientation="portrait" r:id="rId1"/>
  <headerFooter>
    <oddHeader>&amp;L&amp;9&amp;K857362Page &amp;P of &amp;N&amp;C&amp;9 &amp;K8573622017 annual performance report tables (May 2017) &amp;R&amp;9&amp;G</oddHeader>
    <oddFooter>&amp;L&amp;9&amp;K857362&amp;A&amp;R&amp;9&amp;K857362Printed: &amp;D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3479"/>
    <pageSetUpPr fitToPage="1"/>
  </sheetPr>
  <dimension ref="H1:H35"/>
  <sheetViews>
    <sheetView showGridLines="0" topLeftCell="XFD1048576" workbookViewId="0">
      <selection sqref="A1:C1"/>
    </sheetView>
  </sheetViews>
  <sheetFormatPr defaultColWidth="0" defaultRowHeight="14.1" customHeight="1" zeroHeight="1" x14ac:dyDescent="0.2"/>
  <cols>
    <col min="1" max="7" width="8.625" hidden="1" customWidth="1"/>
    <col min="8" max="8" width="8.75" hidden="1" customWidth="1"/>
    <col min="9" max="16384" width="8.625" hidden="1"/>
  </cols>
  <sheetData>
    <row r="1" ht="14.25" hidden="1" x14ac:dyDescent="0.2"/>
    <row r="35" spans="8:8" ht="14.1" hidden="1" customHeight="1" x14ac:dyDescent="0.2">
      <c r="H35" t="s">
        <v>70</v>
      </c>
    </row>
  </sheetData>
  <sheetProtection algorithmName="SHA-512" hashValue="Nzd2K9nCm1SV5MmF0z4S/bJ1mLUK3VLtEAPn8cZacifPaC/gQF2/3wS6VxZKTApJxr63+UR4fWg6Jp7tFzC9xQ==" saltValue="PWQONDIB84G1cP7bcB1KxQ==" spinCount="100000" sheet="1" objects="1" scenarios="1"/>
  <printOptions horizontalCentered="1"/>
  <pageMargins left="0.39370078740157483" right="0.39370078740157483" top="0.78740157480314965" bottom="0.78740157480314965" header="0.31496062992125984" footer="0.31496062992125984"/>
  <pageSetup paperSize="9"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P53"/>
  <sheetViews>
    <sheetView showGridLines="0" workbookViewId="0">
      <selection activeCell="G17" sqref="G17"/>
    </sheetView>
  </sheetViews>
  <sheetFormatPr defaultColWidth="0" defaultRowHeight="14.25" zeroHeight="1" x14ac:dyDescent="0.2"/>
  <cols>
    <col min="1" max="1" width="2.25" style="87" customWidth="1"/>
    <col min="2" max="2" width="4.125" style="87" customWidth="1"/>
    <col min="3" max="3" width="45.75" style="87" customWidth="1"/>
    <col min="4" max="5" width="5.625" style="87" customWidth="1"/>
    <col min="6" max="7" width="11.125" style="87" customWidth="1"/>
    <col min="8" max="8" width="6.625" style="83" customWidth="1"/>
    <col min="9" max="9" width="18.75" style="83" bestFit="1" customWidth="1"/>
    <col min="10" max="10" width="1.625" style="83" customWidth="1"/>
    <col min="11" max="11" width="1.625" style="84" hidden="1" customWidth="1"/>
    <col min="12" max="13" width="8.625" style="83" hidden="1" customWidth="1"/>
    <col min="14" max="14" width="1.625" style="84" hidden="1" customWidth="1"/>
    <col min="15" max="15" width="8.75" style="83" hidden="1" customWidth="1"/>
    <col min="16" max="16" width="8.75" style="87" hidden="1" customWidth="1"/>
    <col min="17" max="16384" width="8" style="87" hidden="1"/>
  </cols>
  <sheetData>
    <row r="1" spans="2:13" ht="20.25" x14ac:dyDescent="0.2">
      <c r="B1" s="79" t="s">
        <v>684</v>
      </c>
      <c r="C1" s="79"/>
      <c r="D1" s="79"/>
      <c r="E1" s="79"/>
      <c r="F1" s="79"/>
      <c r="G1" s="79" t="str">
        <f>Validation!B3</f>
        <v>Yorkshire Water</v>
      </c>
      <c r="H1" s="79"/>
      <c r="I1" s="82" t="s">
        <v>72</v>
      </c>
    </row>
    <row r="2" spans="2:13" ht="15" thickBot="1" x14ac:dyDescent="0.25">
      <c r="B2" s="86" t="s">
        <v>55</v>
      </c>
      <c r="C2" s="268"/>
    </row>
    <row r="3" spans="2:13" ht="19.149999999999999" customHeight="1" x14ac:dyDescent="0.2">
      <c r="B3" s="1027" t="s">
        <v>73</v>
      </c>
      <c r="C3" s="1028"/>
      <c r="D3" s="922" t="s">
        <v>74</v>
      </c>
      <c r="E3" s="925" t="s">
        <v>75</v>
      </c>
      <c r="F3" s="927" t="s">
        <v>444</v>
      </c>
      <c r="G3" s="928"/>
      <c r="I3" s="894" t="s">
        <v>79</v>
      </c>
    </row>
    <row r="4" spans="2:13" ht="15" thickBot="1" x14ac:dyDescent="0.25">
      <c r="B4" s="1029"/>
      <c r="C4" s="1030"/>
      <c r="D4" s="924"/>
      <c r="E4" s="926"/>
      <c r="F4" s="270" t="s">
        <v>527</v>
      </c>
      <c r="G4" s="271" t="s">
        <v>528</v>
      </c>
      <c r="I4" s="895"/>
    </row>
    <row r="5" spans="2:13" ht="15" thickBot="1" x14ac:dyDescent="0.25"/>
    <row r="6" spans="2:13" ht="15" thickBot="1" x14ac:dyDescent="0.25">
      <c r="B6" s="300" t="s">
        <v>292</v>
      </c>
      <c r="C6" s="301"/>
      <c r="I6" s="135"/>
      <c r="L6" s="896" t="s">
        <v>83</v>
      </c>
      <c r="M6" s="896"/>
    </row>
    <row r="7" spans="2:13" ht="15" thickBot="1" x14ac:dyDescent="0.25">
      <c r="B7" s="845" t="s">
        <v>134</v>
      </c>
      <c r="C7" s="306" t="s">
        <v>296</v>
      </c>
      <c r="I7" s="135"/>
      <c r="L7" s="97" t="s">
        <v>84</v>
      </c>
      <c r="M7" s="132"/>
    </row>
    <row r="8" spans="2:13" x14ac:dyDescent="0.2">
      <c r="B8" s="296">
        <v>1</v>
      </c>
      <c r="C8" s="282" t="s">
        <v>685</v>
      </c>
      <c r="D8" s="283" t="s">
        <v>686</v>
      </c>
      <c r="E8" s="284">
        <v>3</v>
      </c>
      <c r="F8" s="458">
        <v>63.180999999999997</v>
      </c>
      <c r="G8" s="459">
        <v>42.39</v>
      </c>
      <c r="I8" s="28">
        <f t="shared" ref="I8:I9" si="0" xml:space="preserve"> IF( SUM( K8:N8 ) = 0, 0, $L$7 )</f>
        <v>0</v>
      </c>
      <c r="L8" s="105">
        <f xml:space="preserve"> IF( ISNUMBER( F8 ), 0, 1 )</f>
        <v>0</v>
      </c>
      <c r="M8" s="105">
        <f xml:space="preserve"> IF( ISNUMBER( G8 ), 0, 1 )</f>
        <v>0</v>
      </c>
    </row>
    <row r="9" spans="2:13" ht="15" thickBot="1" x14ac:dyDescent="0.25">
      <c r="B9" s="298">
        <v>2</v>
      </c>
      <c r="C9" s="292" t="s">
        <v>687</v>
      </c>
      <c r="D9" s="293" t="s">
        <v>688</v>
      </c>
      <c r="E9" s="294">
        <v>2</v>
      </c>
      <c r="F9" s="514">
        <v>156.66</v>
      </c>
      <c r="G9" s="515">
        <v>108.56</v>
      </c>
      <c r="I9" s="28">
        <f t="shared" si="0"/>
        <v>0</v>
      </c>
      <c r="L9" s="105">
        <f xml:space="preserve"> IF( ISNUMBER( F9 ), 0, 1 )</f>
        <v>0</v>
      </c>
      <c r="M9" s="105">
        <f xml:space="preserve"> IF( ISNUMBER( G9 ), 0, 1 )</f>
        <v>0</v>
      </c>
    </row>
    <row r="10" spans="2:13" x14ac:dyDescent="0.2">
      <c r="B10" s="302"/>
      <c r="C10" s="161"/>
      <c r="D10" s="278"/>
      <c r="E10" s="278"/>
      <c r="F10" s="303"/>
      <c r="G10" s="303"/>
      <c r="I10" s="135"/>
      <c r="L10" s="290"/>
      <c r="M10" s="122"/>
    </row>
    <row r="11" spans="2:13" ht="15" thickBot="1" x14ac:dyDescent="0.25">
      <c r="B11" s="302"/>
      <c r="C11" s="161"/>
      <c r="D11" s="278"/>
      <c r="E11" s="278"/>
      <c r="F11" s="303"/>
      <c r="G11" s="303"/>
      <c r="I11" s="135"/>
      <c r="L11" s="290"/>
      <c r="M11" s="122"/>
    </row>
    <row r="12" spans="2:13" ht="15" thickBot="1" x14ac:dyDescent="0.25">
      <c r="B12" s="302"/>
      <c r="C12" s="161"/>
      <c r="D12" s="278"/>
      <c r="E12" s="278"/>
      <c r="F12" s="304" t="s">
        <v>457</v>
      </c>
      <c r="G12" s="305" t="s">
        <v>458</v>
      </c>
      <c r="I12" s="135"/>
      <c r="L12" s="290"/>
      <c r="M12" s="122"/>
    </row>
    <row r="13" spans="2:13" ht="15" thickBot="1" x14ac:dyDescent="0.25">
      <c r="B13" s="300" t="s">
        <v>293</v>
      </c>
      <c r="C13" s="301"/>
      <c r="D13" s="278"/>
      <c r="E13" s="278"/>
      <c r="F13" s="669"/>
      <c r="G13" s="669"/>
      <c r="I13" s="135"/>
      <c r="L13" s="290"/>
      <c r="M13" s="122"/>
    </row>
    <row r="14" spans="2:13" ht="15" thickBot="1" x14ac:dyDescent="0.25">
      <c r="B14" s="845" t="s">
        <v>143</v>
      </c>
      <c r="C14" s="306" t="s">
        <v>689</v>
      </c>
      <c r="D14" s="280"/>
      <c r="E14" s="280"/>
      <c r="I14" s="135"/>
      <c r="L14" s="290"/>
      <c r="M14" s="122"/>
    </row>
    <row r="15" spans="2:13" x14ac:dyDescent="0.2">
      <c r="B15" s="296">
        <v>3</v>
      </c>
      <c r="C15" s="282" t="s">
        <v>690</v>
      </c>
      <c r="D15" s="307" t="s">
        <v>691</v>
      </c>
      <c r="E15" s="284">
        <v>3</v>
      </c>
      <c r="F15" s="460">
        <v>1.5489999999999999</v>
      </c>
      <c r="G15" s="461">
        <v>0</v>
      </c>
      <c r="I15" s="28">
        <f t="shared" ref="I15:I16" si="1" xml:space="preserve"> IF( SUM( K15:N15 ) = 0, 0, $L$7 )</f>
        <v>0</v>
      </c>
      <c r="L15" s="105">
        <f t="shared" ref="L15:L17" si="2" xml:space="preserve"> IF( ISNUMBER( F15 ), 0, 1 )</f>
        <v>0</v>
      </c>
      <c r="M15" s="105">
        <f>IF(Validation!$H$3=1,0,IF(ISNUMBER(G15),0,1))</f>
        <v>0</v>
      </c>
    </row>
    <row r="16" spans="2:13" ht="15" thickBot="1" x14ac:dyDescent="0.25">
      <c r="B16" s="297">
        <v>4</v>
      </c>
      <c r="C16" s="286" t="s">
        <v>692</v>
      </c>
      <c r="D16" s="308" t="s">
        <v>691</v>
      </c>
      <c r="E16" s="288">
        <v>3</v>
      </c>
      <c r="F16" s="462">
        <v>52.973999999999997</v>
      </c>
      <c r="G16" s="463">
        <v>0</v>
      </c>
      <c r="I16" s="28">
        <f t="shared" si="1"/>
        <v>0</v>
      </c>
      <c r="L16" s="105">
        <f t="shared" si="2"/>
        <v>0</v>
      </c>
      <c r="M16" s="105">
        <f>IF(Validation!$H$3=1,0,IF(ISNUMBER(G16),0,1))</f>
        <v>0</v>
      </c>
    </row>
    <row r="17" spans="1:15" ht="15" thickBot="1" x14ac:dyDescent="0.25">
      <c r="B17" s="298">
        <v>5</v>
      </c>
      <c r="C17" s="292" t="s">
        <v>693</v>
      </c>
      <c r="D17" s="293" t="s">
        <v>691</v>
      </c>
      <c r="E17" s="294">
        <v>3</v>
      </c>
      <c r="F17" s="841">
        <v>1261.32</v>
      </c>
      <c r="G17" s="169"/>
      <c r="I17" s="28">
        <f xml:space="preserve"> IF( SUM( K17:N17 ) = 0, 0, $L$7 )</f>
        <v>0</v>
      </c>
      <c r="L17" s="105">
        <f t="shared" si="2"/>
        <v>0</v>
      </c>
      <c r="M17" s="122"/>
    </row>
    <row r="18" spans="1:15" s="83" customFormat="1" x14ac:dyDescent="0.2">
      <c r="D18" s="97"/>
      <c r="E18" s="97"/>
      <c r="G18" s="169"/>
      <c r="I18" s="135"/>
      <c r="K18" s="84"/>
      <c r="L18" s="290"/>
      <c r="M18" s="122"/>
      <c r="N18" s="84"/>
    </row>
    <row r="19" spans="1:15" s="169" customFormat="1" x14ac:dyDescent="0.2">
      <c r="B19" s="897" t="s">
        <v>101</v>
      </c>
      <c r="C19" s="897"/>
      <c r="H19" s="83"/>
      <c r="I19" s="135"/>
      <c r="J19" s="83"/>
      <c r="K19" s="84"/>
      <c r="L19" s="290"/>
      <c r="M19" s="122"/>
      <c r="N19" s="84"/>
      <c r="O19" s="83"/>
    </row>
    <row r="20" spans="1:15" s="169" customFormat="1" x14ac:dyDescent="0.2">
      <c r="B20" s="146"/>
      <c r="C20" s="147"/>
      <c r="H20" s="129"/>
      <c r="I20" s="135"/>
      <c r="J20" s="129"/>
      <c r="K20" s="133"/>
      <c r="L20" s="290"/>
      <c r="M20" s="122"/>
      <c r="N20" s="133"/>
      <c r="O20" s="122"/>
    </row>
    <row r="21" spans="1:15" s="169" customFormat="1" ht="12" x14ac:dyDescent="0.2">
      <c r="B21" s="29"/>
      <c r="C21" s="148" t="s">
        <v>102</v>
      </c>
      <c r="H21" s="135"/>
      <c r="I21" s="135"/>
      <c r="J21" s="135"/>
      <c r="K21" s="130"/>
      <c r="L21" s="212"/>
      <c r="N21" s="130"/>
    </row>
    <row r="22" spans="1:15" s="169" customFormat="1" ht="12" x14ac:dyDescent="0.2">
      <c r="B22" s="146"/>
      <c r="C22" s="147"/>
      <c r="H22" s="135"/>
      <c r="I22" s="135"/>
      <c r="J22" s="135"/>
      <c r="K22" s="130"/>
      <c r="L22" s="212"/>
      <c r="N22" s="130"/>
    </row>
    <row r="23" spans="1:15" s="169" customFormat="1" ht="12" x14ac:dyDescent="0.2">
      <c r="B23" s="149"/>
      <c r="C23" s="148" t="s">
        <v>103</v>
      </c>
      <c r="H23" s="135"/>
      <c r="I23" s="135"/>
      <c r="J23" s="135"/>
      <c r="K23" s="130"/>
      <c r="L23" s="212"/>
      <c r="N23" s="130"/>
    </row>
    <row r="24" spans="1:15" s="169" customFormat="1" ht="12" x14ac:dyDescent="0.2">
      <c r="B24" s="150"/>
      <c r="C24" s="148"/>
      <c r="H24" s="135"/>
      <c r="I24" s="135"/>
      <c r="J24" s="135"/>
      <c r="K24" s="130"/>
      <c r="L24" s="212"/>
      <c r="N24" s="130"/>
    </row>
    <row r="25" spans="1:15" s="169" customFormat="1" ht="12" x14ac:dyDescent="0.2">
      <c r="B25" s="151"/>
      <c r="C25" s="148" t="s">
        <v>104</v>
      </c>
      <c r="H25" s="135"/>
      <c r="I25" s="135"/>
      <c r="J25" s="135"/>
      <c r="K25" s="130"/>
      <c r="L25" s="212"/>
      <c r="N25" s="130"/>
    </row>
    <row r="26" spans="1:15" s="186" customFormat="1" ht="12.75" x14ac:dyDescent="0.2">
      <c r="A26" s="156"/>
      <c r="B26" s="156"/>
      <c r="C26" s="157"/>
      <c r="H26" s="135"/>
      <c r="I26" s="135"/>
      <c r="J26" s="135"/>
      <c r="K26" s="130"/>
      <c r="L26" s="212"/>
      <c r="M26" s="169"/>
      <c r="N26" s="130"/>
      <c r="O26" s="169"/>
    </row>
    <row r="27" spans="1:15" s="122" customFormat="1" ht="15" thickBot="1" x14ac:dyDescent="0.25">
      <c r="C27" s="158"/>
      <c r="H27" s="135"/>
      <c r="I27" s="135"/>
      <c r="J27" s="135"/>
      <c r="K27" s="130"/>
      <c r="L27" s="212"/>
      <c r="M27" s="169"/>
      <c r="N27" s="130"/>
      <c r="O27" s="169"/>
    </row>
    <row r="28" spans="1:15" s="122" customFormat="1" ht="16.5" thickBot="1" x14ac:dyDescent="0.25">
      <c r="B28" s="152" t="str">
        <f ca="1" xml:space="preserve"> RIGHT(CELL("filename", $A$1), LEN(CELL("filename", $A$1)) - SEARCH("]", CELL("filename", $A$1)))&amp;" - Line definitions"</f>
        <v>4A - Line definitions</v>
      </c>
      <c r="C28" s="153"/>
      <c r="D28" s="154"/>
      <c r="E28" s="154"/>
      <c r="F28" s="154"/>
      <c r="G28" s="260"/>
      <c r="H28" s="137"/>
      <c r="I28" s="135"/>
      <c r="J28" s="135"/>
      <c r="K28" s="130"/>
      <c r="L28" s="309"/>
      <c r="M28" s="186"/>
      <c r="N28" s="130"/>
      <c r="O28" s="186"/>
    </row>
    <row r="29" spans="1:15" s="122" customFormat="1" ht="15" thickBot="1" x14ac:dyDescent="0.25">
      <c r="B29" s="87"/>
      <c r="C29" s="161"/>
      <c r="D29" s="87"/>
      <c r="E29" s="87"/>
      <c r="F29" s="87"/>
      <c r="H29" s="137"/>
      <c r="I29" s="135"/>
      <c r="J29" s="135"/>
      <c r="K29" s="130"/>
      <c r="L29" s="309"/>
      <c r="M29" s="186"/>
      <c r="N29" s="130"/>
      <c r="O29" s="186"/>
    </row>
    <row r="30" spans="1:15" s="186" customFormat="1" ht="15" thickBot="1" x14ac:dyDescent="0.25">
      <c r="B30" s="295" t="s">
        <v>105</v>
      </c>
      <c r="C30" s="854" t="s">
        <v>106</v>
      </c>
      <c r="D30" s="855"/>
      <c r="E30" s="855"/>
      <c r="F30" s="855"/>
      <c r="G30" s="856"/>
      <c r="H30" s="137"/>
      <c r="I30" s="131"/>
      <c r="J30" s="129"/>
      <c r="K30" s="133"/>
      <c r="L30" s="97" t="s">
        <v>107</v>
      </c>
      <c r="M30" s="122"/>
      <c r="N30" s="133"/>
      <c r="O30" s="122"/>
    </row>
    <row r="31" spans="1:15" s="122" customFormat="1" ht="51" x14ac:dyDescent="0.2">
      <c r="B31" s="297">
        <v>1</v>
      </c>
      <c r="C31" s="935" t="s">
        <v>694</v>
      </c>
      <c r="D31" s="936"/>
      <c r="E31" s="936"/>
      <c r="F31" s="936"/>
      <c r="G31" s="937"/>
      <c r="H31" s="137"/>
      <c r="I31" s="131"/>
      <c r="J31" s="129"/>
      <c r="K31" s="133"/>
      <c r="L31" s="216" t="s">
        <v>118</v>
      </c>
      <c r="N31" s="133"/>
    </row>
    <row r="32" spans="1:15" s="122" customFormat="1" ht="178.5" x14ac:dyDescent="0.2">
      <c r="B32" s="297">
        <v>2</v>
      </c>
      <c r="C32" s="935" t="s">
        <v>695</v>
      </c>
      <c r="D32" s="936"/>
      <c r="E32" s="936"/>
      <c r="F32" s="936"/>
      <c r="G32" s="937"/>
      <c r="H32" s="137"/>
      <c r="I32" s="131"/>
      <c r="J32" s="129"/>
      <c r="K32" s="133"/>
      <c r="L32" s="168" t="s">
        <v>402</v>
      </c>
      <c r="M32" s="131"/>
      <c r="N32" s="133"/>
      <c r="O32" s="131"/>
    </row>
    <row r="33" spans="2:15" s="122" customFormat="1" ht="178.5" x14ac:dyDescent="0.2">
      <c r="B33" s="297">
        <v>2</v>
      </c>
      <c r="C33" s="935" t="s">
        <v>696</v>
      </c>
      <c r="D33" s="936"/>
      <c r="E33" s="936"/>
      <c r="F33" s="936"/>
      <c r="G33" s="937"/>
      <c r="H33" s="137"/>
      <c r="I33" s="131"/>
      <c r="J33" s="129"/>
      <c r="K33" s="133"/>
      <c r="L33" s="168" t="s">
        <v>402</v>
      </c>
      <c r="M33" s="131"/>
      <c r="N33" s="133"/>
      <c r="O33" s="131"/>
    </row>
    <row r="34" spans="2:15" s="122" customFormat="1" x14ac:dyDescent="0.2">
      <c r="B34" s="297">
        <v>3</v>
      </c>
      <c r="C34" s="935" t="s">
        <v>697</v>
      </c>
      <c r="D34" s="936"/>
      <c r="E34" s="936"/>
      <c r="F34" s="936"/>
      <c r="G34" s="937"/>
      <c r="H34" s="137"/>
      <c r="I34" s="131"/>
      <c r="J34" s="129"/>
      <c r="K34" s="133"/>
      <c r="L34" s="215">
        <v>1</v>
      </c>
      <c r="M34" s="131"/>
      <c r="N34" s="133"/>
      <c r="O34" s="131"/>
    </row>
    <row r="35" spans="2:15" ht="25.5" x14ac:dyDescent="0.2">
      <c r="B35" s="297">
        <v>4</v>
      </c>
      <c r="C35" s="935" t="s">
        <v>698</v>
      </c>
      <c r="D35" s="936"/>
      <c r="E35" s="936"/>
      <c r="F35" s="936"/>
      <c r="G35" s="937"/>
      <c r="H35" s="137"/>
      <c r="L35" s="168" t="s">
        <v>112</v>
      </c>
    </row>
    <row r="36" spans="2:15" ht="26.25" thickBot="1" x14ac:dyDescent="0.25">
      <c r="B36" s="298">
        <v>5</v>
      </c>
      <c r="C36" s="943" t="s">
        <v>699</v>
      </c>
      <c r="D36" s="944"/>
      <c r="E36" s="944"/>
      <c r="F36" s="944"/>
      <c r="G36" s="945"/>
      <c r="H36" s="137"/>
      <c r="L36" s="168" t="s">
        <v>112</v>
      </c>
    </row>
    <row r="37" spans="2:15" x14ac:dyDescent="0.2">
      <c r="H37" s="137"/>
    </row>
    <row r="38" spans="2:15" x14ac:dyDescent="0.2">
      <c r="H38" s="137"/>
    </row>
    <row r="39" spans="2:15" hidden="1" x14ac:dyDescent="0.2">
      <c r="H39" s="137"/>
    </row>
    <row r="40" spans="2:15" hidden="1" x14ac:dyDescent="0.2">
      <c r="H40" s="137"/>
    </row>
    <row r="41" spans="2:15" hidden="1" x14ac:dyDescent="0.2">
      <c r="H41" s="137"/>
    </row>
    <row r="42" spans="2:15" hidden="1" x14ac:dyDescent="0.2">
      <c r="H42" s="137"/>
    </row>
    <row r="43" spans="2:15" hidden="1" x14ac:dyDescent="0.2">
      <c r="H43" s="137"/>
    </row>
    <row r="44" spans="2:15" hidden="1" x14ac:dyDescent="0.2">
      <c r="H44" s="137"/>
    </row>
    <row r="45" spans="2:15" hidden="1" x14ac:dyDescent="0.2">
      <c r="H45" s="137"/>
    </row>
    <row r="46" spans="2:15" hidden="1" x14ac:dyDescent="0.2">
      <c r="H46" s="137"/>
    </row>
    <row r="47" spans="2:15" hidden="1" x14ac:dyDescent="0.2">
      <c r="H47" s="137"/>
    </row>
    <row r="48" spans="2:15" hidden="1" x14ac:dyDescent="0.2">
      <c r="H48" s="137"/>
    </row>
    <row r="49" spans="8:8" hidden="1" x14ac:dyDescent="0.2">
      <c r="H49" s="137"/>
    </row>
    <row r="50" spans="8:8" hidden="1" x14ac:dyDescent="0.2">
      <c r="H50" s="137"/>
    </row>
    <row r="51" spans="8:8" hidden="1" x14ac:dyDescent="0.2">
      <c r="H51" s="137"/>
    </row>
    <row r="52" spans="8:8" hidden="1" x14ac:dyDescent="0.2">
      <c r="H52" s="137"/>
    </row>
    <row r="53" spans="8:8" hidden="1" x14ac:dyDescent="0.2">
      <c r="H53" s="137"/>
    </row>
  </sheetData>
  <sheetProtection algorithmName="SHA-512" hashValue="mOTvZqe76nyPV3gsD1eyqupXqEJKmJllgbHePeaeuIMkzk6P+t97ix6GF3DWCvPSP6UAjod2g5q/MaU5XNU2ew==" saltValue="IjzZEprQRydLCffgfqzEXg==" spinCount="100000" sheet="1" objects="1" scenarios="1"/>
  <mergeCells count="13">
    <mergeCell ref="C36:G36"/>
    <mergeCell ref="L6:M6"/>
    <mergeCell ref="B19:C19"/>
    <mergeCell ref="C31:G31"/>
    <mergeCell ref="C32:G32"/>
    <mergeCell ref="C33:G33"/>
    <mergeCell ref="C34:G34"/>
    <mergeCell ref="C35:G35"/>
    <mergeCell ref="I3:I4"/>
    <mergeCell ref="B3:C4"/>
    <mergeCell ref="D3:D4"/>
    <mergeCell ref="E3:E4"/>
    <mergeCell ref="F3:G3"/>
  </mergeCells>
  <conditionalFormatting sqref="I8:I9">
    <cfRule type="cellIs" dxfId="84" priority="3" operator="equal">
      <formula>0</formula>
    </cfRule>
  </conditionalFormatting>
  <conditionalFormatting sqref="I15:I17">
    <cfRule type="cellIs" dxfId="83" priority="2" operator="equal">
      <formula>0</formula>
    </cfRule>
  </conditionalFormatting>
  <printOptions horizontalCentered="1"/>
  <pageMargins left="0.39370078740157483" right="0.39370078740157483" top="0.78740157480314965" bottom="0.78740157480314965" header="0.31496062992125984" footer="0.31496062992125984"/>
  <pageSetup paperSize="9" scale="77"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9" id="{069CDA95-99D4-460C-855E-4E01C39F5461}">
            <xm:f>Validation!$H$3=1</xm:f>
            <x14:dxf>
              <fill>
                <patternFill>
                  <bgColor rgb="FFE0DCD8"/>
                </patternFill>
              </fill>
            </x14:dxf>
          </x14:cfRule>
          <xm:sqref>G15:G16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70"/>
  <sheetViews>
    <sheetView showGridLines="0" workbookViewId="0">
      <selection activeCell="I21" sqref="I21"/>
    </sheetView>
  </sheetViews>
  <sheetFormatPr defaultColWidth="0" defaultRowHeight="14.25" zeroHeight="1" x14ac:dyDescent="0.2"/>
  <cols>
    <col min="1" max="1" width="2.25" style="87" customWidth="1"/>
    <col min="2" max="2" width="4.125" style="87" customWidth="1"/>
    <col min="3" max="3" width="45.75" style="87" bestFit="1" customWidth="1"/>
    <col min="4" max="5" width="5.625" style="87" customWidth="1"/>
    <col min="6" max="9" width="11.125" style="87" customWidth="1"/>
    <col min="10" max="10" width="2.625" style="83" customWidth="1"/>
    <col min="11" max="11" width="18.75" style="83" bestFit="1" customWidth="1"/>
    <col min="12" max="12" width="1.625" style="83" customWidth="1"/>
    <col min="13" max="13" width="1.625" style="84" hidden="1" customWidth="1"/>
    <col min="14" max="17" width="8.625" style="83" hidden="1" customWidth="1"/>
    <col min="18" max="18" width="1.625" style="84" hidden="1" customWidth="1"/>
    <col min="19" max="19" width="8.75" style="83" hidden="1" customWidth="1"/>
    <col min="20" max="16384" width="8" style="87" hidden="1"/>
  </cols>
  <sheetData>
    <row r="1" spans="2:17" ht="20.25" x14ac:dyDescent="0.2">
      <c r="B1" s="79" t="s">
        <v>700</v>
      </c>
      <c r="C1" s="79"/>
      <c r="D1" s="79"/>
      <c r="E1" s="79"/>
      <c r="F1" s="79"/>
      <c r="G1" s="79"/>
      <c r="H1" s="79"/>
      <c r="I1" s="81" t="str">
        <f>Validation!B3</f>
        <v>Yorkshire Water</v>
      </c>
      <c r="J1" s="79"/>
      <c r="K1" s="82" t="s">
        <v>72</v>
      </c>
    </row>
    <row r="2" spans="2:17" ht="15" thickBot="1" x14ac:dyDescent="0.25">
      <c r="B2" s="86" t="s">
        <v>55</v>
      </c>
      <c r="C2" s="268"/>
      <c r="I2" s="269"/>
    </row>
    <row r="3" spans="2:17" ht="19.149999999999999" customHeight="1" thickBot="1" x14ac:dyDescent="0.25">
      <c r="B3" s="921" t="s">
        <v>73</v>
      </c>
      <c r="C3" s="922"/>
      <c r="D3" s="922" t="s">
        <v>74</v>
      </c>
      <c r="E3" s="1031" t="s">
        <v>75</v>
      </c>
      <c r="F3" s="927" t="s">
        <v>444</v>
      </c>
      <c r="G3" s="928"/>
      <c r="H3" s="927" t="s">
        <v>701</v>
      </c>
      <c r="I3" s="928"/>
      <c r="K3" s="196" t="s">
        <v>79</v>
      </c>
      <c r="N3" s="896" t="s">
        <v>83</v>
      </c>
      <c r="O3" s="896"/>
      <c r="P3" s="842"/>
      <c r="Q3" s="842"/>
    </row>
    <row r="4" spans="2:17" ht="15" thickBot="1" x14ac:dyDescent="0.25">
      <c r="B4" s="923"/>
      <c r="C4" s="924"/>
      <c r="D4" s="924"/>
      <c r="E4" s="1032"/>
      <c r="F4" s="270" t="s">
        <v>457</v>
      </c>
      <c r="G4" s="271" t="s">
        <v>458</v>
      </c>
      <c r="H4" s="270" t="s">
        <v>457</v>
      </c>
      <c r="I4" s="271" t="s">
        <v>458</v>
      </c>
      <c r="N4" s="97" t="s">
        <v>84</v>
      </c>
      <c r="O4" s="132"/>
      <c r="P4" s="132"/>
      <c r="Q4" s="132"/>
    </row>
    <row r="5" spans="2:17" ht="15" thickBot="1" x14ac:dyDescent="0.25"/>
    <row r="6" spans="2:17" ht="15" thickBot="1" x14ac:dyDescent="0.25">
      <c r="B6" s="272" t="s">
        <v>134</v>
      </c>
      <c r="C6" s="30" t="s">
        <v>702</v>
      </c>
    </row>
    <row r="7" spans="2:17" ht="15" thickBot="1" x14ac:dyDescent="0.25">
      <c r="B7" s="273">
        <v>1</v>
      </c>
      <c r="C7" s="274" t="s">
        <v>702</v>
      </c>
      <c r="D7" s="275" t="s">
        <v>86</v>
      </c>
      <c r="E7" s="276">
        <v>3</v>
      </c>
      <c r="F7" s="142">
        <f xml:space="preserve"> '2B'!F33 + '2B'!G33</f>
        <v>328.92353147038801</v>
      </c>
      <c r="G7" s="144">
        <f xml:space="preserve"> '2B'!H33 + '2B'!I33</f>
        <v>417.54567248434546</v>
      </c>
      <c r="H7" s="522">
        <f>279.795+F7</f>
        <v>608.71853147038803</v>
      </c>
      <c r="I7" s="524">
        <f>320.918+G7</f>
        <v>738.46367248434547</v>
      </c>
      <c r="K7" s="28">
        <f xml:space="preserve"> IF( SUM( M7:R7 ) = 0, 0, $N$4 )</f>
        <v>0</v>
      </c>
      <c r="P7" s="105">
        <f xml:space="preserve"> IF( ISNUMBER( H7 ), 0, 1 )</f>
        <v>0</v>
      </c>
      <c r="Q7" s="105">
        <f>IF(Validation!$H$3=1,0,IF(ISNUMBER(I7),0,1))</f>
        <v>0</v>
      </c>
    </row>
    <row r="8" spans="2:17" ht="15" thickBot="1" x14ac:dyDescent="0.25">
      <c r="B8" s="161"/>
      <c r="C8" s="161"/>
      <c r="D8" s="277"/>
      <c r="E8" s="278"/>
      <c r="F8" s="161"/>
      <c r="G8" s="279"/>
      <c r="H8" s="279"/>
      <c r="I8" s="279"/>
    </row>
    <row r="9" spans="2:17" ht="15" thickBot="1" x14ac:dyDescent="0.25">
      <c r="B9" s="272" t="s">
        <v>143</v>
      </c>
      <c r="C9" s="30" t="s">
        <v>703</v>
      </c>
      <c r="D9" s="280"/>
      <c r="E9" s="280"/>
      <c r="F9" s="161"/>
      <c r="G9" s="146"/>
      <c r="H9" s="146"/>
      <c r="I9" s="146"/>
    </row>
    <row r="10" spans="2:17" x14ac:dyDescent="0.2">
      <c r="B10" s="281">
        <v>2</v>
      </c>
      <c r="C10" s="282" t="s">
        <v>704</v>
      </c>
      <c r="D10" s="283" t="s">
        <v>86</v>
      </c>
      <c r="E10" s="284">
        <v>3</v>
      </c>
      <c r="F10" s="40">
        <f>SUM('[6]2B'!F14:G14,'[6]2B'!F23:G23)</f>
        <v>1.7050000000000001</v>
      </c>
      <c r="G10" s="42">
        <f>SUM('[6]2B'!H14:I14,'[6]2B'!H23:I23)</f>
        <v>0</v>
      </c>
      <c r="H10" s="40">
        <f>1.628+F10</f>
        <v>3.3330000000000002</v>
      </c>
      <c r="I10" s="42">
        <f>0.002+G10</f>
        <v>2E-3</v>
      </c>
      <c r="K10" s="28">
        <f xml:space="preserve"> IF( SUM( M10:R10 ) = 0, 0, $N$4 )</f>
        <v>0</v>
      </c>
      <c r="N10" s="105">
        <f xml:space="preserve"> IF( ISNUMBER( F10 ), 0, 1 )</f>
        <v>0</v>
      </c>
      <c r="O10" s="105">
        <f>IF(Validation!$H$3=1,0,IF(ISNUMBER(G10),0,1))</f>
        <v>0</v>
      </c>
      <c r="P10" s="105">
        <f xml:space="preserve"> IF( ISNUMBER( H10 ), 0, 1 )</f>
        <v>0</v>
      </c>
      <c r="Q10" s="105">
        <f>IF(Validation!$H$3=1,0,IF(ISNUMBER(I10),0,1))</f>
        <v>0</v>
      </c>
    </row>
    <row r="11" spans="2:17" x14ac:dyDescent="0.2">
      <c r="B11" s="285">
        <v>3</v>
      </c>
      <c r="C11" s="286" t="s">
        <v>351</v>
      </c>
      <c r="D11" s="287" t="s">
        <v>86</v>
      </c>
      <c r="E11" s="288">
        <v>3</v>
      </c>
      <c r="F11" s="45">
        <f>'[7]2B'!$F$26+'[7]2B'!$G$26</f>
        <v>5.1779999999999999</v>
      </c>
      <c r="G11" s="47">
        <f>'[7]2B'!$H$26+'[7]2B'!$I$26</f>
        <v>6.4819999999999993</v>
      </c>
      <c r="H11" s="45">
        <f>7.509+F11</f>
        <v>12.687000000000001</v>
      </c>
      <c r="I11" s="47">
        <f>9.786+G11</f>
        <v>16.268000000000001</v>
      </c>
      <c r="K11" s="28">
        <f xml:space="preserve"> IF( SUM( M11:R11 ) = 0, 0, $N$4 )</f>
        <v>0</v>
      </c>
      <c r="N11" s="105">
        <f t="shared" ref="N11:N12" si="0" xml:space="preserve"> IF( ISNUMBER( F11 ), 0, 1 )</f>
        <v>0</v>
      </c>
      <c r="O11" s="105">
        <f>IF(Validation!$H$3=1,0,IF(ISNUMBER(G11),0,1))</f>
        <v>0</v>
      </c>
      <c r="P11" s="105">
        <f t="shared" ref="P11:P12" si="1" xml:space="preserve"> IF( ISNUMBER( H11 ), 0, 1 )</f>
        <v>0</v>
      </c>
      <c r="Q11" s="105">
        <f>IF(Validation!$H$3=1,0,IF(ISNUMBER(I11),0,1))</f>
        <v>0</v>
      </c>
    </row>
    <row r="12" spans="2:17" x14ac:dyDescent="0.2">
      <c r="B12" s="285">
        <v>4</v>
      </c>
      <c r="C12" s="286" t="s">
        <v>705</v>
      </c>
      <c r="D12" s="287" t="s">
        <v>86</v>
      </c>
      <c r="E12" s="288">
        <v>3</v>
      </c>
      <c r="F12" s="45">
        <v>0.65300000000000002</v>
      </c>
      <c r="G12" s="47">
        <v>0.88300000000000001</v>
      </c>
      <c r="H12" s="45">
        <f>0.401+F12</f>
        <v>1.054</v>
      </c>
      <c r="I12" s="47">
        <f>0.544+G12</f>
        <v>1.427</v>
      </c>
      <c r="K12" s="28">
        <f xml:space="preserve"> IF( SUM( M12:R12 ) = 0, 0, $N$4 )</f>
        <v>0</v>
      </c>
      <c r="N12" s="105">
        <f t="shared" si="0"/>
        <v>0</v>
      </c>
      <c r="O12" s="105">
        <f>IF(Validation!$H$3=1,0,IF(ISNUMBER(G12),0,1))</f>
        <v>0</v>
      </c>
      <c r="P12" s="105">
        <f t="shared" si="1"/>
        <v>0</v>
      </c>
      <c r="Q12" s="105">
        <f>IF(Validation!$H$3=1,0,IF(ISNUMBER(I12),0,1))</f>
        <v>0</v>
      </c>
    </row>
    <row r="13" spans="2:17" ht="15" thickBot="1" x14ac:dyDescent="0.25">
      <c r="B13" s="291">
        <v>5</v>
      </c>
      <c r="C13" s="292" t="s">
        <v>706</v>
      </c>
      <c r="D13" s="699" t="s">
        <v>86</v>
      </c>
      <c r="E13" s="294">
        <v>3</v>
      </c>
      <c r="F13" s="116">
        <f>SUM(F10:F12)</f>
        <v>7.5359999999999996</v>
      </c>
      <c r="G13" s="118">
        <f t="shared" ref="G13" si="2">SUM(G10:G12)</f>
        <v>7.3649999999999993</v>
      </c>
      <c r="H13" s="116">
        <f>SUM(H10:H12)</f>
        <v>17.074000000000002</v>
      </c>
      <c r="I13" s="118">
        <f t="shared" ref="I13" si="3">SUM(I10:I12)</f>
        <v>17.696999999999999</v>
      </c>
      <c r="N13" s="132"/>
      <c r="O13" s="132"/>
      <c r="P13" s="132"/>
      <c r="Q13" s="132"/>
    </row>
    <row r="14" spans="2:17" ht="15" thickBot="1" x14ac:dyDescent="0.25">
      <c r="B14" s="161"/>
      <c r="C14" s="161"/>
      <c r="D14" s="277"/>
      <c r="E14" s="278"/>
      <c r="F14" s="161"/>
      <c r="G14" s="279"/>
      <c r="H14" s="279"/>
      <c r="I14" s="279"/>
      <c r="N14" s="290"/>
      <c r="O14" s="122"/>
      <c r="P14" s="122"/>
      <c r="Q14" s="122"/>
    </row>
    <row r="15" spans="2:17" ht="15" thickBot="1" x14ac:dyDescent="0.25">
      <c r="B15" s="272" t="s">
        <v>149</v>
      </c>
      <c r="C15" s="30" t="s">
        <v>707</v>
      </c>
      <c r="D15" s="280"/>
      <c r="E15" s="280"/>
      <c r="F15" s="161"/>
      <c r="G15" s="146"/>
      <c r="H15" s="146"/>
      <c r="I15" s="146"/>
      <c r="N15" s="290"/>
      <c r="O15" s="122"/>
      <c r="P15" s="122"/>
      <c r="Q15" s="122"/>
    </row>
    <row r="16" spans="2:17" ht="15" thickBot="1" x14ac:dyDescent="0.25">
      <c r="B16" s="273">
        <v>6</v>
      </c>
      <c r="C16" s="274" t="s">
        <v>707</v>
      </c>
      <c r="D16" s="275" t="s">
        <v>86</v>
      </c>
      <c r="E16" s="276">
        <v>3</v>
      </c>
      <c r="F16" s="522">
        <v>0</v>
      </c>
      <c r="G16" s="524">
        <v>0</v>
      </c>
      <c r="H16" s="522">
        <v>9.6890000000000001</v>
      </c>
      <c r="I16" s="524">
        <v>4.79</v>
      </c>
      <c r="K16" s="28">
        <f xml:space="preserve"> IF( SUM( M16:R16 ) = 0, 0, $N$4 )</f>
        <v>0</v>
      </c>
      <c r="N16" s="105">
        <f t="shared" ref="N16" si="4" xml:space="preserve"> IF( ISNUMBER( F16 ), 0, 1 )</f>
        <v>0</v>
      </c>
      <c r="O16" s="105">
        <f>IF(Validation!$H$3=1,0,IF(ISNUMBER(G16),0,1))</f>
        <v>0</v>
      </c>
      <c r="P16" s="105">
        <f t="shared" ref="P16" si="5" xml:space="preserve"> IF( ISNUMBER( H16 ), 0, 1 )</f>
        <v>0</v>
      </c>
      <c r="Q16" s="105">
        <f>IF(Validation!$H$3=1,0,IF(ISNUMBER(I16),0,1))</f>
        <v>0</v>
      </c>
    </row>
    <row r="17" spans="1:19" ht="15" thickBot="1" x14ac:dyDescent="0.25">
      <c r="B17" s="161"/>
      <c r="C17" s="161"/>
      <c r="D17" s="277"/>
      <c r="E17" s="278"/>
      <c r="F17" s="161"/>
      <c r="G17" s="279"/>
      <c r="H17" s="279"/>
      <c r="I17" s="279"/>
      <c r="N17" s="290"/>
      <c r="O17" s="122"/>
      <c r="P17" s="122"/>
      <c r="Q17" s="122"/>
    </row>
    <row r="18" spans="1:19" ht="15" thickBot="1" x14ac:dyDescent="0.25">
      <c r="B18" s="845" t="s">
        <v>158</v>
      </c>
      <c r="C18" s="306" t="s">
        <v>708</v>
      </c>
      <c r="D18" s="280"/>
      <c r="E18" s="280"/>
      <c r="F18" s="161"/>
      <c r="G18" s="146"/>
      <c r="H18" s="146"/>
      <c r="I18" s="146"/>
      <c r="N18" s="290"/>
      <c r="O18" s="122"/>
      <c r="P18" s="122"/>
      <c r="Q18" s="122"/>
    </row>
    <row r="19" spans="1:19" x14ac:dyDescent="0.2">
      <c r="B19" s="281">
        <v>7</v>
      </c>
      <c r="C19" s="282" t="s">
        <v>708</v>
      </c>
      <c r="D19" s="283" t="s">
        <v>86</v>
      </c>
      <c r="E19" s="700">
        <v>3</v>
      </c>
      <c r="F19" s="102">
        <f xml:space="preserve"> F7 - F13 + F16</f>
        <v>321.38753147038801</v>
      </c>
      <c r="G19" s="362">
        <f xml:space="preserve"> G7 - G13 + G16</f>
        <v>410.18067248434545</v>
      </c>
      <c r="H19" s="102">
        <f xml:space="preserve"> H7 - H13 + H16</f>
        <v>601.33353147038804</v>
      </c>
      <c r="I19" s="362">
        <f xml:space="preserve"> I7 - I13 + I16</f>
        <v>725.55667248434543</v>
      </c>
      <c r="N19" s="290"/>
      <c r="O19" s="122"/>
      <c r="P19" s="122"/>
      <c r="Q19" s="122"/>
    </row>
    <row r="20" spans="1:19" ht="15" thickBot="1" x14ac:dyDescent="0.25">
      <c r="B20" s="291">
        <v>8</v>
      </c>
      <c r="C20" s="292" t="s">
        <v>709</v>
      </c>
      <c r="D20" s="699" t="s">
        <v>86</v>
      </c>
      <c r="E20" s="701">
        <v>3</v>
      </c>
      <c r="F20" s="456">
        <v>296.74700000000001</v>
      </c>
      <c r="G20" s="457">
        <v>378.73200000000003</v>
      </c>
      <c r="H20" s="456">
        <v>560.86599999999999</v>
      </c>
      <c r="I20" s="457">
        <v>676.21600000000001</v>
      </c>
      <c r="K20" s="28">
        <f xml:space="preserve"> IF( SUM( M20:R20 ) = 0, 0, $N$4 )</f>
        <v>0</v>
      </c>
      <c r="N20" s="105">
        <f t="shared" ref="N20:N23" si="6" xml:space="preserve"> IF( ISNUMBER( F20 ), 0, 1 )</f>
        <v>0</v>
      </c>
      <c r="O20" s="105">
        <f>IF(Validation!$H$3=1,0,IF(ISNUMBER(G20),0,1))</f>
        <v>0</v>
      </c>
      <c r="P20" s="105">
        <f t="shared" ref="P20" si="7" xml:space="preserve"> IF( ISNUMBER( H20 ), 0, 1 )</f>
        <v>0</v>
      </c>
      <c r="Q20" s="105">
        <f>IF(Validation!$H$3=1,0,IF(ISNUMBER(I20),0,1))</f>
        <v>0</v>
      </c>
    </row>
    <row r="21" spans="1:19" ht="15" thickBot="1" x14ac:dyDescent="0.25">
      <c r="B21" s="161"/>
      <c r="C21" s="161"/>
      <c r="D21" s="277"/>
      <c r="E21" s="278"/>
      <c r="F21" s="161"/>
      <c r="G21" s="279"/>
      <c r="H21" s="279"/>
      <c r="I21" s="279"/>
      <c r="N21" s="290"/>
      <c r="O21" s="122"/>
      <c r="P21" s="122"/>
      <c r="Q21" s="122"/>
    </row>
    <row r="22" spans="1:19" ht="15" thickBot="1" x14ac:dyDescent="0.25">
      <c r="B22" s="272" t="s">
        <v>165</v>
      </c>
      <c r="C22" s="30" t="s">
        <v>710</v>
      </c>
      <c r="D22" s="280"/>
      <c r="E22" s="280"/>
      <c r="F22" s="161"/>
      <c r="G22" s="146"/>
      <c r="H22" s="146"/>
      <c r="I22" s="146"/>
      <c r="N22" s="290"/>
      <c r="O22" s="122"/>
      <c r="P22" s="122"/>
      <c r="Q22" s="122"/>
    </row>
    <row r="23" spans="1:19" ht="15" thickBot="1" x14ac:dyDescent="0.25">
      <c r="B23" s="291">
        <v>9</v>
      </c>
      <c r="C23" s="292" t="s">
        <v>711</v>
      </c>
      <c r="D23" s="275" t="s">
        <v>86</v>
      </c>
      <c r="E23" s="276">
        <v>3</v>
      </c>
      <c r="F23" s="522">
        <v>311.267</v>
      </c>
      <c r="G23" s="524">
        <v>387.65300000000002</v>
      </c>
      <c r="H23" s="522">
        <v>657.44100000000003</v>
      </c>
      <c r="I23" s="524">
        <v>775.54100000000005</v>
      </c>
      <c r="K23" s="28">
        <f xml:space="preserve"> IF( SUM( M23:R23 ) = 0, 0, $N$4 )</f>
        <v>0</v>
      </c>
      <c r="N23" s="105">
        <f t="shared" si="6"/>
        <v>0</v>
      </c>
      <c r="O23" s="105">
        <f>IF(Validation!$H$3=1,0,IF(ISNUMBER(G23),0,1))</f>
        <v>0</v>
      </c>
      <c r="P23" s="105">
        <f t="shared" ref="P23" si="8" xml:space="preserve"> IF( ISNUMBER( H23 ), 0, 1 )</f>
        <v>0</v>
      </c>
      <c r="Q23" s="105">
        <f>IF(Validation!$H$3=1,0,IF(ISNUMBER(I23),0,1))</f>
        <v>0</v>
      </c>
    </row>
    <row r="24" spans="1:19" s="83" customFormat="1" x14ac:dyDescent="0.2">
      <c r="D24" s="97"/>
      <c r="E24" s="97"/>
      <c r="G24" s="169"/>
      <c r="I24" s="135"/>
      <c r="M24" s="84"/>
      <c r="N24" s="290"/>
      <c r="O24" s="122"/>
      <c r="P24" s="122"/>
      <c r="Q24" s="122"/>
      <c r="R24" s="84"/>
    </row>
    <row r="25" spans="1:19" s="169" customFormat="1" x14ac:dyDescent="0.2">
      <c r="B25" s="897" t="s">
        <v>101</v>
      </c>
      <c r="C25" s="897"/>
      <c r="I25" s="135"/>
      <c r="J25" s="83"/>
      <c r="K25" s="83"/>
      <c r="L25" s="83"/>
      <c r="M25" s="84"/>
      <c r="N25" s="132"/>
      <c r="O25" s="132"/>
      <c r="P25" s="132"/>
      <c r="Q25" s="132"/>
      <c r="R25" s="84"/>
      <c r="S25" s="83"/>
    </row>
    <row r="26" spans="1:19" s="169" customFormat="1" x14ac:dyDescent="0.2">
      <c r="B26" s="146"/>
      <c r="C26" s="147"/>
      <c r="I26" s="135"/>
      <c r="J26" s="83"/>
      <c r="K26" s="83"/>
      <c r="L26" s="83"/>
      <c r="M26" s="84"/>
      <c r="N26" s="132"/>
      <c r="O26" s="132"/>
      <c r="P26" s="132"/>
      <c r="Q26" s="132"/>
      <c r="R26" s="84"/>
      <c r="S26" s="83"/>
    </row>
    <row r="27" spans="1:19" s="169" customFormat="1" x14ac:dyDescent="0.2">
      <c r="B27" s="29"/>
      <c r="C27" s="148" t="s">
        <v>102</v>
      </c>
      <c r="I27" s="135"/>
      <c r="J27" s="83"/>
      <c r="K27" s="83"/>
      <c r="L27" s="83"/>
      <c r="M27" s="84"/>
      <c r="N27" s="132"/>
      <c r="O27" s="132"/>
      <c r="P27" s="132"/>
      <c r="Q27" s="132"/>
      <c r="R27" s="84"/>
      <c r="S27" s="83"/>
    </row>
    <row r="28" spans="1:19" s="169" customFormat="1" x14ac:dyDescent="0.2">
      <c r="B28" s="146"/>
      <c r="C28" s="147"/>
      <c r="I28" s="135"/>
      <c r="J28" s="83"/>
      <c r="K28" s="83"/>
      <c r="L28" s="83"/>
      <c r="M28" s="84"/>
      <c r="N28" s="290"/>
      <c r="O28" s="122"/>
      <c r="P28" s="122"/>
      <c r="Q28" s="122"/>
      <c r="R28" s="84"/>
      <c r="S28" s="83"/>
    </row>
    <row r="29" spans="1:19" s="169" customFormat="1" x14ac:dyDescent="0.2">
      <c r="B29" s="149"/>
      <c r="C29" s="148" t="s">
        <v>103</v>
      </c>
      <c r="I29" s="135"/>
      <c r="J29" s="83"/>
      <c r="K29" s="83"/>
      <c r="L29" s="83"/>
      <c r="M29" s="84"/>
      <c r="N29" s="290"/>
      <c r="O29" s="122"/>
      <c r="P29" s="122"/>
      <c r="Q29" s="122"/>
      <c r="R29" s="84"/>
      <c r="S29" s="83"/>
    </row>
    <row r="30" spans="1:19" s="169" customFormat="1" x14ac:dyDescent="0.2">
      <c r="B30" s="150"/>
      <c r="C30" s="148"/>
      <c r="I30" s="135"/>
      <c r="J30" s="129"/>
      <c r="K30" s="131"/>
      <c r="L30" s="129"/>
      <c r="M30" s="133"/>
      <c r="N30" s="290"/>
      <c r="O30" s="122"/>
      <c r="P30" s="122"/>
      <c r="Q30" s="122"/>
      <c r="R30" s="133"/>
      <c r="S30" s="122"/>
    </row>
    <row r="31" spans="1:19" s="169" customFormat="1" ht="12" x14ac:dyDescent="0.2">
      <c r="B31" s="151"/>
      <c r="C31" s="148" t="s">
        <v>104</v>
      </c>
      <c r="I31" s="135"/>
      <c r="J31" s="135"/>
      <c r="K31" s="135"/>
      <c r="L31" s="135"/>
      <c r="M31" s="130"/>
      <c r="N31" s="212"/>
      <c r="R31" s="130"/>
    </row>
    <row r="32" spans="1:19" s="186" customFormat="1" ht="12.75" x14ac:dyDescent="0.2">
      <c r="A32" s="156"/>
      <c r="B32" s="156"/>
      <c r="C32" s="157"/>
      <c r="I32" s="137"/>
      <c r="J32" s="135"/>
      <c r="K32" s="135"/>
      <c r="L32" s="135"/>
      <c r="M32" s="130"/>
      <c r="N32" s="212"/>
      <c r="O32" s="169"/>
      <c r="P32" s="169"/>
      <c r="Q32" s="169"/>
      <c r="R32" s="130"/>
      <c r="S32" s="169"/>
    </row>
    <row r="33" spans="2:19" s="186" customFormat="1" ht="13.5" thickBot="1" x14ac:dyDescent="0.25">
      <c r="C33" s="187"/>
      <c r="I33" s="137"/>
      <c r="J33" s="135"/>
      <c r="K33" s="135"/>
      <c r="L33" s="135"/>
      <c r="M33" s="130"/>
      <c r="N33" s="212"/>
      <c r="O33" s="169"/>
      <c r="P33" s="169"/>
      <c r="Q33" s="169"/>
      <c r="R33" s="130"/>
      <c r="S33" s="169"/>
    </row>
    <row r="34" spans="2:19" s="122" customFormat="1" ht="16.5" thickBot="1" x14ac:dyDescent="0.25">
      <c r="B34" s="152" t="str">
        <f ca="1" xml:space="preserve"> RIGHT(CELL("filename", $A$1), LEN(CELL("filename", $A$1)) - SEARCH("]", CELL("filename", $A$1)))&amp;" - Line definitions"</f>
        <v>4B - Line definitions</v>
      </c>
      <c r="C34" s="153"/>
      <c r="D34" s="154"/>
      <c r="E34" s="154"/>
      <c r="F34" s="154"/>
      <c r="G34" s="154"/>
      <c r="H34" s="154"/>
      <c r="I34" s="260"/>
      <c r="J34" s="135"/>
      <c r="K34" s="135"/>
      <c r="L34" s="135"/>
      <c r="M34" s="130"/>
      <c r="N34" s="212"/>
      <c r="O34" s="169"/>
      <c r="P34" s="169"/>
      <c r="Q34" s="169"/>
      <c r="R34" s="130"/>
      <c r="S34" s="169"/>
    </row>
    <row r="35" spans="2:19" s="122" customFormat="1" ht="15" thickBot="1" x14ac:dyDescent="0.25">
      <c r="B35" s="87"/>
      <c r="C35" s="161"/>
      <c r="D35" s="87"/>
      <c r="E35" s="87"/>
      <c r="F35" s="87"/>
      <c r="I35" s="129"/>
      <c r="J35" s="135"/>
      <c r="K35" s="135"/>
      <c r="L35" s="135"/>
      <c r="M35" s="130"/>
      <c r="N35" s="212"/>
      <c r="O35" s="169"/>
      <c r="P35" s="169"/>
      <c r="Q35" s="169"/>
      <c r="R35" s="130"/>
      <c r="S35" s="169"/>
    </row>
    <row r="36" spans="2:19" s="186" customFormat="1" thickBot="1" x14ac:dyDescent="0.25">
      <c r="B36" s="295" t="s">
        <v>105</v>
      </c>
      <c r="C36" s="854" t="s">
        <v>106</v>
      </c>
      <c r="D36" s="855"/>
      <c r="E36" s="855"/>
      <c r="F36" s="855"/>
      <c r="G36" s="855"/>
      <c r="H36" s="855"/>
      <c r="I36" s="856"/>
      <c r="J36" s="135"/>
      <c r="K36" s="135"/>
      <c r="L36" s="135"/>
      <c r="M36" s="130"/>
      <c r="N36" s="97" t="s">
        <v>107</v>
      </c>
      <c r="O36" s="169"/>
      <c r="P36" s="169"/>
      <c r="Q36" s="169"/>
      <c r="R36" s="130"/>
      <c r="S36" s="169"/>
    </row>
    <row r="37" spans="2:19" s="122" customFormat="1" x14ac:dyDescent="0.2">
      <c r="B37" s="296">
        <v>1</v>
      </c>
      <c r="C37" s="940" t="s">
        <v>712</v>
      </c>
      <c r="D37" s="941"/>
      <c r="E37" s="941"/>
      <c r="F37" s="941"/>
      <c r="G37" s="941"/>
      <c r="H37" s="941"/>
      <c r="I37" s="942"/>
      <c r="J37" s="135"/>
      <c r="K37" s="135"/>
      <c r="L37" s="135"/>
      <c r="M37" s="130"/>
      <c r="N37" s="168">
        <v>1</v>
      </c>
      <c r="O37" s="169"/>
      <c r="P37" s="169"/>
      <c r="Q37" s="169"/>
      <c r="R37" s="130"/>
      <c r="S37" s="169"/>
    </row>
    <row r="38" spans="2:19" s="122" customFormat="1" ht="38.25" x14ac:dyDescent="0.2">
      <c r="B38" s="297">
        <v>2</v>
      </c>
      <c r="C38" s="935" t="s">
        <v>713</v>
      </c>
      <c r="D38" s="936"/>
      <c r="E38" s="936"/>
      <c r="F38" s="936"/>
      <c r="G38" s="936"/>
      <c r="H38" s="936"/>
      <c r="I38" s="937"/>
      <c r="J38" s="135"/>
      <c r="K38" s="135"/>
      <c r="L38" s="135"/>
      <c r="M38" s="130"/>
      <c r="N38" s="168" t="s">
        <v>714</v>
      </c>
      <c r="O38" s="186"/>
      <c r="P38" s="186"/>
      <c r="Q38" s="186"/>
      <c r="R38" s="130"/>
      <c r="S38" s="186"/>
    </row>
    <row r="39" spans="2:19" s="122" customFormat="1" ht="51" x14ac:dyDescent="0.2">
      <c r="B39" s="297">
        <v>3</v>
      </c>
      <c r="C39" s="935" t="s">
        <v>715</v>
      </c>
      <c r="D39" s="936"/>
      <c r="E39" s="936"/>
      <c r="F39" s="936"/>
      <c r="G39" s="936"/>
      <c r="H39" s="936"/>
      <c r="I39" s="937"/>
      <c r="J39" s="135"/>
      <c r="K39" s="135"/>
      <c r="L39" s="135"/>
      <c r="M39" s="130"/>
      <c r="N39" s="168" t="s">
        <v>716</v>
      </c>
      <c r="O39" s="186"/>
      <c r="P39" s="186"/>
      <c r="Q39" s="186"/>
      <c r="R39" s="130"/>
      <c r="S39" s="186"/>
    </row>
    <row r="40" spans="2:19" s="122" customFormat="1" x14ac:dyDescent="0.2">
      <c r="B40" s="297">
        <v>4</v>
      </c>
      <c r="C40" s="935" t="s">
        <v>717</v>
      </c>
      <c r="D40" s="936"/>
      <c r="E40" s="936"/>
      <c r="F40" s="936"/>
      <c r="G40" s="936"/>
      <c r="H40" s="936"/>
      <c r="I40" s="937"/>
      <c r="J40" s="135"/>
      <c r="K40" s="131"/>
      <c r="L40" s="129"/>
      <c r="M40" s="133"/>
      <c r="N40" s="168">
        <v>1</v>
      </c>
      <c r="R40" s="133"/>
    </row>
    <row r="41" spans="2:19" s="122" customFormat="1" x14ac:dyDescent="0.2">
      <c r="B41" s="297">
        <v>5</v>
      </c>
      <c r="C41" s="935" t="s">
        <v>718</v>
      </c>
      <c r="D41" s="936"/>
      <c r="E41" s="936"/>
      <c r="F41" s="936"/>
      <c r="G41" s="936"/>
      <c r="H41" s="936"/>
      <c r="I41" s="937"/>
      <c r="J41" s="135"/>
      <c r="K41" s="131"/>
      <c r="L41" s="129"/>
      <c r="M41" s="133"/>
      <c r="N41" s="168">
        <v>1</v>
      </c>
      <c r="R41" s="133"/>
    </row>
    <row r="42" spans="2:19" s="122" customFormat="1" x14ac:dyDescent="0.2">
      <c r="B42" s="297">
        <v>6</v>
      </c>
      <c r="C42" s="935" t="s">
        <v>719</v>
      </c>
      <c r="D42" s="936"/>
      <c r="E42" s="936"/>
      <c r="F42" s="936"/>
      <c r="G42" s="936"/>
      <c r="H42" s="936"/>
      <c r="I42" s="937"/>
      <c r="J42" s="135"/>
      <c r="K42" s="137"/>
      <c r="L42" s="129"/>
      <c r="M42" s="133"/>
      <c r="N42" s="168">
        <v>1</v>
      </c>
      <c r="O42" s="186"/>
      <c r="P42" s="186"/>
      <c r="Q42" s="186"/>
      <c r="R42" s="133"/>
      <c r="S42" s="186"/>
    </row>
    <row r="43" spans="2:19" s="122" customFormat="1" x14ac:dyDescent="0.2">
      <c r="B43" s="297">
        <v>7</v>
      </c>
      <c r="C43" s="935" t="s">
        <v>720</v>
      </c>
      <c r="D43" s="936"/>
      <c r="E43" s="936"/>
      <c r="F43" s="936"/>
      <c r="G43" s="936"/>
      <c r="H43" s="936"/>
      <c r="I43" s="937"/>
      <c r="J43" s="135"/>
      <c r="K43" s="131"/>
      <c r="L43" s="129"/>
      <c r="M43" s="133"/>
      <c r="N43" s="168">
        <v>1</v>
      </c>
      <c r="R43" s="133"/>
    </row>
    <row r="44" spans="2:19" s="122" customFormat="1" x14ac:dyDescent="0.2">
      <c r="B44" s="694">
        <v>8</v>
      </c>
      <c r="C44" s="935" t="s">
        <v>721</v>
      </c>
      <c r="D44" s="936"/>
      <c r="E44" s="936"/>
      <c r="F44" s="936"/>
      <c r="G44" s="936"/>
      <c r="H44" s="936"/>
      <c r="I44" s="937"/>
      <c r="J44" s="135"/>
      <c r="K44" s="131"/>
      <c r="L44" s="129"/>
      <c r="M44" s="133"/>
      <c r="N44" s="168">
        <v>1</v>
      </c>
      <c r="R44" s="133"/>
    </row>
    <row r="45" spans="2:19" s="122" customFormat="1" ht="51.75" thickBot="1" x14ac:dyDescent="0.25">
      <c r="B45" s="298">
        <v>9</v>
      </c>
      <c r="C45" s="943" t="s">
        <v>722</v>
      </c>
      <c r="D45" s="944"/>
      <c r="E45" s="944"/>
      <c r="F45" s="944"/>
      <c r="G45" s="944"/>
      <c r="H45" s="944"/>
      <c r="I45" s="945"/>
      <c r="J45" s="135"/>
      <c r="K45" s="131"/>
      <c r="L45" s="129"/>
      <c r="M45" s="133"/>
      <c r="N45" s="168" t="s">
        <v>118</v>
      </c>
      <c r="R45" s="133"/>
    </row>
    <row r="46" spans="2:19" x14ac:dyDescent="0.2">
      <c r="J46" s="137"/>
      <c r="K46" s="131"/>
      <c r="L46" s="129"/>
      <c r="M46" s="133"/>
      <c r="N46" s="299"/>
      <c r="O46" s="122"/>
      <c r="P46" s="122"/>
      <c r="Q46" s="122"/>
      <c r="R46" s="133"/>
      <c r="S46" s="122"/>
    </row>
    <row r="47" spans="2:19" hidden="1" x14ac:dyDescent="0.2">
      <c r="J47" s="137"/>
      <c r="K47" s="131"/>
      <c r="L47" s="129"/>
      <c r="M47" s="133"/>
      <c r="N47" s="299"/>
      <c r="O47" s="131"/>
      <c r="P47" s="131"/>
      <c r="Q47" s="131"/>
      <c r="R47" s="133"/>
      <c r="S47" s="131"/>
    </row>
    <row r="48" spans="2:19" hidden="1" x14ac:dyDescent="0.2">
      <c r="J48" s="137"/>
      <c r="K48" s="131"/>
      <c r="L48" s="129"/>
      <c r="M48" s="133"/>
      <c r="N48" s="122"/>
      <c r="O48" s="131"/>
      <c r="P48" s="131"/>
      <c r="Q48" s="131"/>
      <c r="R48" s="133"/>
      <c r="S48" s="131"/>
    </row>
    <row r="49" spans="10:19" hidden="1" x14ac:dyDescent="0.2">
      <c r="J49" s="137"/>
      <c r="K49" s="131"/>
      <c r="L49" s="129"/>
      <c r="M49" s="133"/>
      <c r="N49" s="122"/>
      <c r="O49" s="131"/>
      <c r="P49" s="131"/>
      <c r="Q49" s="131"/>
      <c r="R49" s="133"/>
      <c r="S49" s="131"/>
    </row>
    <row r="50" spans="10:19" hidden="1" x14ac:dyDescent="0.2">
      <c r="J50" s="137"/>
      <c r="N50" s="122"/>
    </row>
    <row r="51" spans="10:19" hidden="1" x14ac:dyDescent="0.2">
      <c r="J51" s="137"/>
      <c r="N51" s="122"/>
    </row>
    <row r="52" spans="10:19" hidden="1" x14ac:dyDescent="0.2">
      <c r="J52" s="137"/>
      <c r="N52" s="122"/>
    </row>
    <row r="53" spans="10:19" hidden="1" x14ac:dyDescent="0.2">
      <c r="J53" s="137"/>
      <c r="N53" s="122"/>
    </row>
    <row r="54" spans="10:19" hidden="1" x14ac:dyDescent="0.2">
      <c r="J54" s="137"/>
      <c r="N54" s="122"/>
    </row>
    <row r="55" spans="10:19" hidden="1" x14ac:dyDescent="0.2">
      <c r="J55" s="137"/>
      <c r="N55" s="122"/>
    </row>
    <row r="56" spans="10:19" hidden="1" x14ac:dyDescent="0.2">
      <c r="J56" s="137"/>
      <c r="N56" s="122"/>
    </row>
    <row r="57" spans="10:19" hidden="1" x14ac:dyDescent="0.2">
      <c r="J57" s="137"/>
      <c r="N57" s="122"/>
    </row>
    <row r="58" spans="10:19" hidden="1" x14ac:dyDescent="0.2">
      <c r="J58" s="137"/>
      <c r="N58" s="122"/>
    </row>
    <row r="59" spans="10:19" hidden="1" x14ac:dyDescent="0.2">
      <c r="J59" s="137"/>
      <c r="N59" s="122"/>
    </row>
    <row r="60" spans="10:19" hidden="1" x14ac:dyDescent="0.2">
      <c r="J60" s="137"/>
      <c r="N60" s="122"/>
    </row>
    <row r="61" spans="10:19" hidden="1" x14ac:dyDescent="0.2">
      <c r="J61" s="137"/>
      <c r="N61" s="122"/>
    </row>
    <row r="62" spans="10:19" hidden="1" x14ac:dyDescent="0.2">
      <c r="J62" s="137"/>
      <c r="N62" s="122"/>
    </row>
    <row r="63" spans="10:19" hidden="1" x14ac:dyDescent="0.2">
      <c r="J63" s="137"/>
      <c r="N63" s="122"/>
    </row>
    <row r="64" spans="10:19" hidden="1" x14ac:dyDescent="0.2">
      <c r="J64" s="137"/>
      <c r="N64" s="122"/>
    </row>
    <row r="65" spans="10:14" hidden="1" x14ac:dyDescent="0.2">
      <c r="J65" s="137"/>
      <c r="N65" s="122"/>
    </row>
    <row r="66" spans="10:14" hidden="1" x14ac:dyDescent="0.2">
      <c r="J66" s="137"/>
      <c r="N66" s="122"/>
    </row>
    <row r="67" spans="10:14" hidden="1" x14ac:dyDescent="0.2">
      <c r="J67" s="137"/>
      <c r="N67" s="122"/>
    </row>
    <row r="68" spans="10:14" hidden="1" x14ac:dyDescent="0.2">
      <c r="J68" s="137"/>
      <c r="N68" s="122"/>
    </row>
    <row r="69" spans="10:14" hidden="1" x14ac:dyDescent="0.2">
      <c r="N69" s="122"/>
    </row>
    <row r="70" spans="10:14" hidden="1" x14ac:dyDescent="0.2">
      <c r="N70" s="122"/>
    </row>
  </sheetData>
  <sheetProtection algorithmName="SHA-512" hashValue="dOheZ5iVQLTlLtdTQW3PS4ey+Ma/VcW7Yc1gVYiOmTtEXPMOcBJWIbB5br0npptOxfaNN0vtcQUHdSa0iruZqA==" saltValue="C+0B47m2V8bKWG153/zCzA==" spinCount="100000" sheet="1" objects="1" scenarios="1"/>
  <mergeCells count="16">
    <mergeCell ref="C42:I42"/>
    <mergeCell ref="C43:I43"/>
    <mergeCell ref="C45:I45"/>
    <mergeCell ref="B25:C25"/>
    <mergeCell ref="C37:I37"/>
    <mergeCell ref="C38:I38"/>
    <mergeCell ref="C39:I39"/>
    <mergeCell ref="C40:I40"/>
    <mergeCell ref="C41:I41"/>
    <mergeCell ref="C44:I44"/>
    <mergeCell ref="N3:O3"/>
    <mergeCell ref="B3:C4"/>
    <mergeCell ref="D3:D4"/>
    <mergeCell ref="E3:E4"/>
    <mergeCell ref="F3:G3"/>
    <mergeCell ref="H3:I3"/>
  </mergeCells>
  <conditionalFormatting sqref="K7">
    <cfRule type="cellIs" dxfId="70" priority="11" operator="equal">
      <formula>0</formula>
    </cfRule>
  </conditionalFormatting>
  <conditionalFormatting sqref="K10:K12">
    <cfRule type="cellIs" dxfId="69" priority="23" operator="equal">
      <formula>0</formula>
    </cfRule>
  </conditionalFormatting>
  <conditionalFormatting sqref="K16">
    <cfRule type="cellIs" dxfId="68" priority="18" operator="equal">
      <formula>0</formula>
    </cfRule>
  </conditionalFormatting>
  <conditionalFormatting sqref="K20 K23">
    <cfRule type="cellIs" dxfId="67" priority="22" operator="equal">
      <formula>0</formula>
    </cfRule>
  </conditionalFormatting>
  <printOptions horizontalCentered="1"/>
  <pageMargins left="0.39370078740157483" right="0.39370078740157483" top="0.78740157480314965" bottom="0.78740157480314965" header="0.31496062992125984" footer="0.31496062992125984"/>
  <pageSetup paperSize="9" scale="67"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0" id="{77042AF4-137E-42AD-937E-C90316BEFD04}">
            <xm:f>Validation!$H$3=1</xm:f>
            <x14:dxf>
              <fill>
                <patternFill>
                  <bgColor rgb="FFE0DCD8"/>
                </patternFill>
              </fill>
            </x14:dxf>
          </x14:cfRule>
          <xm:sqref>G7</xm:sqref>
        </x14:conditionalFormatting>
        <x14:conditionalFormatting xmlns:xm="http://schemas.microsoft.com/office/excel/2006/main">
          <x14:cfRule type="expression" priority="8" id="{9E8DE241-E4BE-4AE0-B3EA-577E812401F1}">
            <xm:f>'C:\Temp\notes6888BE\[2016-17 APR tables (April 2017).xlsx]Validation'!#REF!=1</xm:f>
            <x14:dxf>
              <fill>
                <patternFill>
                  <bgColor rgb="FFE0DCD8"/>
                </patternFill>
              </fill>
            </x14:dxf>
          </x14:cfRule>
          <xm:sqref>G10:G12</xm:sqref>
        </x14:conditionalFormatting>
        <x14:conditionalFormatting xmlns:xm="http://schemas.microsoft.com/office/excel/2006/main">
          <x14:cfRule type="expression" priority="51" id="{820134EA-54B1-4B93-AAEC-24C3DE1880B4}">
            <xm:f>Validation!$H$3=1</xm:f>
            <x14:dxf>
              <fill>
                <patternFill>
                  <bgColor rgb="FFE0DCD8"/>
                </patternFill>
              </fill>
            </x14:dxf>
          </x14:cfRule>
          <xm:sqref>G13</xm:sqref>
        </x14:conditionalFormatting>
        <x14:conditionalFormatting xmlns:xm="http://schemas.microsoft.com/office/excel/2006/main">
          <x14:cfRule type="expression" priority="6" id="{450852F3-4E2B-4936-826E-B44393085CE3}">
            <xm:f>'C:\Temp\notes6888BE\[2016-17 APR tables (April 2017).xlsx]Validation'!#REF!=1</xm:f>
            <x14:dxf>
              <fill>
                <patternFill>
                  <bgColor rgb="FFE0DCD8"/>
                </patternFill>
              </fill>
            </x14:dxf>
          </x14:cfRule>
          <xm:sqref>G16</xm:sqref>
        </x14:conditionalFormatting>
        <x14:conditionalFormatting xmlns:xm="http://schemas.microsoft.com/office/excel/2006/main">
          <x14:cfRule type="expression" priority="4" id="{F6D98115-C245-4DDF-9143-0F2D5DD66E0B}">
            <xm:f>'C:\Temp\notes6888BE\[2016-17 APR tables (April 2017).xlsx]Validation'!#REF!=1</xm:f>
            <x14:dxf>
              <fill>
                <patternFill>
                  <bgColor rgb="FFE0DCD8"/>
                </patternFill>
              </fill>
            </x14:dxf>
          </x14:cfRule>
          <xm:sqref>G20</xm:sqref>
        </x14:conditionalFormatting>
        <x14:conditionalFormatting xmlns:xm="http://schemas.microsoft.com/office/excel/2006/main">
          <x14:cfRule type="expression" priority="2" id="{7FB5BF6E-A57D-4A4C-B028-B20603E06C30}">
            <xm:f>'C:\Temp\notes6888BE\[2016-17 APR tables (April 2017).xlsx]Validation'!#REF!=1</xm:f>
            <x14:dxf>
              <fill>
                <patternFill>
                  <bgColor rgb="FFE0DCD8"/>
                </patternFill>
              </fill>
            </x14:dxf>
          </x14:cfRule>
          <xm:sqref>G23</xm:sqref>
        </x14:conditionalFormatting>
        <x14:conditionalFormatting xmlns:xm="http://schemas.microsoft.com/office/excel/2006/main">
          <x14:cfRule type="expression" priority="9" id="{3CEC6EE4-0BC8-4632-8A05-C6D0BEB71087}">
            <xm:f>'C:\Temp\notes6888BE\[2016-17 APR tables (April 2017).xlsx]Validation'!#REF!=1</xm:f>
            <x14:dxf>
              <fill>
                <patternFill>
                  <bgColor rgb="FFE0DCD8"/>
                </patternFill>
              </fill>
            </x14:dxf>
          </x14:cfRule>
          <xm:sqref>I7</xm:sqref>
        </x14:conditionalFormatting>
        <x14:conditionalFormatting xmlns:xm="http://schemas.microsoft.com/office/excel/2006/main">
          <x14:cfRule type="expression" priority="7" id="{F2C8F201-4DE9-45EC-BA94-86058131892C}">
            <xm:f>'C:\Temp\notes6888BE\[2016-17 APR tables (April 2017).xlsx]Validation'!#REF!=1</xm:f>
            <x14:dxf>
              <fill>
                <patternFill>
                  <bgColor rgb="FFE0DCD8"/>
                </patternFill>
              </fill>
            </x14:dxf>
          </x14:cfRule>
          <xm:sqref>I10:I12</xm:sqref>
        </x14:conditionalFormatting>
        <x14:conditionalFormatting xmlns:xm="http://schemas.microsoft.com/office/excel/2006/main">
          <x14:cfRule type="expression" priority="16" id="{D384A605-B274-4311-848D-FF1F42C5109B}">
            <xm:f>Validation!$H$3=1</xm:f>
            <x14:dxf>
              <fill>
                <patternFill>
                  <bgColor rgb="FFE0DCD8"/>
                </patternFill>
              </fill>
            </x14:dxf>
          </x14:cfRule>
          <xm:sqref>I13</xm:sqref>
        </x14:conditionalFormatting>
        <x14:conditionalFormatting xmlns:xm="http://schemas.microsoft.com/office/excel/2006/main">
          <x14:cfRule type="expression" priority="5" id="{1B3779AC-0BFE-4577-8BCE-F038B302CDE9}">
            <xm:f>'C:\Temp\notes6888BE\[2016-17 APR tables (April 2017).xlsx]Validation'!#REF!=1</xm:f>
            <x14:dxf>
              <fill>
                <patternFill>
                  <bgColor rgb="FFE0DCD8"/>
                </patternFill>
              </fill>
            </x14:dxf>
          </x14:cfRule>
          <xm:sqref>I16</xm:sqref>
        </x14:conditionalFormatting>
        <x14:conditionalFormatting xmlns:xm="http://schemas.microsoft.com/office/excel/2006/main">
          <x14:cfRule type="expression" priority="3" id="{D568D372-E4E9-4AB4-A866-1EE7C763DC2E}">
            <xm:f>'C:\Temp\notes6888BE\[2016-17 APR tables (April 2017).xlsx]Validation'!#REF!=1</xm:f>
            <x14:dxf>
              <fill>
                <patternFill>
                  <bgColor rgb="FFE0DCD8"/>
                </patternFill>
              </fill>
            </x14:dxf>
          </x14:cfRule>
          <xm:sqref>I20</xm:sqref>
        </x14:conditionalFormatting>
        <x14:conditionalFormatting xmlns:xm="http://schemas.microsoft.com/office/excel/2006/main">
          <x14:cfRule type="expression" priority="1" id="{E3D8830D-3553-471B-B988-C78B7F70808B}">
            <xm:f>'C:\Temp\notes6888BE\[2016-17 APR tables (April 2017).xlsx]Validation'!#REF!=1</xm:f>
            <x14:dxf>
              <fill>
                <patternFill>
                  <bgColor rgb="FFE0DCD8"/>
                </patternFill>
              </fill>
            </x14:dxf>
          </x14:cfRule>
          <xm:sqref>I23</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62"/>
  <sheetViews>
    <sheetView showGridLines="0" workbookViewId="0">
      <selection activeCell="I14" sqref="I14"/>
    </sheetView>
  </sheetViews>
  <sheetFormatPr defaultColWidth="0" defaultRowHeight="14.25" zeroHeight="1" x14ac:dyDescent="0.2"/>
  <cols>
    <col min="1" max="1" width="2.5" customWidth="1"/>
    <col min="2" max="2" width="4.125" customWidth="1"/>
    <col min="3" max="3" width="60.25" customWidth="1"/>
    <col min="4" max="5" width="5.125" customWidth="1"/>
    <col min="6" max="6" width="14.5" customWidth="1"/>
    <col min="7" max="7" width="14.625" customWidth="1"/>
    <col min="8" max="8" width="2.625" style="83" customWidth="1"/>
    <col min="9" max="9" width="18.75" style="83" bestFit="1" customWidth="1"/>
    <col min="10" max="10" width="1.625" style="83" customWidth="1"/>
    <col min="11" max="11" width="1.625" style="84" hidden="1" customWidth="1"/>
    <col min="12" max="13" width="19.25" style="83" hidden="1" customWidth="1"/>
    <col min="14" max="14" width="1.625" style="84" hidden="1" customWidth="1"/>
    <col min="15" max="16384" width="8.75" hidden="1"/>
  </cols>
  <sheetData>
    <row r="1" spans="2:13" ht="20.25" x14ac:dyDescent="0.2">
      <c r="B1" s="79" t="s">
        <v>723</v>
      </c>
      <c r="C1" s="79"/>
      <c r="D1" s="79"/>
      <c r="E1" s="79"/>
      <c r="F1" s="79"/>
      <c r="G1" s="81" t="str">
        <f>Validation!B3</f>
        <v>Yorkshire Water</v>
      </c>
      <c r="H1" s="79"/>
      <c r="I1" s="82" t="s">
        <v>72</v>
      </c>
    </row>
    <row r="2" spans="2:13" ht="15" thickBot="1" x14ac:dyDescent="0.25">
      <c r="B2" s="86" t="s">
        <v>55</v>
      </c>
      <c r="C2" s="83"/>
      <c r="D2" s="83"/>
      <c r="E2" s="83"/>
      <c r="F2" s="83"/>
      <c r="G2" s="83"/>
    </row>
    <row r="3" spans="2:13" ht="14.65" customHeight="1" x14ac:dyDescent="0.2">
      <c r="B3" s="881" t="s">
        <v>73</v>
      </c>
      <c r="C3" s="882"/>
      <c r="D3" s="885" t="s">
        <v>74</v>
      </c>
      <c r="E3" s="887" t="s">
        <v>75</v>
      </c>
      <c r="F3" s="889" t="s">
        <v>457</v>
      </c>
      <c r="G3" s="889" t="s">
        <v>458</v>
      </c>
      <c r="I3" s="894" t="s">
        <v>79</v>
      </c>
    </row>
    <row r="4" spans="2:13" ht="15" thickBot="1" x14ac:dyDescent="0.25">
      <c r="B4" s="883"/>
      <c r="C4" s="884"/>
      <c r="D4" s="886"/>
      <c r="E4" s="888"/>
      <c r="F4" s="890"/>
      <c r="G4" s="890"/>
      <c r="I4" s="895"/>
      <c r="L4" s="842" t="s">
        <v>83</v>
      </c>
      <c r="M4" s="842"/>
    </row>
    <row r="5" spans="2:13" ht="15" thickBot="1" x14ac:dyDescent="0.25">
      <c r="B5" s="83"/>
      <c r="C5" s="83"/>
      <c r="D5" s="83"/>
      <c r="E5" s="83"/>
      <c r="F5" s="83"/>
      <c r="G5" s="83"/>
      <c r="I5" s="266"/>
      <c r="L5" s="97" t="s">
        <v>84</v>
      </c>
      <c r="M5" s="97"/>
    </row>
    <row r="6" spans="2:13" x14ac:dyDescent="0.2">
      <c r="B6" s="98">
        <v>1</v>
      </c>
      <c r="C6" s="128" t="s">
        <v>724</v>
      </c>
      <c r="D6" s="100" t="s">
        <v>86</v>
      </c>
      <c r="E6" s="101">
        <v>3</v>
      </c>
      <c r="F6" s="455">
        <v>2610.1590000000001</v>
      </c>
      <c r="G6" s="746">
        <v>3533.4630000000002</v>
      </c>
      <c r="I6" s="28">
        <f xml:space="preserve"> IF( SUM( K6:N6 ) = 0, 0, $L$5 )</f>
        <v>0</v>
      </c>
      <c r="L6" s="105">
        <f xml:space="preserve"> IF( ISNUMBER( F6 ), 0, 1 )</f>
        <v>0</v>
      </c>
      <c r="M6" s="105">
        <f>IF(Validation!$H$3=1,0,IF(ISNUMBER(G6),0,1))</f>
        <v>0</v>
      </c>
    </row>
    <row r="7" spans="2:13" x14ac:dyDescent="0.2">
      <c r="B7" s="106">
        <f xml:space="preserve"> B6 + 1</f>
        <v>2</v>
      </c>
      <c r="C7" s="99" t="s">
        <v>725</v>
      </c>
      <c r="D7" s="107" t="s">
        <v>86</v>
      </c>
      <c r="E7" s="108">
        <v>3</v>
      </c>
      <c r="F7" s="438">
        <v>-45.107999999999997</v>
      </c>
      <c r="G7" s="747">
        <v>-63.478999999999999</v>
      </c>
      <c r="I7" s="28">
        <f xml:space="preserve"> IF( SUM( K7:N7 ) = 0, 0, $L$5 )</f>
        <v>0</v>
      </c>
      <c r="L7" s="105">
        <f t="shared" ref="L7:L8" si="0" xml:space="preserve"> IF( ISNUMBER( F7 ), 0, 1 )</f>
        <v>0</v>
      </c>
      <c r="M7" s="105">
        <f>IF(Validation!$H$3=1,0,IF(ISNUMBER(G7),0,1))</f>
        <v>0</v>
      </c>
    </row>
    <row r="8" spans="2:13" ht="14.1" customHeight="1" x14ac:dyDescent="0.2">
      <c r="B8" s="106">
        <f xml:space="preserve"> B7 + 1</f>
        <v>3</v>
      </c>
      <c r="C8" s="99" t="s">
        <v>726</v>
      </c>
      <c r="D8" s="107" t="s">
        <v>86</v>
      </c>
      <c r="E8" s="108">
        <v>3</v>
      </c>
      <c r="F8" s="438">
        <v>0</v>
      </c>
      <c r="G8" s="54">
        <v>0</v>
      </c>
      <c r="I8" s="28">
        <f xml:space="preserve"> IF( SUM( K8:N8 ) = 0, 0, $L$5 )</f>
        <v>0</v>
      </c>
      <c r="L8" s="105">
        <f t="shared" si="0"/>
        <v>0</v>
      </c>
      <c r="M8" s="105">
        <f>IF(Validation!$H$3=1,0,IF(ISNUMBER(G8),0,1))</f>
        <v>0</v>
      </c>
    </row>
    <row r="9" spans="2:13" ht="15" thickBot="1" x14ac:dyDescent="0.25">
      <c r="B9" s="113">
        <f xml:space="preserve"> B8 + 1</f>
        <v>4</v>
      </c>
      <c r="C9" s="114" t="s">
        <v>727</v>
      </c>
      <c r="D9" s="115" t="s">
        <v>86</v>
      </c>
      <c r="E9" s="112">
        <v>3</v>
      </c>
      <c r="F9" s="210">
        <f xml:space="preserve"> SUM( F6:F8 )</f>
        <v>2565.0509999999999</v>
      </c>
      <c r="G9" s="118">
        <f xml:space="preserve"> SUM( G6:G8 )</f>
        <v>3469.9840000000004</v>
      </c>
    </row>
    <row r="10" spans="2:13" x14ac:dyDescent="0.2"/>
    <row r="11" spans="2:13" x14ac:dyDescent="0.2">
      <c r="B11" s="897" t="s">
        <v>101</v>
      </c>
      <c r="C11" s="897"/>
      <c r="D11" s="169"/>
      <c r="E11" s="169"/>
      <c r="F11" s="169"/>
      <c r="G11" s="169"/>
    </row>
    <row r="12" spans="2:13" x14ac:dyDescent="0.2">
      <c r="B12" s="146"/>
      <c r="C12" s="147"/>
      <c r="D12" s="169"/>
      <c r="E12" s="169"/>
      <c r="F12" s="169"/>
      <c r="G12" s="169"/>
    </row>
    <row r="13" spans="2:13" x14ac:dyDescent="0.2">
      <c r="B13" s="29"/>
      <c r="C13" s="148" t="s">
        <v>102</v>
      </c>
      <c r="D13" s="169"/>
      <c r="E13" s="169"/>
      <c r="F13" s="169"/>
      <c r="G13" s="169"/>
    </row>
    <row r="14" spans="2:13" x14ac:dyDescent="0.2">
      <c r="B14" s="146"/>
      <c r="C14" s="147"/>
      <c r="D14" s="169"/>
      <c r="E14" s="169"/>
      <c r="F14" s="169"/>
      <c r="G14" s="169"/>
    </row>
    <row r="15" spans="2:13" x14ac:dyDescent="0.2">
      <c r="B15" s="149"/>
      <c r="C15" s="148" t="s">
        <v>103</v>
      </c>
      <c r="D15" s="169"/>
      <c r="E15" s="169"/>
      <c r="F15" s="169"/>
      <c r="G15" s="169"/>
    </row>
    <row r="16" spans="2:13" x14ac:dyDescent="0.2">
      <c r="B16" s="150"/>
      <c r="C16" s="148"/>
      <c r="D16" s="169"/>
      <c r="E16" s="169"/>
      <c r="F16" s="169"/>
      <c r="G16" s="169"/>
    </row>
    <row r="17" spans="2:14" x14ac:dyDescent="0.2">
      <c r="B17" s="151"/>
      <c r="C17" s="148" t="s">
        <v>104</v>
      </c>
      <c r="D17" s="169"/>
      <c r="E17" s="169"/>
      <c r="F17" s="169"/>
      <c r="G17" s="169"/>
    </row>
    <row r="18" spans="2:14" x14ac:dyDescent="0.2">
      <c r="B18" s="156"/>
      <c r="C18" s="157"/>
      <c r="D18" s="186"/>
      <c r="E18" s="186"/>
      <c r="F18" s="186"/>
      <c r="G18" s="186"/>
    </row>
    <row r="19" spans="2:14" ht="15" thickBot="1" x14ac:dyDescent="0.25">
      <c r="B19" s="186"/>
      <c r="C19" s="187"/>
      <c r="D19" s="186"/>
      <c r="E19" s="186"/>
      <c r="F19" s="186"/>
      <c r="G19" s="186"/>
    </row>
    <row r="20" spans="2:14" ht="16.5" thickBot="1" x14ac:dyDescent="0.25">
      <c r="B20" s="152" t="str">
        <f ca="1" xml:space="preserve"> RIGHT(CELL("filename", $A$1), LEN(CELL("filename", $A$1)) - SEARCH("]", CELL("filename", $A$1)))&amp;" - Line definitions"</f>
        <v>4C - Line definitions</v>
      </c>
      <c r="C20" s="153"/>
      <c r="D20" s="154"/>
      <c r="E20" s="154"/>
      <c r="F20" s="154"/>
      <c r="G20" s="260"/>
    </row>
    <row r="21" spans="2:14" ht="15" thickBot="1" x14ac:dyDescent="0.25">
      <c r="B21" s="87"/>
      <c r="C21" s="161"/>
      <c r="D21" s="87"/>
      <c r="E21" s="87"/>
      <c r="F21" s="87"/>
      <c r="G21" s="87"/>
    </row>
    <row r="22" spans="2:14" ht="15" thickBot="1" x14ac:dyDescent="0.25">
      <c r="B22" s="162" t="s">
        <v>105</v>
      </c>
      <c r="C22" s="1033" t="s">
        <v>106</v>
      </c>
      <c r="D22" s="1033"/>
      <c r="E22" s="1033"/>
      <c r="F22" s="1034"/>
      <c r="G22" s="1035"/>
      <c r="L22" s="97" t="s">
        <v>107</v>
      </c>
      <c r="M22" s="97"/>
    </row>
    <row r="23" spans="2:14" ht="25.5" x14ac:dyDescent="0.2">
      <c r="B23" s="189">
        <f>B6</f>
        <v>1</v>
      </c>
      <c r="C23" s="898" t="s">
        <v>728</v>
      </c>
      <c r="D23" s="898"/>
      <c r="E23" s="898"/>
      <c r="F23" s="913"/>
      <c r="G23" s="899"/>
      <c r="H23" s="129"/>
      <c r="I23" s="131"/>
      <c r="J23" s="129"/>
      <c r="K23" s="133"/>
      <c r="L23" s="168" t="s">
        <v>112</v>
      </c>
      <c r="M23" s="168"/>
      <c r="N23" s="133"/>
    </row>
    <row r="24" spans="2:14" ht="63.75" x14ac:dyDescent="0.2">
      <c r="B24" s="166">
        <f t="shared" ref="B24:B26" si="1">B7</f>
        <v>2</v>
      </c>
      <c r="C24" s="877" t="s">
        <v>729</v>
      </c>
      <c r="D24" s="877"/>
      <c r="E24" s="877"/>
      <c r="F24" s="905"/>
      <c r="G24" s="878"/>
      <c r="H24" s="135"/>
      <c r="I24" s="135"/>
      <c r="J24" s="135"/>
      <c r="K24" s="130"/>
      <c r="L24" s="168" t="s">
        <v>396</v>
      </c>
      <c r="M24" s="168"/>
      <c r="N24" s="130"/>
    </row>
    <row r="25" spans="2:14" ht="14.1" customHeight="1" x14ac:dyDescent="0.2">
      <c r="B25" s="166">
        <f t="shared" si="1"/>
        <v>3</v>
      </c>
      <c r="C25" s="877" t="s">
        <v>730</v>
      </c>
      <c r="D25" s="877"/>
      <c r="E25" s="877"/>
      <c r="F25" s="905"/>
      <c r="G25" s="878"/>
      <c r="H25" s="135"/>
      <c r="I25" s="135"/>
      <c r="J25" s="135"/>
      <c r="K25" s="130"/>
      <c r="L25" s="168">
        <v>1</v>
      </c>
      <c r="M25" s="168"/>
      <c r="N25" s="130"/>
    </row>
    <row r="26" spans="2:14" ht="14.1" customHeight="1" thickBot="1" x14ac:dyDescent="0.25">
      <c r="B26" s="191">
        <f t="shared" si="1"/>
        <v>4</v>
      </c>
      <c r="C26" s="900" t="s">
        <v>731</v>
      </c>
      <c r="D26" s="900"/>
      <c r="E26" s="900"/>
      <c r="F26" s="916"/>
      <c r="G26" s="901"/>
      <c r="H26" s="135"/>
      <c r="I26" s="135"/>
      <c r="J26" s="135"/>
      <c r="K26" s="130"/>
      <c r="L26" s="168">
        <v>1</v>
      </c>
      <c r="M26" s="168"/>
      <c r="N26" s="130"/>
    </row>
    <row r="27" spans="2:14" x14ac:dyDescent="0.2">
      <c r="H27" s="135"/>
      <c r="I27" s="135"/>
      <c r="J27" s="135"/>
      <c r="K27" s="130"/>
      <c r="L27" s="267"/>
      <c r="M27" s="267"/>
      <c r="N27" s="130"/>
    </row>
    <row r="28" spans="2:14" hidden="1" x14ac:dyDescent="0.2">
      <c r="H28" s="135"/>
      <c r="I28" s="135"/>
      <c r="J28" s="135"/>
      <c r="K28" s="130"/>
      <c r="L28" s="267"/>
      <c r="M28" s="267"/>
      <c r="N28" s="130"/>
    </row>
    <row r="29" spans="2:14" hidden="1" x14ac:dyDescent="0.2">
      <c r="H29" s="135"/>
      <c r="I29" s="135"/>
      <c r="J29" s="135"/>
      <c r="K29" s="130"/>
      <c r="L29" s="267"/>
      <c r="M29" s="267"/>
      <c r="N29" s="130"/>
    </row>
    <row r="30" spans="2:14" hidden="1" x14ac:dyDescent="0.2">
      <c r="H30" s="135"/>
      <c r="I30" s="135"/>
      <c r="J30" s="135"/>
      <c r="K30" s="130"/>
      <c r="L30" s="212"/>
      <c r="M30" s="212"/>
      <c r="N30" s="130"/>
    </row>
    <row r="31" spans="2:14" hidden="1" x14ac:dyDescent="0.2">
      <c r="H31" s="135"/>
      <c r="I31" s="135"/>
      <c r="J31" s="135"/>
      <c r="K31" s="130"/>
      <c r="L31" s="212"/>
      <c r="M31" s="212"/>
      <c r="N31" s="130"/>
    </row>
    <row r="32" spans="2:14" hidden="1" x14ac:dyDescent="0.2">
      <c r="H32" s="135"/>
      <c r="I32" s="135"/>
      <c r="J32" s="135"/>
      <c r="K32" s="130"/>
      <c r="L32" s="212"/>
      <c r="M32" s="212"/>
      <c r="N32" s="130"/>
    </row>
    <row r="33" spans="8:14" hidden="1" x14ac:dyDescent="0.2">
      <c r="H33" s="135"/>
      <c r="I33" s="131"/>
      <c r="J33" s="129"/>
      <c r="K33" s="133"/>
      <c r="L33" s="212"/>
      <c r="M33" s="212"/>
      <c r="N33" s="133"/>
    </row>
    <row r="34" spans="8:14" hidden="1" x14ac:dyDescent="0.2">
      <c r="H34" s="135"/>
      <c r="I34" s="131"/>
      <c r="J34" s="129"/>
      <c r="K34" s="133"/>
      <c r="L34" s="212"/>
      <c r="M34" s="212"/>
      <c r="N34" s="133"/>
    </row>
    <row r="35" spans="8:14" hidden="1" x14ac:dyDescent="0.2">
      <c r="H35" s="135"/>
      <c r="I35" s="137"/>
      <c r="J35" s="129"/>
      <c r="K35" s="133"/>
      <c r="L35" s="212"/>
      <c r="M35" s="212"/>
      <c r="N35" s="133"/>
    </row>
    <row r="36" spans="8:14" hidden="1" x14ac:dyDescent="0.2">
      <c r="H36" s="135"/>
      <c r="I36" s="131"/>
      <c r="J36" s="129"/>
      <c r="K36" s="133"/>
      <c r="L36" s="212"/>
      <c r="M36" s="212"/>
      <c r="N36" s="133"/>
    </row>
    <row r="37" spans="8:14" hidden="1" x14ac:dyDescent="0.2">
      <c r="H37" s="135"/>
      <c r="I37" s="131"/>
      <c r="J37" s="129"/>
      <c r="K37" s="133"/>
      <c r="L37" s="212"/>
      <c r="M37" s="212"/>
      <c r="N37" s="133"/>
    </row>
    <row r="38" spans="8:14" hidden="1" x14ac:dyDescent="0.2">
      <c r="H38" s="137"/>
      <c r="I38" s="131"/>
      <c r="J38" s="129"/>
      <c r="K38" s="133"/>
      <c r="L38" s="212"/>
      <c r="M38" s="212"/>
      <c r="N38" s="133"/>
    </row>
    <row r="39" spans="8:14" hidden="1" x14ac:dyDescent="0.2">
      <c r="H39" s="137"/>
      <c r="I39" s="131"/>
      <c r="J39" s="129"/>
      <c r="K39" s="133"/>
      <c r="L39" s="212"/>
      <c r="M39" s="212"/>
      <c r="N39" s="133"/>
    </row>
    <row r="40" spans="8:14" hidden="1" x14ac:dyDescent="0.2">
      <c r="H40" s="137"/>
      <c r="I40" s="131"/>
      <c r="J40" s="129"/>
      <c r="K40" s="133"/>
      <c r="L40" s="212"/>
      <c r="M40" s="212"/>
      <c r="N40" s="133"/>
    </row>
    <row r="41" spans="8:14" hidden="1" x14ac:dyDescent="0.2">
      <c r="H41" s="137"/>
      <c r="I41" s="131"/>
      <c r="J41" s="129"/>
      <c r="K41" s="133"/>
      <c r="L41" s="212"/>
      <c r="M41" s="212"/>
      <c r="N41" s="133"/>
    </row>
    <row r="42" spans="8:14" hidden="1" x14ac:dyDescent="0.2">
      <c r="H42" s="137"/>
      <c r="L42" s="212"/>
      <c r="M42" s="212"/>
    </row>
    <row r="43" spans="8:14" hidden="1" x14ac:dyDescent="0.2">
      <c r="H43" s="137"/>
      <c r="L43" s="212"/>
      <c r="M43" s="212"/>
    </row>
    <row r="44" spans="8:14" hidden="1" x14ac:dyDescent="0.2">
      <c r="H44" s="137"/>
      <c r="L44" s="212"/>
      <c r="M44" s="212"/>
    </row>
    <row r="45" spans="8:14" hidden="1" x14ac:dyDescent="0.2">
      <c r="H45" s="137"/>
      <c r="L45" s="212"/>
      <c r="M45" s="212"/>
    </row>
    <row r="46" spans="8:14" hidden="1" x14ac:dyDescent="0.2">
      <c r="H46" s="137"/>
      <c r="L46" s="212"/>
      <c r="M46" s="212"/>
    </row>
    <row r="47" spans="8:14" hidden="1" x14ac:dyDescent="0.2">
      <c r="H47" s="137"/>
      <c r="L47" s="212"/>
      <c r="M47" s="212"/>
    </row>
    <row r="48" spans="8:14" hidden="1" x14ac:dyDescent="0.2">
      <c r="H48" s="137"/>
      <c r="L48" s="212"/>
      <c r="M48" s="212"/>
    </row>
    <row r="49" spans="8:13" hidden="1" x14ac:dyDescent="0.2">
      <c r="H49" s="137"/>
      <c r="L49" s="212"/>
      <c r="M49" s="212"/>
    </row>
    <row r="50" spans="8:13" hidden="1" x14ac:dyDescent="0.2">
      <c r="H50" s="137"/>
      <c r="L50" s="212"/>
      <c r="M50" s="212"/>
    </row>
    <row r="51" spans="8:13" hidden="1" x14ac:dyDescent="0.2">
      <c r="H51" s="137"/>
      <c r="L51" s="212"/>
      <c r="M51" s="212"/>
    </row>
    <row r="52" spans="8:13" hidden="1" x14ac:dyDescent="0.2">
      <c r="H52" s="137"/>
      <c r="L52" s="212"/>
      <c r="M52" s="212"/>
    </row>
    <row r="53" spans="8:13" hidden="1" x14ac:dyDescent="0.2">
      <c r="H53" s="137"/>
      <c r="L53" s="212"/>
      <c r="M53" s="212"/>
    </row>
    <row r="54" spans="8:13" hidden="1" x14ac:dyDescent="0.2">
      <c r="H54" s="137"/>
      <c r="L54" s="212"/>
      <c r="M54" s="212"/>
    </row>
    <row r="55" spans="8:13" hidden="1" x14ac:dyDescent="0.2">
      <c r="H55" s="137"/>
      <c r="L55" s="212"/>
      <c r="M55" s="212"/>
    </row>
    <row r="56" spans="8:13" hidden="1" x14ac:dyDescent="0.2">
      <c r="H56" s="137"/>
      <c r="L56" s="212"/>
      <c r="M56" s="212"/>
    </row>
    <row r="57" spans="8:13" hidden="1" x14ac:dyDescent="0.2">
      <c r="H57" s="137"/>
      <c r="L57" s="212"/>
      <c r="M57" s="212"/>
    </row>
    <row r="58" spans="8:13" hidden="1" x14ac:dyDescent="0.2">
      <c r="H58" s="137"/>
      <c r="L58" s="212"/>
      <c r="M58" s="212"/>
    </row>
    <row r="59" spans="8:13" hidden="1" x14ac:dyDescent="0.2">
      <c r="H59" s="137"/>
      <c r="L59" s="122"/>
      <c r="M59" s="122"/>
    </row>
    <row r="60" spans="8:13" hidden="1" x14ac:dyDescent="0.2">
      <c r="H60" s="137"/>
      <c r="L60" s="122"/>
      <c r="M60" s="122"/>
    </row>
    <row r="61" spans="8:13" hidden="1" x14ac:dyDescent="0.2">
      <c r="L61" s="122"/>
      <c r="M61" s="122"/>
    </row>
    <row r="62" spans="8:13" hidden="1" x14ac:dyDescent="0.2">
      <c r="L62" s="122"/>
      <c r="M62" s="122"/>
    </row>
  </sheetData>
  <sheetProtection algorithmName="SHA-512" hashValue="/oBPzkb0RKD/YiIIhUWgwV4MIFYdoulsGAZQFHGRiVbYKvtBp9Jqn7Zz2+oeE0/ZdR6K0KcyEA/WLZD3OTYyVA==" saltValue="NZeByK2vFJhPDFRxuCokgg==" spinCount="100000" sheet="1" objects="1" scenarios="1"/>
  <mergeCells count="12">
    <mergeCell ref="C26:G26"/>
    <mergeCell ref="I3:I4"/>
    <mergeCell ref="C22:G22"/>
    <mergeCell ref="C23:G23"/>
    <mergeCell ref="C24:G24"/>
    <mergeCell ref="C25:G25"/>
    <mergeCell ref="B11:C11"/>
    <mergeCell ref="B3:C4"/>
    <mergeCell ref="D3:D4"/>
    <mergeCell ref="E3:E4"/>
    <mergeCell ref="G3:G4"/>
    <mergeCell ref="F3:F4"/>
  </mergeCells>
  <conditionalFormatting sqref="I6:I8">
    <cfRule type="cellIs" dxfId="63" priority="5" operator="equal">
      <formula>0</formula>
    </cfRule>
  </conditionalFormatting>
  <printOptions horizontalCentered="1"/>
  <pageMargins left="0.39370078740157483" right="0.39370078740157483" top="0.78740157480314965" bottom="0.78740157480314965" header="0.31496062992125984" footer="0.31496062992125984"/>
  <pageSetup paperSize="9" scale="67"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 id="{8B7D8105-E17C-44F3-81AA-AE6C62F83AB2}">
            <xm:f>'C:\Temp\notes6888BE\[2016-17 APR tables (April 2017).xlsx]Validation'!#REF!=1</xm:f>
            <x14:dxf>
              <fill>
                <patternFill>
                  <bgColor rgb="FFE0DCD8"/>
                </patternFill>
              </fill>
            </x14:dxf>
          </x14:cfRule>
          <xm:sqref>G6</xm:sqref>
        </x14:conditionalFormatting>
        <x14:conditionalFormatting xmlns:xm="http://schemas.microsoft.com/office/excel/2006/main">
          <x14:cfRule type="expression" priority="1" id="{75DF7486-CD8C-4D01-8895-11AD1FA707A1}">
            <xm:f>'C:\Regulatory Strategy\Annual Performance Report\2016-17\Ofwat Gudiance\[2016-17-APR-tables.xlsx]Validation'!#REF!=1</xm:f>
            <x14:dxf>
              <fill>
                <patternFill>
                  <bgColor rgb="FFE0DCD8"/>
                </patternFill>
              </fill>
            </x14:dxf>
          </x14:cfRule>
          <xm:sqref>G7:G8</xm:sqref>
        </x14:conditionalFormatting>
        <x14:conditionalFormatting xmlns:xm="http://schemas.microsoft.com/office/excel/2006/main">
          <x14:cfRule type="expression" priority="3" id="{22B673D0-EB0C-4212-BCD5-D18A7F3374BF}">
            <xm:f>Validation!$H$3=1</xm:f>
            <x14:dxf>
              <fill>
                <patternFill>
                  <bgColor rgb="FFE0DCD8"/>
                </patternFill>
              </fill>
            </x14:dxf>
          </x14:cfRule>
          <xm:sqref>G9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41"/>
  <sheetViews>
    <sheetView showGridLines="0" zoomScale="70" zoomScaleNormal="70" workbookViewId="0">
      <selection activeCell="B3" sqref="B3"/>
    </sheetView>
  </sheetViews>
  <sheetFormatPr defaultColWidth="0" defaultRowHeight="14.25" zeroHeight="1" x14ac:dyDescent="0.2"/>
  <cols>
    <col min="1" max="1" width="1.625" customWidth="1"/>
    <col min="2" max="2" width="50.75" customWidth="1"/>
    <col min="3" max="3" width="16.625" customWidth="1"/>
    <col min="4" max="5" width="17.625" customWidth="1"/>
    <col min="6" max="6" width="1.625" customWidth="1"/>
    <col min="7" max="16383" width="8.75" hidden="1"/>
    <col min="16384" max="16384" width="12.25" hidden="1" customWidth="1"/>
  </cols>
  <sheetData>
    <row r="1" spans="1:8" ht="20.25" x14ac:dyDescent="0.35">
      <c r="B1" s="1" t="s">
        <v>54</v>
      </c>
      <c r="C1" s="1"/>
      <c r="D1" s="1"/>
      <c r="E1" s="10"/>
    </row>
    <row r="2" spans="1:8" ht="15" thickBot="1" x14ac:dyDescent="0.25">
      <c r="B2" s="86" t="s">
        <v>55</v>
      </c>
    </row>
    <row r="3" spans="1:8" ht="16.5" thickBot="1" x14ac:dyDescent="0.25">
      <c r="A3" s="12"/>
      <c r="B3" s="511" t="s">
        <v>56</v>
      </c>
      <c r="C3" s="11" t="s">
        <v>57</v>
      </c>
      <c r="D3" s="12"/>
      <c r="E3" s="12"/>
      <c r="G3" s="12" t="str">
        <f>VLOOKUP(Validation!B3,Lists!B4:D23,3,FALSE)</f>
        <v>WaSC</v>
      </c>
      <c r="H3" s="12">
        <f>IF(G3="Woc",1,0)</f>
        <v>0</v>
      </c>
    </row>
    <row r="4" spans="1:8" x14ac:dyDescent="0.2"/>
    <row r="5" spans="1:8" x14ac:dyDescent="0.2">
      <c r="B5" s="876" t="s">
        <v>58</v>
      </c>
      <c r="C5" s="876"/>
      <c r="D5" s="876"/>
      <c r="E5" s="876"/>
    </row>
    <row r="6" spans="1:8" ht="15" thickBot="1" x14ac:dyDescent="0.25"/>
    <row r="7" spans="1:8" ht="27.75" thickBot="1" x14ac:dyDescent="0.3">
      <c r="B7" s="13" t="s">
        <v>59</v>
      </c>
      <c r="C7" s="14" t="s">
        <v>60</v>
      </c>
      <c r="D7" s="15" t="s">
        <v>61</v>
      </c>
      <c r="E7" s="16" t="s">
        <v>62</v>
      </c>
    </row>
    <row r="8" spans="1:8" ht="19.899999999999999" customHeight="1" x14ac:dyDescent="0.2">
      <c r="A8" s="19"/>
      <c r="B8" s="427" t="str">
        <f>+'1A'!B1</f>
        <v>1A - Income statement</v>
      </c>
      <c r="C8" s="17" t="str">
        <f>IF($H$3="Select company","",IF((SUM('1A'!O6:Q24))&gt;0,"Review validation checks on sheet","No issues identified"))</f>
        <v>No issues identified</v>
      </c>
      <c r="D8" s="18"/>
      <c r="E8" s="78" t="str">
        <f ca="1">+'1A'!B35</f>
        <v>1A - Line definitions</v>
      </c>
    </row>
    <row r="9" spans="1:8" ht="19.899999999999999" customHeight="1" x14ac:dyDescent="0.2">
      <c r="A9" s="19"/>
      <c r="B9" s="428" t="str">
        <f>+'1B'!B1</f>
        <v>1B - Statement of comprehensive income</v>
      </c>
      <c r="C9" s="20" t="str">
        <f>IF($H$3="Select company","",IF((SUM('1B'!O7:Q8))&gt;0,"Review validation checks on sheet","No issues identified"))</f>
        <v>No issues identified</v>
      </c>
      <c r="D9" s="21"/>
      <c r="E9" s="75" t="str">
        <f ca="1">+'1B'!B20</f>
        <v>1B - Line definitions</v>
      </c>
    </row>
    <row r="10" spans="1:8" ht="19.899999999999999" customHeight="1" x14ac:dyDescent="0.2">
      <c r="A10" s="19"/>
      <c r="B10" s="428" t="str">
        <f>+'1C'!B1</f>
        <v>1C - Statement of financial position</v>
      </c>
      <c r="C10" s="20" t="str">
        <f>IF($H$3="Select company","",IF((SUM('1C'!O7:Q46))&gt;0,"Review validation checks on sheet","No issues identified"))</f>
        <v>No issues identified</v>
      </c>
      <c r="D10" s="21"/>
      <c r="E10" s="75" t="str">
        <f ca="1">+'1C'!B58</f>
        <v>1C - Line definitions</v>
      </c>
    </row>
    <row r="11" spans="1:8" ht="19.899999999999999" customHeight="1" x14ac:dyDescent="0.2">
      <c r="A11" s="19"/>
      <c r="B11" s="428" t="str">
        <f>+'1D'!B1</f>
        <v>1D - Statement of cash flows</v>
      </c>
      <c r="C11" s="20" t="str">
        <f>IF($H$3="Select company","",IF((SUM('1D'!O8:Q32))&gt;0,"Review validation checks on sheet","No issues identified"))</f>
        <v>No issues identified</v>
      </c>
      <c r="D11" s="21"/>
      <c r="E11" s="75" t="str">
        <f ca="1">+'1D'!B45</f>
        <v>1D - Line definitions</v>
      </c>
    </row>
    <row r="12" spans="1:8" ht="19.899999999999999" customHeight="1" thickBot="1" x14ac:dyDescent="0.25">
      <c r="A12" s="19"/>
      <c r="B12" s="429" t="str">
        <f>+'1E'!B1</f>
        <v>1E - Net debt analysis at 31 March 2017</v>
      </c>
      <c r="C12" s="22" t="str">
        <f>IF($H$3="Select company","",IF((SUM('1E'!N6:Q23))&gt;0,"Review validation checks on sheet","No issues identified"))</f>
        <v>No issues identified</v>
      </c>
      <c r="D12" s="23"/>
      <c r="E12" s="77" t="str">
        <f ca="1">+'1E'!B34</f>
        <v>1E - Line definitions</v>
      </c>
    </row>
    <row r="13" spans="1:8" ht="15" thickBot="1" x14ac:dyDescent="0.25">
      <c r="A13" s="19"/>
      <c r="B13" s="24"/>
      <c r="C13" s="19"/>
      <c r="D13" s="19"/>
      <c r="E13" s="19"/>
    </row>
    <row r="14" spans="1:8" ht="27.75" thickBot="1" x14ac:dyDescent="0.25">
      <c r="A14" s="19"/>
      <c r="B14" s="13" t="s">
        <v>63</v>
      </c>
      <c r="C14" s="15" t="str">
        <f>C7</f>
        <v>All expected cells completed?</v>
      </c>
      <c r="D14" s="15" t="str">
        <f>D7</f>
        <v>Other validations</v>
      </c>
      <c r="E14" s="16" t="s">
        <v>62</v>
      </c>
    </row>
    <row r="15" spans="1:8" ht="19.899999999999999" customHeight="1" x14ac:dyDescent="0.2">
      <c r="A15" s="19"/>
      <c r="B15" s="427" t="str">
        <f>+'2A'!B1</f>
        <v>2A - Segmental income statement</v>
      </c>
      <c r="C15" s="17" t="str">
        <f>IF($H$3="Select company","",IF((SUM('2A'!T6:AB16))&gt;0,"Review validation checks on sheet","No issues identified"))</f>
        <v>No issues identified</v>
      </c>
      <c r="D15" s="17" t="str">
        <f>IF($H$3="Select company","",IF((SUM('2A'!AD6:AD16))&gt;0,"Review validation checks on sheet","No issues identified"))</f>
        <v>No issues identified</v>
      </c>
      <c r="E15" s="74" t="str">
        <f ca="1">+'2A'!B27</f>
        <v>2A - Line definitions</v>
      </c>
    </row>
    <row r="16" spans="1:8" ht="19.899999999999999" customHeight="1" x14ac:dyDescent="0.2">
      <c r="A16" s="19"/>
      <c r="B16" s="428" t="str">
        <f>+'2B'!B1</f>
        <v>2B - Totex analysis - wholesale water and wastewater</v>
      </c>
      <c r="C16" s="20" t="str">
        <f>IF($H$3="Select company","",IF((SUM('2B'!P6:S30))&gt;0,"Review validation checks on sheet","No issues identified"))</f>
        <v>No issues identified</v>
      </c>
      <c r="D16" s="20" t="str">
        <f>IF($H$3="Select company","",IF((SUM('2B'!U7:U33))&gt;0,"Review validation checks on sheet","No issues identified"))</f>
        <v>Review validation checks on sheet</v>
      </c>
      <c r="E16" s="76" t="str">
        <f ca="1">+'2B'!B44</f>
        <v>2B - Line definitions</v>
      </c>
    </row>
    <row r="17" spans="1:5" ht="19.899999999999999" customHeight="1" x14ac:dyDescent="0.2">
      <c r="A17" s="19"/>
      <c r="B17" s="428" t="str">
        <f>+'2C'!B1</f>
        <v>2C - Operating cost analysis - retail</v>
      </c>
      <c r="C17" s="20" t="str">
        <f>IF($H$3="Select company","",IF((SUM('2C'!M6:N18))&gt;0,"Review validation checks on sheet","No issues identified"))</f>
        <v>No issues identified</v>
      </c>
      <c r="D17" s="21"/>
      <c r="E17" s="76" t="str">
        <f ca="1">+'2C'!B29</f>
        <v>2C - Line definitions</v>
      </c>
    </row>
    <row r="18" spans="1:5" ht="19.899999999999999" customHeight="1" x14ac:dyDescent="0.2">
      <c r="A18" s="19"/>
      <c r="B18" s="428" t="str">
        <f>+'2D'!B1</f>
        <v>2D - Historic cost analysis of fixed assets - wholesale &amp; retail</v>
      </c>
      <c r="C18" s="20" t="str">
        <f>IF($H$3="Select company","",IF((SUM('2D'!R7:W24))&gt;0,"Review validation checks on sheet","No issues identified"))</f>
        <v>No issues identified</v>
      </c>
      <c r="D18" s="20" t="str">
        <f>IF($H$3="Select company","",IF((SUM('2D'!Y7:Y25))&gt;0,"Review validation checks on sheet","No issues identified"))</f>
        <v>No issues identified</v>
      </c>
      <c r="E18" s="76" t="str">
        <f ca="1">+'2D'!B39</f>
        <v>2D - Line definitions</v>
      </c>
    </row>
    <row r="19" spans="1:5" ht="19.899999999999999" customHeight="1" x14ac:dyDescent="0.2">
      <c r="A19" s="19"/>
      <c r="B19" s="428" t="str">
        <f>+'2E'!B1</f>
        <v>2E - Analysis of capital contributions and land sales - wholesale</v>
      </c>
      <c r="C19" s="20" t="str">
        <f>IF($H$3="Select company","",IF((SUM('2E'!N7:P34))&gt;0,"Review validation checks on sheet","No issues identified"))</f>
        <v>No issues identified</v>
      </c>
      <c r="D19" s="21"/>
      <c r="E19" s="76" t="str">
        <f ca="1">+'2E'!B45</f>
        <v>2E - Line definitions</v>
      </c>
    </row>
    <row r="20" spans="1:5" ht="19.899999999999999" customHeight="1" x14ac:dyDescent="0.2">
      <c r="A20" s="19"/>
      <c r="B20" s="428" t="str">
        <f>+'2F'!B1</f>
        <v>2F - Household - revenues by customer type</v>
      </c>
      <c r="C20" s="20" t="str">
        <f>IF($H$3="Select company","",IF((SUM('2F'!M5:P10))&gt;0,"Review validation checks on sheet","No issues identified"))</f>
        <v>No issues identified</v>
      </c>
      <c r="D20" s="21"/>
      <c r="E20" s="76" t="str">
        <f ca="1">+'2F'!B22</f>
        <v>2F - Line definitions</v>
      </c>
    </row>
    <row r="21" spans="1:5" ht="19.899999999999999" customHeight="1" x14ac:dyDescent="0.2">
      <c r="A21" s="19"/>
      <c r="B21" s="428" t="str">
        <f>+'2G'!B1</f>
        <v>2G - Non-household water - revenues by customer type</v>
      </c>
      <c r="C21" s="20" t="str">
        <f>IF($H$3="Select company","",IF((SUM('2G'!N6:P33))&gt;0,"Review validation checks on sheet","No issues identified"))</f>
        <v>No issues identified</v>
      </c>
      <c r="D21" s="20" t="str">
        <f>IF($H$3="Select company","",IF((SUM('2G'!R29:R29))&gt;0,"Review validation checks on sheet","No issues identified"))</f>
        <v>No issues identified</v>
      </c>
      <c r="E21" s="76" t="str">
        <f ca="1">+'2G'!B44</f>
        <v>2G - Line definitions</v>
      </c>
    </row>
    <row r="22" spans="1:5" ht="19.899999999999999" customHeight="1" x14ac:dyDescent="0.2">
      <c r="A22" s="19"/>
      <c r="B22" s="428" t="str">
        <f>+'2H'!B1</f>
        <v>2H - Non-household wastewater - revenues by customer type</v>
      </c>
      <c r="C22" s="20" t="str">
        <f>IF($H$3="Select company","",IF(G3="WoC","",IF((SUM('2H'!N6:P35))&gt;0,"Review validation checks on sheet","No issues identified")))</f>
        <v>No issues identified</v>
      </c>
      <c r="D22" s="20" t="str">
        <f>IF($H$3="Select company","",IF(G3="WoC","",IF((SUM('2H'!R31:R31))&gt;0,"Review validation checks on sheet","No issues identified")))</f>
        <v>No issues identified</v>
      </c>
      <c r="E22" s="76" t="str">
        <f ca="1">+'2H'!B46</f>
        <v>2H - Line definitions</v>
      </c>
    </row>
    <row r="23" spans="1:5" ht="19.899999999999999" customHeight="1" thickBot="1" x14ac:dyDescent="0.25">
      <c r="A23" s="19"/>
      <c r="B23" s="429" t="str">
        <f>+'2I'!B1</f>
        <v>2I - Revenue analysis &amp; wholesale control reconciliation</v>
      </c>
      <c r="C23" s="22" t="str">
        <f>IF($H$3="Select company","",IF((SUM('2I'!N6:P42))&gt;0,"Review validation checks on sheet","No issues identified"))</f>
        <v>No issues identified</v>
      </c>
      <c r="D23" s="22" t="str">
        <f>IF($H$3="Select company","",IF((SUM('2I'!R23:R32))&gt;0,"Review validation checks on sheet","No issues identified"))</f>
        <v>No issues identified</v>
      </c>
      <c r="E23" s="77" t="str">
        <f ca="1">+'2I'!B55</f>
        <v>2I - Line definitions</v>
      </c>
    </row>
    <row r="24" spans="1:5" ht="15" thickBot="1" x14ac:dyDescent="0.25">
      <c r="A24" s="12"/>
      <c r="B24" s="25"/>
      <c r="C24" s="25"/>
      <c r="D24" s="25"/>
      <c r="E24" s="19"/>
    </row>
    <row r="25" spans="1:5" ht="27.75" thickBot="1" x14ac:dyDescent="0.3">
      <c r="A25" s="12"/>
      <c r="B25" s="26" t="s">
        <v>64</v>
      </c>
      <c r="C25" s="14" t="s">
        <v>60</v>
      </c>
      <c r="D25" s="15" t="s">
        <v>61</v>
      </c>
      <c r="E25" s="16" t="s">
        <v>62</v>
      </c>
    </row>
    <row r="26" spans="1:5" ht="19.899999999999999" customHeight="1" x14ac:dyDescent="0.2">
      <c r="A26" s="27"/>
      <c r="B26" s="427" t="str">
        <f>+'3A'!B1</f>
        <v>3A - Outcome performance table</v>
      </c>
      <c r="C26" s="17" t="str">
        <f>IF($H$3="Select company","",IF((SUM('3A'!V5:AD59))&gt;0,"Review validation checks on sheet","No issues identified"))</f>
        <v>No issues identified</v>
      </c>
      <c r="D26" s="17" t="str">
        <f>IF($H$3="Select company","",IF((SUM('3A'!AF5:AG59))&gt;0,"Review validation checks on sheet","No issues identified"))</f>
        <v>No issues identified</v>
      </c>
      <c r="E26" s="618" t="s">
        <v>65</v>
      </c>
    </row>
    <row r="27" spans="1:5" ht="19.899999999999999" customHeight="1" x14ac:dyDescent="0.2">
      <c r="A27" s="27"/>
      <c r="B27" s="428" t="str">
        <f>+'3B'!B1</f>
        <v>3B - Sub-measure performance table</v>
      </c>
      <c r="C27" s="20" t="str">
        <f>IF($H$3="Select company","",IF((SUM('3B'!P5:Q44))&gt;0,"Review validation checks on sheet","No issues identified"))</f>
        <v>No issues identified</v>
      </c>
      <c r="D27" s="20" t="str">
        <f>IF($H$3="Select company","",IF((SUM('3B'!S5:T44))&gt;0,"Review validation checks on sheet","No issues identified"))</f>
        <v>No issues identified</v>
      </c>
      <c r="E27" s="650" t="s">
        <v>66</v>
      </c>
    </row>
    <row r="28" spans="1:5" ht="19.899999999999999" customHeight="1" x14ac:dyDescent="0.2">
      <c r="A28" s="27"/>
      <c r="B28" s="428" t="str">
        <f>+'3C'!B1</f>
        <v>3C - AIM table</v>
      </c>
      <c r="C28" s="20" t="str">
        <f>IF($H$3="Select company","",IF((SUM('3C'!O5:R29))&gt;0,"Review validation checks on sheet","No issues identified"))</f>
        <v>No issues identified</v>
      </c>
      <c r="D28" s="20" t="str">
        <f>IF($H$3="Select company","",IF((SUM('3C'!T5:W29))&gt;0,"Review validation checks on sheet","No issues identified"))</f>
        <v>No issues identified</v>
      </c>
      <c r="E28" s="75" t="s">
        <v>67</v>
      </c>
    </row>
    <row r="29" spans="1:5" ht="19.899999999999999" customHeight="1" thickBot="1" x14ac:dyDescent="0.25">
      <c r="A29" s="27"/>
      <c r="B29" s="429" t="str">
        <f>+'3D'!B1</f>
        <v>3D - SIM table</v>
      </c>
      <c r="C29" s="22" t="str">
        <f>IF($H$3="Select company","",IF((SUM('3D'!L7:L14))&gt;0,"Review validation checks on sheet","No issues identified"))</f>
        <v>No issues identified</v>
      </c>
      <c r="D29" s="22" t="str">
        <f>IF($H$3="Select company","",IF((SUM('3D'!N7:N10,'3D'!P14))&gt;0,"Review validation checks on sheet","No issues identified"))</f>
        <v>No issues identified</v>
      </c>
      <c r="E29" s="77" t="s">
        <v>68</v>
      </c>
    </row>
    <row r="30" spans="1:5" ht="15" thickBot="1" x14ac:dyDescent="0.25">
      <c r="A30" s="12"/>
      <c r="B30" s="25"/>
      <c r="C30" s="25"/>
      <c r="D30" s="25"/>
      <c r="E30" s="19"/>
    </row>
    <row r="31" spans="1:5" ht="27.75" thickBot="1" x14ac:dyDescent="0.3">
      <c r="A31" s="12"/>
      <c r="B31" s="26" t="s">
        <v>69</v>
      </c>
      <c r="C31" s="14" t="s">
        <v>60</v>
      </c>
      <c r="D31" s="15" t="s">
        <v>61</v>
      </c>
      <c r="E31" s="16" t="s">
        <v>62</v>
      </c>
    </row>
    <row r="32" spans="1:5" ht="19.899999999999999" customHeight="1" x14ac:dyDescent="0.2">
      <c r="A32" s="19"/>
      <c r="B32" s="427" t="str">
        <f>+'4A'!B1</f>
        <v>4A - Non-financial information</v>
      </c>
      <c r="C32" s="17" t="str">
        <f>IF($H$3="Select company","",IF((SUM('4A'!L8:M17))&gt;0,"Review validation checks on sheet","No issues identified"))</f>
        <v>No issues identified</v>
      </c>
      <c r="D32" s="18"/>
      <c r="E32" s="74" t="str">
        <f ca="1">+'4A'!B28</f>
        <v>4A - Line definitions</v>
      </c>
    </row>
    <row r="33" spans="1:5" ht="19.899999999999999" customHeight="1" x14ac:dyDescent="0.2">
      <c r="A33" s="19"/>
      <c r="B33" s="428" t="str">
        <f>+'4B'!B1</f>
        <v xml:space="preserve">4B - Wholesale totex analysis </v>
      </c>
      <c r="C33" s="20" t="str">
        <f>IF($H$3="Select company","",IF((SUM('4B'!N10:O23))&gt;0,"Review validation checks on sheet","No issues identified"))</f>
        <v>No issues identified</v>
      </c>
      <c r="D33" s="21"/>
      <c r="E33" s="75" t="str">
        <f ca="1">+'4B'!B34</f>
        <v>4B - Line definitions</v>
      </c>
    </row>
    <row r="34" spans="1:5" ht="19.899999999999999" customHeight="1" x14ac:dyDescent="0.2">
      <c r="A34" s="19"/>
      <c r="B34" s="428" t="str">
        <f>+'4C'!B1</f>
        <v>4C - Impact of AMP performance to date on RCV</v>
      </c>
      <c r="C34" s="20" t="str">
        <f>IF($H$3="Select company","",IF((SUM('4C'!L6:L8))&gt;0,"Review validation checks on sheet","No issues identified"))</f>
        <v>No issues identified</v>
      </c>
      <c r="D34" s="21"/>
      <c r="E34" s="76" t="str">
        <f ca="1">+'4C'!B20</f>
        <v>4C - Line definitions</v>
      </c>
    </row>
    <row r="35" spans="1:5" ht="19.899999999999999" customHeight="1" x14ac:dyDescent="0.2">
      <c r="A35" s="19"/>
      <c r="B35" s="428" t="str">
        <f>+'4D'!B1</f>
        <v>4D - Wholesale totex analysis - water</v>
      </c>
      <c r="C35" s="20" t="str">
        <f>IF($H$3="Select company","",IF((SUM('4D'!R7:W42))&gt;0,"Review validation checks on sheet","No issues identified"))</f>
        <v>No issues identified</v>
      </c>
      <c r="D35" s="20" t="str">
        <f>IF($H$3="Select company","",IF((SUM('4D'!Y7:Y32))&gt;0,"Review validation checks on sheet","No issues identified"))</f>
        <v>Review validation checks on sheet</v>
      </c>
      <c r="E35" s="76" t="str">
        <f ca="1">+'4D'!B54</f>
        <v>4D - Line definitions</v>
      </c>
    </row>
    <row r="36" spans="1:5" ht="19.899999999999999" customHeight="1" x14ac:dyDescent="0.2">
      <c r="A36" s="19"/>
      <c r="B36" s="428" t="str">
        <f>+'4E'!B1</f>
        <v>4E - Wholesale totex analysis - wastewater</v>
      </c>
      <c r="C36" s="20" t="str">
        <f>IF($H$3="Select company","",IF(G3="WoC","",IF((SUM('4E'!T7:AA44))&gt;0,"Review validation checks on sheet","No issues identified")))</f>
        <v>No issues identified</v>
      </c>
      <c r="D36" s="20" t="str">
        <f>IF($H$3="Select company","",IF(G3="WoC","",IF((SUM('4E'!AC7:AC32))&gt;0,"Review validation checks on sheet","No issues identified")))</f>
        <v>Review validation checks on sheet</v>
      </c>
      <c r="E36" s="76" t="str">
        <f ca="1">+'4E'!B56</f>
        <v>4E - Line definitions</v>
      </c>
    </row>
    <row r="37" spans="1:5" ht="19.899999999999999" customHeight="1" x14ac:dyDescent="0.2">
      <c r="A37" s="19"/>
      <c r="B37" s="428" t="str">
        <f>+'4F'!B1</f>
        <v>4F - Operating cost analysis - household retail</v>
      </c>
      <c r="C37" s="20" t="str">
        <f>IF($H$3="Select company","",IF((SUM('4F'!T7:Z24))&gt;0,"Review validation checks on sheet","No issues identified"))</f>
        <v>No issues identified</v>
      </c>
      <c r="D37" s="20" t="str">
        <f>IF($H$3="Select company","",IF((SUM('4F'!AB7:AB17))&gt;0,"Review validation checks on sheet","No issues identified"))</f>
        <v>No issues identified</v>
      </c>
      <c r="E37" s="76" t="str">
        <f ca="1">+'4F'!B36</f>
        <v>4F - Line definitions</v>
      </c>
    </row>
    <row r="38" spans="1:5" ht="19.899999999999999" customHeight="1" x14ac:dyDescent="0.2">
      <c r="A38" s="19"/>
      <c r="B38" s="428" t="str">
        <f>+'4G'!B1</f>
        <v>4G - Wholesale current cost financial performance</v>
      </c>
      <c r="C38" s="20" t="str">
        <f>IF($H$3="Select company","",IF((SUM('4G'!N5:O17))&gt;0,"Review validation checks on sheet","No issues identified"))</f>
        <v>No issues identified</v>
      </c>
      <c r="D38" s="20" t="str">
        <f>IF($H$3="Select company","",IF((SUM('4G'!Q11:Q17))&gt;0,"Review validation checks on sheet","No issues identified"))</f>
        <v>No issues identified</v>
      </c>
      <c r="E38" s="76" t="str">
        <f ca="1">+'4G'!B29</f>
        <v>4G - Line definitions</v>
      </c>
    </row>
    <row r="39" spans="1:5" ht="19.899999999999999" customHeight="1" x14ac:dyDescent="0.2">
      <c r="A39" s="19"/>
      <c r="B39" s="428" t="str">
        <f>+'4H'!B1</f>
        <v>4H - Financial metrics</v>
      </c>
      <c r="C39" s="20" t="str">
        <f>IF($H$3="Select company","",IF((SUM('4H'!L10:L38))&gt;0,"Review validation checks on sheet","No issues identified"))</f>
        <v>No issues identified</v>
      </c>
      <c r="D39" s="20" t="str">
        <f>IF($H$3="Select company","",IF((SUM('4H'!N33:N38))&gt;0,"Review validation checks on sheet","No issues identified"))</f>
        <v>No issues identified</v>
      </c>
      <c r="E39" s="75" t="str">
        <f ca="1">+'4H'!B50</f>
        <v>4H - Line definitions</v>
      </c>
    </row>
    <row r="40" spans="1:5" ht="19.899999999999999" customHeight="1" thickBot="1" x14ac:dyDescent="0.25">
      <c r="A40" s="19"/>
      <c r="B40" s="429" t="str">
        <f>+'4I'!B1</f>
        <v>4I - Financial derivatives</v>
      </c>
      <c r="C40" s="22" t="str">
        <f>IF($H$3="Select company","",IF((SUM('4I'!T8:Z38))&gt;0,"Review validation checks on sheet","No issues identified"))</f>
        <v>No issues identified</v>
      </c>
      <c r="D40" s="22" t="str">
        <f>IF($H$3="Select company","",IF((SUM('4I'!AB41:AB41))&gt;0,"Review validation checks on sheet","No issues identified"))</f>
        <v>Review validation checks on sheet</v>
      </c>
      <c r="E40" s="77" t="str">
        <f ca="1">+'4I'!B52</f>
        <v>4I - Line definitions</v>
      </c>
    </row>
    <row r="41" spans="1:5" x14ac:dyDescent="0.2"/>
  </sheetData>
  <sheetProtection algorithmName="SHA-512" hashValue="iVSFda8munDtjASUYATQ+5GfpJyCDHa3jpIchuLT5QbVD/T24t2UwPg2eyOjkrBjd5rl8qDu3DH4xlBeMjamxA==" saltValue="7K4Vn9Gs/IMERtp82v0Lkw==" spinCount="100000" sheet="1" objects="1" scenarios="1"/>
  <mergeCells count="1">
    <mergeCell ref="B5:E5"/>
  </mergeCells>
  <conditionalFormatting sqref="C15:C23 C32:C40 D35:D37 C8:C12 D15">
    <cfRule type="cellIs" dxfId="212" priority="18" operator="equal">
      <formula>"Review validation checks on sheet"</formula>
    </cfRule>
  </conditionalFormatting>
  <conditionalFormatting sqref="C22:D22 C36:D36">
    <cfRule type="expression" dxfId="211" priority="17">
      <formula>$H$3=1</formula>
    </cfRule>
  </conditionalFormatting>
  <conditionalFormatting sqref="C26:D29">
    <cfRule type="containsBlanks" dxfId="210" priority="6">
      <formula>LEN(TRIM(C26))=0</formula>
    </cfRule>
    <cfRule type="cellIs" dxfId="209" priority="8" operator="equal">
      <formula>"Review validation checks on sheet"</formula>
    </cfRule>
  </conditionalFormatting>
  <conditionalFormatting sqref="C32:D40 C15:D23 C8:D12">
    <cfRule type="containsBlanks" dxfId="208" priority="12">
      <formula>LEN(TRIM(C8))=0</formula>
    </cfRule>
  </conditionalFormatting>
  <conditionalFormatting sqref="D16">
    <cfRule type="cellIs" dxfId="207" priority="3" operator="equal">
      <formula>"Review validation checks on sheet"</formula>
    </cfRule>
  </conditionalFormatting>
  <conditionalFormatting sqref="D18">
    <cfRule type="cellIs" dxfId="206" priority="1" operator="equal">
      <formula>"Review validation checks on sheet"</formula>
    </cfRule>
  </conditionalFormatting>
  <conditionalFormatting sqref="D21:D23">
    <cfRule type="cellIs" dxfId="205" priority="14" operator="equal">
      <formula>"Review validation checks on sheet"</formula>
    </cfRule>
  </conditionalFormatting>
  <conditionalFormatting sqref="D22">
    <cfRule type="expression" dxfId="204" priority="13">
      <formula>$H$3=1</formula>
    </cfRule>
  </conditionalFormatting>
  <conditionalFormatting sqref="D38">
    <cfRule type="cellIs" dxfId="203" priority="5" operator="equal">
      <formula>"Review validation checks on sheet"</formula>
    </cfRule>
  </conditionalFormatting>
  <conditionalFormatting sqref="D39:D40">
    <cfRule type="cellIs" dxfId="202" priority="16" operator="equal">
      <formula>"Review validation checks on sheet"</formula>
    </cfRule>
  </conditionalFormatting>
  <hyperlinks>
    <hyperlink ref="E8" location="'1A'!B33" display="W3A - line definitions" xr:uid="{00000000-0004-0000-0200-000000000000}"/>
    <hyperlink ref="B8" location="'1A'!B1" display="A1 - table name" xr:uid="{00000000-0004-0000-0200-000001000000}"/>
    <hyperlink ref="E9" location="'1B'!B20" display="'1B'!B20" xr:uid="{00000000-0004-0000-0200-000002000000}"/>
    <hyperlink ref="E10" location="'1C'!B58" display="'1C'!B58" xr:uid="{00000000-0004-0000-0200-000003000000}"/>
    <hyperlink ref="E11" location="'1D'!B45" display="'1D'!B45" xr:uid="{00000000-0004-0000-0200-000004000000}"/>
    <hyperlink ref="E12" location="'1E'!B32" display="'1E'!B32" xr:uid="{00000000-0004-0000-0200-000005000000}"/>
    <hyperlink ref="E15" location="'2A'!B25" display="'2A'!B25" xr:uid="{00000000-0004-0000-0200-000006000000}"/>
    <hyperlink ref="E16" location="'2B'!B44" display="'2B'!B44" xr:uid="{00000000-0004-0000-0200-000007000000}"/>
    <hyperlink ref="E17" location="'2C'!B28" display="'2C'!B28" xr:uid="{00000000-0004-0000-0200-000008000000}"/>
    <hyperlink ref="E18" location="'2D'!B30" display="'2D'!B30" xr:uid="{00000000-0004-0000-0200-000009000000}"/>
    <hyperlink ref="E19" location="'2E'!B42" display="'2E'!B42" xr:uid="{00000000-0004-0000-0200-00000A000000}"/>
    <hyperlink ref="E20" location="'2F'!B22" display="'2F'!B22" xr:uid="{00000000-0004-0000-0200-00000B000000}"/>
    <hyperlink ref="E21" location="'2G'!B40" display="'2G'!B40" xr:uid="{00000000-0004-0000-0200-00000C000000}"/>
    <hyperlink ref="E22" location="'2H'!B42" display="'2H'!B42" xr:uid="{00000000-0004-0000-0200-00000D000000}"/>
    <hyperlink ref="E23" location="'2I'!B49" display="'2I'!B49" xr:uid="{00000000-0004-0000-0200-00000E000000}"/>
    <hyperlink ref="E32" location="'4A'!B31" display="'4A'!B31" xr:uid="{00000000-0004-0000-0200-00000F000000}"/>
    <hyperlink ref="E33" location="'4B'!B27" display="'4B'!B27" xr:uid="{00000000-0004-0000-0200-000010000000}"/>
    <hyperlink ref="E34" location="'4C'!B20" display="'4C'!B20" xr:uid="{00000000-0004-0000-0200-000011000000}"/>
    <hyperlink ref="E35" location="'4D'!B52" display="'4D'!B52" xr:uid="{00000000-0004-0000-0200-000012000000}"/>
    <hyperlink ref="E36" location="'4E'!B54" display="'4E'!B54" xr:uid="{00000000-0004-0000-0200-000013000000}"/>
    <hyperlink ref="E37" location="'4F'!B33" display="'4F'!B33" xr:uid="{00000000-0004-0000-0200-000014000000}"/>
    <hyperlink ref="E38" location="'4G'!B29" display="'4G'!B29" xr:uid="{00000000-0004-0000-0200-000015000000}"/>
    <hyperlink ref="E39" location="'4H'!B47" display="'4H'!B47" xr:uid="{00000000-0004-0000-0200-000016000000}"/>
    <hyperlink ref="E40" location="'4I'!B46" display="'4I'!B46" xr:uid="{00000000-0004-0000-0200-000017000000}"/>
    <hyperlink ref="B9" location="'1B'!B1" display="'1B'!B1" xr:uid="{00000000-0004-0000-0200-000018000000}"/>
    <hyperlink ref="B10" location="'1C'!B1" display="'1C'!B1" xr:uid="{00000000-0004-0000-0200-000019000000}"/>
    <hyperlink ref="B11" location="'1D'!B1" display="'1D'!B1" xr:uid="{00000000-0004-0000-0200-00001A000000}"/>
    <hyperlink ref="B12" location="'1E'!B1" display="'1E'!B1" xr:uid="{00000000-0004-0000-0200-00001B000000}"/>
    <hyperlink ref="B15" location="'2A'!B1" display="'2A'!B1" xr:uid="{00000000-0004-0000-0200-00001C000000}"/>
    <hyperlink ref="B16" location="'2B'!B1" display="'2B'!B1" xr:uid="{00000000-0004-0000-0200-00001D000000}"/>
    <hyperlink ref="B17" location="'2C'!B1" display="'2C'!B1" xr:uid="{00000000-0004-0000-0200-00001E000000}"/>
    <hyperlink ref="B18" location="'2D'!B1" display="'2D'!B1" xr:uid="{00000000-0004-0000-0200-00001F000000}"/>
    <hyperlink ref="B19" location="'2E'!B1" display="'2E'!B1" xr:uid="{00000000-0004-0000-0200-000020000000}"/>
    <hyperlink ref="B20" location="'2F'!B1" display="'2F'!B1" xr:uid="{00000000-0004-0000-0200-000021000000}"/>
    <hyperlink ref="B21" location="'2G'!B1" display="'2G'!B1" xr:uid="{00000000-0004-0000-0200-000022000000}"/>
    <hyperlink ref="B22" location="'2H'!B1" display="'2H'!B1" xr:uid="{00000000-0004-0000-0200-000023000000}"/>
    <hyperlink ref="B23" location="'2I'!B1" display="'2I'!B1" xr:uid="{00000000-0004-0000-0200-000024000000}"/>
    <hyperlink ref="B26" location="'3A'!B1" display="'3A'!B1" xr:uid="{00000000-0004-0000-0200-000025000000}"/>
    <hyperlink ref="B32" location="'4A'!B1" display="'4A'!B1" xr:uid="{00000000-0004-0000-0200-000026000000}"/>
    <hyperlink ref="B33" location="'4B'!B1" display="'4B'!B1" xr:uid="{00000000-0004-0000-0200-000027000000}"/>
    <hyperlink ref="B34" location="'4C'!B1" display="'4C'!B1" xr:uid="{00000000-0004-0000-0200-000028000000}"/>
    <hyperlink ref="B35" location="'4D'!B1" display="'4D'!B1" xr:uid="{00000000-0004-0000-0200-000029000000}"/>
    <hyperlink ref="B36" location="'4E'!B1" display="'4E'!B1" xr:uid="{00000000-0004-0000-0200-00002A000000}"/>
    <hyperlink ref="B37" location="'4F'!B1" display="'4F'!B1" xr:uid="{00000000-0004-0000-0200-00002B000000}"/>
    <hyperlink ref="B38" location="'4G'!B1" display="'4G'!B1" xr:uid="{00000000-0004-0000-0200-00002C000000}"/>
    <hyperlink ref="B39" location="'4H'!B1" display="'4H'!B1" xr:uid="{00000000-0004-0000-0200-00002D000000}"/>
    <hyperlink ref="B40" location="'4I'!B1" display="'4I'!B1" xr:uid="{00000000-0004-0000-0200-00002E000000}"/>
    <hyperlink ref="E26" location="'3A'!B70" display="3A - Line definitions" xr:uid="{00000000-0004-0000-0200-00002F000000}"/>
    <hyperlink ref="B27" location="'3A'!B1" display="'3A'!B1" xr:uid="{00000000-0004-0000-0200-000030000000}"/>
    <hyperlink ref="B28" location="'3A'!B1" display="'3A'!B1" xr:uid="{00000000-0004-0000-0200-000031000000}"/>
    <hyperlink ref="B29" location="'3A'!B1" display="'3A'!B1" xr:uid="{00000000-0004-0000-0200-000032000000}"/>
    <hyperlink ref="E27" location="'3B'!B55" display="3B - Line definitions" xr:uid="{00000000-0004-0000-0200-000033000000}"/>
    <hyperlink ref="E28:E29" location="'3B'!B55" display="3B - Line definitions" xr:uid="{00000000-0004-0000-0200-000034000000}"/>
    <hyperlink ref="E28" location="'3C'!B42" display="3C - Line definitions" xr:uid="{00000000-0004-0000-0200-000035000000}"/>
    <hyperlink ref="E29" location="'3D'!B29" display="3D - Line definitions" xr:uid="{00000000-0004-0000-0200-000036000000}"/>
  </hyperlinks>
  <printOptions horizontalCentered="1"/>
  <pageMargins left="0.39370078740157483" right="0.39370078740157483" top="0.78740157480314965" bottom="0.78740157480314965" header="0.31496062992125984" footer="0.31496062992125984"/>
  <pageSetup paperSize="9" scale="84"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Lists!$B$4:$B$23</xm:f>
          </x14:formula1>
          <xm:sqref>B3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C1D5-FC32-4C0E-AFC0-A61AF9E7E864}">
  <dimension ref="A1"/>
  <sheetViews>
    <sheetView workbookViewId="0"/>
  </sheetViews>
  <sheetFormatPr defaultRowHeight="14.25" x14ac:dyDescent="0.2"/>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E98"/>
  <sheetViews>
    <sheetView showGridLines="0" zoomScale="80" zoomScaleNormal="80" zoomScaleSheetLayoutView="100" workbookViewId="0">
      <selection activeCell="H21" sqref="H21"/>
    </sheetView>
  </sheetViews>
  <sheetFormatPr defaultColWidth="0" defaultRowHeight="14.25" zeroHeight="1" x14ac:dyDescent="0.2"/>
  <cols>
    <col min="1" max="1" width="1.75" customWidth="1"/>
    <col min="2" max="2" width="4.125" customWidth="1"/>
    <col min="3" max="3" width="45.125" customWidth="1"/>
    <col min="4" max="5" width="5.125" customWidth="1"/>
    <col min="6" max="6" width="10" customWidth="1"/>
    <col min="7" max="7" width="12.125" customWidth="1"/>
    <col min="8" max="8" width="11.75" customWidth="1"/>
    <col min="9" max="9" width="11.625" customWidth="1"/>
    <col min="10" max="10" width="11.5" customWidth="1"/>
    <col min="11" max="11" width="12.625" customWidth="1"/>
    <col min="12" max="12" width="12.5" customWidth="1"/>
    <col min="13" max="13" width="2.625" style="83" customWidth="1"/>
    <col min="14" max="14" width="48.25" style="87" bestFit="1" customWidth="1"/>
    <col min="15" max="15" width="18.75" style="83" bestFit="1" customWidth="1"/>
    <col min="16" max="16" width="1.625" style="83" customWidth="1"/>
    <col min="17" max="17" width="1.625" style="84" hidden="1" customWidth="1"/>
    <col min="18" max="23" width="4.625" style="83" hidden="1" customWidth="1"/>
    <col min="24" max="24" width="1.625" style="84" hidden="1" customWidth="1"/>
    <col min="25" max="25" width="8.75" style="87" hidden="1" customWidth="1"/>
    <col min="26" max="26" width="1.625" style="84" hidden="1" customWidth="1"/>
    <col min="27" max="29" width="8.75" style="87" hidden="1" customWidth="1"/>
    <col min="30" max="30" width="62.25" style="87" hidden="1" customWidth="1"/>
    <col min="31" max="31" width="1.625" style="84" hidden="1" customWidth="1"/>
    <col min="32" max="16384" width="8.75" hidden="1"/>
  </cols>
  <sheetData>
    <row r="1" spans="2:30" ht="20.25" x14ac:dyDescent="0.2">
      <c r="B1" s="79" t="s">
        <v>732</v>
      </c>
      <c r="C1" s="79"/>
      <c r="D1" s="79"/>
      <c r="E1" s="79"/>
      <c r="F1" s="79"/>
      <c r="G1" s="79"/>
      <c r="H1" s="79"/>
      <c r="I1" s="79"/>
      <c r="J1" s="79"/>
      <c r="K1" s="79"/>
      <c r="L1" s="81" t="str">
        <f>Validation!B3</f>
        <v>Yorkshire Water</v>
      </c>
      <c r="M1" s="79"/>
      <c r="N1" s="82"/>
      <c r="O1" s="82" t="s">
        <v>72</v>
      </c>
      <c r="Y1" s="83"/>
      <c r="AA1"/>
      <c r="AB1"/>
      <c r="AC1"/>
      <c r="AD1"/>
    </row>
    <row r="2" spans="2:30" ht="15" thickBot="1" x14ac:dyDescent="0.25">
      <c r="B2" s="86" t="s">
        <v>55</v>
      </c>
      <c r="C2" s="83"/>
      <c r="D2" s="83"/>
      <c r="E2" s="83"/>
      <c r="F2" s="83"/>
      <c r="G2" s="83"/>
      <c r="H2" s="83"/>
      <c r="I2" s="83"/>
      <c r="J2" s="83"/>
      <c r="K2" s="83"/>
      <c r="L2" s="83"/>
      <c r="N2" s="83"/>
      <c r="Y2" s="83"/>
    </row>
    <row r="3" spans="2:30" ht="14.65" customHeight="1" x14ac:dyDescent="0.2">
      <c r="B3" s="959" t="s">
        <v>73</v>
      </c>
      <c r="C3" s="960"/>
      <c r="D3" s="963" t="s">
        <v>74</v>
      </c>
      <c r="E3" s="965" t="s">
        <v>75</v>
      </c>
      <c r="F3" s="1036" t="s">
        <v>298</v>
      </c>
      <c r="G3" s="1037"/>
      <c r="H3" s="1041" t="s">
        <v>733</v>
      </c>
      <c r="I3" s="1042"/>
      <c r="J3" s="1043"/>
      <c r="K3" s="1044"/>
      <c r="L3" s="1038" t="s">
        <v>257</v>
      </c>
      <c r="N3" s="894" t="s">
        <v>294</v>
      </c>
      <c r="O3" s="894" t="s">
        <v>79</v>
      </c>
    </row>
    <row r="4" spans="2:30" ht="27.75" thickBot="1" x14ac:dyDescent="0.25">
      <c r="B4" s="961"/>
      <c r="C4" s="962"/>
      <c r="D4" s="964"/>
      <c r="E4" s="966"/>
      <c r="F4" s="220" t="s">
        <v>734</v>
      </c>
      <c r="G4" s="221" t="s">
        <v>735</v>
      </c>
      <c r="H4" s="223" t="s">
        <v>736</v>
      </c>
      <c r="I4" s="221" t="s">
        <v>737</v>
      </c>
      <c r="J4" s="220" t="s">
        <v>738</v>
      </c>
      <c r="K4" s="222" t="s">
        <v>739</v>
      </c>
      <c r="L4" s="1039"/>
      <c r="N4" s="1040"/>
      <c r="O4" s="895"/>
    </row>
    <row r="5" spans="2:30" ht="24.75" thickBot="1" x14ac:dyDescent="0.25">
      <c r="B5" s="83"/>
      <c r="C5" s="83"/>
      <c r="D5" s="83"/>
      <c r="E5" s="83"/>
      <c r="F5" s="83"/>
      <c r="G5" s="83"/>
      <c r="H5" s="83"/>
      <c r="I5" s="83"/>
      <c r="J5" s="83"/>
      <c r="K5" s="83"/>
      <c r="L5" s="83"/>
      <c r="R5" s="896" t="s">
        <v>83</v>
      </c>
      <c r="S5" s="896"/>
      <c r="T5" s="896"/>
      <c r="U5" s="896"/>
      <c r="V5" s="896"/>
      <c r="W5" s="896"/>
      <c r="Y5" s="842" t="s">
        <v>61</v>
      </c>
      <c r="AA5" s="89" t="s">
        <v>295</v>
      </c>
      <c r="AB5" s="842"/>
      <c r="AC5" s="842"/>
      <c r="AD5" s="842"/>
    </row>
    <row r="6" spans="2:30" ht="15" thickBot="1" x14ac:dyDescent="0.25">
      <c r="B6" s="125" t="s">
        <v>134</v>
      </c>
      <c r="C6" s="126" t="s">
        <v>307</v>
      </c>
      <c r="D6" s="83"/>
      <c r="E6" s="83"/>
      <c r="F6" s="83"/>
      <c r="G6" s="83"/>
      <c r="H6" s="83"/>
      <c r="I6" s="83"/>
      <c r="J6" s="83"/>
      <c r="K6" s="83"/>
      <c r="L6" s="83"/>
      <c r="N6" s="38"/>
      <c r="O6" s="28">
        <f xml:space="preserve"> IF( SUM( Q6:X6 ) = 0, 0, $O$9 )</f>
        <v>0</v>
      </c>
      <c r="R6" s="97" t="s">
        <v>84</v>
      </c>
      <c r="S6" s="97"/>
      <c r="T6" s="97"/>
      <c r="U6" s="97"/>
      <c r="V6" s="97"/>
      <c r="W6" s="97"/>
      <c r="Y6"/>
    </row>
    <row r="7" spans="2:30" ht="22.5" x14ac:dyDescent="0.2">
      <c r="B7" s="98">
        <v>1</v>
      </c>
      <c r="C7" s="128" t="s">
        <v>331</v>
      </c>
      <c r="D7" s="100" t="s">
        <v>86</v>
      </c>
      <c r="E7" s="224">
        <v>3</v>
      </c>
      <c r="F7" s="441">
        <v>0</v>
      </c>
      <c r="G7" s="442">
        <v>1.7630000000000001</v>
      </c>
      <c r="H7" s="441">
        <v>5.8220000000000001</v>
      </c>
      <c r="I7" s="452">
        <v>0.69299999999999995</v>
      </c>
      <c r="J7" s="451">
        <v>6.5529999999999999</v>
      </c>
      <c r="K7" s="442">
        <v>12.405999999999999</v>
      </c>
      <c r="L7" s="209">
        <f t="shared" ref="L7:L13" si="0">SUM(F7:K7)</f>
        <v>27.236999999999998</v>
      </c>
      <c r="N7" s="843" t="str">
        <f xml:space="preserve"> IF( SUM( X7:Z7 ) = 0, 0, AD7 )</f>
        <v xml:space="preserve">The water total of table 4D line 1 should equal the water total of table 2B line 1 </v>
      </c>
      <c r="O7" s="28">
        <f xml:space="preserve"> IF( SUM( Q7:X7 ) = 0, 0, $R$6 )</f>
        <v>0</v>
      </c>
      <c r="R7" s="105">
        <f xml:space="preserve"> IF( ISNUMBER( F7 ), 0, 1 )</f>
        <v>0</v>
      </c>
      <c r="S7" s="105">
        <f t="shared" ref="S7:W12" si="1" xml:space="preserve"> IF( ISNUMBER( G7 ), 0, 1 )</f>
        <v>0</v>
      </c>
      <c r="T7" s="105">
        <f t="shared" si="1"/>
        <v>0</v>
      </c>
      <c r="U7" s="105">
        <f t="shared" si="1"/>
        <v>0</v>
      </c>
      <c r="V7" s="105">
        <f t="shared" si="1"/>
        <v>0</v>
      </c>
      <c r="W7" s="105">
        <f t="shared" si="1"/>
        <v>0</v>
      </c>
      <c r="Y7" s="105">
        <f xml:space="preserve"> IF( (AA7 - AB7 - AC7) = 0, 0, 1 )</f>
        <v>1</v>
      </c>
      <c r="AA7" s="171">
        <f xml:space="preserve"> ROUND( L7, 3)</f>
        <v>27.236999999999998</v>
      </c>
      <c r="AB7" s="171">
        <f xml:space="preserve"> ROUND( '2B'!F6, 3)</f>
        <v>1.7629999999999999</v>
      </c>
      <c r="AC7" s="171">
        <f xml:space="preserve"> ROUND( '2B'!G6, 3)</f>
        <v>25.474</v>
      </c>
      <c r="AD7" s="87" t="s">
        <v>740</v>
      </c>
    </row>
    <row r="8" spans="2:30" x14ac:dyDescent="0.2">
      <c r="B8" s="106">
        <f xml:space="preserve"> B7 + 1</f>
        <v>2</v>
      </c>
      <c r="C8" s="99" t="s">
        <v>332</v>
      </c>
      <c r="D8" s="107" t="s">
        <v>86</v>
      </c>
      <c r="E8" s="226">
        <v>3</v>
      </c>
      <c r="F8" s="439">
        <v>0</v>
      </c>
      <c r="G8" s="443">
        <v>0</v>
      </c>
      <c r="H8" s="439">
        <v>-4.8000000000000001E-2</v>
      </c>
      <c r="I8" s="440">
        <v>0</v>
      </c>
      <c r="J8" s="453">
        <v>-0.36099999999999999</v>
      </c>
      <c r="K8" s="443">
        <v>0</v>
      </c>
      <c r="L8" s="249">
        <f t="shared" si="0"/>
        <v>-0.40899999999999997</v>
      </c>
      <c r="N8" s="843">
        <f t="shared" ref="N8:N32" si="2" xml:space="preserve"> IF( SUM( X8:Z8 ) = 0, 0, AD8 )</f>
        <v>0</v>
      </c>
      <c r="O8" s="28">
        <f t="shared" ref="O8:O39" si="3" xml:space="preserve"> IF( SUM( Q8:X8 ) = 0, 0, $R$6 )</f>
        <v>0</v>
      </c>
      <c r="R8" s="105">
        <f t="shared" ref="R8:R12" si="4" xml:space="preserve"> IF( ISNUMBER( F8 ), 0, 1 )</f>
        <v>0</v>
      </c>
      <c r="S8" s="105">
        <f t="shared" si="1"/>
        <v>0</v>
      </c>
      <c r="T8" s="105">
        <f t="shared" si="1"/>
        <v>0</v>
      </c>
      <c r="U8" s="105">
        <f t="shared" si="1"/>
        <v>0</v>
      </c>
      <c r="V8" s="105">
        <f t="shared" si="1"/>
        <v>0</v>
      </c>
      <c r="W8" s="105">
        <f t="shared" si="1"/>
        <v>0</v>
      </c>
      <c r="Y8" s="105">
        <f t="shared" ref="Y8:Y16" si="5" xml:space="preserve"> IF( (AA8 - AB8 - AC8) = 0, 0, 1 )</f>
        <v>0</v>
      </c>
      <c r="AA8" s="171">
        <f t="shared" ref="AA8:AA31" si="6" xml:space="preserve"> ROUND( L8, 3)</f>
        <v>-0.40899999999999997</v>
      </c>
      <c r="AB8" s="171">
        <f xml:space="preserve"> ROUND( '2B'!F7, 3)</f>
        <v>0</v>
      </c>
      <c r="AC8" s="171">
        <f xml:space="preserve"> ROUND( '2B'!G7, 3)</f>
        <v>-0.40899999999999997</v>
      </c>
      <c r="AD8" s="87" t="s">
        <v>741</v>
      </c>
    </row>
    <row r="9" spans="2:30" ht="22.5" x14ac:dyDescent="0.2">
      <c r="B9" s="106">
        <f t="shared" ref="B9:B13" si="7" xml:space="preserve"> B8 + 1</f>
        <v>3</v>
      </c>
      <c r="C9" s="99" t="s">
        <v>742</v>
      </c>
      <c r="D9" s="107" t="s">
        <v>86</v>
      </c>
      <c r="E9" s="226">
        <v>3</v>
      </c>
      <c r="F9" s="439">
        <v>5.2450000000000001</v>
      </c>
      <c r="G9" s="443">
        <v>0.18099999999999999</v>
      </c>
      <c r="H9" s="439">
        <v>0</v>
      </c>
      <c r="I9" s="440">
        <v>0</v>
      </c>
      <c r="J9" s="453">
        <v>0.156</v>
      </c>
      <c r="K9" s="443">
        <v>1E-3</v>
      </c>
      <c r="L9" s="249">
        <f t="shared" si="0"/>
        <v>5.5830000000000002</v>
      </c>
      <c r="N9" s="843" t="str">
        <f t="shared" si="2"/>
        <v>The water total of table 4D line 3 should equal the water total of table 2B line 3</v>
      </c>
      <c r="O9" s="28">
        <f t="shared" si="3"/>
        <v>0</v>
      </c>
      <c r="R9" s="105">
        <f t="shared" si="4"/>
        <v>0</v>
      </c>
      <c r="S9" s="105">
        <f t="shared" si="1"/>
        <v>0</v>
      </c>
      <c r="T9" s="105">
        <f t="shared" si="1"/>
        <v>0</v>
      </c>
      <c r="U9" s="105">
        <f t="shared" si="1"/>
        <v>0</v>
      </c>
      <c r="V9" s="105">
        <f t="shared" si="1"/>
        <v>0</v>
      </c>
      <c r="W9" s="105">
        <f t="shared" si="1"/>
        <v>0</v>
      </c>
      <c r="Y9" s="105">
        <f t="shared" si="5"/>
        <v>1</v>
      </c>
      <c r="AA9" s="171">
        <f t="shared" si="6"/>
        <v>5.5830000000000002</v>
      </c>
      <c r="AB9" s="171">
        <f xml:space="preserve"> ROUND( '2B'!F8, 3)</f>
        <v>5.4260000000000002</v>
      </c>
      <c r="AC9" s="171">
        <f xml:space="preserve"> ROUND( '2B'!G8, 3)</f>
        <v>0.157</v>
      </c>
      <c r="AD9" s="87" t="s">
        <v>743</v>
      </c>
    </row>
    <row r="10" spans="2:30" x14ac:dyDescent="0.2">
      <c r="B10" s="106">
        <f t="shared" si="7"/>
        <v>4</v>
      </c>
      <c r="C10" s="99" t="s">
        <v>744</v>
      </c>
      <c r="D10" s="107" t="s">
        <v>86</v>
      </c>
      <c r="E10" s="226">
        <v>3</v>
      </c>
      <c r="F10" s="439">
        <v>0</v>
      </c>
      <c r="G10" s="443">
        <v>3.7919999999999998</v>
      </c>
      <c r="H10" s="439">
        <v>0</v>
      </c>
      <c r="I10" s="440">
        <v>0</v>
      </c>
      <c r="J10" s="453">
        <v>0</v>
      </c>
      <c r="K10" s="443">
        <v>0</v>
      </c>
      <c r="L10" s="249">
        <f t="shared" si="0"/>
        <v>3.7919999999999998</v>
      </c>
      <c r="N10" s="843">
        <f t="shared" si="2"/>
        <v>0</v>
      </c>
      <c r="O10" s="28">
        <f t="shared" si="3"/>
        <v>0</v>
      </c>
      <c r="R10" s="105">
        <f t="shared" si="4"/>
        <v>0</v>
      </c>
      <c r="S10" s="105">
        <f t="shared" si="1"/>
        <v>0</v>
      </c>
      <c r="T10" s="105">
        <f t="shared" si="1"/>
        <v>0</v>
      </c>
      <c r="U10" s="105">
        <f t="shared" si="1"/>
        <v>0</v>
      </c>
      <c r="V10" s="105">
        <f t="shared" si="1"/>
        <v>0</v>
      </c>
      <c r="W10" s="105">
        <f t="shared" si="1"/>
        <v>0</v>
      </c>
      <c r="Y10" s="105">
        <f t="shared" si="5"/>
        <v>0</v>
      </c>
      <c r="AA10" s="171">
        <f t="shared" si="6"/>
        <v>3.7919999999999998</v>
      </c>
      <c r="AB10" s="171">
        <f xml:space="preserve"> ROUND( '2B'!F9, 3)</f>
        <v>3.7919999999999998</v>
      </c>
      <c r="AC10" s="171">
        <f xml:space="preserve"> ROUND( '2B'!G9, 3)</f>
        <v>0</v>
      </c>
      <c r="AD10" s="87" t="s">
        <v>745</v>
      </c>
    </row>
    <row r="11" spans="2:30" x14ac:dyDescent="0.2">
      <c r="B11" s="106">
        <f t="shared" si="7"/>
        <v>5</v>
      </c>
      <c r="C11" s="99" t="s">
        <v>335</v>
      </c>
      <c r="D11" s="107" t="s">
        <v>86</v>
      </c>
      <c r="E11" s="226">
        <v>3</v>
      </c>
      <c r="F11" s="439">
        <v>4.0000000000000001E-3</v>
      </c>
      <c r="G11" s="443">
        <v>7.7490000000000014</v>
      </c>
      <c r="H11" s="439">
        <v>2.7730000000000001</v>
      </c>
      <c r="I11" s="440">
        <v>1.3629999999999993</v>
      </c>
      <c r="J11" s="453">
        <v>32.552</v>
      </c>
      <c r="K11" s="443">
        <v>63.897000000000006</v>
      </c>
      <c r="L11" s="249">
        <f t="shared" si="0"/>
        <v>108.33800000000001</v>
      </c>
      <c r="N11" s="843">
        <f t="shared" si="2"/>
        <v>0</v>
      </c>
      <c r="O11" s="28">
        <f t="shared" si="3"/>
        <v>0</v>
      </c>
      <c r="R11" s="105">
        <f t="shared" si="4"/>
        <v>0</v>
      </c>
      <c r="S11" s="105">
        <f t="shared" si="1"/>
        <v>0</v>
      </c>
      <c r="T11" s="105">
        <f t="shared" si="1"/>
        <v>0</v>
      </c>
      <c r="U11" s="105">
        <f t="shared" si="1"/>
        <v>0</v>
      </c>
      <c r="V11" s="105">
        <f t="shared" si="1"/>
        <v>0</v>
      </c>
      <c r="W11" s="105">
        <f t="shared" si="1"/>
        <v>0</v>
      </c>
      <c r="Y11" s="105">
        <f t="shared" si="5"/>
        <v>0</v>
      </c>
      <c r="AA11" s="171">
        <f t="shared" si="6"/>
        <v>108.33799999999999</v>
      </c>
      <c r="AB11" s="171">
        <f xml:space="preserve"> ROUND( '2B'!F10, 3)</f>
        <v>7.7530000000000001</v>
      </c>
      <c r="AC11" s="171">
        <f xml:space="preserve"> ROUND( '2B'!G10, 3)</f>
        <v>100.58499999999999</v>
      </c>
      <c r="AD11" s="87" t="s">
        <v>746</v>
      </c>
    </row>
    <row r="12" spans="2:30" x14ac:dyDescent="0.2">
      <c r="B12" s="106">
        <f t="shared" si="7"/>
        <v>6</v>
      </c>
      <c r="C12" s="99" t="s">
        <v>336</v>
      </c>
      <c r="D12" s="107" t="s">
        <v>86</v>
      </c>
      <c r="E12" s="226">
        <v>3</v>
      </c>
      <c r="F12" s="439">
        <v>0</v>
      </c>
      <c r="G12" s="443">
        <v>7.1099999999999994</v>
      </c>
      <c r="H12" s="439">
        <v>1.819</v>
      </c>
      <c r="I12" s="440">
        <v>0.61899999999999977</v>
      </c>
      <c r="J12" s="453">
        <v>1.478</v>
      </c>
      <c r="K12" s="443">
        <v>27.946999999999999</v>
      </c>
      <c r="L12" s="249">
        <f t="shared" si="0"/>
        <v>38.972999999999999</v>
      </c>
      <c r="N12" s="843">
        <f t="shared" si="2"/>
        <v>0</v>
      </c>
      <c r="O12" s="28">
        <f t="shared" si="3"/>
        <v>0</v>
      </c>
      <c r="R12" s="105">
        <f t="shared" si="4"/>
        <v>0</v>
      </c>
      <c r="S12" s="105">
        <f t="shared" si="1"/>
        <v>0</v>
      </c>
      <c r="T12" s="105">
        <f t="shared" si="1"/>
        <v>0</v>
      </c>
      <c r="U12" s="105">
        <f t="shared" si="1"/>
        <v>0</v>
      </c>
      <c r="V12" s="105">
        <f t="shared" si="1"/>
        <v>0</v>
      </c>
      <c r="W12" s="105">
        <f t="shared" si="1"/>
        <v>0</v>
      </c>
      <c r="Y12" s="105">
        <f t="shared" si="5"/>
        <v>0</v>
      </c>
      <c r="AA12" s="171">
        <f t="shared" si="6"/>
        <v>38.972999999999999</v>
      </c>
      <c r="AB12" s="171">
        <f xml:space="preserve"> ROUND( '2B'!F11, 3)</f>
        <v>7.11</v>
      </c>
      <c r="AC12" s="171">
        <f xml:space="preserve"> ROUND( '2B'!G11, 3)</f>
        <v>31.863</v>
      </c>
      <c r="AD12" s="87" t="s">
        <v>747</v>
      </c>
    </row>
    <row r="13" spans="2:30" ht="23.25" thickBot="1" x14ac:dyDescent="0.25">
      <c r="B13" s="113">
        <f t="shared" si="7"/>
        <v>7</v>
      </c>
      <c r="C13" s="114" t="s">
        <v>337</v>
      </c>
      <c r="D13" s="115" t="s">
        <v>86</v>
      </c>
      <c r="E13" s="236">
        <v>3</v>
      </c>
      <c r="F13" s="203">
        <f>SUM(F7:F12)</f>
        <v>5.2489999999999997</v>
      </c>
      <c r="G13" s="205">
        <f t="shared" ref="G13:K13" si="8">SUM(G7:G12)</f>
        <v>20.594999999999999</v>
      </c>
      <c r="H13" s="203">
        <f t="shared" si="8"/>
        <v>10.366</v>
      </c>
      <c r="I13" s="204">
        <f t="shared" si="8"/>
        <v>2.6749999999999989</v>
      </c>
      <c r="J13" s="250">
        <f t="shared" si="8"/>
        <v>40.378</v>
      </c>
      <c r="K13" s="205">
        <f t="shared" si="8"/>
        <v>104.251</v>
      </c>
      <c r="L13" s="210">
        <f t="shared" si="0"/>
        <v>183.51400000000001</v>
      </c>
      <c r="N13" s="843" t="str">
        <f t="shared" si="2"/>
        <v>The water total of table 4D line 7 should equal the water total of table 2B line 7</v>
      </c>
      <c r="O13"/>
      <c r="Y13" s="105">
        <f t="shared" si="5"/>
        <v>1</v>
      </c>
      <c r="AA13" s="171">
        <f t="shared" si="6"/>
        <v>183.51400000000001</v>
      </c>
      <c r="AB13" s="171">
        <f xml:space="preserve"> ROUND( '2B'!F12, 3)</f>
        <v>25.844000000000001</v>
      </c>
      <c r="AC13" s="171">
        <f xml:space="preserve"> ROUND( '2B'!G12, 3)</f>
        <v>157.66999999999999</v>
      </c>
      <c r="AD13" s="87" t="s">
        <v>748</v>
      </c>
    </row>
    <row r="14" spans="2:30" ht="15" thickBot="1" x14ac:dyDescent="0.25">
      <c r="N14" s="843"/>
      <c r="O14"/>
      <c r="Y14" s="132"/>
      <c r="AA14" s="171"/>
      <c r="AB14" s="171"/>
      <c r="AC14" s="171"/>
    </row>
    <row r="15" spans="2:30" x14ac:dyDescent="0.2">
      <c r="B15" s="98">
        <f xml:space="preserve"> B13 + 1</f>
        <v>8</v>
      </c>
      <c r="C15" s="128" t="s">
        <v>338</v>
      </c>
      <c r="D15" s="100" t="s">
        <v>86</v>
      </c>
      <c r="E15" s="101">
        <v>3</v>
      </c>
      <c r="F15" s="441">
        <v>0</v>
      </c>
      <c r="G15" s="442">
        <v>0</v>
      </c>
      <c r="H15" s="441">
        <v>0</v>
      </c>
      <c r="I15" s="452">
        <v>0</v>
      </c>
      <c r="J15" s="451">
        <v>0</v>
      </c>
      <c r="K15" s="442">
        <v>1.7050000000000001</v>
      </c>
      <c r="L15" s="209">
        <f>SUM(F15:K15)</f>
        <v>1.7050000000000001</v>
      </c>
      <c r="N15" s="843">
        <f t="shared" si="2"/>
        <v>0</v>
      </c>
      <c r="O15" s="28">
        <f t="shared" si="3"/>
        <v>0</v>
      </c>
      <c r="R15" s="105">
        <f t="shared" ref="R15:W15" si="9" xml:space="preserve"> IF( ISNUMBER( F15 ), 0, 1 )</f>
        <v>0</v>
      </c>
      <c r="S15" s="105">
        <f t="shared" si="9"/>
        <v>0</v>
      </c>
      <c r="T15" s="105">
        <f t="shared" si="9"/>
        <v>0</v>
      </c>
      <c r="U15" s="105">
        <f t="shared" si="9"/>
        <v>0</v>
      </c>
      <c r="V15" s="105">
        <f t="shared" si="9"/>
        <v>0</v>
      </c>
      <c r="W15" s="105">
        <f t="shared" si="9"/>
        <v>0</v>
      </c>
      <c r="Y15" s="105">
        <f t="shared" si="5"/>
        <v>0</v>
      </c>
      <c r="AA15" s="171">
        <f t="shared" si="6"/>
        <v>1.7050000000000001</v>
      </c>
      <c r="AB15" s="171">
        <f xml:space="preserve"> ROUND( '2B'!F14, 3)</f>
        <v>0</v>
      </c>
      <c r="AC15" s="171">
        <f xml:space="preserve"> ROUND( '2B'!G14, 3)</f>
        <v>1.7050000000000001</v>
      </c>
      <c r="AD15" s="87" t="s">
        <v>749</v>
      </c>
    </row>
    <row r="16" spans="2:30" ht="15" thickBot="1" x14ac:dyDescent="0.25">
      <c r="B16" s="113">
        <f t="shared" ref="B16" si="10" xml:space="preserve"> B15 + 1</f>
        <v>9</v>
      </c>
      <c r="C16" s="114" t="s">
        <v>339</v>
      </c>
      <c r="D16" s="115" t="s">
        <v>86</v>
      </c>
      <c r="E16" s="112">
        <v>3</v>
      </c>
      <c r="F16" s="203">
        <f t="shared" ref="F16:K16" si="11">F13 + F15</f>
        <v>5.2489999999999997</v>
      </c>
      <c r="G16" s="205">
        <f t="shared" si="11"/>
        <v>20.594999999999999</v>
      </c>
      <c r="H16" s="203">
        <f t="shared" si="11"/>
        <v>10.366</v>
      </c>
      <c r="I16" s="204">
        <f t="shared" si="11"/>
        <v>2.6749999999999989</v>
      </c>
      <c r="J16" s="250">
        <f t="shared" si="11"/>
        <v>40.378</v>
      </c>
      <c r="K16" s="205">
        <f t="shared" si="11"/>
        <v>105.956</v>
      </c>
      <c r="L16" s="210">
        <f>SUM(F16:K16)</f>
        <v>185.21899999999999</v>
      </c>
      <c r="N16" s="843">
        <f t="shared" si="2"/>
        <v>0</v>
      </c>
      <c r="O16"/>
      <c r="Y16" s="105">
        <f t="shared" si="5"/>
        <v>0</v>
      </c>
      <c r="AA16" s="171">
        <f t="shared" si="6"/>
        <v>185.21899999999999</v>
      </c>
      <c r="AB16" s="171">
        <f xml:space="preserve"> ROUND( '2B'!F15, 3)</f>
        <v>25.844000000000001</v>
      </c>
      <c r="AC16" s="171">
        <f xml:space="preserve"> ROUND( '2B'!G15, 3)</f>
        <v>159.375</v>
      </c>
      <c r="AD16" s="87" t="s">
        <v>750</v>
      </c>
    </row>
    <row r="17" spans="2:31" ht="15" thickBot="1" x14ac:dyDescent="0.25">
      <c r="N17" s="843"/>
      <c r="O17"/>
      <c r="Y17" s="132"/>
      <c r="AA17" s="171"/>
      <c r="AB17" s="171"/>
      <c r="AC17" s="171"/>
    </row>
    <row r="18" spans="2:31" ht="15" thickBot="1" x14ac:dyDescent="0.25">
      <c r="B18" s="125" t="s">
        <v>143</v>
      </c>
      <c r="C18" s="126" t="s">
        <v>340</v>
      </c>
      <c r="D18" s="83"/>
      <c r="E18" s="83"/>
      <c r="F18" s="83"/>
      <c r="G18" s="83"/>
      <c r="H18" s="83"/>
      <c r="I18" s="83"/>
      <c r="J18" s="83"/>
      <c r="K18" s="83"/>
      <c r="L18" s="83"/>
      <c r="N18" s="843"/>
      <c r="O18"/>
      <c r="Y18" s="132"/>
      <c r="AA18" s="171"/>
      <c r="AB18" s="171"/>
      <c r="AC18" s="171"/>
    </row>
    <row r="19" spans="2:31" x14ac:dyDescent="0.2">
      <c r="B19" s="98">
        <f>B16 + 1</f>
        <v>10</v>
      </c>
      <c r="C19" s="128" t="s">
        <v>341</v>
      </c>
      <c r="D19" s="100" t="s">
        <v>86</v>
      </c>
      <c r="E19" s="224">
        <v>3</v>
      </c>
      <c r="F19" s="441">
        <v>0</v>
      </c>
      <c r="G19" s="442">
        <v>9.750872031867976</v>
      </c>
      <c r="H19" s="441">
        <v>0.95712117446783052</v>
      </c>
      <c r="I19" s="452">
        <v>0.15597852650083716</v>
      </c>
      <c r="J19" s="451">
        <v>0.14862930653193013</v>
      </c>
      <c r="K19" s="442">
        <v>31.768479318071904</v>
      </c>
      <c r="L19" s="256">
        <f t="shared" ref="L19:L27" si="12">SUM(F19:K19)</f>
        <v>42.78108035744048</v>
      </c>
      <c r="N19" s="843">
        <f t="shared" si="2"/>
        <v>0</v>
      </c>
      <c r="O19" s="28">
        <f t="shared" si="3"/>
        <v>0</v>
      </c>
      <c r="R19" s="105">
        <f t="shared" ref="R19:W22" si="13" xml:space="preserve"> IF( ISNUMBER( F19 ), 0, 1 )</f>
        <v>0</v>
      </c>
      <c r="S19" s="105">
        <f t="shared" si="13"/>
        <v>0</v>
      </c>
      <c r="T19" s="105">
        <f t="shared" si="13"/>
        <v>0</v>
      </c>
      <c r="U19" s="105">
        <f t="shared" si="13"/>
        <v>0</v>
      </c>
      <c r="V19" s="105">
        <f t="shared" si="13"/>
        <v>0</v>
      </c>
      <c r="W19" s="105">
        <f t="shared" si="13"/>
        <v>0</v>
      </c>
      <c r="Y19" s="105">
        <f t="shared" ref="Y19:Y27" si="14" xml:space="preserve"> IF( (AA19 - AB19 - AC19) = 0, 0, 1 )</f>
        <v>0</v>
      </c>
      <c r="AA19" s="171">
        <f t="shared" si="6"/>
        <v>42.780999999999999</v>
      </c>
      <c r="AB19" s="171">
        <f xml:space="preserve"> ROUND( '2B'!F18, 3)</f>
        <v>9.7509999999999994</v>
      </c>
      <c r="AC19" s="171">
        <f xml:space="preserve"> ROUND( '2B'!G18, 3)</f>
        <v>33.03</v>
      </c>
      <c r="AD19" s="87" t="s">
        <v>751</v>
      </c>
    </row>
    <row r="20" spans="2:31" ht="22.5" x14ac:dyDescent="0.2">
      <c r="B20" s="106">
        <f xml:space="preserve"> B19 + 1</f>
        <v>11</v>
      </c>
      <c r="C20" s="99" t="s">
        <v>752</v>
      </c>
      <c r="D20" s="107" t="s">
        <v>86</v>
      </c>
      <c r="E20" s="226">
        <v>3</v>
      </c>
      <c r="F20" s="439">
        <v>0</v>
      </c>
      <c r="G20" s="443">
        <v>2.6104852192045334</v>
      </c>
      <c r="H20" s="439">
        <v>1.1205179144094644</v>
      </c>
      <c r="I20" s="440">
        <v>0.17897386063333107</v>
      </c>
      <c r="J20" s="453">
        <v>29.136134857628111</v>
      </c>
      <c r="K20" s="443">
        <v>26.259682911072076</v>
      </c>
      <c r="L20" s="257">
        <f t="shared" si="12"/>
        <v>59.305794762947514</v>
      </c>
      <c r="N20" s="843" t="str">
        <f t="shared" si="2"/>
        <v>The water total of table 4D line 11 should equal the water total of table 2B line 11</v>
      </c>
      <c r="O20" s="28">
        <f t="shared" si="3"/>
        <v>0</v>
      </c>
      <c r="R20" s="105">
        <f t="shared" si="13"/>
        <v>0</v>
      </c>
      <c r="S20" s="105">
        <f t="shared" si="13"/>
        <v>0</v>
      </c>
      <c r="T20" s="105">
        <f t="shared" si="13"/>
        <v>0</v>
      </c>
      <c r="U20" s="105">
        <f t="shared" si="13"/>
        <v>0</v>
      </c>
      <c r="V20" s="105">
        <f t="shared" si="13"/>
        <v>0</v>
      </c>
      <c r="W20" s="105">
        <f t="shared" si="13"/>
        <v>0</v>
      </c>
      <c r="Y20" s="105">
        <f t="shared" si="14"/>
        <v>1</v>
      </c>
      <c r="AA20" s="171">
        <f t="shared" si="6"/>
        <v>59.305999999999997</v>
      </c>
      <c r="AB20" s="171">
        <f xml:space="preserve"> ROUND( '2B'!F19, 3)</f>
        <v>2.61</v>
      </c>
      <c r="AC20" s="171">
        <f xml:space="preserve"> ROUND( '2B'!G19, 3)</f>
        <v>56.695</v>
      </c>
      <c r="AD20" s="87" t="s">
        <v>753</v>
      </c>
    </row>
    <row r="21" spans="2:31" ht="22.5" x14ac:dyDescent="0.2">
      <c r="B21" s="106">
        <f t="shared" ref="B21:B27" si="15" xml:space="preserve"> B20 + 1</f>
        <v>12</v>
      </c>
      <c r="C21" s="99" t="s">
        <v>343</v>
      </c>
      <c r="D21" s="107" t="s">
        <v>86</v>
      </c>
      <c r="E21" s="226">
        <v>3</v>
      </c>
      <c r="F21" s="439">
        <v>0</v>
      </c>
      <c r="G21" s="443">
        <v>1.0216543899999999</v>
      </c>
      <c r="H21" s="439">
        <v>0</v>
      </c>
      <c r="I21" s="440">
        <v>0</v>
      </c>
      <c r="J21" s="453">
        <v>0.39405946999999997</v>
      </c>
      <c r="K21" s="443">
        <v>27.214577249999994</v>
      </c>
      <c r="L21" s="257">
        <f t="shared" si="12"/>
        <v>28.630291109999995</v>
      </c>
      <c r="N21" s="843" t="str">
        <f t="shared" si="2"/>
        <v>The water total of table 4D line 12 should equal the water total of table 2B line 12</v>
      </c>
      <c r="O21" s="28">
        <f t="shared" si="3"/>
        <v>0</v>
      </c>
      <c r="R21" s="105">
        <f t="shared" si="13"/>
        <v>0</v>
      </c>
      <c r="S21" s="105">
        <f t="shared" si="13"/>
        <v>0</v>
      </c>
      <c r="T21" s="105">
        <f t="shared" si="13"/>
        <v>0</v>
      </c>
      <c r="U21" s="105">
        <f t="shared" si="13"/>
        <v>0</v>
      </c>
      <c r="V21" s="105">
        <f t="shared" si="13"/>
        <v>0</v>
      </c>
      <c r="W21" s="105">
        <f t="shared" si="13"/>
        <v>0</v>
      </c>
      <c r="Y21" s="105">
        <f t="shared" si="14"/>
        <v>1</v>
      </c>
      <c r="AA21" s="171">
        <f t="shared" si="6"/>
        <v>28.63</v>
      </c>
      <c r="AB21" s="171">
        <f xml:space="preserve"> ROUND( '2B'!F20, 3)</f>
        <v>1.022</v>
      </c>
      <c r="AC21" s="171">
        <f xml:space="preserve"> ROUND( '2B'!G20, 3)</f>
        <v>27.609000000000002</v>
      </c>
      <c r="AD21" s="87" t="s">
        <v>754</v>
      </c>
    </row>
    <row r="22" spans="2:31" ht="22.5" x14ac:dyDescent="0.2">
      <c r="B22" s="106">
        <f t="shared" si="15"/>
        <v>13</v>
      </c>
      <c r="C22" s="99" t="s">
        <v>344</v>
      </c>
      <c r="D22" s="107" t="s">
        <v>86</v>
      </c>
      <c r="E22" s="226">
        <v>3</v>
      </c>
      <c r="F22" s="439">
        <v>0</v>
      </c>
      <c r="G22" s="443">
        <v>1.0942922370605117</v>
      </c>
      <c r="H22" s="439">
        <v>3.6857986285577612E-2</v>
      </c>
      <c r="I22" s="440">
        <v>1.6056944520449652E-2</v>
      </c>
      <c r="J22" s="453">
        <v>18.142103542422866</v>
      </c>
      <c r="K22" s="443">
        <v>8.1133666797105928</v>
      </c>
      <c r="L22" s="257">
        <f t="shared" si="12"/>
        <v>27.402677390000001</v>
      </c>
      <c r="N22" s="843" t="str">
        <f t="shared" si="2"/>
        <v>The water total of table 4D line 13 should equal the water total of table 2B line 13</v>
      </c>
      <c r="O22" s="28">
        <f t="shared" si="3"/>
        <v>0</v>
      </c>
      <c r="R22" s="105">
        <f t="shared" si="13"/>
        <v>0</v>
      </c>
      <c r="S22" s="105">
        <f t="shared" si="13"/>
        <v>0</v>
      </c>
      <c r="T22" s="105">
        <f t="shared" si="13"/>
        <v>0</v>
      </c>
      <c r="U22" s="105">
        <f t="shared" si="13"/>
        <v>0</v>
      </c>
      <c r="V22" s="105">
        <f t="shared" si="13"/>
        <v>0</v>
      </c>
      <c r="W22" s="105">
        <f t="shared" si="13"/>
        <v>0</v>
      </c>
      <c r="Y22" s="105">
        <f t="shared" si="14"/>
        <v>1</v>
      </c>
      <c r="AA22" s="171">
        <f t="shared" si="6"/>
        <v>27.402999999999999</v>
      </c>
      <c r="AB22" s="171">
        <f xml:space="preserve"> ROUND( '2B'!F21, 3)</f>
        <v>1.0940000000000001</v>
      </c>
      <c r="AC22" s="171">
        <f xml:space="preserve"> ROUND( '2B'!G21, 3)</f>
        <v>26.308</v>
      </c>
      <c r="AD22" s="87" t="s">
        <v>755</v>
      </c>
    </row>
    <row r="23" spans="2:31" x14ac:dyDescent="0.2">
      <c r="B23" s="106">
        <f t="shared" si="15"/>
        <v>14</v>
      </c>
      <c r="C23" s="99" t="s">
        <v>756</v>
      </c>
      <c r="D23" s="107" t="s">
        <v>86</v>
      </c>
      <c r="E23" s="226">
        <v>3</v>
      </c>
      <c r="F23" s="253">
        <f>SUM(F19:F22)</f>
        <v>0</v>
      </c>
      <c r="G23" s="202">
        <f t="shared" ref="G23:K23" si="16">SUM(G19:G22)</f>
        <v>14.47730387813302</v>
      </c>
      <c r="H23" s="253">
        <f t="shared" si="16"/>
        <v>2.1144970751628724</v>
      </c>
      <c r="I23" s="252">
        <f t="shared" si="16"/>
        <v>0.35100933165461784</v>
      </c>
      <c r="J23" s="251">
        <f t="shared" si="16"/>
        <v>47.820927176582906</v>
      </c>
      <c r="K23" s="202">
        <f t="shared" si="16"/>
        <v>93.356106158854573</v>
      </c>
      <c r="L23" s="257">
        <f t="shared" si="12"/>
        <v>158.119843620388</v>
      </c>
      <c r="M23" s="129"/>
      <c r="N23" s="843">
        <f t="shared" si="2"/>
        <v>0</v>
      </c>
      <c r="O23"/>
      <c r="P23" s="129"/>
      <c r="Q23" s="133"/>
      <c r="S23" s="254"/>
      <c r="T23" s="254"/>
      <c r="U23" s="254"/>
      <c r="V23" s="254"/>
      <c r="W23" s="254"/>
      <c r="X23" s="133"/>
      <c r="Y23" s="105">
        <f t="shared" si="14"/>
        <v>0</v>
      </c>
      <c r="Z23" s="133"/>
      <c r="AA23" s="171">
        <f t="shared" si="6"/>
        <v>158.12</v>
      </c>
      <c r="AB23" s="171">
        <f xml:space="preserve"> ROUND( '2B'!F22, 3)</f>
        <v>14.477</v>
      </c>
      <c r="AC23" s="171">
        <f xml:space="preserve"> ROUND( '2B'!G22, 3)</f>
        <v>143.643</v>
      </c>
      <c r="AD23" s="87" t="s">
        <v>757</v>
      </c>
      <c r="AE23" s="133"/>
    </row>
    <row r="24" spans="2:31" x14ac:dyDescent="0.2">
      <c r="B24" s="106">
        <f t="shared" si="15"/>
        <v>15</v>
      </c>
      <c r="C24" s="99" t="s">
        <v>338</v>
      </c>
      <c r="D24" s="107" t="s">
        <v>86</v>
      </c>
      <c r="E24" s="226">
        <v>3</v>
      </c>
      <c r="F24" s="439">
        <v>0</v>
      </c>
      <c r="G24" s="443">
        <v>0</v>
      </c>
      <c r="H24" s="439">
        <v>0</v>
      </c>
      <c r="I24" s="440">
        <v>0</v>
      </c>
      <c r="J24" s="453">
        <v>0</v>
      </c>
      <c r="K24" s="443">
        <v>0</v>
      </c>
      <c r="L24" s="257">
        <f t="shared" si="12"/>
        <v>0</v>
      </c>
      <c r="M24" s="135"/>
      <c r="N24" s="843">
        <f t="shared" si="2"/>
        <v>0</v>
      </c>
      <c r="O24" s="28">
        <f t="shared" si="3"/>
        <v>0</v>
      </c>
      <c r="R24" s="105">
        <f t="shared" ref="R24:W24" si="17" xml:space="preserve"> IF( ISNUMBER( F24 ), 0, 1 )</f>
        <v>0</v>
      </c>
      <c r="S24" s="105">
        <f t="shared" si="17"/>
        <v>0</v>
      </c>
      <c r="T24" s="105">
        <f t="shared" si="17"/>
        <v>0</v>
      </c>
      <c r="U24" s="105">
        <f t="shared" si="17"/>
        <v>0</v>
      </c>
      <c r="V24" s="105">
        <f t="shared" si="17"/>
        <v>0</v>
      </c>
      <c r="W24" s="105">
        <f t="shared" si="17"/>
        <v>0</v>
      </c>
      <c r="Y24" s="105">
        <f t="shared" si="14"/>
        <v>0</v>
      </c>
      <c r="Z24" s="130"/>
      <c r="AA24" s="171">
        <f t="shared" si="6"/>
        <v>0</v>
      </c>
      <c r="AB24" s="171">
        <f xml:space="preserve"> ROUND( '2B'!F23, 3)</f>
        <v>0</v>
      </c>
      <c r="AC24" s="171">
        <f xml:space="preserve"> ROUND( '2B'!G23, 3)</f>
        <v>0</v>
      </c>
      <c r="AD24" s="87" t="s">
        <v>758</v>
      </c>
      <c r="AE24" s="130"/>
    </row>
    <row r="25" spans="2:31" x14ac:dyDescent="0.2">
      <c r="B25" s="106">
        <f xml:space="preserve"> B24 + 1</f>
        <v>16</v>
      </c>
      <c r="C25" s="99" t="s">
        <v>346</v>
      </c>
      <c r="D25" s="107" t="s">
        <v>86</v>
      </c>
      <c r="E25" s="226">
        <v>3</v>
      </c>
      <c r="F25" s="253">
        <f>SUM(F23:F24)</f>
        <v>0</v>
      </c>
      <c r="G25" s="202">
        <f t="shared" ref="G25:K25" si="18">SUM(G23:G24)</f>
        <v>14.47730387813302</v>
      </c>
      <c r="H25" s="253">
        <f t="shared" si="18"/>
        <v>2.1144970751628724</v>
      </c>
      <c r="I25" s="252">
        <f t="shared" si="18"/>
        <v>0.35100933165461784</v>
      </c>
      <c r="J25" s="251">
        <f t="shared" si="18"/>
        <v>47.820927176582906</v>
      </c>
      <c r="K25" s="202">
        <f t="shared" si="18"/>
        <v>93.356106158854573</v>
      </c>
      <c r="L25" s="257">
        <f t="shared" si="12"/>
        <v>158.119843620388</v>
      </c>
      <c r="M25" s="135"/>
      <c r="N25" s="843">
        <f t="shared" si="2"/>
        <v>0</v>
      </c>
      <c r="O25"/>
      <c r="P25" s="135"/>
      <c r="Q25" s="130"/>
      <c r="S25" s="254"/>
      <c r="T25" s="254"/>
      <c r="U25" s="254"/>
      <c r="V25" s="254"/>
      <c r="W25" s="254"/>
      <c r="X25" s="130"/>
      <c r="Y25" s="105">
        <f t="shared" si="14"/>
        <v>0</v>
      </c>
      <c r="Z25" s="130"/>
      <c r="AA25" s="171">
        <f t="shared" si="6"/>
        <v>158.12</v>
      </c>
      <c r="AB25" s="171">
        <f xml:space="preserve"> ROUND( '2B'!F24, 3)</f>
        <v>14.477</v>
      </c>
      <c r="AC25" s="171">
        <f xml:space="preserve"> ROUND( '2B'!G24, 3)</f>
        <v>143.643</v>
      </c>
      <c r="AD25" s="87" t="s">
        <v>759</v>
      </c>
      <c r="AE25" s="130"/>
    </row>
    <row r="26" spans="2:31" ht="22.5" x14ac:dyDescent="0.2">
      <c r="B26" s="106">
        <f t="shared" si="15"/>
        <v>17</v>
      </c>
      <c r="C26" s="99" t="s">
        <v>347</v>
      </c>
      <c r="D26" s="107" t="s">
        <v>86</v>
      </c>
      <c r="E26" s="226">
        <v>3</v>
      </c>
      <c r="F26" s="439">
        <v>0</v>
      </c>
      <c r="G26" s="443">
        <v>-7.8750000000000001E-3</v>
      </c>
      <c r="H26" s="439">
        <v>-8.9563999999999998E-3</v>
      </c>
      <c r="I26" s="440">
        <v>0</v>
      </c>
      <c r="J26" s="453">
        <v>-2.6890800000000003E-2</v>
      </c>
      <c r="K26" s="443">
        <v>14.459034350000001</v>
      </c>
      <c r="L26" s="257">
        <f t="shared" si="12"/>
        <v>14.415312150000002</v>
      </c>
      <c r="M26" s="135"/>
      <c r="N26" s="843" t="str">
        <f t="shared" si="2"/>
        <v>The water total of table 4D line 17 should equal the water total of table 2B line 17</v>
      </c>
      <c r="O26" s="28">
        <f t="shared" si="3"/>
        <v>0</v>
      </c>
      <c r="R26" s="105">
        <f t="shared" ref="R26:W26" si="19" xml:space="preserve"> IF( ISNUMBER( F26 ), 0, 1 )</f>
        <v>0</v>
      </c>
      <c r="S26" s="105">
        <f t="shared" si="19"/>
        <v>0</v>
      </c>
      <c r="T26" s="105">
        <f t="shared" si="19"/>
        <v>0</v>
      </c>
      <c r="U26" s="105">
        <f t="shared" si="19"/>
        <v>0</v>
      </c>
      <c r="V26" s="105">
        <f t="shared" si="19"/>
        <v>0</v>
      </c>
      <c r="W26" s="105">
        <f t="shared" si="19"/>
        <v>0</v>
      </c>
      <c r="Y26" s="105">
        <f t="shared" si="14"/>
        <v>1</v>
      </c>
      <c r="Z26" s="130"/>
      <c r="AA26" s="171">
        <f t="shared" si="6"/>
        <v>14.414999999999999</v>
      </c>
      <c r="AB26" s="171">
        <f xml:space="preserve"> ROUND( '2B'!F25, 3)</f>
        <v>-8.0000000000000002E-3</v>
      </c>
      <c r="AC26" s="171">
        <f xml:space="preserve"> ROUND( '2B'!G25, 3)</f>
        <v>14.423</v>
      </c>
      <c r="AD26" s="87" t="s">
        <v>760</v>
      </c>
      <c r="AE26" s="130"/>
    </row>
    <row r="27" spans="2:31" ht="23.25" thickBot="1" x14ac:dyDescent="0.25">
      <c r="B27" s="113">
        <f t="shared" si="15"/>
        <v>18</v>
      </c>
      <c r="C27" s="114" t="s">
        <v>349</v>
      </c>
      <c r="D27" s="115" t="s">
        <v>86</v>
      </c>
      <c r="E27" s="236">
        <v>3</v>
      </c>
      <c r="F27" s="203">
        <f>F16+F25-F26</f>
        <v>5.2489999999999997</v>
      </c>
      <c r="G27" s="205">
        <f t="shared" ref="G27:K27" si="20">G16+G25-G26</f>
        <v>35.080178878133019</v>
      </c>
      <c r="H27" s="203">
        <f t="shared" si="20"/>
        <v>12.489453475162874</v>
      </c>
      <c r="I27" s="204">
        <f t="shared" si="20"/>
        <v>3.0260093316546168</v>
      </c>
      <c r="J27" s="250">
        <f t="shared" si="20"/>
        <v>88.225817976582917</v>
      </c>
      <c r="K27" s="205">
        <f t="shared" si="20"/>
        <v>184.85307180885459</v>
      </c>
      <c r="L27" s="258">
        <f t="shared" si="12"/>
        <v>328.92353147038807</v>
      </c>
      <c r="M27" s="135"/>
      <c r="N27" s="843" t="str">
        <f t="shared" si="2"/>
        <v>The water total of table 4D line 18 should equal the water total of table 2B line 18</v>
      </c>
      <c r="O27"/>
      <c r="P27" s="135"/>
      <c r="Q27" s="130"/>
      <c r="R27" s="212"/>
      <c r="S27" s="212"/>
      <c r="T27" s="212"/>
      <c r="U27" s="212"/>
      <c r="V27" s="212"/>
      <c r="W27" s="212"/>
      <c r="X27" s="130"/>
      <c r="Y27" s="105">
        <f t="shared" si="14"/>
        <v>1</v>
      </c>
      <c r="Z27" s="130"/>
      <c r="AA27" s="171">
        <f t="shared" si="6"/>
        <v>328.92399999999998</v>
      </c>
      <c r="AB27" s="171">
        <f xml:space="preserve"> ROUND( '2B'!F26, 3)</f>
        <v>40.329000000000001</v>
      </c>
      <c r="AC27" s="171">
        <f xml:space="preserve"> ROUND( '2B'!G26, 3)</f>
        <v>288.59399999999999</v>
      </c>
      <c r="AD27" s="87" t="s">
        <v>761</v>
      </c>
      <c r="AE27" s="130"/>
    </row>
    <row r="28" spans="2:31" ht="15" thickBot="1" x14ac:dyDescent="0.25">
      <c r="M28" s="135"/>
      <c r="N28" s="843"/>
      <c r="O28"/>
      <c r="P28" s="135"/>
      <c r="Q28" s="130"/>
      <c r="R28" s="212"/>
      <c r="S28" s="212"/>
      <c r="T28" s="212"/>
      <c r="U28" s="212"/>
      <c r="V28" s="212"/>
      <c r="W28" s="212"/>
      <c r="X28" s="130"/>
      <c r="Y28" s="132"/>
      <c r="Z28" s="130"/>
      <c r="AA28" s="171"/>
      <c r="AB28" s="171"/>
      <c r="AC28" s="171"/>
      <c r="AE28" s="130"/>
    </row>
    <row r="29" spans="2:31" ht="15" thickBot="1" x14ac:dyDescent="0.25">
      <c r="B29" s="125" t="s">
        <v>149</v>
      </c>
      <c r="C29" s="126" t="s">
        <v>350</v>
      </c>
      <c r="D29" s="83"/>
      <c r="E29" s="83"/>
      <c r="F29" s="83"/>
      <c r="G29" s="83"/>
      <c r="H29" s="83"/>
      <c r="I29" s="83"/>
      <c r="J29" s="83"/>
      <c r="K29" s="83"/>
      <c r="L29" s="83"/>
      <c r="M29" s="135"/>
      <c r="N29" s="843"/>
      <c r="O29"/>
      <c r="P29" s="135"/>
      <c r="Q29" s="130"/>
      <c r="R29" s="212"/>
      <c r="S29" s="212"/>
      <c r="T29" s="212"/>
      <c r="U29" s="212"/>
      <c r="V29" s="212"/>
      <c r="W29" s="212"/>
      <c r="X29" s="130"/>
      <c r="Y29" s="132"/>
      <c r="Z29" s="130"/>
      <c r="AA29" s="171"/>
      <c r="AB29" s="171"/>
      <c r="AC29" s="171"/>
      <c r="AE29" s="130"/>
    </row>
    <row r="30" spans="2:31" x14ac:dyDescent="0.2">
      <c r="B30" s="98">
        <f>B27 + 1</f>
        <v>19</v>
      </c>
      <c r="C30" s="128" t="s">
        <v>351</v>
      </c>
      <c r="D30" s="100" t="s">
        <v>86</v>
      </c>
      <c r="E30" s="224">
        <v>3</v>
      </c>
      <c r="F30" s="439">
        <v>0</v>
      </c>
      <c r="G30" s="443">
        <v>0</v>
      </c>
      <c r="H30" s="439">
        <v>0</v>
      </c>
      <c r="I30" s="440">
        <v>0</v>
      </c>
      <c r="J30" s="453">
        <v>0</v>
      </c>
      <c r="K30" s="443">
        <v>0</v>
      </c>
      <c r="L30" s="256">
        <f>SUM(F30:K30)</f>
        <v>0</v>
      </c>
      <c r="M30" s="135"/>
      <c r="N30" s="843">
        <f t="shared" si="2"/>
        <v>0</v>
      </c>
      <c r="O30" s="28">
        <f t="shared" si="3"/>
        <v>0</v>
      </c>
      <c r="R30" s="105">
        <f t="shared" ref="R30:W31" si="21" xml:space="preserve"> IF( ISNUMBER( F30 ), 0, 1 )</f>
        <v>0</v>
      </c>
      <c r="S30" s="105">
        <f t="shared" si="21"/>
        <v>0</v>
      </c>
      <c r="T30" s="105">
        <f t="shared" si="21"/>
        <v>0</v>
      </c>
      <c r="U30" s="105">
        <f t="shared" si="21"/>
        <v>0</v>
      </c>
      <c r="V30" s="105">
        <f t="shared" si="21"/>
        <v>0</v>
      </c>
      <c r="W30" s="105">
        <f t="shared" si="21"/>
        <v>0</v>
      </c>
      <c r="Y30" s="105">
        <f t="shared" ref="Y30:Y32" si="22" xml:space="preserve"> IF( (AA30 - AB30 - AC30) = 0, 0, 1 )</f>
        <v>0</v>
      </c>
      <c r="Z30" s="130"/>
      <c r="AA30" s="171">
        <f t="shared" si="6"/>
        <v>0</v>
      </c>
      <c r="AB30" s="171">
        <f xml:space="preserve"> ROUND( '2B'!F29, 3)</f>
        <v>0</v>
      </c>
      <c r="AC30" s="171">
        <f xml:space="preserve"> ROUND( '2B'!G29, 3)</f>
        <v>0</v>
      </c>
      <c r="AD30" s="87" t="s">
        <v>762</v>
      </c>
      <c r="AE30" s="130"/>
    </row>
    <row r="31" spans="2:31" x14ac:dyDescent="0.2">
      <c r="B31" s="106">
        <f xml:space="preserve"> B30 + 1</f>
        <v>20</v>
      </c>
      <c r="C31" s="99" t="s">
        <v>352</v>
      </c>
      <c r="D31" s="107" t="s">
        <v>86</v>
      </c>
      <c r="E31" s="226">
        <v>3</v>
      </c>
      <c r="F31" s="439">
        <v>0</v>
      </c>
      <c r="G31" s="443">
        <v>0</v>
      </c>
      <c r="H31" s="439">
        <v>0</v>
      </c>
      <c r="I31" s="440">
        <v>0</v>
      </c>
      <c r="J31" s="453">
        <v>0</v>
      </c>
      <c r="K31" s="443">
        <v>0</v>
      </c>
      <c r="L31" s="257">
        <f>SUM(F31:K31)</f>
        <v>0</v>
      </c>
      <c r="M31" s="135"/>
      <c r="N31" s="843">
        <f t="shared" si="2"/>
        <v>0</v>
      </c>
      <c r="O31" s="28">
        <f t="shared" si="3"/>
        <v>0</v>
      </c>
      <c r="R31" s="105">
        <f t="shared" si="21"/>
        <v>0</v>
      </c>
      <c r="S31" s="105">
        <f t="shared" si="21"/>
        <v>0</v>
      </c>
      <c r="T31" s="105">
        <f t="shared" si="21"/>
        <v>0</v>
      </c>
      <c r="U31" s="105">
        <f t="shared" si="21"/>
        <v>0</v>
      </c>
      <c r="V31" s="105">
        <f t="shared" si="21"/>
        <v>0</v>
      </c>
      <c r="W31" s="105">
        <f t="shared" si="21"/>
        <v>0</v>
      </c>
      <c r="Y31" s="105">
        <f t="shared" si="22"/>
        <v>0</v>
      </c>
      <c r="Z31" s="130"/>
      <c r="AA31" s="171">
        <f t="shared" si="6"/>
        <v>0</v>
      </c>
      <c r="AB31" s="171">
        <f xml:space="preserve"> ROUND( '2B'!F30, 3)</f>
        <v>0</v>
      </c>
      <c r="AC31" s="171">
        <f xml:space="preserve"> ROUND( '2B'!G30, 3)</f>
        <v>0</v>
      </c>
      <c r="AD31" s="87" t="s">
        <v>763</v>
      </c>
      <c r="AE31" s="130"/>
    </row>
    <row r="32" spans="2:31" ht="23.25" thickBot="1" x14ac:dyDescent="0.25">
      <c r="B32" s="113">
        <f t="shared" ref="B32" si="23" xml:space="preserve"> B31 + 1</f>
        <v>21</v>
      </c>
      <c r="C32" s="114" t="s">
        <v>353</v>
      </c>
      <c r="D32" s="115" t="s">
        <v>86</v>
      </c>
      <c r="E32" s="236">
        <v>3</v>
      </c>
      <c r="F32" s="203">
        <f t="shared" ref="F32:K32" si="24">F27 + F30 + F31</f>
        <v>5.2489999999999997</v>
      </c>
      <c r="G32" s="205">
        <f t="shared" si="24"/>
        <v>35.080178878133019</v>
      </c>
      <c r="H32" s="203">
        <f t="shared" si="24"/>
        <v>12.489453475162874</v>
      </c>
      <c r="I32" s="204">
        <f t="shared" si="24"/>
        <v>3.0260093316546168</v>
      </c>
      <c r="J32" s="250">
        <f t="shared" si="24"/>
        <v>88.225817976582917</v>
      </c>
      <c r="K32" s="205">
        <f t="shared" si="24"/>
        <v>184.85307180885459</v>
      </c>
      <c r="L32" s="258">
        <f>SUM(F32:K32)</f>
        <v>328.92353147038807</v>
      </c>
      <c r="M32" s="135"/>
      <c r="N32" s="843" t="str">
        <f t="shared" si="2"/>
        <v>The water total of table 4D line 21 should equal the water total of table 2B line 21</v>
      </c>
      <c r="O32"/>
      <c r="P32" s="135"/>
      <c r="Q32" s="130"/>
      <c r="R32" s="212"/>
      <c r="S32" s="212"/>
      <c r="T32" s="212"/>
      <c r="U32" s="212"/>
      <c r="V32" s="212"/>
      <c r="W32" s="212"/>
      <c r="X32" s="130"/>
      <c r="Y32" s="105">
        <f t="shared" si="22"/>
        <v>1</v>
      </c>
      <c r="Z32" s="130"/>
      <c r="AA32" s="171">
        <f xml:space="preserve"> ROUND( L32, 3)</f>
        <v>328.92399999999998</v>
      </c>
      <c r="AB32" s="171">
        <f xml:space="preserve"> ROUND( '2B'!F33, 3)</f>
        <v>40.329000000000001</v>
      </c>
      <c r="AC32" s="171">
        <f xml:space="preserve"> ROUND( '2B'!G33, 3)</f>
        <v>288.59399999999999</v>
      </c>
      <c r="AD32" s="87" t="s">
        <v>764</v>
      </c>
      <c r="AE32" s="130"/>
    </row>
    <row r="33" spans="2:31" ht="15" thickBot="1" x14ac:dyDescent="0.25">
      <c r="M33" s="135"/>
      <c r="O33"/>
      <c r="P33" s="129"/>
      <c r="Q33" s="133"/>
      <c r="R33" s="212"/>
      <c r="S33" s="212"/>
      <c r="T33" s="212"/>
      <c r="U33" s="212"/>
      <c r="V33" s="212"/>
      <c r="W33" s="212"/>
      <c r="X33" s="133"/>
      <c r="Y33"/>
      <c r="Z33" s="133"/>
      <c r="AE33" s="133"/>
    </row>
    <row r="34" spans="2:31" ht="15" thickBot="1" x14ac:dyDescent="0.25">
      <c r="B34" s="125" t="s">
        <v>158</v>
      </c>
      <c r="C34" s="126" t="s">
        <v>765</v>
      </c>
      <c r="D34" s="83"/>
      <c r="E34" s="83"/>
      <c r="M34" s="135"/>
      <c r="O34"/>
      <c r="P34" s="129"/>
      <c r="Q34" s="133"/>
      <c r="R34" s="212"/>
      <c r="S34" s="212"/>
      <c r="T34" s="212"/>
      <c r="U34" s="212"/>
      <c r="V34" s="212"/>
      <c r="W34" s="212"/>
      <c r="X34" s="133"/>
      <c r="Y34"/>
      <c r="Z34" s="133"/>
      <c r="AE34" s="133"/>
    </row>
    <row r="35" spans="2:31" ht="15" thickBot="1" x14ac:dyDescent="0.25">
      <c r="B35" s="98">
        <f>B32 + 1</f>
        <v>22</v>
      </c>
      <c r="C35" s="128" t="s">
        <v>766</v>
      </c>
      <c r="D35" s="100" t="s">
        <v>767</v>
      </c>
      <c r="E35" s="224">
        <v>3</v>
      </c>
      <c r="F35" s="454">
        <v>741999.36499999999</v>
      </c>
      <c r="M35" s="135"/>
      <c r="O35" s="28">
        <f t="shared" si="3"/>
        <v>0</v>
      </c>
      <c r="P35" s="129"/>
      <c r="Q35" s="133"/>
      <c r="R35" s="105">
        <f xml:space="preserve"> IF( ISNUMBER( F35 ), 0, 1 )</f>
        <v>0</v>
      </c>
      <c r="S35" s="212"/>
      <c r="T35" s="212"/>
      <c r="U35" s="212"/>
      <c r="V35" s="212"/>
      <c r="W35" s="212"/>
      <c r="X35" s="133"/>
      <c r="Y35"/>
      <c r="Z35" s="133"/>
      <c r="AE35" s="133"/>
    </row>
    <row r="36" spans="2:31" ht="15" thickBot="1" x14ac:dyDescent="0.25">
      <c r="B36" s="106">
        <f xml:space="preserve"> B35 + 1</f>
        <v>23</v>
      </c>
      <c r="C36" s="99" t="s">
        <v>768</v>
      </c>
      <c r="D36" s="107" t="s">
        <v>767</v>
      </c>
      <c r="E36" s="108">
        <v>3</v>
      </c>
      <c r="G36" s="454">
        <v>451153</v>
      </c>
      <c r="M36" s="135"/>
      <c r="O36" s="28">
        <f t="shared" si="3"/>
        <v>0</v>
      </c>
      <c r="R36" s="212"/>
      <c r="S36" s="105">
        <f t="shared" ref="S36" si="25" xml:space="preserve"> IF( ISNUMBER( G36 ), 0, 1 )</f>
        <v>0</v>
      </c>
      <c r="T36" s="212"/>
      <c r="U36" s="212"/>
      <c r="V36" s="212"/>
      <c r="W36" s="212"/>
      <c r="Y36" s="122"/>
      <c r="Z36" s="133"/>
      <c r="AE36" s="133"/>
    </row>
    <row r="37" spans="2:31" ht="15" thickBot="1" x14ac:dyDescent="0.25">
      <c r="B37" s="106">
        <f t="shared" ref="B37:B40" si="26" xml:space="preserve"> B36 + 1</f>
        <v>24</v>
      </c>
      <c r="C37" s="99" t="s">
        <v>769</v>
      </c>
      <c r="D37" s="107" t="s">
        <v>767</v>
      </c>
      <c r="E37" s="108">
        <v>3</v>
      </c>
      <c r="H37" s="454">
        <v>265159.37900000002</v>
      </c>
      <c r="M37" s="135"/>
      <c r="O37" s="28">
        <f t="shared" si="3"/>
        <v>0</v>
      </c>
      <c r="R37" s="212"/>
      <c r="S37" s="212"/>
      <c r="T37" s="105">
        <f t="shared" ref="T37" si="27" xml:space="preserve"> IF( ISNUMBER( H37 ), 0, 1 )</f>
        <v>0</v>
      </c>
      <c r="U37" s="212"/>
      <c r="V37" s="212"/>
      <c r="W37" s="212"/>
      <c r="Z37" s="133"/>
      <c r="AE37" s="133"/>
    </row>
    <row r="38" spans="2:31" ht="15" thickBot="1" x14ac:dyDescent="0.25">
      <c r="B38" s="106">
        <f t="shared" si="26"/>
        <v>25</v>
      </c>
      <c r="C38" s="99" t="s">
        <v>770</v>
      </c>
      <c r="D38" s="107" t="s">
        <v>767</v>
      </c>
      <c r="E38" s="108">
        <v>3</v>
      </c>
      <c r="I38" s="454">
        <v>120945.951</v>
      </c>
      <c r="M38" s="137"/>
      <c r="O38" s="28">
        <f t="shared" si="3"/>
        <v>0</v>
      </c>
      <c r="R38" s="212"/>
      <c r="S38" s="212"/>
      <c r="T38" s="212"/>
      <c r="U38" s="105">
        <f t="shared" ref="U38" si="28" xml:space="preserve"> IF( ISNUMBER( I38 ), 0, 1 )</f>
        <v>0</v>
      </c>
      <c r="V38" s="212"/>
      <c r="W38" s="212"/>
      <c r="Z38" s="133"/>
      <c r="AE38" s="133"/>
    </row>
    <row r="39" spans="2:31" ht="15" thickBot="1" x14ac:dyDescent="0.25">
      <c r="B39" s="106">
        <f t="shared" si="26"/>
        <v>26</v>
      </c>
      <c r="C39" s="99" t="s">
        <v>771</v>
      </c>
      <c r="D39" s="107" t="s">
        <v>767</v>
      </c>
      <c r="E39" s="108">
        <v>3</v>
      </c>
      <c r="J39" s="454">
        <v>460381.8</v>
      </c>
      <c r="M39" s="137"/>
      <c r="O39" s="28">
        <f t="shared" si="3"/>
        <v>0</v>
      </c>
      <c r="R39" s="212"/>
      <c r="S39" s="212"/>
      <c r="T39" s="212"/>
      <c r="U39" s="212"/>
      <c r="V39" s="105">
        <f xml:space="preserve"> IF( ISNUMBER( J39 ), 0, 1 )</f>
        <v>0</v>
      </c>
      <c r="W39" s="212"/>
      <c r="Z39" s="133"/>
      <c r="AA39" s="83"/>
      <c r="AB39" s="83"/>
      <c r="AC39" s="83"/>
      <c r="AD39" s="83"/>
      <c r="AE39" s="133"/>
    </row>
    <row r="40" spans="2:31" ht="15" thickBot="1" x14ac:dyDescent="0.25">
      <c r="B40" s="106">
        <f t="shared" si="26"/>
        <v>27</v>
      </c>
      <c r="C40" s="99" t="s">
        <v>772</v>
      </c>
      <c r="D40" s="107" t="s">
        <v>767</v>
      </c>
      <c r="E40" s="108">
        <v>3</v>
      </c>
      <c r="K40" s="455">
        <v>460381.8</v>
      </c>
      <c r="M40" s="137"/>
      <c r="O40" s="28">
        <f xml:space="preserve"> IF( SUM( Q40:X40 ) = 0, 0, $R$6 )</f>
        <v>0</v>
      </c>
      <c r="R40" s="212"/>
      <c r="S40" s="212"/>
      <c r="T40" s="212"/>
      <c r="U40" s="212"/>
      <c r="V40" s="212"/>
      <c r="W40" s="105">
        <f xml:space="preserve"> IF( ISNUMBER( K40 ), 0, 1 )</f>
        <v>0</v>
      </c>
      <c r="Z40" s="133"/>
      <c r="AA40" s="169"/>
      <c r="AB40" s="169"/>
      <c r="AC40" s="169"/>
      <c r="AD40" s="169"/>
      <c r="AE40" s="133"/>
    </row>
    <row r="41" spans="2:31" x14ac:dyDescent="0.2">
      <c r="B41" s="106">
        <f xml:space="preserve"> B40 + 1</f>
        <v>28</v>
      </c>
      <c r="C41" s="99" t="s">
        <v>773</v>
      </c>
      <c r="D41" s="107" t="s">
        <v>774</v>
      </c>
      <c r="E41" s="108">
        <v>3</v>
      </c>
      <c r="F41" s="197">
        <f xml:space="preserve"> IF( F35 = 0, 0, F16 * 1000000 / F35 )</f>
        <v>7.074130043224498</v>
      </c>
      <c r="G41" s="199">
        <f xml:space="preserve"> IF( G36 = 0, 0, G16 * 1000000 / G36 )</f>
        <v>45.649701985800824</v>
      </c>
      <c r="H41" s="702">
        <f xml:space="preserve"> IF( H37 = 0, 0, H16 * 1000000  / H37 )</f>
        <v>39.093469139554742</v>
      </c>
      <c r="I41" s="198">
        <f xml:space="preserve"> IF( I38 = 0, 0, I16 * 1000000  / I38 )</f>
        <v>22.117317511522142</v>
      </c>
      <c r="J41" s="198">
        <f xml:space="preserve"> IF( J39 = 0, 0, J16 * 1000000  / J39 )</f>
        <v>87.705465333338552</v>
      </c>
      <c r="K41" s="416">
        <f xml:space="preserve"> IF( K40 = 0, 0, K16 * 1000000  / K40 )</f>
        <v>230.14810750555301</v>
      </c>
      <c r="M41" s="137"/>
      <c r="O41"/>
      <c r="P41" s="129"/>
      <c r="Q41" s="133"/>
      <c r="R41" s="212"/>
      <c r="S41" s="212"/>
      <c r="T41" s="212"/>
      <c r="U41" s="212"/>
      <c r="V41" s="212"/>
      <c r="W41" s="212"/>
      <c r="X41" s="133"/>
      <c r="Z41" s="133"/>
      <c r="AA41" s="169"/>
      <c r="AB41" s="169"/>
      <c r="AC41" s="169"/>
      <c r="AD41" s="169"/>
      <c r="AE41" s="133"/>
    </row>
    <row r="42" spans="2:31" x14ac:dyDescent="0.2">
      <c r="B42" s="106">
        <f t="shared" ref="B42:B43" si="29" xml:space="preserve"> B41 + 1</f>
        <v>29</v>
      </c>
      <c r="C42" s="99" t="s">
        <v>775</v>
      </c>
      <c r="D42" s="107" t="s">
        <v>686</v>
      </c>
      <c r="E42" s="108">
        <v>3</v>
      </c>
      <c r="F42" s="439">
        <v>5017.51</v>
      </c>
      <c r="G42" s="443">
        <v>5017.51</v>
      </c>
      <c r="H42" s="453">
        <v>5017.51</v>
      </c>
      <c r="I42" s="440">
        <v>5017.51</v>
      </c>
      <c r="J42" s="440">
        <v>5017.51</v>
      </c>
      <c r="K42" s="443">
        <v>5017.51</v>
      </c>
      <c r="M42" s="135"/>
      <c r="O42" s="28">
        <f t="shared" ref="O42" si="30" xml:space="preserve"> IF( SUM( Q42:X42 ) = 0, 0, $R$6 )</f>
        <v>0</v>
      </c>
      <c r="R42" s="105">
        <f t="shared" ref="R42" si="31" xml:space="preserve"> IF( ISNUMBER( F42 ), 0, 1 )</f>
        <v>0</v>
      </c>
      <c r="S42" s="105">
        <f t="shared" ref="S42" si="32" xml:space="preserve"> IF( ISNUMBER( G42 ), 0, 1 )</f>
        <v>0</v>
      </c>
      <c r="T42" s="105">
        <f t="shared" ref="T42" si="33" xml:space="preserve"> IF( ISNUMBER( H42 ), 0, 1 )</f>
        <v>0</v>
      </c>
      <c r="U42" s="105">
        <f t="shared" ref="U42" si="34" xml:space="preserve"> IF( ISNUMBER( I42 ), 0, 1 )</f>
        <v>0</v>
      </c>
      <c r="V42" s="105">
        <f t="shared" ref="V42" si="35" xml:space="preserve"> IF( ISNUMBER( J42 ), 0, 1 )</f>
        <v>0</v>
      </c>
      <c r="W42" s="105">
        <f t="shared" ref="W42" si="36" xml:space="preserve"> IF( ISNUMBER( K42 ), 0, 1 )</f>
        <v>0</v>
      </c>
      <c r="Y42" s="132"/>
      <c r="Z42" s="130"/>
      <c r="AA42" s="171"/>
      <c r="AB42" s="171"/>
      <c r="AC42" s="171"/>
      <c r="AE42" s="130"/>
    </row>
    <row r="43" spans="2:31" ht="15" thickBot="1" x14ac:dyDescent="0.25">
      <c r="B43" s="113">
        <f t="shared" si="29"/>
        <v>30</v>
      </c>
      <c r="C43" s="114" t="s">
        <v>773</v>
      </c>
      <c r="D43" s="115" t="s">
        <v>776</v>
      </c>
      <c r="E43" s="236">
        <v>3</v>
      </c>
      <c r="F43" s="203">
        <f xml:space="preserve"> IF( F42 = 0, 0, F16 * 1000 / F42 )</f>
        <v>1.0461364302213647</v>
      </c>
      <c r="G43" s="205">
        <f t="shared" ref="G43:K43" si="37" xml:space="preserve"> IF( G42 = 0, 0, G16 * 1000 / G42 )</f>
        <v>4.1046256011447904</v>
      </c>
      <c r="H43" s="250">
        <f t="shared" si="37"/>
        <v>2.0659649906029087</v>
      </c>
      <c r="I43" s="204">
        <f t="shared" si="37"/>
        <v>0.53313296834485613</v>
      </c>
      <c r="J43" s="204">
        <f t="shared" si="37"/>
        <v>8.0474179423658345</v>
      </c>
      <c r="K43" s="205">
        <f t="shared" si="37"/>
        <v>21.117247399606576</v>
      </c>
      <c r="M43" s="135"/>
      <c r="O43"/>
      <c r="R43" s="132"/>
      <c r="S43" s="132"/>
      <c r="T43" s="132"/>
      <c r="U43" s="132"/>
      <c r="V43" s="132"/>
      <c r="W43" s="132"/>
      <c r="Y43" s="132"/>
      <c r="Z43" s="130"/>
      <c r="AA43" s="171"/>
      <c r="AB43" s="171"/>
      <c r="AC43" s="171"/>
      <c r="AE43" s="130"/>
    </row>
    <row r="44" spans="2:31" x14ac:dyDescent="0.2">
      <c r="M44" s="137"/>
      <c r="O44"/>
      <c r="R44" s="212"/>
      <c r="S44" s="212"/>
      <c r="T44" s="212"/>
      <c r="U44" s="212"/>
      <c r="V44" s="212"/>
      <c r="W44" s="212"/>
      <c r="AA44" s="169"/>
      <c r="AB44" s="169"/>
      <c r="AC44" s="169"/>
      <c r="AD44" s="169"/>
    </row>
    <row r="45" spans="2:31" x14ac:dyDescent="0.2">
      <c r="B45" s="897" t="s">
        <v>101</v>
      </c>
      <c r="C45" s="897"/>
      <c r="D45" s="169"/>
      <c r="E45" s="169"/>
      <c r="F45" s="169"/>
      <c r="G45" s="169"/>
      <c r="M45" s="137"/>
      <c r="O45"/>
      <c r="R45" s="212"/>
      <c r="S45" s="212"/>
      <c r="T45" s="212"/>
      <c r="U45" s="212"/>
      <c r="V45" s="212"/>
      <c r="W45" s="212"/>
      <c r="AA45" s="169"/>
      <c r="AB45" s="169"/>
      <c r="AC45" s="169"/>
      <c r="AD45" s="169"/>
    </row>
    <row r="46" spans="2:31" x14ac:dyDescent="0.2">
      <c r="B46" s="146"/>
      <c r="C46" s="147"/>
      <c r="D46" s="169"/>
      <c r="E46" s="169"/>
      <c r="F46" s="169"/>
      <c r="G46" s="169"/>
      <c r="M46" s="137"/>
      <c r="O46"/>
      <c r="R46" s="212"/>
      <c r="S46" s="212"/>
      <c r="T46" s="212"/>
      <c r="U46" s="212"/>
      <c r="V46" s="212"/>
      <c r="W46" s="212"/>
      <c r="AA46" s="169"/>
      <c r="AB46" s="169"/>
      <c r="AC46" s="169"/>
      <c r="AD46" s="169"/>
    </row>
    <row r="47" spans="2:31" x14ac:dyDescent="0.2">
      <c r="B47" s="29"/>
      <c r="C47" s="148" t="s">
        <v>102</v>
      </c>
      <c r="D47" s="169"/>
      <c r="E47" s="169"/>
      <c r="F47" s="169"/>
      <c r="G47" s="169"/>
      <c r="M47" s="137"/>
      <c r="O47"/>
      <c r="R47" s="212"/>
      <c r="S47" s="212"/>
      <c r="T47" s="212"/>
      <c r="U47" s="212"/>
      <c r="V47" s="212"/>
      <c r="W47" s="212"/>
      <c r="AA47" s="169"/>
      <c r="AB47" s="169"/>
      <c r="AC47" s="169"/>
      <c r="AD47" s="169"/>
    </row>
    <row r="48" spans="2:31" x14ac:dyDescent="0.2">
      <c r="B48" s="146"/>
      <c r="C48" s="147"/>
      <c r="D48" s="169"/>
      <c r="E48" s="169"/>
      <c r="F48" s="169"/>
      <c r="G48" s="169"/>
      <c r="M48" s="137"/>
      <c r="O48"/>
      <c r="R48" s="212"/>
      <c r="S48" s="212"/>
      <c r="T48" s="212"/>
      <c r="U48" s="212"/>
      <c r="V48" s="212"/>
      <c r="W48" s="212"/>
      <c r="AA48" s="169"/>
      <c r="AB48" s="169"/>
      <c r="AC48" s="169"/>
      <c r="AD48" s="169"/>
    </row>
    <row r="49" spans="2:30" x14ac:dyDescent="0.2">
      <c r="B49" s="149"/>
      <c r="C49" s="148" t="s">
        <v>103</v>
      </c>
      <c r="D49" s="169"/>
      <c r="E49" s="169"/>
      <c r="F49" s="169"/>
      <c r="G49" s="169"/>
      <c r="M49" s="137"/>
      <c r="O49"/>
      <c r="R49" s="212"/>
      <c r="S49" s="212"/>
      <c r="T49" s="212"/>
      <c r="U49" s="212"/>
      <c r="V49" s="212"/>
      <c r="W49" s="212"/>
      <c r="AA49" s="186"/>
      <c r="AB49" s="186"/>
      <c r="AC49" s="186"/>
      <c r="AD49" s="186"/>
    </row>
    <row r="50" spans="2:30" x14ac:dyDescent="0.2">
      <c r="B50" s="150"/>
      <c r="C50" s="148"/>
      <c r="D50" s="169"/>
      <c r="E50" s="169"/>
      <c r="F50" s="169"/>
      <c r="G50" s="169"/>
      <c r="M50" s="137"/>
      <c r="O50"/>
      <c r="R50" s="212"/>
      <c r="S50" s="212"/>
      <c r="T50" s="212"/>
      <c r="U50" s="212"/>
      <c r="V50" s="212"/>
      <c r="W50" s="212"/>
      <c r="AA50" s="186"/>
      <c r="AB50" s="186"/>
      <c r="AC50" s="186"/>
      <c r="AD50" s="186"/>
    </row>
    <row r="51" spans="2:30" x14ac:dyDescent="0.2">
      <c r="B51" s="151"/>
      <c r="C51" s="148" t="s">
        <v>104</v>
      </c>
      <c r="D51" s="169"/>
      <c r="E51" s="169"/>
      <c r="F51" s="169"/>
      <c r="G51" s="169"/>
      <c r="M51" s="137"/>
      <c r="O51"/>
      <c r="R51" s="212"/>
      <c r="S51" s="212"/>
      <c r="T51" s="212"/>
      <c r="U51" s="212"/>
      <c r="V51" s="212"/>
      <c r="W51" s="212"/>
      <c r="AA51" s="122"/>
      <c r="AB51" s="122"/>
      <c r="AC51" s="122"/>
      <c r="AD51" s="122"/>
    </row>
    <row r="52" spans="2:30" x14ac:dyDescent="0.2">
      <c r="B52" s="156"/>
      <c r="C52" s="157"/>
      <c r="D52" s="186"/>
      <c r="E52" s="186"/>
      <c r="F52" s="186"/>
      <c r="G52" s="186"/>
      <c r="M52" s="137"/>
      <c r="O52"/>
      <c r="R52" s="212"/>
      <c r="S52" s="212"/>
      <c r="T52" s="212"/>
      <c r="U52" s="212"/>
      <c r="V52" s="212"/>
      <c r="W52" s="212"/>
      <c r="AA52" s="122"/>
      <c r="AB52" s="122"/>
      <c r="AC52" s="122"/>
      <c r="AD52" s="122"/>
    </row>
    <row r="53" spans="2:30" ht="15" thickBot="1" x14ac:dyDescent="0.25">
      <c r="B53" s="186"/>
      <c r="C53" s="187"/>
      <c r="D53" s="186"/>
      <c r="E53" s="186"/>
      <c r="F53" s="186"/>
      <c r="G53" s="186"/>
      <c r="M53" s="137"/>
      <c r="O53"/>
      <c r="R53" s="212"/>
      <c r="S53" s="212"/>
      <c r="T53" s="212"/>
      <c r="U53" s="212"/>
      <c r="V53" s="212"/>
      <c r="W53" s="212"/>
      <c r="AA53" s="186"/>
      <c r="AB53" s="186"/>
      <c r="AC53" s="186"/>
      <c r="AD53" s="186"/>
    </row>
    <row r="54" spans="2:30" ht="16.5" thickBot="1" x14ac:dyDescent="0.25">
      <c r="B54" s="39" t="str">
        <f ca="1" xml:space="preserve"> RIGHT(CELL("filename", $A$1), LEN(CELL("filename", $A$1)) - SEARCH("]", CELL("filename", $A$1)))&amp;" - Line definitions"</f>
        <v>4D - Line definitions</v>
      </c>
      <c r="C54" s="153"/>
      <c r="D54" s="154"/>
      <c r="E54" s="154"/>
      <c r="F54" s="154"/>
      <c r="G54" s="154"/>
      <c r="H54" s="154"/>
      <c r="I54" s="154"/>
      <c r="J54" s="154"/>
      <c r="K54" s="154"/>
      <c r="L54" s="260"/>
      <c r="M54" s="137"/>
      <c r="R54" s="212"/>
      <c r="S54" s="212"/>
      <c r="T54" s="212"/>
      <c r="U54" s="212"/>
      <c r="V54" s="212"/>
      <c r="W54" s="212"/>
      <c r="AA54" s="122"/>
      <c r="AB54" s="122"/>
      <c r="AC54" s="122"/>
      <c r="AD54" s="122"/>
    </row>
    <row r="55" spans="2:30" ht="15" thickBot="1" x14ac:dyDescent="0.25">
      <c r="B55" s="87"/>
      <c r="C55" s="161"/>
      <c r="D55" s="87"/>
      <c r="E55" s="87"/>
      <c r="F55" s="87"/>
      <c r="G55" s="122"/>
      <c r="M55" s="137"/>
      <c r="R55" s="212"/>
      <c r="S55" s="212"/>
      <c r="T55" s="212"/>
      <c r="U55" s="212"/>
      <c r="V55" s="212"/>
      <c r="W55" s="212"/>
      <c r="AA55" s="122"/>
      <c r="AB55" s="122"/>
      <c r="AC55" s="122"/>
      <c r="AD55" s="122"/>
    </row>
    <row r="56" spans="2:30" ht="15" thickBot="1" x14ac:dyDescent="0.25">
      <c r="B56" s="261" t="s">
        <v>105</v>
      </c>
      <c r="C56" s="1048" t="s">
        <v>106</v>
      </c>
      <c r="D56" s="1049"/>
      <c r="E56" s="1049"/>
      <c r="F56" s="1049"/>
      <c r="G56" s="1049"/>
      <c r="H56" s="1049"/>
      <c r="I56" s="1049"/>
      <c r="J56" s="1049"/>
      <c r="K56" s="1049"/>
      <c r="L56" s="1050"/>
      <c r="M56" s="137"/>
      <c r="R56" s="97" t="s">
        <v>107</v>
      </c>
      <c r="S56" s="212"/>
      <c r="T56" s="212"/>
      <c r="U56" s="212"/>
      <c r="V56" s="212"/>
      <c r="W56" s="212"/>
      <c r="AA56" s="122"/>
      <c r="AB56" s="122"/>
      <c r="AC56" s="122"/>
      <c r="AD56" s="122"/>
    </row>
    <row r="57" spans="2:30" ht="14.1" customHeight="1" x14ac:dyDescent="0.2">
      <c r="B57" s="262">
        <f>B7</f>
        <v>1</v>
      </c>
      <c r="C57" s="1051" t="s">
        <v>354</v>
      </c>
      <c r="D57" s="1052"/>
      <c r="E57" s="1052"/>
      <c r="F57" s="1052"/>
      <c r="G57" s="1052"/>
      <c r="H57" s="1052"/>
      <c r="I57" s="1052"/>
      <c r="J57" s="1052"/>
      <c r="K57" s="1052"/>
      <c r="L57" s="1053"/>
      <c r="M57" s="137"/>
      <c r="R57" s="168">
        <v>1</v>
      </c>
      <c r="S57" s="212"/>
      <c r="T57" s="212"/>
      <c r="U57" s="212"/>
      <c r="V57" s="212"/>
      <c r="W57" s="212"/>
      <c r="AA57" s="122"/>
      <c r="AB57" s="122"/>
      <c r="AC57" s="122"/>
      <c r="AD57" s="122"/>
    </row>
    <row r="58" spans="2:30" ht="38.25" x14ac:dyDescent="0.2">
      <c r="B58" s="263">
        <f t="shared" ref="B58:B63" si="38">B8</f>
        <v>2</v>
      </c>
      <c r="C58" s="1045" t="s">
        <v>777</v>
      </c>
      <c r="D58" s="1046"/>
      <c r="E58" s="1046"/>
      <c r="F58" s="1046"/>
      <c r="G58" s="1046"/>
      <c r="H58" s="1046"/>
      <c r="I58" s="1046"/>
      <c r="J58" s="1046"/>
      <c r="K58" s="1046"/>
      <c r="L58" s="1047"/>
      <c r="M58" s="137"/>
      <c r="R58" s="168" t="s">
        <v>109</v>
      </c>
      <c r="S58" s="212"/>
      <c r="T58" s="212"/>
      <c r="U58" s="212"/>
      <c r="V58" s="212"/>
      <c r="W58" s="212"/>
      <c r="AA58" s="122"/>
      <c r="AB58" s="122"/>
      <c r="AC58" s="122"/>
      <c r="AD58" s="122"/>
    </row>
    <row r="59" spans="2:30" ht="14.1" customHeight="1" x14ac:dyDescent="0.2">
      <c r="B59" s="263">
        <f t="shared" si="38"/>
        <v>3</v>
      </c>
      <c r="C59" s="1045" t="s">
        <v>778</v>
      </c>
      <c r="D59" s="1046"/>
      <c r="E59" s="1046"/>
      <c r="F59" s="1046"/>
      <c r="G59" s="1046"/>
      <c r="H59" s="1046"/>
      <c r="I59" s="1046"/>
      <c r="J59" s="1046"/>
      <c r="K59" s="1046"/>
      <c r="L59" s="1047"/>
      <c r="M59" s="137"/>
      <c r="R59" s="168">
        <v>1</v>
      </c>
      <c r="S59" s="212"/>
      <c r="T59" s="212"/>
      <c r="U59" s="212"/>
      <c r="V59" s="212"/>
      <c r="W59" s="212"/>
      <c r="AA59" s="122"/>
      <c r="AB59" s="122"/>
      <c r="AC59" s="122"/>
      <c r="AD59" s="122"/>
    </row>
    <row r="60" spans="2:30" x14ac:dyDescent="0.2">
      <c r="B60" s="263">
        <f t="shared" si="38"/>
        <v>4</v>
      </c>
      <c r="C60" s="1045" t="s">
        <v>779</v>
      </c>
      <c r="D60" s="1046"/>
      <c r="E60" s="1046"/>
      <c r="F60" s="1046"/>
      <c r="G60" s="1046"/>
      <c r="H60" s="1046"/>
      <c r="I60" s="1046"/>
      <c r="J60" s="1046"/>
      <c r="K60" s="1046"/>
      <c r="L60" s="1047"/>
      <c r="M60" s="137"/>
      <c r="R60" s="168">
        <v>1</v>
      </c>
      <c r="S60" s="212"/>
      <c r="T60" s="212"/>
      <c r="U60" s="212"/>
      <c r="V60" s="212"/>
      <c r="W60" s="212"/>
      <c r="AA60" s="122"/>
      <c r="AB60" s="122"/>
      <c r="AC60" s="122"/>
      <c r="AD60" s="122"/>
    </row>
    <row r="61" spans="2:30" ht="14.1" customHeight="1" x14ac:dyDescent="0.2">
      <c r="B61" s="263">
        <f t="shared" si="38"/>
        <v>5</v>
      </c>
      <c r="C61" s="1045" t="s">
        <v>780</v>
      </c>
      <c r="D61" s="1046"/>
      <c r="E61" s="1046"/>
      <c r="F61" s="1046"/>
      <c r="G61" s="1046"/>
      <c r="H61" s="1046"/>
      <c r="I61" s="1046"/>
      <c r="J61" s="1046"/>
      <c r="K61" s="1046"/>
      <c r="L61" s="1047"/>
      <c r="M61" s="137"/>
      <c r="R61" s="264">
        <v>1</v>
      </c>
      <c r="S61" s="122"/>
      <c r="T61" s="122"/>
      <c r="U61" s="122"/>
      <c r="V61" s="122"/>
      <c r="W61" s="122"/>
      <c r="AA61" s="122"/>
      <c r="AB61" s="122"/>
      <c r="AC61" s="122"/>
      <c r="AD61" s="122"/>
    </row>
    <row r="62" spans="2:30" x14ac:dyDescent="0.2">
      <c r="B62" s="263">
        <f t="shared" si="38"/>
        <v>6</v>
      </c>
      <c r="C62" s="1045" t="s">
        <v>781</v>
      </c>
      <c r="D62" s="1046"/>
      <c r="E62" s="1046"/>
      <c r="F62" s="1046"/>
      <c r="G62" s="1046"/>
      <c r="H62" s="1046"/>
      <c r="I62" s="1046"/>
      <c r="J62" s="1046"/>
      <c r="K62" s="1046"/>
      <c r="L62" s="1047"/>
      <c r="M62" s="137"/>
      <c r="R62" s="264">
        <v>1</v>
      </c>
      <c r="S62" s="122"/>
      <c r="T62" s="122"/>
      <c r="U62" s="122"/>
      <c r="V62" s="122"/>
      <c r="W62" s="122"/>
      <c r="AA62" s="122"/>
      <c r="AB62" s="122"/>
      <c r="AC62" s="122"/>
      <c r="AD62" s="122"/>
    </row>
    <row r="63" spans="2:30" ht="14.1" customHeight="1" x14ac:dyDescent="0.2">
      <c r="B63" s="263">
        <f t="shared" si="38"/>
        <v>7</v>
      </c>
      <c r="C63" s="1045" t="s">
        <v>782</v>
      </c>
      <c r="D63" s="1046"/>
      <c r="E63" s="1046"/>
      <c r="F63" s="1046"/>
      <c r="G63" s="1046"/>
      <c r="H63" s="1046"/>
      <c r="I63" s="1046"/>
      <c r="J63" s="1046"/>
      <c r="K63" s="1046"/>
      <c r="L63" s="1047"/>
      <c r="R63" s="264">
        <v>1</v>
      </c>
      <c r="S63" s="122"/>
      <c r="T63" s="122"/>
      <c r="U63" s="122"/>
      <c r="V63" s="122"/>
      <c r="W63" s="122"/>
      <c r="AA63" s="122"/>
      <c r="AB63" s="122"/>
      <c r="AC63" s="122"/>
      <c r="AD63" s="122"/>
    </row>
    <row r="64" spans="2:30" x14ac:dyDescent="0.2">
      <c r="B64" s="263">
        <f>B15</f>
        <v>8</v>
      </c>
      <c r="C64" s="1045" t="s">
        <v>783</v>
      </c>
      <c r="D64" s="1046"/>
      <c r="E64" s="1046"/>
      <c r="F64" s="1046"/>
      <c r="G64" s="1046"/>
      <c r="H64" s="1046"/>
      <c r="I64" s="1046"/>
      <c r="J64" s="1046"/>
      <c r="K64" s="1046"/>
      <c r="L64" s="1047"/>
      <c r="R64" s="264">
        <v>1</v>
      </c>
      <c r="S64" s="122"/>
      <c r="T64" s="122"/>
      <c r="U64" s="122"/>
      <c r="V64" s="122"/>
      <c r="W64" s="122"/>
      <c r="AA64" s="122"/>
      <c r="AB64" s="122"/>
      <c r="AC64" s="122"/>
      <c r="AD64" s="122"/>
    </row>
    <row r="65" spans="2:30" x14ac:dyDescent="0.2">
      <c r="B65" s="263">
        <f>B16</f>
        <v>9</v>
      </c>
      <c r="C65" s="1045" t="s">
        <v>784</v>
      </c>
      <c r="D65" s="1046"/>
      <c r="E65" s="1046"/>
      <c r="F65" s="1046"/>
      <c r="G65" s="1046"/>
      <c r="H65" s="1046"/>
      <c r="I65" s="1046"/>
      <c r="J65" s="1046"/>
      <c r="K65" s="1046"/>
      <c r="L65" s="1047"/>
      <c r="R65" s="168">
        <v>1</v>
      </c>
      <c r="AA65" s="122"/>
      <c r="AB65" s="122"/>
      <c r="AC65" s="122"/>
      <c r="AD65" s="122"/>
    </row>
    <row r="66" spans="2:30" x14ac:dyDescent="0.2">
      <c r="B66" s="263">
        <f t="shared" ref="B66:B74" si="39">B19</f>
        <v>10</v>
      </c>
      <c r="C66" s="1045" t="s">
        <v>364</v>
      </c>
      <c r="D66" s="1046"/>
      <c r="E66" s="1046"/>
      <c r="F66" s="1046"/>
      <c r="G66" s="1046"/>
      <c r="H66" s="1046"/>
      <c r="I66" s="1046"/>
      <c r="J66" s="1046"/>
      <c r="K66" s="1046"/>
      <c r="L66" s="1047"/>
      <c r="R66" s="165">
        <v>1</v>
      </c>
      <c r="AA66" s="122"/>
      <c r="AB66" s="122"/>
      <c r="AC66" s="122"/>
      <c r="AD66" s="122"/>
    </row>
    <row r="67" spans="2:30" x14ac:dyDescent="0.2">
      <c r="B67" s="263">
        <f t="shared" si="39"/>
        <v>11</v>
      </c>
      <c r="C67" s="1045" t="s">
        <v>365</v>
      </c>
      <c r="D67" s="1046"/>
      <c r="E67" s="1046"/>
      <c r="F67" s="1046"/>
      <c r="G67" s="1046"/>
      <c r="H67" s="1046"/>
      <c r="I67" s="1046"/>
      <c r="J67" s="1046"/>
      <c r="K67" s="1046"/>
      <c r="L67" s="1047"/>
      <c r="R67" s="165">
        <v>1</v>
      </c>
      <c r="AA67" s="122"/>
      <c r="AB67" s="122"/>
      <c r="AC67" s="122"/>
      <c r="AD67" s="122"/>
    </row>
    <row r="68" spans="2:30" ht="14.1" customHeight="1" x14ac:dyDescent="0.2">
      <c r="B68" s="263">
        <f t="shared" si="39"/>
        <v>12</v>
      </c>
      <c r="C68" s="1045" t="s">
        <v>785</v>
      </c>
      <c r="D68" s="1046"/>
      <c r="E68" s="1046"/>
      <c r="F68" s="1046"/>
      <c r="G68" s="1046"/>
      <c r="H68" s="1046"/>
      <c r="I68" s="1046"/>
      <c r="J68" s="1046"/>
      <c r="K68" s="1046"/>
      <c r="L68" s="1047"/>
      <c r="R68" s="165">
        <v>1</v>
      </c>
      <c r="AA68" s="122"/>
      <c r="AB68" s="122"/>
      <c r="AC68" s="122"/>
      <c r="AD68" s="122"/>
    </row>
    <row r="69" spans="2:30" ht="14.1" customHeight="1" x14ac:dyDescent="0.2">
      <c r="B69" s="263">
        <f t="shared" si="39"/>
        <v>13</v>
      </c>
      <c r="C69" s="1045" t="s">
        <v>786</v>
      </c>
      <c r="D69" s="1046"/>
      <c r="E69" s="1046"/>
      <c r="F69" s="1046"/>
      <c r="G69" s="1046"/>
      <c r="H69" s="1046"/>
      <c r="I69" s="1046"/>
      <c r="J69" s="1046"/>
      <c r="K69" s="1046"/>
      <c r="L69" s="1047"/>
      <c r="R69" s="165">
        <v>1</v>
      </c>
      <c r="AA69" s="122"/>
      <c r="AB69" s="122"/>
      <c r="AC69" s="122"/>
      <c r="AD69" s="122"/>
    </row>
    <row r="70" spans="2:30" ht="14.1" customHeight="1" x14ac:dyDescent="0.2">
      <c r="B70" s="263">
        <f t="shared" si="39"/>
        <v>14</v>
      </c>
      <c r="C70" s="1045" t="s">
        <v>787</v>
      </c>
      <c r="D70" s="1046"/>
      <c r="E70" s="1046"/>
      <c r="F70" s="1046"/>
      <c r="G70" s="1046"/>
      <c r="H70" s="1046"/>
      <c r="I70" s="1046"/>
      <c r="J70" s="1046"/>
      <c r="K70" s="1046"/>
      <c r="L70" s="1047"/>
      <c r="R70" s="165">
        <v>1</v>
      </c>
      <c r="AA70" s="122"/>
      <c r="AB70" s="122"/>
      <c r="AC70" s="122"/>
      <c r="AD70" s="122"/>
    </row>
    <row r="71" spans="2:30" x14ac:dyDescent="0.2">
      <c r="B71" s="263">
        <f t="shared" si="39"/>
        <v>15</v>
      </c>
      <c r="C71" s="1045" t="s">
        <v>788</v>
      </c>
      <c r="D71" s="1046"/>
      <c r="E71" s="1046"/>
      <c r="F71" s="1046"/>
      <c r="G71" s="1046"/>
      <c r="H71" s="1046"/>
      <c r="I71" s="1046"/>
      <c r="J71" s="1046"/>
      <c r="K71" s="1046"/>
      <c r="L71" s="1047"/>
      <c r="R71" s="165">
        <v>1</v>
      </c>
      <c r="AA71" s="122"/>
      <c r="AB71" s="122"/>
      <c r="AC71" s="122"/>
      <c r="AD71" s="122"/>
    </row>
    <row r="72" spans="2:30" x14ac:dyDescent="0.2">
      <c r="B72" s="263">
        <f t="shared" si="39"/>
        <v>16</v>
      </c>
      <c r="C72" s="1045" t="s">
        <v>789</v>
      </c>
      <c r="D72" s="1046"/>
      <c r="E72" s="1046"/>
      <c r="F72" s="1046"/>
      <c r="G72" s="1046"/>
      <c r="H72" s="1046"/>
      <c r="I72" s="1046"/>
      <c r="J72" s="1046"/>
      <c r="K72" s="1046"/>
      <c r="L72" s="1047"/>
      <c r="R72" s="165">
        <v>1</v>
      </c>
      <c r="AA72" s="122"/>
      <c r="AB72" s="122"/>
      <c r="AC72" s="122"/>
      <c r="AD72" s="122"/>
    </row>
    <row r="73" spans="2:30" ht="14.1" customHeight="1" x14ac:dyDescent="0.2">
      <c r="B73" s="263">
        <f t="shared" si="39"/>
        <v>17</v>
      </c>
      <c r="C73" s="1045" t="s">
        <v>790</v>
      </c>
      <c r="D73" s="1046"/>
      <c r="E73" s="1046"/>
      <c r="F73" s="1046"/>
      <c r="G73" s="1046"/>
      <c r="H73" s="1046"/>
      <c r="I73" s="1046"/>
      <c r="J73" s="1046"/>
      <c r="K73" s="1046"/>
      <c r="L73" s="1047"/>
      <c r="R73" s="165">
        <v>1</v>
      </c>
      <c r="AA73" s="122"/>
      <c r="AB73" s="122"/>
      <c r="AC73" s="122"/>
      <c r="AD73" s="122"/>
    </row>
    <row r="74" spans="2:30" x14ac:dyDescent="0.2">
      <c r="B74" s="263">
        <f t="shared" si="39"/>
        <v>18</v>
      </c>
      <c r="C74" s="1045" t="s">
        <v>791</v>
      </c>
      <c r="D74" s="1046"/>
      <c r="E74" s="1046"/>
      <c r="F74" s="1046"/>
      <c r="G74" s="1046"/>
      <c r="H74" s="1046"/>
      <c r="I74" s="1046"/>
      <c r="J74" s="1046"/>
      <c r="K74" s="1046"/>
      <c r="L74" s="1047"/>
      <c r="R74" s="165">
        <v>1</v>
      </c>
      <c r="AA74" s="122"/>
      <c r="AB74" s="122"/>
      <c r="AC74" s="122"/>
      <c r="AD74" s="122"/>
    </row>
    <row r="75" spans="2:30" ht="14.1" customHeight="1" x14ac:dyDescent="0.2">
      <c r="B75" s="263">
        <f>B30</f>
        <v>19</v>
      </c>
      <c r="C75" s="1045" t="s">
        <v>373</v>
      </c>
      <c r="D75" s="1046"/>
      <c r="E75" s="1046"/>
      <c r="F75" s="1046"/>
      <c r="G75" s="1046"/>
      <c r="H75" s="1046"/>
      <c r="I75" s="1046"/>
      <c r="J75" s="1046"/>
      <c r="K75" s="1046"/>
      <c r="L75" s="1047"/>
      <c r="R75" s="165">
        <v>1</v>
      </c>
      <c r="AA75" s="122"/>
      <c r="AB75" s="122"/>
      <c r="AC75" s="122"/>
      <c r="AD75" s="122"/>
    </row>
    <row r="76" spans="2:30" x14ac:dyDescent="0.2">
      <c r="B76" s="263">
        <f>B31</f>
        <v>20</v>
      </c>
      <c r="C76" s="1045" t="s">
        <v>374</v>
      </c>
      <c r="D76" s="1046"/>
      <c r="E76" s="1046"/>
      <c r="F76" s="1046"/>
      <c r="G76" s="1046"/>
      <c r="H76" s="1046"/>
      <c r="I76" s="1046"/>
      <c r="J76" s="1046"/>
      <c r="K76" s="1046"/>
      <c r="L76" s="1047"/>
      <c r="R76" s="165">
        <v>1</v>
      </c>
    </row>
    <row r="77" spans="2:30" x14ac:dyDescent="0.2">
      <c r="B77" s="263">
        <f>B32</f>
        <v>21</v>
      </c>
      <c r="C77" s="1045" t="s">
        <v>792</v>
      </c>
      <c r="D77" s="1046"/>
      <c r="E77" s="1046"/>
      <c r="F77" s="1046"/>
      <c r="G77" s="1046"/>
      <c r="H77" s="1046"/>
      <c r="I77" s="1046"/>
      <c r="J77" s="1046"/>
      <c r="K77" s="1046"/>
      <c r="L77" s="1047"/>
      <c r="R77" s="165">
        <v>1</v>
      </c>
    </row>
    <row r="78" spans="2:30" ht="14.1" customHeight="1" x14ac:dyDescent="0.2">
      <c r="B78" s="263" t="s">
        <v>793</v>
      </c>
      <c r="C78" s="1045" t="s">
        <v>794</v>
      </c>
      <c r="D78" s="1046"/>
      <c r="E78" s="1046"/>
      <c r="F78" s="1046"/>
      <c r="G78" s="1046"/>
      <c r="H78" s="1046"/>
      <c r="I78" s="1046"/>
      <c r="J78" s="1046"/>
      <c r="K78" s="1046"/>
      <c r="L78" s="1047"/>
      <c r="R78" s="165">
        <v>1</v>
      </c>
    </row>
    <row r="79" spans="2:30" ht="14.1" customHeight="1" x14ac:dyDescent="0.2">
      <c r="B79" s="263">
        <v>28</v>
      </c>
      <c r="C79" s="1045" t="s">
        <v>795</v>
      </c>
      <c r="D79" s="1046"/>
      <c r="E79" s="1046"/>
      <c r="F79" s="1046"/>
      <c r="G79" s="1046"/>
      <c r="H79" s="1046"/>
      <c r="I79" s="1046"/>
      <c r="J79" s="1046"/>
      <c r="K79" s="1046"/>
      <c r="L79" s="1047"/>
      <c r="R79" s="165">
        <v>1</v>
      </c>
    </row>
    <row r="80" spans="2:30" ht="14.1" customHeight="1" x14ac:dyDescent="0.2">
      <c r="B80" s="263">
        <v>29</v>
      </c>
      <c r="C80" s="1045" t="s">
        <v>796</v>
      </c>
      <c r="D80" s="1046"/>
      <c r="E80" s="1046"/>
      <c r="F80" s="1046"/>
      <c r="G80" s="1046"/>
      <c r="H80" s="1046"/>
      <c r="I80" s="1046"/>
      <c r="J80" s="1046"/>
      <c r="K80" s="1046"/>
      <c r="L80" s="1047"/>
      <c r="R80" s="165">
        <v>1</v>
      </c>
    </row>
    <row r="81" spans="2:18" ht="15" thickBot="1" x14ac:dyDescent="0.25">
      <c r="B81" s="265">
        <v>30</v>
      </c>
      <c r="C81" s="1054" t="s">
        <v>797</v>
      </c>
      <c r="D81" s="1055"/>
      <c r="E81" s="1055"/>
      <c r="F81" s="1055"/>
      <c r="G81" s="1055"/>
      <c r="H81" s="1055"/>
      <c r="I81" s="1055"/>
      <c r="J81" s="1055"/>
      <c r="K81" s="1055"/>
      <c r="L81" s="1056"/>
      <c r="R81" s="165">
        <v>1</v>
      </c>
    </row>
    <row r="82" spans="2:18" x14ac:dyDescent="0.2">
      <c r="R82" s="165"/>
    </row>
    <row r="83" spans="2:18" hidden="1" x14ac:dyDescent="0.2">
      <c r="R83" s="132"/>
    </row>
    <row r="84" spans="2:18" hidden="1" x14ac:dyDescent="0.2">
      <c r="R84" s="132"/>
    </row>
    <row r="85" spans="2:18" hidden="1" x14ac:dyDescent="0.2">
      <c r="R85" s="132"/>
    </row>
    <row r="86" spans="2:18" hidden="1" x14ac:dyDescent="0.2">
      <c r="R86" s="132"/>
    </row>
    <row r="87" spans="2:18" hidden="1" x14ac:dyDescent="0.2">
      <c r="R87" s="132"/>
    </row>
    <row r="88" spans="2:18" hidden="1" x14ac:dyDescent="0.2">
      <c r="R88" s="132"/>
    </row>
    <row r="89" spans="2:18" hidden="1" x14ac:dyDescent="0.2">
      <c r="R89" s="132"/>
    </row>
    <row r="90" spans="2:18" hidden="1" x14ac:dyDescent="0.2">
      <c r="R90" s="132"/>
    </row>
    <row r="91" spans="2:18" hidden="1" x14ac:dyDescent="0.2">
      <c r="R91" s="132"/>
    </row>
    <row r="92" spans="2:18" hidden="1" x14ac:dyDescent="0.2">
      <c r="R92" s="132"/>
    </row>
    <row r="93" spans="2:18" hidden="1" x14ac:dyDescent="0.2">
      <c r="R93" s="132"/>
    </row>
    <row r="94" spans="2:18" hidden="1" x14ac:dyDescent="0.2">
      <c r="R94" s="132"/>
    </row>
    <row r="95" spans="2:18" hidden="1" x14ac:dyDescent="0.2">
      <c r="R95" s="132"/>
    </row>
    <row r="96" spans="2:18" hidden="1" x14ac:dyDescent="0.2">
      <c r="R96" s="132"/>
    </row>
    <row r="97" spans="18:18" hidden="1" x14ac:dyDescent="0.2">
      <c r="R97" s="132"/>
    </row>
    <row r="98" spans="18:18" hidden="1" x14ac:dyDescent="0.2">
      <c r="R98" s="132"/>
    </row>
  </sheetData>
  <sheetProtection algorithmName="SHA-512" hashValue="WLlX6HMjOIleUUmAOIiHHlRQ9qTqE2oQksifpNF2jsB8qTIWpKcQO61PGQfKuAoI8TOfCYhZGAr1ktebnxxB2w==" saltValue="42zBBDg4tbJM7SAtu0mOKQ==" spinCount="100000" sheet="1" objects="1" scenarios="1"/>
  <mergeCells count="36">
    <mergeCell ref="C81:L81"/>
    <mergeCell ref="C68:L68"/>
    <mergeCell ref="C69:L69"/>
    <mergeCell ref="C70:L70"/>
    <mergeCell ref="C71:L71"/>
    <mergeCell ref="C72:L72"/>
    <mergeCell ref="C73:L73"/>
    <mergeCell ref="C74:L74"/>
    <mergeCell ref="C75:L75"/>
    <mergeCell ref="C76:L76"/>
    <mergeCell ref="C77:L77"/>
    <mergeCell ref="C78:L78"/>
    <mergeCell ref="C79:L79"/>
    <mergeCell ref="C80:L80"/>
    <mergeCell ref="C67:L67"/>
    <mergeCell ref="C56:L56"/>
    <mergeCell ref="C57:L57"/>
    <mergeCell ref="C58:L58"/>
    <mergeCell ref="C59:L59"/>
    <mergeCell ref="C60:L60"/>
    <mergeCell ref="C61:L61"/>
    <mergeCell ref="C62:L62"/>
    <mergeCell ref="C63:L63"/>
    <mergeCell ref="C64:L64"/>
    <mergeCell ref="C65:L65"/>
    <mergeCell ref="C66:L66"/>
    <mergeCell ref="L3:L4"/>
    <mergeCell ref="N3:N4"/>
    <mergeCell ref="O3:O4"/>
    <mergeCell ref="R5:W5"/>
    <mergeCell ref="H3:K3"/>
    <mergeCell ref="B45:C45"/>
    <mergeCell ref="B3:C4"/>
    <mergeCell ref="D3:D4"/>
    <mergeCell ref="E3:E4"/>
    <mergeCell ref="F3:G3"/>
  </mergeCells>
  <conditionalFormatting sqref="N7:N32">
    <cfRule type="cellIs" dxfId="62" priority="3" operator="equal">
      <formula>0</formula>
    </cfRule>
  </conditionalFormatting>
  <conditionalFormatting sqref="O6:O12">
    <cfRule type="cellIs" dxfId="61" priority="10" operator="equal">
      <formula>0</formula>
    </cfRule>
  </conditionalFormatting>
  <conditionalFormatting sqref="O15">
    <cfRule type="cellIs" dxfId="60" priority="9" operator="equal">
      <formula>0</formula>
    </cfRule>
  </conditionalFormatting>
  <conditionalFormatting sqref="O19:O22">
    <cfRule type="cellIs" dxfId="59" priority="8" operator="equal">
      <formula>0</formula>
    </cfRule>
  </conditionalFormatting>
  <conditionalFormatting sqref="O24">
    <cfRule type="cellIs" dxfId="58" priority="7" operator="equal">
      <formula>0</formula>
    </cfRule>
  </conditionalFormatting>
  <conditionalFormatting sqref="O26">
    <cfRule type="cellIs" dxfId="57" priority="6" operator="equal">
      <formula>0</formula>
    </cfRule>
  </conditionalFormatting>
  <conditionalFormatting sqref="O30:O31">
    <cfRule type="cellIs" dxfId="56" priority="5" operator="equal">
      <formula>0</formula>
    </cfRule>
  </conditionalFormatting>
  <conditionalFormatting sqref="O35:O40">
    <cfRule type="cellIs" dxfId="55" priority="4" operator="equal">
      <formula>0</formula>
    </cfRule>
  </conditionalFormatting>
  <conditionalFormatting sqref="O42">
    <cfRule type="cellIs" dxfId="54" priority="2" operator="equal">
      <formula>0</formula>
    </cfRule>
  </conditionalFormatting>
  <printOptions horizontalCentered="1"/>
  <pageMargins left="0.39370078740157483" right="0.39370078740157483" top="0.78740157480314965" bottom="0.78740157480314965" header="0.31496062992125984" footer="0.31496062992125984"/>
  <pageSetup paperSize="9" scale="40"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I84"/>
  <sheetViews>
    <sheetView showGridLines="0" zoomScale="80" zoomScaleNormal="80" workbookViewId="0">
      <selection activeCell="M26" sqref="F26:M26"/>
    </sheetView>
  </sheetViews>
  <sheetFormatPr defaultColWidth="0" defaultRowHeight="14.25" zeroHeight="1" x14ac:dyDescent="0.2"/>
  <cols>
    <col min="1" max="1" width="1.625" customWidth="1"/>
    <col min="2" max="2" width="4.125" customWidth="1"/>
    <col min="3" max="3" width="52.5" bestFit="1" customWidth="1"/>
    <col min="4" max="5" width="5.125" customWidth="1"/>
    <col min="6" max="14" width="12.625" customWidth="1"/>
    <col min="15" max="15" width="2.625" style="83" customWidth="1"/>
    <col min="16" max="16" width="55.25" style="87" bestFit="1" customWidth="1"/>
    <col min="17" max="17" width="18.75" style="83" bestFit="1" customWidth="1"/>
    <col min="18" max="18" width="1.625" style="83" customWidth="1"/>
    <col min="19" max="19" width="1.625" style="84" hidden="1" customWidth="1"/>
    <col min="20" max="27" width="4.625" style="83" hidden="1" customWidth="1"/>
    <col min="28" max="28" width="1.625" style="84" hidden="1" customWidth="1"/>
    <col min="29" max="29" width="8.75" style="87" hidden="1" customWidth="1"/>
    <col min="30" max="30" width="1.625" style="84" hidden="1" customWidth="1"/>
    <col min="31" max="33" width="8.75" style="87" hidden="1" customWidth="1"/>
    <col min="34" max="34" width="71.125" style="87" hidden="1" customWidth="1"/>
    <col min="35" max="35" width="1.625" style="84" hidden="1" customWidth="1"/>
    <col min="36" max="16384" width="8.75" hidden="1"/>
  </cols>
  <sheetData>
    <row r="1" spans="2:35" ht="20.25" x14ac:dyDescent="0.2">
      <c r="B1" s="79" t="s">
        <v>798</v>
      </c>
      <c r="C1" s="79"/>
      <c r="D1" s="79"/>
      <c r="E1" s="79"/>
      <c r="F1" s="79"/>
      <c r="G1" s="79"/>
      <c r="H1" s="79"/>
      <c r="I1" s="79"/>
      <c r="J1" s="79"/>
      <c r="K1" s="79"/>
      <c r="L1" s="79"/>
      <c r="M1" s="79"/>
      <c r="N1" s="81" t="str">
        <f>Validation!B3</f>
        <v>Yorkshire Water</v>
      </c>
      <c r="O1" s="79"/>
      <c r="P1" s="82"/>
      <c r="Q1" s="82" t="s">
        <v>72</v>
      </c>
      <c r="AC1" s="83"/>
      <c r="AE1"/>
      <c r="AF1"/>
      <c r="AG1"/>
      <c r="AH1"/>
    </row>
    <row r="2" spans="2:35" ht="15" thickBot="1" x14ac:dyDescent="0.25">
      <c r="B2" s="86" t="s">
        <v>55</v>
      </c>
      <c r="C2" s="83"/>
      <c r="D2" s="83"/>
      <c r="E2" s="83"/>
      <c r="F2" s="83"/>
      <c r="G2" s="83"/>
      <c r="H2" s="83"/>
      <c r="I2" s="83"/>
      <c r="J2" s="83"/>
      <c r="K2" s="83"/>
      <c r="L2" s="83"/>
      <c r="M2" s="83"/>
      <c r="N2" s="83"/>
      <c r="P2" s="83"/>
      <c r="AC2" s="83"/>
    </row>
    <row r="3" spans="2:35" ht="14.65" customHeight="1" x14ac:dyDescent="0.2">
      <c r="B3" s="881" t="s">
        <v>73</v>
      </c>
      <c r="C3" s="882"/>
      <c r="D3" s="885" t="s">
        <v>74</v>
      </c>
      <c r="E3" s="887" t="s">
        <v>75</v>
      </c>
      <c r="F3" s="1036" t="s">
        <v>799</v>
      </c>
      <c r="G3" s="1037"/>
      <c r="H3" s="1057"/>
      <c r="I3" s="1058" t="s">
        <v>800</v>
      </c>
      <c r="J3" s="1057"/>
      <c r="K3" s="1058" t="s">
        <v>302</v>
      </c>
      <c r="L3" s="1037"/>
      <c r="M3" s="1057"/>
      <c r="N3" s="1038" t="s">
        <v>257</v>
      </c>
      <c r="P3" s="894" t="s">
        <v>294</v>
      </c>
      <c r="Q3" s="894" t="s">
        <v>79</v>
      </c>
    </row>
    <row r="4" spans="2:35" ht="41.1" customHeight="1" thickBot="1" x14ac:dyDescent="0.25">
      <c r="B4" s="883"/>
      <c r="C4" s="884"/>
      <c r="D4" s="886"/>
      <c r="E4" s="888"/>
      <c r="F4" s="220" t="s">
        <v>801</v>
      </c>
      <c r="G4" s="221" t="s">
        <v>802</v>
      </c>
      <c r="H4" s="222" t="s">
        <v>803</v>
      </c>
      <c r="I4" s="223" t="s">
        <v>804</v>
      </c>
      <c r="J4" s="222" t="s">
        <v>805</v>
      </c>
      <c r="K4" s="223" t="s">
        <v>806</v>
      </c>
      <c r="L4" s="221" t="s">
        <v>807</v>
      </c>
      <c r="M4" s="222" t="s">
        <v>808</v>
      </c>
      <c r="N4" s="1039"/>
      <c r="P4" s="1040"/>
      <c r="Q4" s="895"/>
    </row>
    <row r="5" spans="2:35" ht="14.65" customHeight="1" thickBot="1" x14ac:dyDescent="0.25">
      <c r="B5" s="83"/>
      <c r="C5" s="83"/>
      <c r="D5" s="83"/>
      <c r="E5" s="83"/>
      <c r="F5" s="83"/>
      <c r="G5" s="83"/>
      <c r="H5" s="83"/>
      <c r="I5" s="83"/>
      <c r="J5" s="83"/>
      <c r="K5" s="83"/>
      <c r="L5" s="83"/>
      <c r="M5" s="83"/>
      <c r="N5" s="83"/>
      <c r="T5" s="896" t="s">
        <v>83</v>
      </c>
      <c r="U5" s="896"/>
      <c r="V5" s="896"/>
      <c r="W5" s="896"/>
      <c r="X5" s="896"/>
      <c r="Y5" s="896"/>
      <c r="Z5" s="896"/>
      <c r="AA5" s="896"/>
      <c r="AC5" s="842" t="s">
        <v>61</v>
      </c>
      <c r="AE5" s="89" t="s">
        <v>295</v>
      </c>
      <c r="AF5" s="89"/>
      <c r="AG5" s="842"/>
      <c r="AH5" s="842"/>
    </row>
    <row r="6" spans="2:35" s="83" customFormat="1" ht="15" thickBot="1" x14ac:dyDescent="0.25">
      <c r="B6" s="125" t="s">
        <v>134</v>
      </c>
      <c r="C6" s="126" t="s">
        <v>307</v>
      </c>
      <c r="P6" s="38"/>
      <c r="Q6" s="28">
        <f xml:space="preserve"> IF( SUM( S6:AB6 ) = 0, 0, $N$9 )</f>
        <v>0</v>
      </c>
      <c r="S6" s="84"/>
      <c r="T6" s="97" t="s">
        <v>84</v>
      </c>
      <c r="U6" s="97"/>
      <c r="V6" s="97"/>
      <c r="W6" s="97"/>
      <c r="X6" s="97"/>
      <c r="Y6" s="97"/>
      <c r="Z6" s="212"/>
      <c r="AA6" s="212"/>
      <c r="AB6" s="84"/>
      <c r="AC6"/>
      <c r="AD6" s="84"/>
      <c r="AE6" s="87"/>
      <c r="AF6" s="87"/>
      <c r="AG6" s="87"/>
      <c r="AH6" s="87"/>
      <c r="AI6" s="84"/>
    </row>
    <row r="7" spans="2:35" ht="14.1" customHeight="1" x14ac:dyDescent="0.2">
      <c r="B7" s="98">
        <v>1</v>
      </c>
      <c r="C7" s="128" t="s">
        <v>331</v>
      </c>
      <c r="D7" s="100" t="s">
        <v>86</v>
      </c>
      <c r="E7" s="101">
        <v>3</v>
      </c>
      <c r="F7" s="451">
        <v>1.486</v>
      </c>
      <c r="G7" s="452">
        <v>1.6919999999999999</v>
      </c>
      <c r="H7" s="442">
        <v>0.68600000000000005</v>
      </c>
      <c r="I7" s="441">
        <v>23.492000000000001</v>
      </c>
      <c r="J7" s="442">
        <v>4.4999999999999998E-2</v>
      </c>
      <c r="K7" s="441">
        <v>0</v>
      </c>
      <c r="L7" s="452">
        <v>0.40899999999999992</v>
      </c>
      <c r="M7" s="442">
        <v>0</v>
      </c>
      <c r="N7" s="209">
        <f t="shared" ref="N7:N13" si="0">SUM(F7:M7)</f>
        <v>27.810000000000002</v>
      </c>
      <c r="P7" s="843" t="str">
        <f xml:space="preserve"> IF( SUM( AB7:AD7 ) = 0, 0, AH7 )</f>
        <v xml:space="preserve">The wastewater total of table 4E line 1 should equal the wastewater total of table 2B line 1 </v>
      </c>
      <c r="Q7" s="28">
        <f xml:space="preserve"> IF( SUM( S7:AB7 ) = 0, 0, $T$6 )</f>
        <v>0</v>
      </c>
      <c r="T7" s="105">
        <f>IF(Validation!$H$3=1,0,IF(ISNUMBER(F7),0,1))</f>
        <v>0</v>
      </c>
      <c r="U7" s="105">
        <f>IF(Validation!$H$3=1,0,IF(ISNUMBER(G7),0,1))</f>
        <v>0</v>
      </c>
      <c r="V7" s="105">
        <f>IF(Validation!$H$3=1,0,IF(ISNUMBER(H7),0,1))</f>
        <v>0</v>
      </c>
      <c r="W7" s="105">
        <f>IF(Validation!$H$3=1,0,IF(ISNUMBER(I7),0,1))</f>
        <v>0</v>
      </c>
      <c r="X7" s="105">
        <f>IF(Validation!$H$3=1,0,IF(ISNUMBER(J7),0,1))</f>
        <v>0</v>
      </c>
      <c r="Y7" s="105">
        <f>IF(Validation!$H$3=1,0,IF(ISNUMBER(K7),0,1))</f>
        <v>0</v>
      </c>
      <c r="Z7" s="105">
        <f>IF(Validation!$H$3=1,0,IF(ISNUMBER(L7),0,1))</f>
        <v>0</v>
      </c>
      <c r="AA7" s="105">
        <f>IF(Validation!$H$3=1,0,IF(ISNUMBER(M7),0,1))</f>
        <v>0</v>
      </c>
      <c r="AC7" s="105">
        <f xml:space="preserve"> IF( (AE7 - AF7 - AG7) = 0, 0, 1 )</f>
        <v>1</v>
      </c>
      <c r="AE7" s="171">
        <f t="shared" ref="AE7:AE13" si="1" xml:space="preserve"> ROUND( N7, 3)</f>
        <v>27.81</v>
      </c>
      <c r="AF7" s="171">
        <f xml:space="preserve"> ROUND( '2B'!H6, 3)</f>
        <v>27.401</v>
      </c>
      <c r="AG7" s="171">
        <f xml:space="preserve"> ROUND( '2B'!I6, 3)</f>
        <v>0.40899999999999997</v>
      </c>
      <c r="AH7" s="87" t="s">
        <v>809</v>
      </c>
    </row>
    <row r="8" spans="2:35" ht="14.1" customHeight="1" x14ac:dyDescent="0.2">
      <c r="B8" s="106">
        <f t="shared" ref="B8:B13" si="2" xml:space="preserve"> B7 + 1</f>
        <v>2</v>
      </c>
      <c r="C8" s="99" t="s">
        <v>332</v>
      </c>
      <c r="D8" s="107" t="s">
        <v>86</v>
      </c>
      <c r="E8" s="108">
        <v>3</v>
      </c>
      <c r="F8" s="453">
        <v>0</v>
      </c>
      <c r="G8" s="440">
        <v>0</v>
      </c>
      <c r="H8" s="443">
        <v>0</v>
      </c>
      <c r="I8" s="439">
        <v>-0.23</v>
      </c>
      <c r="J8" s="443">
        <v>0</v>
      </c>
      <c r="K8" s="439">
        <v>0</v>
      </c>
      <c r="L8" s="440">
        <v>-1.9159999999999999</v>
      </c>
      <c r="M8" s="443">
        <v>0</v>
      </c>
      <c r="N8" s="249">
        <f t="shared" si="0"/>
        <v>-2.1459999999999999</v>
      </c>
      <c r="P8" s="843">
        <f xml:space="preserve"> IF( SUM( AB8:AD8 ) = 0, 0, AH8 )</f>
        <v>0</v>
      </c>
      <c r="Q8" s="28">
        <f t="shared" ref="Q8:Q12" si="3" xml:space="preserve"> IF( SUM( S8:AB8 ) = 0, 0, $T$6 )</f>
        <v>0</v>
      </c>
      <c r="T8" s="105">
        <f>IF(Validation!$H$3=1,0,IF(ISNUMBER(F8),0,1))</f>
        <v>0</v>
      </c>
      <c r="U8" s="105">
        <f>IF(Validation!$H$3=1,0,IF(ISNUMBER(G8),0,1))</f>
        <v>0</v>
      </c>
      <c r="V8" s="105">
        <f>IF(Validation!$H$3=1,0,IF(ISNUMBER(H8),0,1))</f>
        <v>0</v>
      </c>
      <c r="W8" s="105">
        <f>IF(Validation!$H$3=1,0,IF(ISNUMBER(I8),0,1))</f>
        <v>0</v>
      </c>
      <c r="X8" s="105">
        <f>IF(Validation!$H$3=1,0,IF(ISNUMBER(J8),0,1))</f>
        <v>0</v>
      </c>
      <c r="Y8" s="105">
        <f>IF(Validation!$H$3=1,0,IF(ISNUMBER(K8),0,1))</f>
        <v>0</v>
      </c>
      <c r="Z8" s="105">
        <f>IF(Validation!$H$3=1,0,IF(ISNUMBER(L8),0,1))</f>
        <v>0</v>
      </c>
      <c r="AA8" s="105">
        <f>IF(Validation!$H$3=1,0,IF(ISNUMBER(M8),0,1))</f>
        <v>0</v>
      </c>
      <c r="AC8" s="105">
        <f t="shared" ref="AC8:AC16" si="4" xml:space="preserve"> IF( (AE8 - AF8 - AG8) = 0, 0, 1 )</f>
        <v>0</v>
      </c>
      <c r="AE8" s="171">
        <f t="shared" si="1"/>
        <v>-2.1459999999999999</v>
      </c>
      <c r="AF8" s="171">
        <f xml:space="preserve"> ROUND( '2B'!H7, 3)</f>
        <v>-0.23</v>
      </c>
      <c r="AG8" s="171">
        <f xml:space="preserve"> ROUND( '2B'!I7, 3)</f>
        <v>-1.9159999999999999</v>
      </c>
      <c r="AH8" s="87" t="s">
        <v>810</v>
      </c>
    </row>
    <row r="9" spans="2:35" ht="14.1" customHeight="1" x14ac:dyDescent="0.2">
      <c r="B9" s="106">
        <f t="shared" si="2"/>
        <v>3</v>
      </c>
      <c r="C9" s="99" t="s">
        <v>811</v>
      </c>
      <c r="D9" s="107" t="s">
        <v>86</v>
      </c>
      <c r="E9" s="108">
        <v>3</v>
      </c>
      <c r="F9" s="453">
        <v>0.61984000000000006</v>
      </c>
      <c r="G9" s="440">
        <v>0.70791999999999999</v>
      </c>
      <c r="H9" s="443">
        <v>0.28724</v>
      </c>
      <c r="I9" s="439">
        <v>3.0649999999999999</v>
      </c>
      <c r="J9" s="443">
        <v>0</v>
      </c>
      <c r="K9" s="439">
        <v>0</v>
      </c>
      <c r="L9" s="440">
        <v>0</v>
      </c>
      <c r="M9" s="443">
        <v>0.16200000000000001</v>
      </c>
      <c r="N9" s="249">
        <f t="shared" si="0"/>
        <v>4.8419999999999996</v>
      </c>
      <c r="P9" s="843" t="str">
        <f t="shared" ref="P9:P32" si="5" xml:space="preserve"> IF( SUM( AB9:AD9 ) = 0, 0, AH9 )</f>
        <v>The wastewater total of table 4E line 3 should equal the wastewater total of table 2B line 3</v>
      </c>
      <c r="Q9" s="28">
        <f t="shared" si="3"/>
        <v>0</v>
      </c>
      <c r="T9" s="105">
        <f>IF(Validation!$H$3=1,0,IF(ISNUMBER(F9),0,1))</f>
        <v>0</v>
      </c>
      <c r="U9" s="105">
        <f>IF(Validation!$H$3=1,0,IF(ISNUMBER(G9),0,1))</f>
        <v>0</v>
      </c>
      <c r="V9" s="105">
        <f>IF(Validation!$H$3=1,0,IF(ISNUMBER(H9),0,1))</f>
        <v>0</v>
      </c>
      <c r="W9" s="105">
        <f>IF(Validation!$H$3=1,0,IF(ISNUMBER(I9),0,1))</f>
        <v>0</v>
      </c>
      <c r="X9" s="105">
        <f>IF(Validation!$H$3=1,0,IF(ISNUMBER(J9),0,1))</f>
        <v>0</v>
      </c>
      <c r="Y9" s="105">
        <f>IF(Validation!$H$3=1,0,IF(ISNUMBER(K9),0,1))</f>
        <v>0</v>
      </c>
      <c r="Z9" s="105">
        <f>IF(Validation!$H$3=1,0,IF(ISNUMBER(L9),0,1))</f>
        <v>0</v>
      </c>
      <c r="AA9" s="105">
        <f>IF(Validation!$H$3=1,0,IF(ISNUMBER(M9),0,1))</f>
        <v>0</v>
      </c>
      <c r="AC9" s="105">
        <f t="shared" si="4"/>
        <v>1</v>
      </c>
      <c r="AE9" s="171">
        <f t="shared" si="1"/>
        <v>4.8419999999999996</v>
      </c>
      <c r="AF9" s="171">
        <f xml:space="preserve"> ROUND( '2B'!H8, 3)</f>
        <v>4.68</v>
      </c>
      <c r="AG9" s="171">
        <f xml:space="preserve"> ROUND( '2B'!I8, 3)</f>
        <v>0.16200000000000001</v>
      </c>
      <c r="AH9" s="87" t="s">
        <v>812</v>
      </c>
    </row>
    <row r="10" spans="2:35" ht="14.1" customHeight="1" x14ac:dyDescent="0.2">
      <c r="B10" s="106">
        <f t="shared" si="2"/>
        <v>4</v>
      </c>
      <c r="C10" s="99" t="s">
        <v>813</v>
      </c>
      <c r="D10" s="107" t="s">
        <v>86</v>
      </c>
      <c r="E10" s="108">
        <v>3</v>
      </c>
      <c r="F10" s="453">
        <v>0</v>
      </c>
      <c r="G10" s="440">
        <v>0</v>
      </c>
      <c r="H10" s="443">
        <v>0</v>
      </c>
      <c r="I10" s="439">
        <v>0</v>
      </c>
      <c r="J10" s="443">
        <v>0</v>
      </c>
      <c r="K10" s="439">
        <v>0</v>
      </c>
      <c r="L10" s="440">
        <v>0</v>
      </c>
      <c r="M10" s="443">
        <v>0</v>
      </c>
      <c r="N10" s="249">
        <f t="shared" si="0"/>
        <v>0</v>
      </c>
      <c r="P10" s="843">
        <f t="shared" si="5"/>
        <v>0</v>
      </c>
      <c r="Q10" s="28">
        <f t="shared" si="3"/>
        <v>0</v>
      </c>
      <c r="T10" s="105">
        <f>IF(Validation!$H$3=1,0,IF(ISNUMBER(F10),0,1))</f>
        <v>0</v>
      </c>
      <c r="U10" s="105">
        <f>IF(Validation!$H$3=1,0,IF(ISNUMBER(G10),0,1))</f>
        <v>0</v>
      </c>
      <c r="V10" s="105">
        <f>IF(Validation!$H$3=1,0,IF(ISNUMBER(H10),0,1))</f>
        <v>0</v>
      </c>
      <c r="W10" s="105">
        <f>IF(Validation!$H$3=1,0,IF(ISNUMBER(I10),0,1))</f>
        <v>0</v>
      </c>
      <c r="X10" s="105">
        <f>IF(Validation!$H$3=1,0,IF(ISNUMBER(J10),0,1))</f>
        <v>0</v>
      </c>
      <c r="Y10" s="105">
        <f>IF(Validation!$H$3=1,0,IF(ISNUMBER(K10),0,1))</f>
        <v>0</v>
      </c>
      <c r="Z10" s="105">
        <f>IF(Validation!$H$3=1,0,IF(ISNUMBER(L10),0,1))</f>
        <v>0</v>
      </c>
      <c r="AA10" s="105">
        <f>IF(Validation!$H$3=1,0,IF(ISNUMBER(M10),0,1))</f>
        <v>0</v>
      </c>
      <c r="AC10" s="105">
        <f t="shared" si="4"/>
        <v>0</v>
      </c>
      <c r="AE10" s="171">
        <f t="shared" si="1"/>
        <v>0</v>
      </c>
      <c r="AF10" s="171">
        <f xml:space="preserve"> ROUND( '2B'!H9, 3)</f>
        <v>0</v>
      </c>
      <c r="AG10" s="171">
        <f xml:space="preserve"> ROUND( '2B'!I9, 3)</f>
        <v>0</v>
      </c>
      <c r="AH10" s="87" t="s">
        <v>814</v>
      </c>
    </row>
    <row r="11" spans="2:35" ht="14.1" customHeight="1" x14ac:dyDescent="0.2">
      <c r="B11" s="106">
        <f t="shared" si="2"/>
        <v>5</v>
      </c>
      <c r="C11" s="99" t="s">
        <v>335</v>
      </c>
      <c r="D11" s="107" t="s">
        <v>86</v>
      </c>
      <c r="E11" s="108">
        <v>3</v>
      </c>
      <c r="F11" s="453">
        <v>19.425500000000007</v>
      </c>
      <c r="G11" s="440">
        <v>19.259</v>
      </c>
      <c r="H11" s="443">
        <v>9.4694999999999965</v>
      </c>
      <c r="I11" s="439">
        <v>52.051000000000002</v>
      </c>
      <c r="J11" s="443">
        <v>0.76400000000000012</v>
      </c>
      <c r="K11" s="439">
        <v>7.3429999999999991</v>
      </c>
      <c r="L11" s="440">
        <v>28.665999999999997</v>
      </c>
      <c r="M11" s="443">
        <v>17.097999999999999</v>
      </c>
      <c r="N11" s="249">
        <f t="shared" si="0"/>
        <v>154.07600000000002</v>
      </c>
      <c r="P11" s="843">
        <f t="shared" si="5"/>
        <v>0</v>
      </c>
      <c r="Q11" s="28">
        <f t="shared" si="3"/>
        <v>0</v>
      </c>
      <c r="T11" s="105">
        <f>IF(Validation!$H$3=1,0,IF(ISNUMBER(F11),0,1))</f>
        <v>0</v>
      </c>
      <c r="U11" s="105">
        <f>IF(Validation!$H$3=1,0,IF(ISNUMBER(G11),0,1))</f>
        <v>0</v>
      </c>
      <c r="V11" s="105">
        <f>IF(Validation!$H$3=1,0,IF(ISNUMBER(H11),0,1))</f>
        <v>0</v>
      </c>
      <c r="W11" s="105">
        <f>IF(Validation!$H$3=1,0,IF(ISNUMBER(I11),0,1))</f>
        <v>0</v>
      </c>
      <c r="X11" s="105">
        <f>IF(Validation!$H$3=1,0,IF(ISNUMBER(J11),0,1))</f>
        <v>0</v>
      </c>
      <c r="Y11" s="105">
        <f>IF(Validation!$H$3=1,0,IF(ISNUMBER(K11),0,1))</f>
        <v>0</v>
      </c>
      <c r="Z11" s="105">
        <f>IF(Validation!$H$3=1,0,IF(ISNUMBER(L11),0,1))</f>
        <v>0</v>
      </c>
      <c r="AA11" s="105">
        <f>IF(Validation!$H$3=1,0,IF(ISNUMBER(M11),0,1))</f>
        <v>0</v>
      </c>
      <c r="AC11" s="105">
        <f t="shared" si="4"/>
        <v>0</v>
      </c>
      <c r="AE11" s="171">
        <f t="shared" si="1"/>
        <v>154.07599999999999</v>
      </c>
      <c r="AF11" s="171">
        <f xml:space="preserve"> ROUND( '2B'!H10, 3)</f>
        <v>100.96899999999999</v>
      </c>
      <c r="AG11" s="171">
        <f xml:space="preserve"> ROUND( '2B'!I10, 3)</f>
        <v>53.106999999999999</v>
      </c>
      <c r="AH11" s="87" t="s">
        <v>815</v>
      </c>
    </row>
    <row r="12" spans="2:35" ht="14.1" customHeight="1" x14ac:dyDescent="0.2">
      <c r="B12" s="106">
        <f t="shared" si="2"/>
        <v>6</v>
      </c>
      <c r="C12" s="99" t="s">
        <v>816</v>
      </c>
      <c r="D12" s="107" t="s">
        <v>86</v>
      </c>
      <c r="E12" s="108">
        <v>3</v>
      </c>
      <c r="F12" s="453">
        <v>0.09</v>
      </c>
      <c r="G12" s="440">
        <v>7.3999999999999996E-2</v>
      </c>
      <c r="H12" s="443">
        <v>5.1000000000000004E-2</v>
      </c>
      <c r="I12" s="439">
        <v>18.446999999999999</v>
      </c>
      <c r="J12" s="443">
        <v>0.1</v>
      </c>
      <c r="K12" s="439">
        <v>6.0000000000000001E-3</v>
      </c>
      <c r="L12" s="440">
        <v>2.702</v>
      </c>
      <c r="M12" s="443">
        <v>9.0000000000000011E-3</v>
      </c>
      <c r="N12" s="249">
        <f t="shared" si="0"/>
        <v>21.478999999999999</v>
      </c>
      <c r="P12" s="843" t="str">
        <f t="shared" si="5"/>
        <v>The wastewater total of table 4E line 6 should equal the wastewater total of table 2B line 6</v>
      </c>
      <c r="Q12" s="28">
        <f t="shared" si="3"/>
        <v>0</v>
      </c>
      <c r="T12" s="105">
        <f>IF(Validation!$H$3=1,0,IF(ISNUMBER(F12),0,1))</f>
        <v>0</v>
      </c>
      <c r="U12" s="105">
        <f>IF(Validation!$H$3=1,0,IF(ISNUMBER(G12),0,1))</f>
        <v>0</v>
      </c>
      <c r="V12" s="105">
        <f>IF(Validation!$H$3=1,0,IF(ISNUMBER(H12),0,1))</f>
        <v>0</v>
      </c>
      <c r="W12" s="105">
        <f>IF(Validation!$H$3=1,0,IF(ISNUMBER(I12),0,1))</f>
        <v>0</v>
      </c>
      <c r="X12" s="105">
        <f>IF(Validation!$H$3=1,0,IF(ISNUMBER(J12),0,1))</f>
        <v>0</v>
      </c>
      <c r="Y12" s="105">
        <f>IF(Validation!$H$3=1,0,IF(ISNUMBER(K12),0,1))</f>
        <v>0</v>
      </c>
      <c r="Z12" s="105">
        <f>IF(Validation!$H$3=1,0,IF(ISNUMBER(L12),0,1))</f>
        <v>0</v>
      </c>
      <c r="AA12" s="105">
        <f>IF(Validation!$H$3=1,0,IF(ISNUMBER(M12),0,1))</f>
        <v>0</v>
      </c>
      <c r="AC12" s="105">
        <f t="shared" si="4"/>
        <v>1</v>
      </c>
      <c r="AE12" s="171">
        <f t="shared" si="1"/>
        <v>21.478999999999999</v>
      </c>
      <c r="AF12" s="171">
        <f xml:space="preserve"> ROUND( '2B'!H11, 3)</f>
        <v>18.762</v>
      </c>
      <c r="AG12" s="171">
        <f xml:space="preserve"> ROUND( '2B'!I11, 3)</f>
        <v>2.7170000000000001</v>
      </c>
      <c r="AH12" s="87" t="s">
        <v>817</v>
      </c>
    </row>
    <row r="13" spans="2:35" ht="14.1" customHeight="1" thickBot="1" x14ac:dyDescent="0.25">
      <c r="B13" s="113">
        <f t="shared" si="2"/>
        <v>7</v>
      </c>
      <c r="C13" s="114" t="s">
        <v>337</v>
      </c>
      <c r="D13" s="115" t="s">
        <v>86</v>
      </c>
      <c r="E13" s="112">
        <v>3</v>
      </c>
      <c r="F13" s="250">
        <f t="shared" ref="F13:M13" si="6">SUM(F7:F12)</f>
        <v>21.621340000000007</v>
      </c>
      <c r="G13" s="204">
        <f t="shared" si="6"/>
        <v>21.732920000000004</v>
      </c>
      <c r="H13" s="205">
        <f t="shared" si="6"/>
        <v>10.493739999999997</v>
      </c>
      <c r="I13" s="203">
        <f t="shared" si="6"/>
        <v>96.825000000000003</v>
      </c>
      <c r="J13" s="205">
        <f t="shared" si="6"/>
        <v>0.90900000000000014</v>
      </c>
      <c r="K13" s="203">
        <f t="shared" si="6"/>
        <v>7.3489999999999993</v>
      </c>
      <c r="L13" s="204">
        <f t="shared" si="6"/>
        <v>29.860999999999997</v>
      </c>
      <c r="M13" s="205">
        <f t="shared" si="6"/>
        <v>17.268999999999998</v>
      </c>
      <c r="N13" s="210">
        <f t="shared" si="0"/>
        <v>206.06099999999998</v>
      </c>
      <c r="P13" s="843" t="str">
        <f xml:space="preserve"> IF( SUM( AB13:AD13 ) = 0, 0, AH13 )</f>
        <v>The wastewater total of table 4E line 7 should equal the wastewater total of table 2B line 7</v>
      </c>
      <c r="Z13" s="212"/>
      <c r="AA13" s="212"/>
      <c r="AC13" s="105">
        <f t="shared" si="4"/>
        <v>1</v>
      </c>
      <c r="AE13" s="171">
        <f t="shared" si="1"/>
        <v>206.06100000000001</v>
      </c>
      <c r="AF13" s="171">
        <f xml:space="preserve"> ROUND( '2B'!H12, 3)</f>
        <v>151.58199999999999</v>
      </c>
      <c r="AG13" s="171">
        <f xml:space="preserve"> ROUND( '2B'!I12, 3)</f>
        <v>54.478999999999999</v>
      </c>
      <c r="AH13" s="87" t="s">
        <v>818</v>
      </c>
    </row>
    <row r="14" spans="2:35" ht="15" thickBot="1" x14ac:dyDescent="0.25">
      <c r="Z14" s="212"/>
      <c r="AA14" s="212"/>
      <c r="AC14" s="132"/>
      <c r="AE14" s="171"/>
      <c r="AF14" s="171"/>
      <c r="AG14" s="171"/>
    </row>
    <row r="15" spans="2:35" ht="14.1" customHeight="1" x14ac:dyDescent="0.2">
      <c r="B15" s="98">
        <f xml:space="preserve"> B13 + 1</f>
        <v>8</v>
      </c>
      <c r="C15" s="128" t="s">
        <v>338</v>
      </c>
      <c r="D15" s="100" t="s">
        <v>86</v>
      </c>
      <c r="E15" s="101">
        <v>3</v>
      </c>
      <c r="F15" s="451">
        <v>0</v>
      </c>
      <c r="G15" s="452">
        <v>0</v>
      </c>
      <c r="H15" s="452">
        <v>0</v>
      </c>
      <c r="I15" s="452">
        <v>0</v>
      </c>
      <c r="J15" s="452">
        <v>0</v>
      </c>
      <c r="K15" s="452">
        <v>0</v>
      </c>
      <c r="L15" s="452">
        <v>0</v>
      </c>
      <c r="M15" s="452">
        <v>0</v>
      </c>
      <c r="N15" s="209">
        <f>SUM(F15:M15)</f>
        <v>0</v>
      </c>
      <c r="P15" s="843">
        <f t="shared" si="5"/>
        <v>0</v>
      </c>
      <c r="Q15" s="28">
        <f t="shared" ref="Q15" si="7" xml:space="preserve"> IF( SUM( S15:AB15 ) = 0, 0, $T$6 )</f>
        <v>0</v>
      </c>
      <c r="T15" s="105">
        <f>IF(Validation!$H$3=1,0,IF(ISNUMBER(F15),0,1))</f>
        <v>0</v>
      </c>
      <c r="U15" s="105">
        <f>IF(Validation!$H$3=1,0,IF(ISNUMBER(G15),0,1))</f>
        <v>0</v>
      </c>
      <c r="V15" s="105">
        <f>IF(Validation!$H$3=1,0,IF(ISNUMBER(H15),0,1))</f>
        <v>0</v>
      </c>
      <c r="W15" s="105">
        <f>IF(Validation!$H$3=1,0,IF(ISNUMBER(I15),0,1))</f>
        <v>0</v>
      </c>
      <c r="X15" s="105">
        <f>IF(Validation!$H$3=1,0,IF(ISNUMBER(J15),0,1))</f>
        <v>0</v>
      </c>
      <c r="Y15" s="105">
        <f>IF(Validation!$H$3=1,0,IF(ISNUMBER(K15),0,1))</f>
        <v>0</v>
      </c>
      <c r="Z15" s="105">
        <f>IF(Validation!$H$3=1,0,IF(ISNUMBER(L15),0,1))</f>
        <v>0</v>
      </c>
      <c r="AA15" s="105">
        <f>IF(Validation!$H$3=1,0,IF(ISNUMBER(M15),0,1))</f>
        <v>0</v>
      </c>
      <c r="AC15" s="105">
        <f t="shared" si="4"/>
        <v>0</v>
      </c>
      <c r="AE15" s="171">
        <f xml:space="preserve"> ROUND( N15, 3)</f>
        <v>0</v>
      </c>
      <c r="AF15" s="171">
        <f xml:space="preserve"> ROUND( '2B'!H14, 3)</f>
        <v>0</v>
      </c>
      <c r="AG15" s="171">
        <f xml:space="preserve"> ROUND( '2B'!I14, 3)</f>
        <v>0</v>
      </c>
      <c r="AH15" s="87" t="s">
        <v>819</v>
      </c>
    </row>
    <row r="16" spans="2:35" ht="14.1" customHeight="1" thickBot="1" x14ac:dyDescent="0.25">
      <c r="B16" s="113">
        <f xml:space="preserve"> B15 + 1</f>
        <v>9</v>
      </c>
      <c r="C16" s="114" t="s">
        <v>339</v>
      </c>
      <c r="D16" s="115" t="s">
        <v>86</v>
      </c>
      <c r="E16" s="112">
        <v>3</v>
      </c>
      <c r="F16" s="250">
        <f t="shared" ref="F16:M16" si="8">F13 + F15</f>
        <v>21.621340000000007</v>
      </c>
      <c r="G16" s="204">
        <f t="shared" si="8"/>
        <v>21.732920000000004</v>
      </c>
      <c r="H16" s="205">
        <f t="shared" si="8"/>
        <v>10.493739999999997</v>
      </c>
      <c r="I16" s="203">
        <f t="shared" si="8"/>
        <v>96.825000000000003</v>
      </c>
      <c r="J16" s="205">
        <f t="shared" si="8"/>
        <v>0.90900000000000014</v>
      </c>
      <c r="K16" s="203">
        <f t="shared" si="8"/>
        <v>7.3489999999999993</v>
      </c>
      <c r="L16" s="204">
        <f t="shared" si="8"/>
        <v>29.860999999999997</v>
      </c>
      <c r="M16" s="205">
        <f t="shared" si="8"/>
        <v>17.268999999999998</v>
      </c>
      <c r="N16" s="210">
        <f>SUM(F16:M16)</f>
        <v>206.06099999999998</v>
      </c>
      <c r="P16" s="843" t="str">
        <f t="shared" si="5"/>
        <v>The wastewater total of table 4E line 9 should equal the wastewater total of table 2B line 9</v>
      </c>
      <c r="Z16" s="212"/>
      <c r="AA16" s="212"/>
      <c r="AC16" s="105">
        <f t="shared" si="4"/>
        <v>1</v>
      </c>
      <c r="AE16" s="171">
        <f xml:space="preserve"> ROUND( N16, 3)</f>
        <v>206.06100000000001</v>
      </c>
      <c r="AF16" s="171">
        <f xml:space="preserve"> ROUND( '2B'!H15, 3)</f>
        <v>151.58199999999999</v>
      </c>
      <c r="AG16" s="171">
        <f xml:space="preserve"> ROUND( '2B'!I15, 3)</f>
        <v>54.478999999999999</v>
      </c>
      <c r="AH16" s="87" t="s">
        <v>820</v>
      </c>
    </row>
    <row r="17" spans="2:35" ht="15" thickBot="1" x14ac:dyDescent="0.25">
      <c r="Z17" s="212"/>
      <c r="AA17" s="212"/>
      <c r="AC17" s="132"/>
      <c r="AE17" s="171"/>
      <c r="AF17" s="171"/>
      <c r="AG17" s="171"/>
    </row>
    <row r="18" spans="2:35" s="83" customFormat="1" ht="15" thickBot="1" x14ac:dyDescent="0.25">
      <c r="B18" s="125" t="s">
        <v>143</v>
      </c>
      <c r="C18" s="126" t="s">
        <v>340</v>
      </c>
      <c r="P18" s="87"/>
      <c r="S18" s="84"/>
      <c r="Z18" s="212"/>
      <c r="AA18" s="212"/>
      <c r="AB18" s="84"/>
      <c r="AC18" s="132"/>
      <c r="AD18" s="84"/>
      <c r="AE18" s="171"/>
      <c r="AF18" s="171"/>
      <c r="AG18" s="171"/>
      <c r="AH18" s="87"/>
      <c r="AI18" s="84"/>
    </row>
    <row r="19" spans="2:35" ht="14.1" customHeight="1" x14ac:dyDescent="0.2">
      <c r="B19" s="98">
        <f>B16 + 1</f>
        <v>10</v>
      </c>
      <c r="C19" s="128" t="s">
        <v>341</v>
      </c>
      <c r="D19" s="100" t="s">
        <v>86</v>
      </c>
      <c r="E19" s="101">
        <v>3</v>
      </c>
      <c r="F19" s="451">
        <v>9.7423609598272591</v>
      </c>
      <c r="G19" s="452">
        <v>11.272363522651457</v>
      </c>
      <c r="H19" s="442">
        <v>4.6158905669698225</v>
      </c>
      <c r="I19" s="441">
        <v>3.6914473843498183</v>
      </c>
      <c r="J19" s="442">
        <v>8.2574639870154653E-4</v>
      </c>
      <c r="K19" s="441">
        <v>1.0136748894405193E-2</v>
      </c>
      <c r="L19" s="452">
        <v>2.2181256709948444E-2</v>
      </c>
      <c r="M19" s="442">
        <v>1.4521747011647891E-3</v>
      </c>
      <c r="N19" s="209">
        <f t="shared" ref="N19:N27" si="9">SUM(F19:M19)</f>
        <v>29.356658360502571</v>
      </c>
      <c r="P19" s="843" t="str">
        <f t="shared" si="5"/>
        <v>The wastewater total of table 4E line 10 should equal the wastewater total of table 2B line 10</v>
      </c>
      <c r="Q19" s="28">
        <f t="shared" ref="Q19:Q26" si="10" xml:space="preserve"> IF( SUM( S19:AB19 ) = 0, 0, $T$6 )</f>
        <v>0</v>
      </c>
      <c r="T19" s="105">
        <f>IF(Validation!$H$3=1,0,IF(ISNUMBER(F19),0,1))</f>
        <v>0</v>
      </c>
      <c r="U19" s="105">
        <f>IF(Validation!$H$3=1,0,IF(ISNUMBER(G19),0,1))</f>
        <v>0</v>
      </c>
      <c r="V19" s="105">
        <f>IF(Validation!$H$3=1,0,IF(ISNUMBER(H19),0,1))</f>
        <v>0</v>
      </c>
      <c r="W19" s="105">
        <f>IF(Validation!$H$3=1,0,IF(ISNUMBER(I19),0,1))</f>
        <v>0</v>
      </c>
      <c r="X19" s="105">
        <f>IF(Validation!$H$3=1,0,IF(ISNUMBER(J19),0,1))</f>
        <v>0</v>
      </c>
      <c r="Y19" s="105">
        <f>IF(Validation!$H$3=1,0,IF(ISNUMBER(K19),0,1))</f>
        <v>0</v>
      </c>
      <c r="Z19" s="105">
        <f>IF(Validation!$H$3=1,0,IF(ISNUMBER(L19),0,1))</f>
        <v>0</v>
      </c>
      <c r="AA19" s="105">
        <f>IF(Validation!$H$3=1,0,IF(ISNUMBER(M19),0,1))</f>
        <v>0</v>
      </c>
      <c r="AC19" s="105">
        <f t="shared" ref="AC19:AC27" si="11" xml:space="preserve"> IF( (AE19 - AF19 - AG19) = 0, 0, 1 )</f>
        <v>1</v>
      </c>
      <c r="AE19" s="171">
        <f t="shared" ref="AE19:AE27" si="12" xml:space="preserve"> ROUND( N19, 3)</f>
        <v>29.356999999999999</v>
      </c>
      <c r="AF19" s="171">
        <f xml:space="preserve"> ROUND( '2B'!H18, 3)</f>
        <v>29.323</v>
      </c>
      <c r="AG19" s="171">
        <f xml:space="preserve"> ROUND( '2B'!I18, 3)</f>
        <v>3.4000000000000002E-2</v>
      </c>
      <c r="AH19" s="87" t="s">
        <v>821</v>
      </c>
    </row>
    <row r="20" spans="2:35" ht="14.1" customHeight="1" x14ac:dyDescent="0.2">
      <c r="B20" s="106">
        <f t="shared" ref="B20:B27" si="13" xml:space="preserve"> B19 + 1</f>
        <v>11</v>
      </c>
      <c r="C20" s="99" t="s">
        <v>752</v>
      </c>
      <c r="D20" s="107" t="s">
        <v>86</v>
      </c>
      <c r="E20" s="108">
        <v>3</v>
      </c>
      <c r="F20" s="453">
        <v>5.5701485857324631</v>
      </c>
      <c r="G20" s="440">
        <v>5.3480292435188774</v>
      </c>
      <c r="H20" s="443">
        <v>2.7830684060617292</v>
      </c>
      <c r="I20" s="439">
        <v>60.535778245911082</v>
      </c>
      <c r="J20" s="443">
        <v>0.1097816590061849</v>
      </c>
      <c r="K20" s="439">
        <v>1.3514045349828214</v>
      </c>
      <c r="L20" s="440">
        <v>57.514553985217134</v>
      </c>
      <c r="M20" s="443">
        <v>0.1938224113298424</v>
      </c>
      <c r="N20" s="249">
        <f t="shared" si="9"/>
        <v>133.40658707176016</v>
      </c>
      <c r="P20" s="843" t="str">
        <f t="shared" si="5"/>
        <v>The wastewater total of table 4E line 11 should equal the wastewater total of table 2B line 11</v>
      </c>
      <c r="Q20" s="28">
        <f t="shared" si="10"/>
        <v>0</v>
      </c>
      <c r="T20" s="105">
        <f>IF(Validation!$H$3=1,0,IF(ISNUMBER(F20),0,1))</f>
        <v>0</v>
      </c>
      <c r="U20" s="105">
        <f>IF(Validation!$H$3=1,0,IF(ISNUMBER(G20),0,1))</f>
        <v>0</v>
      </c>
      <c r="V20" s="105">
        <f>IF(Validation!$H$3=1,0,IF(ISNUMBER(H20),0,1))</f>
        <v>0</v>
      </c>
      <c r="W20" s="105">
        <f>IF(Validation!$H$3=1,0,IF(ISNUMBER(I20),0,1))</f>
        <v>0</v>
      </c>
      <c r="X20" s="105">
        <f>IF(Validation!$H$3=1,0,IF(ISNUMBER(J20),0,1))</f>
        <v>0</v>
      </c>
      <c r="Y20" s="105">
        <f>IF(Validation!$H$3=1,0,IF(ISNUMBER(K20),0,1))</f>
        <v>0</v>
      </c>
      <c r="Z20" s="105">
        <f>IF(Validation!$H$3=1,0,IF(ISNUMBER(L20),0,1))</f>
        <v>0</v>
      </c>
      <c r="AA20" s="105">
        <f>IF(Validation!$H$3=1,0,IF(ISNUMBER(M20),0,1))</f>
        <v>0</v>
      </c>
      <c r="AC20" s="105">
        <f t="shared" si="11"/>
        <v>1</v>
      </c>
      <c r="AE20" s="171">
        <f t="shared" si="12"/>
        <v>133.40700000000001</v>
      </c>
      <c r="AF20" s="171">
        <f xml:space="preserve"> ROUND( '2B'!H19, 3)</f>
        <v>74.346999999999994</v>
      </c>
      <c r="AG20" s="171">
        <f xml:space="preserve"> ROUND( '2B'!I19, 3)</f>
        <v>59.06</v>
      </c>
      <c r="AH20" s="87" t="s">
        <v>822</v>
      </c>
    </row>
    <row r="21" spans="2:35" ht="14.1" customHeight="1" x14ac:dyDescent="0.2">
      <c r="B21" s="106">
        <f t="shared" si="13"/>
        <v>12</v>
      </c>
      <c r="C21" s="99" t="s">
        <v>343</v>
      </c>
      <c r="D21" s="107" t="s">
        <v>86</v>
      </c>
      <c r="E21" s="108">
        <v>3</v>
      </c>
      <c r="F21" s="453">
        <v>13.465873629791437</v>
      </c>
      <c r="G21" s="440">
        <v>15.592064202916401</v>
      </c>
      <c r="H21" s="443">
        <v>6.3785717193748912</v>
      </c>
      <c r="I21" s="439">
        <v>0.15765605999999999</v>
      </c>
      <c r="J21" s="443">
        <v>0</v>
      </c>
      <c r="K21" s="439">
        <v>0</v>
      </c>
      <c r="L21" s="440">
        <v>0</v>
      </c>
      <c r="M21" s="443">
        <v>0</v>
      </c>
      <c r="N21" s="249">
        <f t="shared" si="9"/>
        <v>35.594165612082726</v>
      </c>
      <c r="P21" s="843">
        <f t="shared" si="5"/>
        <v>0</v>
      </c>
      <c r="Q21" s="28">
        <f t="shared" si="10"/>
        <v>0</v>
      </c>
      <c r="T21" s="105">
        <f>IF(Validation!$H$3=1,0,IF(ISNUMBER(F21),0,1))</f>
        <v>0</v>
      </c>
      <c r="U21" s="105">
        <f>IF(Validation!$H$3=1,0,IF(ISNUMBER(G21),0,1))</f>
        <v>0</v>
      </c>
      <c r="V21" s="105">
        <f>IF(Validation!$H$3=1,0,IF(ISNUMBER(H21),0,1))</f>
        <v>0</v>
      </c>
      <c r="W21" s="105">
        <f>IF(Validation!$H$3=1,0,IF(ISNUMBER(I21),0,1))</f>
        <v>0</v>
      </c>
      <c r="X21" s="105">
        <f>IF(Validation!$H$3=1,0,IF(ISNUMBER(J21),0,1))</f>
        <v>0</v>
      </c>
      <c r="Y21" s="105">
        <f>IF(Validation!$H$3=1,0,IF(ISNUMBER(K21),0,1))</f>
        <v>0</v>
      </c>
      <c r="Z21" s="105">
        <f>IF(Validation!$H$3=1,0,IF(ISNUMBER(L21),0,1))</f>
        <v>0</v>
      </c>
      <c r="AA21" s="105">
        <f>IF(Validation!$H$3=1,0,IF(ISNUMBER(M21),0,1))</f>
        <v>0</v>
      </c>
      <c r="AC21" s="105">
        <f t="shared" si="11"/>
        <v>0</v>
      </c>
      <c r="AE21" s="171">
        <f t="shared" si="12"/>
        <v>35.594000000000001</v>
      </c>
      <c r="AF21" s="171">
        <f xml:space="preserve"> ROUND( '2B'!H20, 3)</f>
        <v>35.594000000000001</v>
      </c>
      <c r="AG21" s="171">
        <f xml:space="preserve"> ROUND( '2B'!I20, 3)</f>
        <v>0</v>
      </c>
      <c r="AH21" s="87" t="s">
        <v>823</v>
      </c>
    </row>
    <row r="22" spans="2:35" ht="14.1" customHeight="1" x14ac:dyDescent="0.2">
      <c r="B22" s="106">
        <f t="shared" si="13"/>
        <v>13</v>
      </c>
      <c r="C22" s="99" t="s">
        <v>344</v>
      </c>
      <c r="D22" s="107" t="s">
        <v>86</v>
      </c>
      <c r="E22" s="108">
        <v>3</v>
      </c>
      <c r="F22" s="453">
        <v>2.2799526464307811</v>
      </c>
      <c r="G22" s="440">
        <v>2.5458711932316214</v>
      </c>
      <c r="H22" s="443">
        <v>1.0923615597170138</v>
      </c>
      <c r="I22" s="439">
        <v>15.06008839143785</v>
      </c>
      <c r="J22" s="443">
        <v>9.3988687130036244E-3</v>
      </c>
      <c r="K22" s="439">
        <v>0.11537921592514797</v>
      </c>
      <c r="L22" s="440">
        <v>0.23600077956654569</v>
      </c>
      <c r="M22" s="443">
        <v>1.6147574978040861E-2</v>
      </c>
      <c r="N22" s="249">
        <f t="shared" si="9"/>
        <v>21.355200230000005</v>
      </c>
      <c r="P22" s="843" t="str">
        <f t="shared" si="5"/>
        <v>The wastewater total of table 4E line 13 should equal the wastewater total of table 2B line 13</v>
      </c>
      <c r="Q22" s="28">
        <f t="shared" si="10"/>
        <v>0</v>
      </c>
      <c r="T22" s="105">
        <f>IF(Validation!$H$3=1,0,IF(ISNUMBER(F22),0,1))</f>
        <v>0</v>
      </c>
      <c r="U22" s="105">
        <f>IF(Validation!$H$3=1,0,IF(ISNUMBER(G22),0,1))</f>
        <v>0</v>
      </c>
      <c r="V22" s="105">
        <f>IF(Validation!$H$3=1,0,IF(ISNUMBER(H22),0,1))</f>
        <v>0</v>
      </c>
      <c r="W22" s="105">
        <f>IF(Validation!$H$3=1,0,IF(ISNUMBER(I22),0,1))</f>
        <v>0</v>
      </c>
      <c r="X22" s="105">
        <f>IF(Validation!$H$3=1,0,IF(ISNUMBER(J22),0,1))</f>
        <v>0</v>
      </c>
      <c r="Y22" s="105">
        <f>IF(Validation!$H$3=1,0,IF(ISNUMBER(K22),0,1))</f>
        <v>0</v>
      </c>
      <c r="Z22" s="105">
        <f>IF(Validation!$H$3=1,0,IF(ISNUMBER(L22),0,1))</f>
        <v>0</v>
      </c>
      <c r="AA22" s="105">
        <f>IF(Validation!$H$3=1,0,IF(ISNUMBER(M22),0,1))</f>
        <v>0</v>
      </c>
      <c r="AC22" s="105">
        <f t="shared" si="11"/>
        <v>1</v>
      </c>
      <c r="AE22" s="171">
        <f t="shared" si="12"/>
        <v>21.355</v>
      </c>
      <c r="AF22" s="171">
        <f xml:space="preserve"> ROUND( '2B'!H21, 3)</f>
        <v>20.988</v>
      </c>
      <c r="AG22" s="171">
        <f xml:space="preserve"> ROUND( '2B'!I21, 3)</f>
        <v>0.36799999999999999</v>
      </c>
      <c r="AH22" s="87" t="s">
        <v>824</v>
      </c>
    </row>
    <row r="23" spans="2:35" ht="14.1" customHeight="1" x14ac:dyDescent="0.2">
      <c r="B23" s="106">
        <f t="shared" si="13"/>
        <v>14</v>
      </c>
      <c r="C23" s="99" t="s">
        <v>825</v>
      </c>
      <c r="D23" s="107" t="s">
        <v>86</v>
      </c>
      <c r="E23" s="108">
        <v>3</v>
      </c>
      <c r="F23" s="251">
        <f t="shared" ref="F23:M23" si="14">SUM(F19:F22)</f>
        <v>31.058335821781942</v>
      </c>
      <c r="G23" s="252">
        <f t="shared" si="14"/>
        <v>34.75832816231835</v>
      </c>
      <c r="H23" s="202">
        <f t="shared" si="14"/>
        <v>14.869892252123458</v>
      </c>
      <c r="I23" s="253">
        <f t="shared" si="14"/>
        <v>79.444970081698742</v>
      </c>
      <c r="J23" s="202">
        <f t="shared" si="14"/>
        <v>0.12000627411789007</v>
      </c>
      <c r="K23" s="253">
        <f t="shared" si="14"/>
        <v>1.4769204998023746</v>
      </c>
      <c r="L23" s="252">
        <f t="shared" si="14"/>
        <v>57.772736021493628</v>
      </c>
      <c r="M23" s="202">
        <f t="shared" si="14"/>
        <v>0.21142216100904807</v>
      </c>
      <c r="N23" s="249">
        <f t="shared" si="9"/>
        <v>219.71261127434539</v>
      </c>
      <c r="O23" s="129"/>
      <c r="P23" s="843" t="str">
        <f t="shared" si="5"/>
        <v>The wastewater total of table 4E line 14 should equal the wastewater total of table 2B line 14</v>
      </c>
      <c r="R23" s="129"/>
      <c r="S23" s="133"/>
      <c r="U23" s="254"/>
      <c r="V23" s="254"/>
      <c r="W23" s="254"/>
      <c r="X23" s="254"/>
      <c r="Y23" s="254"/>
      <c r="Z23" s="212"/>
      <c r="AA23" s="212"/>
      <c r="AB23" s="133"/>
      <c r="AC23" s="105">
        <f t="shared" si="11"/>
        <v>1</v>
      </c>
      <c r="AD23" s="133"/>
      <c r="AE23" s="171">
        <f t="shared" si="12"/>
        <v>219.71299999999999</v>
      </c>
      <c r="AF23" s="171">
        <f xml:space="preserve"> ROUND( '2B'!H22, 3)</f>
        <v>160.25200000000001</v>
      </c>
      <c r="AG23" s="171">
        <f xml:space="preserve"> ROUND( '2B'!I22, 3)</f>
        <v>59.460999999999999</v>
      </c>
      <c r="AH23" s="87" t="s">
        <v>826</v>
      </c>
      <c r="AI23" s="133"/>
    </row>
    <row r="24" spans="2:35" ht="14.1" customHeight="1" x14ac:dyDescent="0.2">
      <c r="B24" s="106">
        <f t="shared" si="13"/>
        <v>15</v>
      </c>
      <c r="C24" s="99" t="s">
        <v>338</v>
      </c>
      <c r="D24" s="107" t="s">
        <v>86</v>
      </c>
      <c r="E24" s="108">
        <v>3</v>
      </c>
      <c r="F24" s="453">
        <v>0</v>
      </c>
      <c r="G24" s="440">
        <v>0</v>
      </c>
      <c r="H24" s="443">
        <v>0</v>
      </c>
      <c r="I24" s="439">
        <v>0</v>
      </c>
      <c r="J24" s="443">
        <v>0</v>
      </c>
      <c r="K24" s="439">
        <v>0</v>
      </c>
      <c r="L24" s="440">
        <v>0</v>
      </c>
      <c r="M24" s="443">
        <v>0</v>
      </c>
      <c r="N24" s="249">
        <f t="shared" si="9"/>
        <v>0</v>
      </c>
      <c r="O24" s="135"/>
      <c r="P24" s="843">
        <f t="shared" si="5"/>
        <v>0</v>
      </c>
      <c r="Q24" s="28">
        <f t="shared" si="10"/>
        <v>0</v>
      </c>
      <c r="T24" s="105">
        <f>IF(Validation!$H$3=1,0,IF(ISNUMBER(F24),0,1))</f>
        <v>0</v>
      </c>
      <c r="U24" s="105">
        <f>IF(Validation!$H$3=1,0,IF(ISNUMBER(G24),0,1))</f>
        <v>0</v>
      </c>
      <c r="V24" s="105">
        <f>IF(Validation!$H$3=1,0,IF(ISNUMBER(H24),0,1))</f>
        <v>0</v>
      </c>
      <c r="W24" s="105">
        <f>IF(Validation!$H$3=1,0,IF(ISNUMBER(I24),0,1))</f>
        <v>0</v>
      </c>
      <c r="X24" s="105">
        <f>IF(Validation!$H$3=1,0,IF(ISNUMBER(J24),0,1))</f>
        <v>0</v>
      </c>
      <c r="Y24" s="105">
        <f>IF(Validation!$H$3=1,0,IF(ISNUMBER(K24),0,1))</f>
        <v>0</v>
      </c>
      <c r="Z24" s="105">
        <f>IF(Validation!$H$3=1,0,IF(ISNUMBER(L24),0,1))</f>
        <v>0</v>
      </c>
      <c r="AA24" s="105">
        <f>IF(Validation!$H$3=1,0,IF(ISNUMBER(M24),0,1))</f>
        <v>0</v>
      </c>
      <c r="AC24" s="105">
        <f t="shared" si="11"/>
        <v>0</v>
      </c>
      <c r="AD24" s="130"/>
      <c r="AE24" s="171">
        <f t="shared" si="12"/>
        <v>0</v>
      </c>
      <c r="AF24" s="171">
        <f xml:space="preserve"> ROUND( '2B'!H23, 3)</f>
        <v>0</v>
      </c>
      <c r="AG24" s="171">
        <f xml:space="preserve"> ROUND( '2B'!I23, 3)</f>
        <v>0</v>
      </c>
      <c r="AH24" s="87" t="s">
        <v>827</v>
      </c>
      <c r="AI24" s="130"/>
    </row>
    <row r="25" spans="2:35" ht="14.1" customHeight="1" x14ac:dyDescent="0.2">
      <c r="B25" s="106">
        <f t="shared" si="13"/>
        <v>16</v>
      </c>
      <c r="C25" s="99" t="s">
        <v>346</v>
      </c>
      <c r="D25" s="107" t="s">
        <v>86</v>
      </c>
      <c r="E25" s="108">
        <v>3</v>
      </c>
      <c r="F25" s="251">
        <f t="shared" ref="F25:M25" si="15">SUM(F23:F24)</f>
        <v>31.058335821781942</v>
      </c>
      <c r="G25" s="252">
        <f t="shared" si="15"/>
        <v>34.75832816231835</v>
      </c>
      <c r="H25" s="202">
        <f t="shared" si="15"/>
        <v>14.869892252123458</v>
      </c>
      <c r="I25" s="253">
        <f t="shared" si="15"/>
        <v>79.444970081698742</v>
      </c>
      <c r="J25" s="202">
        <f t="shared" si="15"/>
        <v>0.12000627411789007</v>
      </c>
      <c r="K25" s="253">
        <f t="shared" si="15"/>
        <v>1.4769204998023746</v>
      </c>
      <c r="L25" s="252">
        <f t="shared" si="15"/>
        <v>57.772736021493628</v>
      </c>
      <c r="M25" s="202">
        <f t="shared" si="15"/>
        <v>0.21142216100904807</v>
      </c>
      <c r="N25" s="249">
        <f t="shared" si="9"/>
        <v>219.71261127434539</v>
      </c>
      <c r="O25" s="135"/>
      <c r="P25" s="843" t="str">
        <f t="shared" si="5"/>
        <v>The wastewater total of table 4E line 16 should equal the wastewater total of table 2B line 16</v>
      </c>
      <c r="R25" s="135"/>
      <c r="S25" s="130"/>
      <c r="U25" s="254"/>
      <c r="V25" s="254"/>
      <c r="W25" s="254"/>
      <c r="X25" s="254"/>
      <c r="Y25" s="254"/>
      <c r="Z25" s="212"/>
      <c r="AA25" s="212"/>
      <c r="AB25" s="130"/>
      <c r="AC25" s="105">
        <f t="shared" si="11"/>
        <v>1</v>
      </c>
      <c r="AD25" s="130"/>
      <c r="AE25" s="171">
        <f t="shared" si="12"/>
        <v>219.71299999999999</v>
      </c>
      <c r="AF25" s="171">
        <f xml:space="preserve"> ROUND( '2B'!H24, 3)</f>
        <v>160.25200000000001</v>
      </c>
      <c r="AG25" s="171">
        <f xml:space="preserve"> ROUND( '2B'!I24, 3)</f>
        <v>59.460999999999999</v>
      </c>
      <c r="AH25" s="87" t="s">
        <v>828</v>
      </c>
      <c r="AI25" s="130"/>
    </row>
    <row r="26" spans="2:35" ht="14.1" customHeight="1" x14ac:dyDescent="0.2">
      <c r="B26" s="106">
        <f t="shared" si="13"/>
        <v>17</v>
      </c>
      <c r="C26" s="99" t="s">
        <v>347</v>
      </c>
      <c r="D26" s="107" t="s">
        <v>86</v>
      </c>
      <c r="E26" s="108">
        <v>3</v>
      </c>
      <c r="F26" s="453">
        <v>3.1415744255999996</v>
      </c>
      <c r="G26" s="440">
        <v>3.6376124927999998</v>
      </c>
      <c r="H26" s="443">
        <v>1.4881142015999997</v>
      </c>
      <c r="I26" s="439">
        <v>-3.9362330000000001E-2</v>
      </c>
      <c r="J26" s="443">
        <v>0</v>
      </c>
      <c r="K26" s="439">
        <v>0</v>
      </c>
      <c r="L26" s="440">
        <v>0</v>
      </c>
      <c r="M26" s="443">
        <v>0</v>
      </c>
      <c r="N26" s="249">
        <f t="shared" si="9"/>
        <v>8.2279387899999996</v>
      </c>
      <c r="O26" s="135"/>
      <c r="P26" s="843">
        <f t="shared" si="5"/>
        <v>0</v>
      </c>
      <c r="Q26" s="28">
        <f t="shared" si="10"/>
        <v>0</v>
      </c>
      <c r="T26" s="105">
        <f>IF(Validation!$H$3=1,0,IF(ISNUMBER(F26),0,1))</f>
        <v>0</v>
      </c>
      <c r="U26" s="105">
        <f>IF(Validation!$H$3=1,0,IF(ISNUMBER(G26),0,1))</f>
        <v>0</v>
      </c>
      <c r="V26" s="105">
        <f>IF(Validation!$H$3=1,0,IF(ISNUMBER(H26),0,1))</f>
        <v>0</v>
      </c>
      <c r="W26" s="105">
        <f>IF(Validation!$H$3=1,0,IF(ISNUMBER(I26),0,1))</f>
        <v>0</v>
      </c>
      <c r="X26" s="105">
        <f>IF(Validation!$H$3=1,0,IF(ISNUMBER(J26),0,1))</f>
        <v>0</v>
      </c>
      <c r="Y26" s="105">
        <f>IF(Validation!$H$3=1,0,IF(ISNUMBER(K26),0,1))</f>
        <v>0</v>
      </c>
      <c r="Z26" s="105">
        <f>IF(Validation!$H$3=1,0,IF(ISNUMBER(L26),0,1))</f>
        <v>0</v>
      </c>
      <c r="AA26" s="105">
        <f>IF(Validation!$H$3=1,0,IF(ISNUMBER(M26),0,1))</f>
        <v>0</v>
      </c>
      <c r="AC26" s="105">
        <f t="shared" si="11"/>
        <v>0</v>
      </c>
      <c r="AD26" s="130"/>
      <c r="AE26" s="171">
        <f t="shared" si="12"/>
        <v>8.2279999999999998</v>
      </c>
      <c r="AF26" s="171">
        <f xml:space="preserve"> ROUND( '2B'!H25, 3)</f>
        <v>8.2279999999999998</v>
      </c>
      <c r="AG26" s="171">
        <f xml:space="preserve"> ROUND( '2B'!I25, 3)</f>
        <v>0</v>
      </c>
      <c r="AH26" s="87" t="s">
        <v>829</v>
      </c>
      <c r="AI26" s="130"/>
    </row>
    <row r="27" spans="2:35" ht="14.1" customHeight="1" thickBot="1" x14ac:dyDescent="0.25">
      <c r="B27" s="113">
        <f t="shared" si="13"/>
        <v>18</v>
      </c>
      <c r="C27" s="114" t="s">
        <v>349</v>
      </c>
      <c r="D27" s="115" t="s">
        <v>86</v>
      </c>
      <c r="E27" s="112">
        <v>3</v>
      </c>
      <c r="F27" s="250">
        <f t="shared" ref="F27:M27" si="16">F16+F25-F26</f>
        <v>49.538101396181951</v>
      </c>
      <c r="G27" s="204">
        <f t="shared" si="16"/>
        <v>52.853635669518354</v>
      </c>
      <c r="H27" s="205">
        <f t="shared" si="16"/>
        <v>23.875518050523457</v>
      </c>
      <c r="I27" s="203">
        <f t="shared" si="16"/>
        <v>176.30933241169873</v>
      </c>
      <c r="J27" s="205">
        <f t="shared" si="16"/>
        <v>1.0290062741178903</v>
      </c>
      <c r="K27" s="203">
        <f t="shared" si="16"/>
        <v>8.8259204998023737</v>
      </c>
      <c r="L27" s="204">
        <f t="shared" si="16"/>
        <v>87.633736021493633</v>
      </c>
      <c r="M27" s="205">
        <f t="shared" si="16"/>
        <v>17.480422161009045</v>
      </c>
      <c r="N27" s="210">
        <f t="shared" si="9"/>
        <v>417.54567248434535</v>
      </c>
      <c r="O27" s="135"/>
      <c r="P27" s="843">
        <f t="shared" si="5"/>
        <v>0</v>
      </c>
      <c r="R27" s="135"/>
      <c r="S27" s="130"/>
      <c r="T27" s="212"/>
      <c r="U27" s="212"/>
      <c r="V27" s="212"/>
      <c r="W27" s="212"/>
      <c r="X27" s="212"/>
      <c r="Y27" s="212"/>
      <c r="Z27" s="212"/>
      <c r="AA27" s="212"/>
      <c r="AB27" s="130"/>
      <c r="AC27" s="105">
        <f t="shared" si="11"/>
        <v>0</v>
      </c>
      <c r="AD27" s="130"/>
      <c r="AE27" s="171">
        <f t="shared" si="12"/>
        <v>417.54599999999999</v>
      </c>
      <c r="AF27" s="171">
        <f xml:space="preserve"> ROUND( '2B'!H26, 3)</f>
        <v>303.60599999999999</v>
      </c>
      <c r="AG27" s="171">
        <f xml:space="preserve"> ROUND( '2B'!I26, 3)</f>
        <v>113.94</v>
      </c>
      <c r="AH27" s="87" t="s">
        <v>830</v>
      </c>
      <c r="AI27" s="130"/>
    </row>
    <row r="28" spans="2:35" ht="15" thickBot="1" x14ac:dyDescent="0.25">
      <c r="O28" s="135"/>
      <c r="R28" s="135"/>
      <c r="S28" s="130"/>
      <c r="T28" s="212"/>
      <c r="U28" s="212"/>
      <c r="V28" s="212"/>
      <c r="W28" s="212"/>
      <c r="X28" s="212"/>
      <c r="Y28" s="212"/>
      <c r="Z28" s="212"/>
      <c r="AA28" s="212"/>
      <c r="AB28" s="130"/>
      <c r="AC28" s="132"/>
      <c r="AD28" s="130"/>
      <c r="AE28" s="171"/>
      <c r="AF28" s="171"/>
      <c r="AG28" s="171"/>
      <c r="AI28" s="130"/>
    </row>
    <row r="29" spans="2:35" s="83" customFormat="1" ht="15" thickBot="1" x14ac:dyDescent="0.25">
      <c r="B29" s="125" t="s">
        <v>149</v>
      </c>
      <c r="C29" s="126" t="s">
        <v>350</v>
      </c>
      <c r="O29" s="135"/>
      <c r="P29" s="87"/>
      <c r="R29" s="135"/>
      <c r="S29" s="130"/>
      <c r="T29" s="212"/>
      <c r="U29" s="212"/>
      <c r="V29" s="212"/>
      <c r="W29" s="212"/>
      <c r="X29" s="212"/>
      <c r="Y29" s="212"/>
      <c r="Z29" s="212"/>
      <c r="AA29" s="212"/>
      <c r="AB29" s="130"/>
      <c r="AC29" s="132"/>
      <c r="AD29" s="130"/>
      <c r="AE29" s="171"/>
      <c r="AF29" s="171"/>
      <c r="AG29" s="171"/>
      <c r="AH29" s="87"/>
      <c r="AI29" s="130"/>
    </row>
    <row r="30" spans="2:35" ht="14.1" customHeight="1" x14ac:dyDescent="0.2">
      <c r="B30" s="98">
        <f>B27 + 1</f>
        <v>19</v>
      </c>
      <c r="C30" s="128" t="s">
        <v>351</v>
      </c>
      <c r="D30" s="100" t="s">
        <v>86</v>
      </c>
      <c r="E30" s="101">
        <v>3</v>
      </c>
      <c r="F30" s="453">
        <v>0</v>
      </c>
      <c r="G30" s="440">
        <v>0</v>
      </c>
      <c r="H30" s="443">
        <v>0</v>
      </c>
      <c r="I30" s="439">
        <v>0</v>
      </c>
      <c r="J30" s="443">
        <v>0</v>
      </c>
      <c r="K30" s="439">
        <v>0</v>
      </c>
      <c r="L30" s="440">
        <v>0</v>
      </c>
      <c r="M30" s="443">
        <v>0</v>
      </c>
      <c r="N30" s="209">
        <f>SUM(F30:M30)</f>
        <v>0</v>
      </c>
      <c r="O30" s="135"/>
      <c r="P30" s="843">
        <f t="shared" si="5"/>
        <v>0</v>
      </c>
      <c r="Q30" s="28">
        <f t="shared" ref="Q30:Q31" si="17" xml:space="preserve"> IF( SUM( S30:AB30 ) = 0, 0, $T$6 )</f>
        <v>0</v>
      </c>
      <c r="T30" s="105">
        <f>IF(Validation!$H$3=1,0,IF(ISNUMBER(F30),0,1))</f>
        <v>0</v>
      </c>
      <c r="U30" s="105">
        <f>IF(Validation!$H$3=1,0,IF(ISNUMBER(G30),0,1))</f>
        <v>0</v>
      </c>
      <c r="V30" s="105">
        <f>IF(Validation!$H$3=1,0,IF(ISNUMBER(H30),0,1))</f>
        <v>0</v>
      </c>
      <c r="W30" s="105">
        <f>IF(Validation!$H$3=1,0,IF(ISNUMBER(I30),0,1))</f>
        <v>0</v>
      </c>
      <c r="X30" s="105">
        <f>IF(Validation!$H$3=1,0,IF(ISNUMBER(J30),0,1))</f>
        <v>0</v>
      </c>
      <c r="Y30" s="105">
        <f>IF(Validation!$H$3=1,0,IF(ISNUMBER(K30),0,1))</f>
        <v>0</v>
      </c>
      <c r="Z30" s="105">
        <f>IF(Validation!$H$3=1,0,IF(ISNUMBER(L30),0,1))</f>
        <v>0</v>
      </c>
      <c r="AA30" s="105">
        <f>IF(Validation!$H$3=1,0,IF(ISNUMBER(M30),0,1))</f>
        <v>0</v>
      </c>
      <c r="AC30" s="105">
        <f t="shared" ref="AC30:AC32" si="18" xml:space="preserve"> IF( (AE30 - AF30 - AG30) = 0, 0, 1 )</f>
        <v>0</v>
      </c>
      <c r="AD30" s="130"/>
      <c r="AE30" s="171">
        <f xml:space="preserve"> ROUND( N30, 3)</f>
        <v>0</v>
      </c>
      <c r="AF30" s="171">
        <f xml:space="preserve"> ROUND( '2B'!H29, 3)</f>
        <v>0</v>
      </c>
      <c r="AG30" s="171">
        <f xml:space="preserve"> ROUND( '2B'!I29, 3)</f>
        <v>0</v>
      </c>
      <c r="AH30" s="87" t="s">
        <v>831</v>
      </c>
      <c r="AI30" s="130"/>
    </row>
    <row r="31" spans="2:35" ht="14.1" customHeight="1" x14ac:dyDescent="0.2">
      <c r="B31" s="106">
        <f xml:space="preserve"> B30 + 1</f>
        <v>20</v>
      </c>
      <c r="C31" s="99" t="s">
        <v>352</v>
      </c>
      <c r="D31" s="107" t="s">
        <v>86</v>
      </c>
      <c r="E31" s="108">
        <v>3</v>
      </c>
      <c r="F31" s="453">
        <v>0</v>
      </c>
      <c r="G31" s="440">
        <v>0</v>
      </c>
      <c r="H31" s="443">
        <v>0</v>
      </c>
      <c r="I31" s="439">
        <v>0</v>
      </c>
      <c r="J31" s="443">
        <v>0</v>
      </c>
      <c r="K31" s="439">
        <v>0</v>
      </c>
      <c r="L31" s="440">
        <v>0</v>
      </c>
      <c r="M31" s="443">
        <v>0</v>
      </c>
      <c r="N31" s="249">
        <f>SUM(F31:M31)</f>
        <v>0</v>
      </c>
      <c r="O31" s="135"/>
      <c r="P31" s="843">
        <f t="shared" si="5"/>
        <v>0</v>
      </c>
      <c r="Q31" s="28">
        <f t="shared" si="17"/>
        <v>0</v>
      </c>
      <c r="T31" s="105">
        <f>IF(Validation!$H$3=1,0,IF(ISNUMBER(F31),0,1))</f>
        <v>0</v>
      </c>
      <c r="U31" s="105">
        <f>IF(Validation!$H$3=1,0,IF(ISNUMBER(G31),0,1))</f>
        <v>0</v>
      </c>
      <c r="V31" s="105">
        <f>IF(Validation!$H$3=1,0,IF(ISNUMBER(H31),0,1))</f>
        <v>0</v>
      </c>
      <c r="W31" s="105">
        <f>IF(Validation!$H$3=1,0,IF(ISNUMBER(I31),0,1))</f>
        <v>0</v>
      </c>
      <c r="X31" s="105">
        <f>IF(Validation!$H$3=1,0,IF(ISNUMBER(J31),0,1))</f>
        <v>0</v>
      </c>
      <c r="Y31" s="105">
        <f>IF(Validation!$H$3=1,0,IF(ISNUMBER(K31),0,1))</f>
        <v>0</v>
      </c>
      <c r="Z31" s="105">
        <f>IF(Validation!$H$3=1,0,IF(ISNUMBER(L31),0,1))</f>
        <v>0</v>
      </c>
      <c r="AA31" s="105">
        <f>IF(Validation!$H$3=1,0,IF(ISNUMBER(M31),0,1))</f>
        <v>0</v>
      </c>
      <c r="AC31" s="105">
        <f t="shared" si="18"/>
        <v>0</v>
      </c>
      <c r="AD31" s="130"/>
      <c r="AE31" s="171">
        <f xml:space="preserve"> ROUND( N31, 3)</f>
        <v>0</v>
      </c>
      <c r="AF31" s="171">
        <f xml:space="preserve"> ROUND( '2B'!H30, 3)</f>
        <v>0</v>
      </c>
      <c r="AG31" s="171">
        <f xml:space="preserve"> ROUND( '2B'!I30, 3)</f>
        <v>0</v>
      </c>
      <c r="AH31" s="87" t="s">
        <v>832</v>
      </c>
      <c r="AI31" s="130"/>
    </row>
    <row r="32" spans="2:35" ht="14.1" customHeight="1" thickBot="1" x14ac:dyDescent="0.25">
      <c r="B32" s="113">
        <f xml:space="preserve"> B31 + 1</f>
        <v>21</v>
      </c>
      <c r="C32" s="114" t="s">
        <v>353</v>
      </c>
      <c r="D32" s="115" t="s">
        <v>86</v>
      </c>
      <c r="E32" s="112">
        <v>3</v>
      </c>
      <c r="F32" s="250">
        <f t="shared" ref="F32:M32" si="19">F27 + F30 + F31</f>
        <v>49.538101396181951</v>
      </c>
      <c r="G32" s="204">
        <f t="shared" si="19"/>
        <v>52.853635669518354</v>
      </c>
      <c r="H32" s="205">
        <f t="shared" si="19"/>
        <v>23.875518050523457</v>
      </c>
      <c r="I32" s="203">
        <f t="shared" si="19"/>
        <v>176.30933241169873</v>
      </c>
      <c r="J32" s="205">
        <f t="shared" si="19"/>
        <v>1.0290062741178903</v>
      </c>
      <c r="K32" s="203">
        <f t="shared" si="19"/>
        <v>8.8259204998023737</v>
      </c>
      <c r="L32" s="204">
        <f t="shared" si="19"/>
        <v>87.633736021493633</v>
      </c>
      <c r="M32" s="205">
        <f t="shared" si="19"/>
        <v>17.480422161009045</v>
      </c>
      <c r="N32" s="210">
        <f>SUM(F32:M32)</f>
        <v>417.54567248434535</v>
      </c>
      <c r="O32" s="135"/>
      <c r="P32" s="843">
        <f t="shared" si="5"/>
        <v>0</v>
      </c>
      <c r="R32" s="135"/>
      <c r="S32" s="130"/>
      <c r="T32" s="212"/>
      <c r="U32" s="212"/>
      <c r="V32" s="212"/>
      <c r="W32" s="212"/>
      <c r="X32" s="212"/>
      <c r="Y32" s="212"/>
      <c r="Z32" s="212"/>
      <c r="AA32" s="212"/>
      <c r="AB32" s="130"/>
      <c r="AC32" s="105">
        <f t="shared" si="18"/>
        <v>0</v>
      </c>
      <c r="AD32" s="130"/>
      <c r="AE32" s="171">
        <f xml:space="preserve"> ROUND( N32, 3)</f>
        <v>417.54599999999999</v>
      </c>
      <c r="AF32" s="171">
        <f xml:space="preserve"> ROUND( '2B'!H33, 3)</f>
        <v>303.60599999999999</v>
      </c>
      <c r="AG32" s="171">
        <f xml:space="preserve"> ROUND( '2B'!I33, 3)</f>
        <v>113.94</v>
      </c>
      <c r="AH32" s="87" t="s">
        <v>833</v>
      </c>
      <c r="AI32" s="130"/>
    </row>
    <row r="33" spans="2:35" ht="15" thickBot="1" x14ac:dyDescent="0.25">
      <c r="O33" s="135"/>
      <c r="R33" s="129"/>
      <c r="S33" s="133"/>
      <c r="T33" s="212"/>
      <c r="U33" s="212"/>
      <c r="V33" s="212"/>
      <c r="W33" s="212"/>
      <c r="X33" s="212"/>
      <c r="Y33" s="212"/>
      <c r="Z33" s="212"/>
      <c r="AA33" s="212"/>
      <c r="AB33" s="133"/>
      <c r="AC33"/>
      <c r="AD33" s="133"/>
      <c r="AI33" s="133"/>
    </row>
    <row r="34" spans="2:35" ht="15" thickBot="1" x14ac:dyDescent="0.25">
      <c r="B34" s="125" t="s">
        <v>158</v>
      </c>
      <c r="C34" s="126" t="s">
        <v>765</v>
      </c>
      <c r="D34" s="83"/>
      <c r="E34" s="83"/>
      <c r="O34" s="135"/>
      <c r="R34" s="129"/>
      <c r="S34" s="133"/>
      <c r="T34" s="212"/>
      <c r="U34" s="212"/>
      <c r="V34" s="212"/>
      <c r="W34" s="212"/>
      <c r="X34" s="212"/>
      <c r="Y34" s="212"/>
      <c r="Z34" s="212"/>
      <c r="AA34" s="212"/>
      <c r="AB34" s="133"/>
      <c r="AC34"/>
      <c r="AD34" s="133"/>
      <c r="AI34" s="133"/>
    </row>
    <row r="35" spans="2:35" ht="14.1" customHeight="1" thickBot="1" x14ac:dyDescent="0.25">
      <c r="B35" s="98">
        <f>B32 + 1</f>
        <v>22</v>
      </c>
      <c r="C35" s="128" t="s">
        <v>834</v>
      </c>
      <c r="D35" s="100" t="s">
        <v>767</v>
      </c>
      <c r="E35" s="224">
        <v>3</v>
      </c>
      <c r="F35" s="454">
        <v>305517.90999999997</v>
      </c>
      <c r="O35" s="135"/>
      <c r="Q35" s="28">
        <f t="shared" ref="Q35:Q42" si="20" xml:space="preserve"> IF( SUM( S35:AB35 ) = 0, 0, $T$6 )</f>
        <v>0</v>
      </c>
      <c r="R35" s="129"/>
      <c r="S35" s="133"/>
      <c r="T35" s="105">
        <f>IF(Validation!$H$3=1,0,IF(ISNUMBER(F35),0,1))</f>
        <v>0</v>
      </c>
      <c r="U35" s="212"/>
      <c r="V35" s="212"/>
      <c r="W35" s="212"/>
      <c r="X35" s="212"/>
      <c r="Y35" s="212"/>
      <c r="Z35" s="212"/>
      <c r="AA35" s="212"/>
      <c r="AB35" s="133"/>
      <c r="AC35"/>
      <c r="AD35" s="133"/>
      <c r="AI35" s="133"/>
    </row>
    <row r="36" spans="2:35" ht="14.1" customHeight="1" thickBot="1" x14ac:dyDescent="0.25">
      <c r="B36" s="106">
        <f t="shared" ref="B36:B45" si="21" xml:space="preserve"> B35 + 1</f>
        <v>23</v>
      </c>
      <c r="C36" s="99" t="s">
        <v>835</v>
      </c>
      <c r="D36" s="107" t="s">
        <v>767</v>
      </c>
      <c r="E36" s="108">
        <v>3</v>
      </c>
      <c r="G36" s="454">
        <v>301046.56800000003</v>
      </c>
      <c r="O36" s="135"/>
      <c r="Q36" s="28">
        <f t="shared" si="20"/>
        <v>0</v>
      </c>
      <c r="T36" s="212"/>
      <c r="U36" s="105">
        <f>IF(Validation!$H$3=1,0,IF(ISNUMBER(G36),0,1))</f>
        <v>0</v>
      </c>
      <c r="V36" s="212"/>
      <c r="W36" s="212"/>
      <c r="X36" s="212"/>
      <c r="Y36" s="212"/>
      <c r="Z36" s="212"/>
      <c r="AA36" s="212"/>
      <c r="AC36" s="122"/>
      <c r="AD36" s="133"/>
      <c r="AI36" s="133"/>
    </row>
    <row r="37" spans="2:35" ht="14.1" customHeight="1" thickBot="1" x14ac:dyDescent="0.25">
      <c r="B37" s="106">
        <f t="shared" si="21"/>
        <v>24</v>
      </c>
      <c r="C37" s="99" t="s">
        <v>836</v>
      </c>
      <c r="D37" s="107" t="s">
        <v>767</v>
      </c>
      <c r="E37" s="108">
        <v>3</v>
      </c>
      <c r="H37" s="454">
        <v>89923.001000000004</v>
      </c>
      <c r="O37" s="135"/>
      <c r="Q37" s="28">
        <f t="shared" si="20"/>
        <v>0</v>
      </c>
      <c r="T37" s="212"/>
      <c r="U37" s="212"/>
      <c r="V37" s="105">
        <f>IF(Validation!$H$3=1,0,IF(ISNUMBER(H37),0,1))</f>
        <v>0</v>
      </c>
      <c r="W37" s="212"/>
      <c r="X37" s="212"/>
      <c r="Y37" s="212"/>
      <c r="Z37" s="212"/>
      <c r="AA37" s="212"/>
      <c r="AD37" s="133"/>
      <c r="AI37" s="133"/>
    </row>
    <row r="38" spans="2:35" ht="14.1" customHeight="1" thickBot="1" x14ac:dyDescent="0.25">
      <c r="B38" s="106">
        <f t="shared" si="21"/>
        <v>25</v>
      </c>
      <c r="C38" s="99" t="s">
        <v>837</v>
      </c>
      <c r="D38" s="107" t="s">
        <v>838</v>
      </c>
      <c r="E38" s="108">
        <v>3</v>
      </c>
      <c r="I38" s="454">
        <v>134425.761</v>
      </c>
      <c r="O38" s="137"/>
      <c r="Q38" s="28">
        <f t="shared" si="20"/>
        <v>0</v>
      </c>
      <c r="T38" s="212"/>
      <c r="U38" s="212"/>
      <c r="V38" s="212"/>
      <c r="W38" s="105">
        <f>IF(Validation!$H$3=1,0,IF(ISNUMBER(I38),0,1))</f>
        <v>0</v>
      </c>
      <c r="X38" s="212"/>
      <c r="Y38" s="212"/>
      <c r="Z38" s="212"/>
      <c r="AA38" s="212"/>
      <c r="AD38" s="133"/>
      <c r="AI38" s="133"/>
    </row>
    <row r="39" spans="2:35" ht="14.1" customHeight="1" thickBot="1" x14ac:dyDescent="0.25">
      <c r="B39" s="106">
        <f t="shared" si="21"/>
        <v>26</v>
      </c>
      <c r="C39" s="99" t="s">
        <v>839</v>
      </c>
      <c r="D39" s="107" t="s">
        <v>838</v>
      </c>
      <c r="E39" s="108">
        <v>3</v>
      </c>
      <c r="J39" s="454">
        <v>6418.4459690412205</v>
      </c>
      <c r="O39" s="137"/>
      <c r="Q39" s="28">
        <f t="shared" si="20"/>
        <v>0</v>
      </c>
      <c r="T39" s="212"/>
      <c r="U39" s="212"/>
      <c r="V39" s="212"/>
      <c r="W39" s="212"/>
      <c r="X39" s="105">
        <f>IF(Validation!$H$3=1,0,IF(ISNUMBER(J39),0,1))</f>
        <v>0</v>
      </c>
      <c r="Y39" s="212"/>
      <c r="Z39" s="212"/>
      <c r="AA39" s="212"/>
      <c r="AD39" s="133"/>
      <c r="AE39" s="83"/>
      <c r="AF39" s="83"/>
      <c r="AG39" s="83"/>
      <c r="AH39" s="83"/>
      <c r="AI39" s="133"/>
    </row>
    <row r="40" spans="2:35" ht="14.1" customHeight="1" thickBot="1" x14ac:dyDescent="0.25">
      <c r="B40" s="106">
        <f t="shared" si="21"/>
        <v>27</v>
      </c>
      <c r="C40" s="99" t="s">
        <v>840</v>
      </c>
      <c r="D40" s="107" t="s">
        <v>841</v>
      </c>
      <c r="E40" s="108">
        <v>3</v>
      </c>
      <c r="K40" s="454">
        <v>955953.64375000005</v>
      </c>
      <c r="O40" s="137"/>
      <c r="Q40" s="28">
        <f t="shared" si="20"/>
        <v>0</v>
      </c>
      <c r="T40" s="212"/>
      <c r="U40" s="212"/>
      <c r="V40" s="212"/>
      <c r="W40" s="212"/>
      <c r="X40" s="212"/>
      <c r="Y40" s="105">
        <f>IF(Validation!$H$3=1,0,IF(ISNUMBER(K40),0,1))</f>
        <v>0</v>
      </c>
      <c r="Z40" s="212"/>
      <c r="AA40" s="212"/>
      <c r="AD40" s="133"/>
      <c r="AE40" s="169"/>
      <c r="AF40" s="169"/>
      <c r="AG40" s="169"/>
      <c r="AH40" s="169"/>
      <c r="AI40" s="133"/>
    </row>
    <row r="41" spans="2:35" ht="14.1" customHeight="1" thickBot="1" x14ac:dyDescent="0.25">
      <c r="B41" s="106">
        <f t="shared" si="21"/>
        <v>28</v>
      </c>
      <c r="C41" s="99" t="s">
        <v>842</v>
      </c>
      <c r="D41" s="107" t="s">
        <v>843</v>
      </c>
      <c r="E41" s="108">
        <v>3</v>
      </c>
      <c r="L41" s="454">
        <v>151.511</v>
      </c>
      <c r="O41" s="137"/>
      <c r="Q41" s="28">
        <f t="shared" si="20"/>
        <v>0</v>
      </c>
      <c r="R41" s="129"/>
      <c r="S41" s="133"/>
      <c r="T41" s="212"/>
      <c r="U41" s="212"/>
      <c r="V41" s="212"/>
      <c r="W41" s="212"/>
      <c r="X41" s="212"/>
      <c r="Y41" s="212"/>
      <c r="Z41" s="105">
        <f>IF(Validation!$H$3=1,0,IF(ISNUMBER(L41),0,1))</f>
        <v>0</v>
      </c>
      <c r="AA41" s="212"/>
      <c r="AB41" s="133"/>
      <c r="AD41" s="133"/>
      <c r="AE41" s="169"/>
      <c r="AF41" s="169"/>
      <c r="AG41" s="169"/>
      <c r="AH41" s="169"/>
      <c r="AI41" s="133"/>
    </row>
    <row r="42" spans="2:35" ht="14.1" customHeight="1" thickBot="1" x14ac:dyDescent="0.25">
      <c r="B42" s="106">
        <f t="shared" si="21"/>
        <v>29</v>
      </c>
      <c r="C42" s="99" t="s">
        <v>844</v>
      </c>
      <c r="D42" s="107" t="s">
        <v>843</v>
      </c>
      <c r="E42" s="108">
        <v>3</v>
      </c>
      <c r="M42" s="455">
        <v>149.28</v>
      </c>
      <c r="O42" s="137"/>
      <c r="Q42" s="28">
        <f t="shared" si="20"/>
        <v>0</v>
      </c>
      <c r="T42" s="212"/>
      <c r="U42" s="212"/>
      <c r="V42" s="212"/>
      <c r="W42" s="212"/>
      <c r="X42" s="212"/>
      <c r="Y42" s="212"/>
      <c r="Z42" s="212"/>
      <c r="AA42" s="105">
        <f>IF(Validation!$H$3=1,0,IF(ISNUMBER(M42),0,1))</f>
        <v>0</v>
      </c>
      <c r="AE42" s="169"/>
      <c r="AF42" s="169"/>
      <c r="AG42" s="169"/>
      <c r="AH42" s="169"/>
    </row>
    <row r="43" spans="2:35" ht="14.1" customHeight="1" x14ac:dyDescent="0.2">
      <c r="B43" s="106">
        <f t="shared" si="21"/>
        <v>30</v>
      </c>
      <c r="C43" s="99" t="s">
        <v>773</v>
      </c>
      <c r="D43" s="107" t="s">
        <v>845</v>
      </c>
      <c r="E43" s="108">
        <v>3</v>
      </c>
      <c r="F43" s="197">
        <f xml:space="preserve"> IF( F35 = 0, 0, F16 *1000000 / F35 )</f>
        <v>70.769468146728315</v>
      </c>
      <c r="G43" s="198">
        <f xml:space="preserve"> IF( G36 = 0, 0, G16 *1000000 / G36 )</f>
        <v>72.191223252875616</v>
      </c>
      <c r="H43" s="198">
        <f xml:space="preserve"> IF( H37 = 0, 0, H16 *1000000 / H37 )</f>
        <v>116.69695053882816</v>
      </c>
      <c r="I43" s="198">
        <f xml:space="preserve"> IF( I38 = 0, 0, I16 *1000000 / I38 )</f>
        <v>720.28604695791898</v>
      </c>
      <c r="J43" s="198">
        <f xml:space="preserve"> IF( J39 = 0, 0, J16 *1000000 / J39 )</f>
        <v>141.62306645323142</v>
      </c>
      <c r="K43" s="198">
        <f xml:space="preserve"> IF( K40 = 0, 0, K16 *1000000 / K40 )</f>
        <v>7.6876112644661898</v>
      </c>
      <c r="L43" s="198">
        <f xml:space="preserve"> IF( L41 = 0, 0, L16 *1000000 / L41 )</f>
        <v>197088.00021120577</v>
      </c>
      <c r="M43" s="416">
        <f xml:space="preserve"> IF( M42 = 0, 0, M16 *1000000 / M42 )</f>
        <v>115681.93997856377</v>
      </c>
      <c r="O43" s="137"/>
      <c r="T43" s="212"/>
      <c r="U43" s="212"/>
      <c r="V43" s="212"/>
      <c r="W43" s="212"/>
      <c r="X43" s="212"/>
      <c r="Y43" s="212"/>
      <c r="Z43" s="212"/>
      <c r="AA43" s="212"/>
      <c r="AE43" s="169"/>
      <c r="AF43" s="169"/>
      <c r="AG43" s="169"/>
      <c r="AH43" s="169"/>
    </row>
    <row r="44" spans="2:35" x14ac:dyDescent="0.2">
      <c r="B44" s="106">
        <f t="shared" si="21"/>
        <v>31</v>
      </c>
      <c r="C44" s="99" t="s">
        <v>775</v>
      </c>
      <c r="D44" s="107" t="s">
        <v>686</v>
      </c>
      <c r="E44" s="108">
        <v>3</v>
      </c>
      <c r="F44" s="453">
        <v>5070.1660000000002</v>
      </c>
      <c r="G44" s="440">
        <v>5070.1660000000002</v>
      </c>
      <c r="H44" s="443">
        <v>5070.1660000000002</v>
      </c>
      <c r="I44" s="439">
        <v>5070.1660000000002</v>
      </c>
      <c r="J44" s="443">
        <v>5070.1660000000002</v>
      </c>
      <c r="K44" s="439">
        <v>5070.1660000000002</v>
      </c>
      <c r="L44" s="440">
        <v>5070.1660000000002</v>
      </c>
      <c r="M44" s="443">
        <v>5070.1660000000002</v>
      </c>
      <c r="O44" s="137"/>
      <c r="Q44" s="28">
        <f t="shared" ref="Q44" si="22" xml:space="preserve"> IF( SUM( S44:AB44 ) = 0, 0, $T$6 )</f>
        <v>0</v>
      </c>
      <c r="T44" s="105">
        <f>IF(Validation!$H$3=1,0,IF(ISNUMBER(F44),0,1))</f>
        <v>0</v>
      </c>
      <c r="U44" s="105">
        <f>IF(Validation!$H$3=1,0,IF(ISNUMBER(G44),0,1))</f>
        <v>0</v>
      </c>
      <c r="V44" s="105">
        <f>IF(Validation!$H$3=1,0,IF(ISNUMBER(H44),0,1))</f>
        <v>0</v>
      </c>
      <c r="W44" s="105">
        <f>IF(Validation!$H$3=1,0,IF(ISNUMBER(I44),0,1))</f>
        <v>0</v>
      </c>
      <c r="X44" s="105">
        <f>IF(Validation!$H$3=1,0,IF(ISNUMBER(J44),0,1))</f>
        <v>0</v>
      </c>
      <c r="Y44" s="105">
        <f>IF(Validation!$H$3=1,0,IF(ISNUMBER(K44),0,1))</f>
        <v>0</v>
      </c>
      <c r="Z44" s="105">
        <f>IF(Validation!$H$3=1,0,IF(ISNUMBER(L44),0,1))</f>
        <v>0</v>
      </c>
      <c r="AA44" s="105">
        <f>IF(Validation!$H$3=1,0,IF(ISNUMBER(M44),0,1))</f>
        <v>0</v>
      </c>
      <c r="AC44" s="132"/>
      <c r="AD44" s="130"/>
      <c r="AE44" s="171"/>
      <c r="AF44"/>
      <c r="AG44"/>
      <c r="AH44"/>
      <c r="AI44"/>
    </row>
    <row r="45" spans="2:35" ht="15" thickBot="1" x14ac:dyDescent="0.25">
      <c r="B45" s="113">
        <f t="shared" si="21"/>
        <v>32</v>
      </c>
      <c r="C45" s="114" t="s">
        <v>773</v>
      </c>
      <c r="D45" s="115" t="s">
        <v>776</v>
      </c>
      <c r="E45" s="236">
        <v>3</v>
      </c>
      <c r="F45" s="203">
        <f xml:space="preserve"> IF( F44 = 0, 0, F16 * 1000 / F44 )</f>
        <v>4.2644244784095839</v>
      </c>
      <c r="G45" s="204">
        <f t="shared" ref="G45:K45" si="23" xml:space="preserve"> IF( G44 = 0, 0, G16 * 1000 / G44 )</f>
        <v>4.2864316474056272</v>
      </c>
      <c r="H45" s="205">
        <f t="shared" si="23"/>
        <v>2.0697034377178181</v>
      </c>
      <c r="I45" s="203">
        <f t="shared" si="23"/>
        <v>19.097007869170358</v>
      </c>
      <c r="J45" s="205">
        <f t="shared" si="23"/>
        <v>0.17928407077795877</v>
      </c>
      <c r="K45" s="203">
        <f t="shared" si="23"/>
        <v>1.4494594457065111</v>
      </c>
      <c r="L45" s="204">
        <f t="shared" ref="L45" si="24" xml:space="preserve"> IF( L44 = 0, 0, L16 * 1000 / L44 )</f>
        <v>5.8895507563263205</v>
      </c>
      <c r="M45" s="205">
        <f t="shared" ref="M45" si="25" xml:space="preserve"> IF( M44 = 0, 0, M16 * 1000 / M44 )</f>
        <v>3.4060028803790643</v>
      </c>
      <c r="O45" s="137"/>
      <c r="P45" s="83"/>
      <c r="T45" s="132"/>
      <c r="U45" s="132"/>
      <c r="V45" s="132"/>
      <c r="W45" s="132"/>
      <c r="X45" s="132"/>
      <c r="Y45" s="132"/>
      <c r="Z45" s="132"/>
      <c r="AA45" s="132"/>
      <c r="AC45" s="132"/>
      <c r="AD45" s="130"/>
      <c r="AE45" s="171"/>
      <c r="AF45"/>
      <c r="AG45"/>
      <c r="AH45"/>
      <c r="AI45"/>
    </row>
    <row r="46" spans="2:35" x14ac:dyDescent="0.2">
      <c r="O46" s="137"/>
      <c r="T46" s="212"/>
      <c r="U46" s="212"/>
      <c r="V46" s="212"/>
      <c r="W46" s="212"/>
      <c r="X46" s="212"/>
      <c r="Y46" s="212"/>
      <c r="Z46" s="212"/>
      <c r="AA46" s="212"/>
      <c r="AE46" s="169"/>
      <c r="AF46" s="169"/>
      <c r="AG46" s="169"/>
      <c r="AH46" s="169"/>
    </row>
    <row r="47" spans="2:35" x14ac:dyDescent="0.2">
      <c r="B47" s="897" t="s">
        <v>101</v>
      </c>
      <c r="C47" s="897"/>
      <c r="D47" s="169"/>
      <c r="E47" s="169"/>
      <c r="F47" s="169"/>
      <c r="G47" s="169"/>
      <c r="H47" s="135"/>
      <c r="O47" s="137"/>
      <c r="T47" s="212"/>
      <c r="U47" s="212"/>
      <c r="V47" s="212"/>
      <c r="W47" s="212"/>
      <c r="X47" s="212"/>
      <c r="Y47" s="212"/>
      <c r="Z47" s="212"/>
      <c r="AA47" s="212"/>
      <c r="AE47" s="169"/>
      <c r="AF47" s="169"/>
      <c r="AG47" s="169"/>
      <c r="AH47" s="169"/>
    </row>
    <row r="48" spans="2:35" x14ac:dyDescent="0.2">
      <c r="B48" s="146"/>
      <c r="C48" s="147"/>
      <c r="D48" s="169"/>
      <c r="E48" s="169"/>
      <c r="F48" s="169"/>
      <c r="G48" s="169"/>
      <c r="H48" s="135"/>
      <c r="O48" s="137"/>
      <c r="T48" s="212"/>
      <c r="U48" s="212"/>
      <c r="V48" s="212"/>
      <c r="W48" s="212"/>
      <c r="X48" s="212"/>
      <c r="Y48" s="212"/>
      <c r="Z48" s="212"/>
      <c r="AA48" s="212"/>
      <c r="AE48" s="169"/>
      <c r="AF48" s="169"/>
      <c r="AG48" s="169"/>
      <c r="AH48" s="169"/>
    </row>
    <row r="49" spans="2:34" x14ac:dyDescent="0.2">
      <c r="B49" s="29"/>
      <c r="C49" s="148" t="s">
        <v>102</v>
      </c>
      <c r="D49" s="169"/>
      <c r="E49" s="169"/>
      <c r="F49" s="169"/>
      <c r="G49" s="169"/>
      <c r="H49" s="135"/>
      <c r="O49" s="137"/>
      <c r="T49" s="212"/>
      <c r="U49" s="212"/>
      <c r="V49" s="212"/>
      <c r="W49" s="212"/>
      <c r="X49" s="212"/>
      <c r="Y49" s="212"/>
      <c r="Z49" s="212"/>
      <c r="AA49" s="212"/>
      <c r="AE49" s="186"/>
      <c r="AF49" s="186"/>
      <c r="AG49" s="186"/>
      <c r="AH49" s="186"/>
    </row>
    <row r="50" spans="2:34" x14ac:dyDescent="0.2">
      <c r="B50" s="146"/>
      <c r="C50" s="147"/>
      <c r="D50" s="169"/>
      <c r="E50" s="169"/>
      <c r="F50" s="169"/>
      <c r="G50" s="169"/>
      <c r="H50" s="135"/>
      <c r="O50" s="137"/>
      <c r="T50" s="212"/>
      <c r="U50" s="212"/>
      <c r="V50" s="212"/>
      <c r="W50" s="212"/>
      <c r="X50" s="212"/>
      <c r="Y50" s="212"/>
      <c r="Z50" s="212"/>
      <c r="AA50" s="212"/>
      <c r="AE50" s="186"/>
      <c r="AF50" s="186"/>
      <c r="AG50" s="186"/>
      <c r="AH50" s="186"/>
    </row>
    <row r="51" spans="2:34" x14ac:dyDescent="0.2">
      <c r="B51" s="149"/>
      <c r="C51" s="148" t="s">
        <v>103</v>
      </c>
      <c r="D51" s="169"/>
      <c r="E51" s="169"/>
      <c r="F51" s="169"/>
      <c r="G51" s="169"/>
      <c r="H51" s="135"/>
      <c r="O51" s="137"/>
      <c r="T51" s="212"/>
      <c r="U51" s="212"/>
      <c r="V51" s="212"/>
      <c r="W51" s="212"/>
      <c r="X51" s="212"/>
      <c r="Y51" s="212"/>
      <c r="Z51" s="212"/>
      <c r="AA51" s="212"/>
      <c r="AE51" s="122"/>
      <c r="AF51" s="122"/>
      <c r="AG51" s="122"/>
      <c r="AH51" s="122"/>
    </row>
    <row r="52" spans="2:34" x14ac:dyDescent="0.2">
      <c r="B52" s="150"/>
      <c r="C52" s="148"/>
      <c r="D52" s="169"/>
      <c r="E52" s="169"/>
      <c r="F52" s="169"/>
      <c r="G52" s="169"/>
      <c r="H52" s="135"/>
      <c r="O52" s="137"/>
      <c r="T52" s="212"/>
      <c r="U52" s="212"/>
      <c r="V52" s="212"/>
      <c r="W52" s="212"/>
      <c r="X52" s="212"/>
      <c r="Y52" s="212"/>
      <c r="Z52" s="212"/>
      <c r="AA52" s="212"/>
      <c r="AE52" s="122"/>
      <c r="AF52" s="122"/>
      <c r="AG52" s="122"/>
      <c r="AH52" s="122"/>
    </row>
    <row r="53" spans="2:34" x14ac:dyDescent="0.2">
      <c r="B53" s="151"/>
      <c r="C53" s="148" t="s">
        <v>104</v>
      </c>
      <c r="D53" s="169"/>
      <c r="E53" s="169"/>
      <c r="F53" s="169"/>
      <c r="G53" s="169"/>
      <c r="H53" s="135"/>
      <c r="O53" s="137"/>
      <c r="T53" s="212"/>
      <c r="U53" s="212"/>
      <c r="V53" s="212"/>
      <c r="W53" s="212"/>
      <c r="X53" s="212"/>
      <c r="Y53" s="212"/>
      <c r="Z53" s="212"/>
      <c r="AA53" s="212"/>
      <c r="AE53" s="186"/>
      <c r="AF53" s="186"/>
      <c r="AG53" s="186"/>
      <c r="AH53" s="186"/>
    </row>
    <row r="54" spans="2:34" x14ac:dyDescent="0.2">
      <c r="B54" s="156"/>
      <c r="C54" s="157"/>
      <c r="D54" s="186"/>
      <c r="E54" s="186"/>
      <c r="F54" s="186"/>
      <c r="G54" s="186"/>
      <c r="H54" s="137"/>
      <c r="O54" s="137"/>
      <c r="T54" s="212"/>
      <c r="U54" s="212"/>
      <c r="V54" s="212"/>
      <c r="W54" s="212"/>
      <c r="X54" s="212"/>
      <c r="Y54" s="212"/>
      <c r="Z54" s="212"/>
      <c r="AA54" s="212"/>
      <c r="AE54" s="122"/>
      <c r="AF54" s="122"/>
      <c r="AG54" s="122"/>
      <c r="AH54" s="122"/>
    </row>
    <row r="55" spans="2:34" ht="15" thickBot="1" x14ac:dyDescent="0.25">
      <c r="B55" s="186"/>
      <c r="C55" s="187"/>
      <c r="D55" s="186"/>
      <c r="E55" s="186"/>
      <c r="F55" s="186"/>
      <c r="G55" s="186"/>
      <c r="H55" s="137"/>
      <c r="O55" s="137"/>
      <c r="T55" s="212"/>
      <c r="U55" s="212"/>
      <c r="V55" s="212"/>
      <c r="W55" s="212"/>
      <c r="X55" s="212"/>
      <c r="Y55" s="212"/>
      <c r="Z55" s="212"/>
      <c r="AA55" s="212"/>
      <c r="AE55" s="122"/>
      <c r="AF55" s="122"/>
      <c r="AG55" s="122"/>
      <c r="AH55" s="122"/>
    </row>
    <row r="56" spans="2:34" ht="21" thickBot="1" x14ac:dyDescent="0.25">
      <c r="B56" s="152" t="str">
        <f ca="1" xml:space="preserve"> RIGHT(CELL("filename", $A$1), LEN(CELL("filename", $A$1)) - SEARCH("]", CELL("filename", $A$1)))&amp;" - Line definitions"</f>
        <v>4E - Line definitions</v>
      </c>
      <c r="C56" s="153"/>
      <c r="D56" s="154"/>
      <c r="E56" s="154"/>
      <c r="F56" s="154"/>
      <c r="G56" s="154"/>
      <c r="H56" s="154"/>
      <c r="I56" s="154"/>
      <c r="J56" s="154"/>
      <c r="K56" s="154"/>
      <c r="L56" s="154"/>
      <c r="M56" s="154"/>
      <c r="N56" s="160"/>
      <c r="O56" s="137"/>
      <c r="U56" s="212"/>
      <c r="V56" s="212"/>
      <c r="W56" s="212"/>
      <c r="X56" s="212"/>
      <c r="Y56" s="212"/>
      <c r="Z56" s="212"/>
      <c r="AA56" s="212"/>
      <c r="AE56" s="122"/>
      <c r="AF56" s="122"/>
      <c r="AG56" s="122"/>
      <c r="AH56" s="122"/>
    </row>
    <row r="57" spans="2:34" ht="15" thickBot="1" x14ac:dyDescent="0.25">
      <c r="B57" s="87"/>
      <c r="C57" s="161"/>
      <c r="D57" s="87"/>
      <c r="E57" s="87"/>
      <c r="F57" s="87"/>
      <c r="G57" s="122"/>
      <c r="H57" s="129"/>
      <c r="O57" s="137"/>
      <c r="U57" s="212"/>
      <c r="V57" s="212"/>
      <c r="W57" s="212"/>
      <c r="X57" s="212"/>
      <c r="Y57" s="212"/>
      <c r="Z57" s="212"/>
      <c r="AA57" s="212"/>
      <c r="AE57" s="122"/>
      <c r="AF57" s="122"/>
      <c r="AG57" s="122"/>
      <c r="AH57" s="122"/>
    </row>
    <row r="58" spans="2:34" ht="15" thickBot="1" x14ac:dyDescent="0.25">
      <c r="B58" s="162" t="s">
        <v>105</v>
      </c>
      <c r="C58" s="1033" t="s">
        <v>106</v>
      </c>
      <c r="D58" s="1033"/>
      <c r="E58" s="1033"/>
      <c r="F58" s="1033"/>
      <c r="G58" s="1033"/>
      <c r="H58" s="1033"/>
      <c r="I58" s="1033"/>
      <c r="J58" s="1033"/>
      <c r="K58" s="1033"/>
      <c r="L58" s="1033"/>
      <c r="M58" s="1033"/>
      <c r="N58" s="1035"/>
      <c r="O58" s="137"/>
      <c r="U58" s="212"/>
      <c r="V58" s="212"/>
      <c r="W58" s="212"/>
      <c r="X58" s="212"/>
      <c r="Y58" s="212"/>
      <c r="Z58" s="212"/>
      <c r="AA58" s="212"/>
      <c r="AE58" s="122"/>
      <c r="AF58" s="122"/>
      <c r="AG58" s="122"/>
      <c r="AH58" s="122"/>
    </row>
    <row r="59" spans="2:34" x14ac:dyDescent="0.2">
      <c r="B59" s="189">
        <f t="shared" ref="B59:B65" si="26">B7</f>
        <v>1</v>
      </c>
      <c r="C59" s="898" t="s">
        <v>354</v>
      </c>
      <c r="D59" s="898"/>
      <c r="E59" s="898"/>
      <c r="F59" s="898"/>
      <c r="G59" s="898"/>
      <c r="H59" s="898"/>
      <c r="I59" s="898"/>
      <c r="J59" s="898"/>
      <c r="K59" s="898"/>
      <c r="L59" s="898"/>
      <c r="M59" s="898"/>
      <c r="N59" s="899"/>
      <c r="O59" s="137"/>
      <c r="T59" s="97" t="s">
        <v>107</v>
      </c>
      <c r="U59" s="212"/>
      <c r="V59" s="212"/>
      <c r="W59" s="212"/>
      <c r="X59" s="212"/>
      <c r="Y59" s="212"/>
      <c r="Z59" s="212"/>
      <c r="AA59" s="212"/>
      <c r="AE59" s="122"/>
      <c r="AF59" s="122"/>
      <c r="AG59" s="122"/>
      <c r="AH59" s="122"/>
    </row>
    <row r="60" spans="2:34" ht="63.75" x14ac:dyDescent="0.2">
      <c r="B60" s="166">
        <f t="shared" si="26"/>
        <v>2</v>
      </c>
      <c r="C60" s="877" t="s">
        <v>846</v>
      </c>
      <c r="D60" s="877"/>
      <c r="E60" s="877"/>
      <c r="F60" s="877"/>
      <c r="G60" s="877"/>
      <c r="H60" s="877"/>
      <c r="I60" s="877"/>
      <c r="J60" s="877"/>
      <c r="K60" s="877"/>
      <c r="L60" s="877"/>
      <c r="M60" s="877"/>
      <c r="N60" s="878"/>
      <c r="O60" s="137"/>
      <c r="T60" s="168" t="s">
        <v>396</v>
      </c>
      <c r="U60" s="212"/>
      <c r="V60" s="212"/>
      <c r="W60" s="212"/>
      <c r="X60" s="212"/>
      <c r="Y60" s="212"/>
      <c r="Z60" s="212"/>
      <c r="AA60" s="212"/>
      <c r="AE60" s="122"/>
      <c r="AF60" s="122"/>
      <c r="AG60" s="122"/>
      <c r="AH60" s="122"/>
    </row>
    <row r="61" spans="2:34" x14ac:dyDescent="0.2">
      <c r="B61" s="166">
        <f t="shared" si="26"/>
        <v>3</v>
      </c>
      <c r="C61" s="877" t="s">
        <v>847</v>
      </c>
      <c r="D61" s="877"/>
      <c r="E61" s="877"/>
      <c r="F61" s="877"/>
      <c r="G61" s="877"/>
      <c r="H61" s="877"/>
      <c r="I61" s="877"/>
      <c r="J61" s="877"/>
      <c r="K61" s="877"/>
      <c r="L61" s="877"/>
      <c r="M61" s="877"/>
      <c r="N61" s="878"/>
      <c r="O61" s="137"/>
      <c r="T61" s="168">
        <v>1</v>
      </c>
      <c r="U61" s="122"/>
      <c r="V61" s="122"/>
      <c r="W61" s="122"/>
      <c r="X61" s="122"/>
      <c r="Y61" s="122"/>
      <c r="Z61" s="122"/>
      <c r="AA61" s="122"/>
      <c r="AE61" s="122"/>
      <c r="AF61" s="122"/>
      <c r="AG61" s="122"/>
      <c r="AH61" s="122"/>
    </row>
    <row r="62" spans="2:34" x14ac:dyDescent="0.2">
      <c r="B62" s="166">
        <f t="shared" si="26"/>
        <v>4</v>
      </c>
      <c r="C62" s="877" t="s">
        <v>848</v>
      </c>
      <c r="D62" s="877"/>
      <c r="E62" s="877"/>
      <c r="F62" s="877"/>
      <c r="G62" s="877"/>
      <c r="H62" s="877"/>
      <c r="I62" s="877"/>
      <c r="J62" s="877"/>
      <c r="K62" s="877"/>
      <c r="L62" s="877"/>
      <c r="M62" s="877"/>
      <c r="N62" s="878"/>
      <c r="O62" s="137"/>
      <c r="T62" s="168">
        <v>1</v>
      </c>
      <c r="U62" s="122"/>
      <c r="V62" s="122"/>
      <c r="W62" s="122"/>
      <c r="X62" s="122"/>
      <c r="Y62" s="122"/>
      <c r="Z62" s="122"/>
      <c r="AA62" s="122"/>
      <c r="AE62" s="122"/>
      <c r="AF62" s="122"/>
      <c r="AG62" s="122"/>
      <c r="AH62" s="122"/>
    </row>
    <row r="63" spans="2:34" x14ac:dyDescent="0.2">
      <c r="B63" s="166">
        <f t="shared" si="26"/>
        <v>5</v>
      </c>
      <c r="C63" s="877" t="s">
        <v>780</v>
      </c>
      <c r="D63" s="877"/>
      <c r="E63" s="877"/>
      <c r="F63" s="877"/>
      <c r="G63" s="877"/>
      <c r="H63" s="877"/>
      <c r="I63" s="877"/>
      <c r="J63" s="877"/>
      <c r="K63" s="877"/>
      <c r="L63" s="877"/>
      <c r="M63" s="877"/>
      <c r="N63" s="878"/>
      <c r="T63" s="168">
        <v>1</v>
      </c>
      <c r="U63" s="122"/>
      <c r="V63" s="122"/>
      <c r="W63" s="122"/>
      <c r="X63" s="122"/>
      <c r="Y63" s="122"/>
      <c r="Z63" s="122"/>
      <c r="AA63" s="122"/>
      <c r="AE63" s="122"/>
      <c r="AF63" s="122"/>
      <c r="AG63" s="122"/>
      <c r="AH63" s="122"/>
    </row>
    <row r="64" spans="2:34" x14ac:dyDescent="0.2">
      <c r="B64" s="166">
        <f t="shared" si="26"/>
        <v>6</v>
      </c>
      <c r="C64" s="877" t="s">
        <v>360</v>
      </c>
      <c r="D64" s="877"/>
      <c r="E64" s="877"/>
      <c r="F64" s="877"/>
      <c r="G64" s="877"/>
      <c r="H64" s="877"/>
      <c r="I64" s="877"/>
      <c r="J64" s="877"/>
      <c r="K64" s="877"/>
      <c r="L64" s="877"/>
      <c r="M64" s="877"/>
      <c r="N64" s="878"/>
      <c r="T64" s="168">
        <v>1</v>
      </c>
      <c r="U64" s="122"/>
      <c r="V64" s="122"/>
      <c r="W64" s="122"/>
      <c r="X64" s="122"/>
      <c r="Y64" s="122"/>
      <c r="Z64" s="122"/>
      <c r="AA64" s="122"/>
      <c r="AE64" s="122"/>
      <c r="AF64" s="122"/>
      <c r="AG64" s="122"/>
      <c r="AH64" s="122"/>
    </row>
    <row r="65" spans="2:34" x14ac:dyDescent="0.2">
      <c r="B65" s="166">
        <f t="shared" si="26"/>
        <v>7</v>
      </c>
      <c r="C65" s="877" t="s">
        <v>849</v>
      </c>
      <c r="D65" s="877"/>
      <c r="E65" s="877"/>
      <c r="F65" s="877"/>
      <c r="G65" s="877"/>
      <c r="H65" s="877"/>
      <c r="I65" s="877"/>
      <c r="J65" s="877"/>
      <c r="K65" s="877"/>
      <c r="L65" s="877"/>
      <c r="M65" s="877"/>
      <c r="N65" s="878"/>
      <c r="T65" s="168">
        <v>1</v>
      </c>
      <c r="AE65" s="122"/>
      <c r="AF65" s="122"/>
      <c r="AG65" s="122"/>
      <c r="AH65" s="122"/>
    </row>
    <row r="66" spans="2:34" x14ac:dyDescent="0.2">
      <c r="B66" s="166">
        <f>B15</f>
        <v>8</v>
      </c>
      <c r="C66" s="877" t="s">
        <v>783</v>
      </c>
      <c r="D66" s="877"/>
      <c r="E66" s="877"/>
      <c r="F66" s="877"/>
      <c r="G66" s="877"/>
      <c r="H66" s="877"/>
      <c r="I66" s="877"/>
      <c r="J66" s="877"/>
      <c r="K66" s="877"/>
      <c r="L66" s="877"/>
      <c r="M66" s="877"/>
      <c r="N66" s="878"/>
      <c r="T66" s="168">
        <v>1</v>
      </c>
      <c r="AE66" s="122"/>
      <c r="AF66" s="122"/>
      <c r="AG66" s="122"/>
      <c r="AH66" s="122"/>
    </row>
    <row r="67" spans="2:34" x14ac:dyDescent="0.2">
      <c r="B67" s="166">
        <f>B16</f>
        <v>9</v>
      </c>
      <c r="C67" s="877" t="s">
        <v>850</v>
      </c>
      <c r="D67" s="877"/>
      <c r="E67" s="877"/>
      <c r="F67" s="877"/>
      <c r="G67" s="877"/>
      <c r="H67" s="877"/>
      <c r="I67" s="877"/>
      <c r="J67" s="877"/>
      <c r="K67" s="877"/>
      <c r="L67" s="877"/>
      <c r="M67" s="877"/>
      <c r="N67" s="878"/>
      <c r="T67" s="168">
        <v>1</v>
      </c>
      <c r="AE67" s="122"/>
      <c r="AF67" s="122"/>
      <c r="AG67" s="122"/>
      <c r="AH67" s="122"/>
    </row>
    <row r="68" spans="2:34" x14ac:dyDescent="0.2">
      <c r="B68" s="166">
        <f t="shared" ref="B68:B76" si="27">B19</f>
        <v>10</v>
      </c>
      <c r="C68" s="877" t="s">
        <v>364</v>
      </c>
      <c r="D68" s="877"/>
      <c r="E68" s="877"/>
      <c r="F68" s="877"/>
      <c r="G68" s="877"/>
      <c r="H68" s="877"/>
      <c r="I68" s="877"/>
      <c r="J68" s="877"/>
      <c r="K68" s="877"/>
      <c r="L68" s="877"/>
      <c r="M68" s="877"/>
      <c r="N68" s="878"/>
      <c r="T68" s="168">
        <v>1</v>
      </c>
      <c r="AE68" s="122"/>
      <c r="AF68" s="122"/>
      <c r="AG68" s="122"/>
      <c r="AH68" s="122"/>
    </row>
    <row r="69" spans="2:34" x14ac:dyDescent="0.2">
      <c r="B69" s="166">
        <f t="shared" si="27"/>
        <v>11</v>
      </c>
      <c r="C69" s="877" t="s">
        <v>365</v>
      </c>
      <c r="D69" s="877"/>
      <c r="E69" s="877"/>
      <c r="F69" s="877"/>
      <c r="G69" s="877"/>
      <c r="H69" s="877"/>
      <c r="I69" s="877"/>
      <c r="J69" s="877"/>
      <c r="K69" s="877"/>
      <c r="L69" s="877"/>
      <c r="M69" s="877"/>
      <c r="N69" s="878"/>
      <c r="T69" s="168">
        <v>1</v>
      </c>
      <c r="AE69" s="122"/>
      <c r="AF69" s="122"/>
      <c r="AG69" s="122"/>
      <c r="AH69" s="122"/>
    </row>
    <row r="70" spans="2:34" x14ac:dyDescent="0.2">
      <c r="B70" s="166">
        <f t="shared" si="27"/>
        <v>12</v>
      </c>
      <c r="C70" s="877" t="s">
        <v>851</v>
      </c>
      <c r="D70" s="877"/>
      <c r="E70" s="877"/>
      <c r="F70" s="877"/>
      <c r="G70" s="877"/>
      <c r="H70" s="877"/>
      <c r="I70" s="877"/>
      <c r="J70" s="877"/>
      <c r="K70" s="877"/>
      <c r="L70" s="877"/>
      <c r="M70" s="877"/>
      <c r="N70" s="878"/>
      <c r="T70" s="168">
        <v>1</v>
      </c>
      <c r="AE70" s="122"/>
      <c r="AF70" s="122"/>
      <c r="AG70" s="122"/>
      <c r="AH70" s="122"/>
    </row>
    <row r="71" spans="2:34" x14ac:dyDescent="0.2">
      <c r="B71" s="166">
        <f t="shared" si="27"/>
        <v>13</v>
      </c>
      <c r="C71" s="877" t="s">
        <v>852</v>
      </c>
      <c r="D71" s="877"/>
      <c r="E71" s="877"/>
      <c r="F71" s="877"/>
      <c r="G71" s="877"/>
      <c r="H71" s="877"/>
      <c r="I71" s="877"/>
      <c r="J71" s="877"/>
      <c r="K71" s="877"/>
      <c r="L71" s="877"/>
      <c r="M71" s="877"/>
      <c r="N71" s="878"/>
      <c r="T71" s="168">
        <v>1</v>
      </c>
      <c r="AE71" s="122"/>
      <c r="AF71" s="122"/>
      <c r="AG71" s="122"/>
      <c r="AH71" s="122"/>
    </row>
    <row r="72" spans="2:34" x14ac:dyDescent="0.2">
      <c r="B72" s="166">
        <f t="shared" si="27"/>
        <v>14</v>
      </c>
      <c r="C72" s="877" t="s">
        <v>853</v>
      </c>
      <c r="D72" s="877"/>
      <c r="E72" s="877"/>
      <c r="F72" s="877"/>
      <c r="G72" s="877"/>
      <c r="H72" s="877"/>
      <c r="I72" s="877"/>
      <c r="J72" s="877"/>
      <c r="K72" s="877"/>
      <c r="L72" s="877"/>
      <c r="M72" s="877"/>
      <c r="N72" s="878"/>
      <c r="T72" s="168">
        <v>1</v>
      </c>
      <c r="AE72" s="122"/>
      <c r="AF72" s="122"/>
      <c r="AG72" s="122"/>
      <c r="AH72" s="122"/>
    </row>
    <row r="73" spans="2:34" x14ac:dyDescent="0.2">
      <c r="B73" s="166">
        <f t="shared" si="27"/>
        <v>15</v>
      </c>
      <c r="C73" s="877" t="s">
        <v>854</v>
      </c>
      <c r="D73" s="877"/>
      <c r="E73" s="877"/>
      <c r="F73" s="877"/>
      <c r="G73" s="877"/>
      <c r="H73" s="877"/>
      <c r="I73" s="877"/>
      <c r="J73" s="877"/>
      <c r="K73" s="877"/>
      <c r="L73" s="877"/>
      <c r="M73" s="877"/>
      <c r="N73" s="878"/>
      <c r="T73" s="168">
        <v>1</v>
      </c>
      <c r="AE73" s="122"/>
      <c r="AF73" s="122"/>
      <c r="AG73" s="122"/>
      <c r="AH73" s="122"/>
    </row>
    <row r="74" spans="2:34" x14ac:dyDescent="0.2">
      <c r="B74" s="166">
        <f t="shared" si="27"/>
        <v>16</v>
      </c>
      <c r="C74" s="877" t="s">
        <v>855</v>
      </c>
      <c r="D74" s="877"/>
      <c r="E74" s="877"/>
      <c r="F74" s="877"/>
      <c r="G74" s="877"/>
      <c r="H74" s="877"/>
      <c r="I74" s="877"/>
      <c r="J74" s="877"/>
      <c r="K74" s="877"/>
      <c r="L74" s="877"/>
      <c r="M74" s="877"/>
      <c r="N74" s="878"/>
      <c r="T74" s="168">
        <v>1</v>
      </c>
      <c r="AE74" s="122"/>
      <c r="AF74" s="122"/>
      <c r="AG74" s="122"/>
      <c r="AH74" s="122"/>
    </row>
    <row r="75" spans="2:34" x14ac:dyDescent="0.2">
      <c r="B75" s="166">
        <f t="shared" si="27"/>
        <v>17</v>
      </c>
      <c r="C75" s="877" t="s">
        <v>856</v>
      </c>
      <c r="D75" s="877"/>
      <c r="E75" s="877"/>
      <c r="F75" s="877"/>
      <c r="G75" s="877"/>
      <c r="H75" s="877"/>
      <c r="I75" s="877"/>
      <c r="J75" s="877"/>
      <c r="K75" s="877"/>
      <c r="L75" s="877"/>
      <c r="M75" s="877"/>
      <c r="N75" s="878"/>
      <c r="T75" s="168">
        <v>1</v>
      </c>
      <c r="AE75" s="122"/>
      <c r="AF75" s="122"/>
      <c r="AG75" s="122"/>
      <c r="AH75" s="122"/>
    </row>
    <row r="76" spans="2:34" x14ac:dyDescent="0.2">
      <c r="B76" s="166">
        <f t="shared" si="27"/>
        <v>18</v>
      </c>
      <c r="C76" s="877" t="s">
        <v>857</v>
      </c>
      <c r="D76" s="877"/>
      <c r="E76" s="877"/>
      <c r="F76" s="877"/>
      <c r="G76" s="877"/>
      <c r="H76" s="877"/>
      <c r="I76" s="877"/>
      <c r="J76" s="877"/>
      <c r="K76" s="877"/>
      <c r="L76" s="877"/>
      <c r="M76" s="877"/>
      <c r="N76" s="878"/>
      <c r="T76" s="168">
        <v>1</v>
      </c>
    </row>
    <row r="77" spans="2:34" x14ac:dyDescent="0.2">
      <c r="B77" s="166">
        <f>B30</f>
        <v>19</v>
      </c>
      <c r="C77" s="877" t="s">
        <v>373</v>
      </c>
      <c r="D77" s="877"/>
      <c r="E77" s="877"/>
      <c r="F77" s="877"/>
      <c r="G77" s="877"/>
      <c r="H77" s="877"/>
      <c r="I77" s="877"/>
      <c r="J77" s="877"/>
      <c r="K77" s="877"/>
      <c r="L77" s="877"/>
      <c r="M77" s="877"/>
      <c r="N77" s="878"/>
      <c r="T77" s="168">
        <v>1</v>
      </c>
    </row>
    <row r="78" spans="2:34" x14ac:dyDescent="0.2">
      <c r="B78" s="166">
        <f>B31</f>
        <v>20</v>
      </c>
      <c r="C78" s="877" t="s">
        <v>374</v>
      </c>
      <c r="D78" s="877"/>
      <c r="E78" s="877"/>
      <c r="F78" s="877"/>
      <c r="G78" s="877"/>
      <c r="H78" s="877"/>
      <c r="I78" s="877"/>
      <c r="J78" s="877"/>
      <c r="K78" s="877"/>
      <c r="L78" s="877"/>
      <c r="M78" s="877"/>
      <c r="N78" s="878"/>
      <c r="T78" s="168">
        <v>1</v>
      </c>
    </row>
    <row r="79" spans="2:34" x14ac:dyDescent="0.2">
      <c r="B79" s="166">
        <f>B32</f>
        <v>21</v>
      </c>
      <c r="C79" s="877" t="s">
        <v>858</v>
      </c>
      <c r="D79" s="877"/>
      <c r="E79" s="877"/>
      <c r="F79" s="877"/>
      <c r="G79" s="877"/>
      <c r="H79" s="877"/>
      <c r="I79" s="877"/>
      <c r="J79" s="877"/>
      <c r="K79" s="877"/>
      <c r="L79" s="877"/>
      <c r="M79" s="877"/>
      <c r="N79" s="878"/>
      <c r="T79" s="168">
        <v>1</v>
      </c>
    </row>
    <row r="80" spans="2:34" x14ac:dyDescent="0.2">
      <c r="B80" s="166" t="s">
        <v>859</v>
      </c>
      <c r="C80" s="877" t="s">
        <v>794</v>
      </c>
      <c r="D80" s="877"/>
      <c r="E80" s="877"/>
      <c r="F80" s="877"/>
      <c r="G80" s="877"/>
      <c r="H80" s="877"/>
      <c r="I80" s="877"/>
      <c r="J80" s="877"/>
      <c r="K80" s="877"/>
      <c r="L80" s="877"/>
      <c r="M80" s="877"/>
      <c r="N80" s="878"/>
      <c r="T80" s="168">
        <v>1</v>
      </c>
    </row>
    <row r="81" spans="2:20" ht="14.65" customHeight="1" x14ac:dyDescent="0.2">
      <c r="B81" s="706">
        <v>30</v>
      </c>
      <c r="C81" s="877" t="s">
        <v>860</v>
      </c>
      <c r="D81" s="877"/>
      <c r="E81" s="877"/>
      <c r="F81" s="877"/>
      <c r="G81" s="877"/>
      <c r="H81" s="877"/>
      <c r="I81" s="877"/>
      <c r="J81" s="877"/>
      <c r="K81" s="877"/>
      <c r="L81" s="877"/>
      <c r="M81" s="877"/>
      <c r="N81" s="878"/>
      <c r="T81" s="168">
        <v>1</v>
      </c>
    </row>
    <row r="82" spans="2:20" ht="14.65" customHeight="1" x14ac:dyDescent="0.2">
      <c r="B82" s="706">
        <v>31</v>
      </c>
      <c r="C82" s="877" t="s">
        <v>796</v>
      </c>
      <c r="D82" s="877"/>
      <c r="E82" s="877"/>
      <c r="F82" s="877"/>
      <c r="G82" s="877"/>
      <c r="H82" s="877"/>
      <c r="I82" s="877"/>
      <c r="J82" s="877"/>
      <c r="K82" s="877"/>
      <c r="L82" s="877"/>
      <c r="M82" s="877"/>
      <c r="N82" s="878"/>
      <c r="T82" s="168">
        <v>1</v>
      </c>
    </row>
    <row r="83" spans="2:20" ht="14.65" customHeight="1" thickBot="1" x14ac:dyDescent="0.25">
      <c r="B83" s="191">
        <v>32</v>
      </c>
      <c r="C83" s="900" t="s">
        <v>861</v>
      </c>
      <c r="D83" s="900"/>
      <c r="E83" s="900"/>
      <c r="F83" s="900"/>
      <c r="G83" s="900"/>
      <c r="H83" s="900"/>
      <c r="I83" s="900"/>
      <c r="J83" s="900"/>
      <c r="K83" s="900"/>
      <c r="L83" s="900"/>
      <c r="M83" s="900"/>
      <c r="N83" s="901"/>
      <c r="T83" s="168">
        <v>1</v>
      </c>
    </row>
    <row r="84" spans="2:20" x14ac:dyDescent="0.2"/>
  </sheetData>
  <sheetProtection algorithmName="SHA-512" hashValue="7jgSBYTJNgtOXnOjpbsoh/OQCauWrX8LtkhiWL0GLcC5AVHWe9ttoOuY6NzMyc7v6jnWA3390RvsumahW0BUXg==" saltValue="gdL5kk2JGzsBMtlvyZOQrw==" spinCount="100000" sheet="1" objects="1" scenarios="1"/>
  <mergeCells count="37">
    <mergeCell ref="C77:N77"/>
    <mergeCell ref="C78:N78"/>
    <mergeCell ref="C79:N79"/>
    <mergeCell ref="C80:N80"/>
    <mergeCell ref="C83:N83"/>
    <mergeCell ref="C81:N81"/>
    <mergeCell ref="C82:N82"/>
    <mergeCell ref="C63:N63"/>
    <mergeCell ref="C76:N76"/>
    <mergeCell ref="C65:N65"/>
    <mergeCell ref="C66:N66"/>
    <mergeCell ref="C67:N67"/>
    <mergeCell ref="C68:N68"/>
    <mergeCell ref="C69:N69"/>
    <mergeCell ref="C70:N70"/>
    <mergeCell ref="C71:N71"/>
    <mergeCell ref="C72:N72"/>
    <mergeCell ref="C73:N73"/>
    <mergeCell ref="C74:N74"/>
    <mergeCell ref="C75:N75"/>
    <mergeCell ref="C64:N64"/>
    <mergeCell ref="P3:P4"/>
    <mergeCell ref="Q3:Q4"/>
    <mergeCell ref="T5:AA5"/>
    <mergeCell ref="B47:C47"/>
    <mergeCell ref="C62:N62"/>
    <mergeCell ref="C59:N59"/>
    <mergeCell ref="C60:N60"/>
    <mergeCell ref="C61:N61"/>
    <mergeCell ref="C58:N58"/>
    <mergeCell ref="B3:C4"/>
    <mergeCell ref="D3:D4"/>
    <mergeCell ref="E3:E4"/>
    <mergeCell ref="F3:H3"/>
    <mergeCell ref="I3:J3"/>
    <mergeCell ref="K3:M3"/>
    <mergeCell ref="N3:N4"/>
  </mergeCells>
  <conditionalFormatting sqref="P7:P13 P15:P16 P19:P27 P30:P32">
    <cfRule type="cellIs" dxfId="36" priority="27" operator="equal">
      <formula>0</formula>
    </cfRule>
  </conditionalFormatting>
  <conditionalFormatting sqref="Q6:Q12">
    <cfRule type="cellIs" dxfId="35" priority="34" operator="equal">
      <formula>0</formula>
    </cfRule>
  </conditionalFormatting>
  <conditionalFormatting sqref="Q15">
    <cfRule type="cellIs" dxfId="34" priority="33" operator="equal">
      <formula>0</formula>
    </cfRule>
  </conditionalFormatting>
  <conditionalFormatting sqref="Q19:Q22">
    <cfRule type="cellIs" dxfId="33" priority="32" operator="equal">
      <formula>0</formula>
    </cfRule>
  </conditionalFormatting>
  <conditionalFormatting sqref="Q24">
    <cfRule type="cellIs" dxfId="32" priority="31" operator="equal">
      <formula>0</formula>
    </cfRule>
  </conditionalFormatting>
  <conditionalFormatting sqref="Q26">
    <cfRule type="cellIs" dxfId="31" priority="30" operator="equal">
      <formula>0</formula>
    </cfRule>
  </conditionalFormatting>
  <conditionalFormatting sqref="Q30:Q31">
    <cfRule type="cellIs" dxfId="30" priority="29" operator="equal">
      <formula>0</formula>
    </cfRule>
  </conditionalFormatting>
  <conditionalFormatting sqref="Q35:Q42">
    <cfRule type="cellIs" dxfId="29" priority="28" operator="equal">
      <formula>0</formula>
    </cfRule>
  </conditionalFormatting>
  <conditionalFormatting sqref="Q44">
    <cfRule type="cellIs" dxfId="28" priority="23" operator="equal">
      <formula>0</formula>
    </cfRule>
  </conditionalFormatting>
  <printOptions horizontalCentered="1"/>
  <pageMargins left="0.39370078740157483" right="0.39370078740157483" top="0.78740157480314965" bottom="0.78740157480314965" header="0.31496062992125984" footer="0.31496062992125984"/>
  <pageSetup paperSize="9" scale="33"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8" id="{A281F6F8-062F-410B-9E11-310D161FC15D}">
            <xm:f>'C:\Temp\notes6888BE\[2016-17 APR tables (April 2017).xlsx]Validation'!#REF!=1</xm:f>
            <x14:dxf>
              <fill>
                <patternFill>
                  <bgColor rgb="FFE0DCD8"/>
                </patternFill>
              </fill>
            </x14:dxf>
          </x14:cfRule>
          <xm:sqref>F35</xm:sqref>
        </x14:conditionalFormatting>
        <x14:conditionalFormatting xmlns:xm="http://schemas.microsoft.com/office/excel/2006/main">
          <x14:cfRule type="expression" priority="15" id="{C1F85FA4-1E5D-475B-AFF2-D3CFACD27B82}">
            <xm:f>'C:\Temp\notes6888BE\[2016-17 APR tables (April 2017).xlsx]Validation'!#REF!=1</xm:f>
            <x14:dxf>
              <fill>
                <patternFill>
                  <bgColor rgb="FFE0DCD8"/>
                </patternFill>
              </fill>
            </x14:dxf>
          </x14:cfRule>
          <xm:sqref>F7:M9 F11:M12</xm:sqref>
        </x14:conditionalFormatting>
        <x14:conditionalFormatting xmlns:xm="http://schemas.microsoft.com/office/excel/2006/main">
          <x14:cfRule type="expression" priority="14" id="{8B914396-BCC9-413B-BF9F-210AF8269394}">
            <xm:f>'C:\01 Yorkshire Water\Accounting Separation\2016-2017\Ofwat Documents\[2016-17-APR-tables.xlsx]Validation'!#REF!=1</xm:f>
            <x14:dxf>
              <fill>
                <patternFill>
                  <bgColor rgb="FFE0DCD8"/>
                </patternFill>
              </fill>
            </x14:dxf>
          </x14:cfRule>
          <xm:sqref>F10:M10</xm:sqref>
        </x14:conditionalFormatting>
        <x14:conditionalFormatting xmlns:xm="http://schemas.microsoft.com/office/excel/2006/main">
          <x14:cfRule type="expression" priority="13" id="{E6A9C8A9-2B2F-456E-B5CF-8AB5C162FFF8}">
            <xm:f>'C:\01 Yorkshire Water\Accounting Separation\2016-2017\Ofwat Documents\[2016-17-APR-tables.xlsx]Validation'!#REF!=1</xm:f>
            <x14:dxf>
              <fill>
                <patternFill>
                  <bgColor rgb="FFE0DCD8"/>
                </patternFill>
              </fill>
            </x14:dxf>
          </x14:cfRule>
          <xm:sqref>F15:M15</xm:sqref>
        </x14:conditionalFormatting>
        <x14:conditionalFormatting xmlns:xm="http://schemas.microsoft.com/office/excel/2006/main">
          <x14:cfRule type="expression" priority="12" id="{0BEAB6BC-67E5-4F1C-AE77-F29C0A4DAAC1}">
            <xm:f>'C:\Temp\notes6888BE\[2016-17 APR tables (April 2017).xlsx]Validation'!#REF!=1</xm:f>
            <x14:dxf>
              <fill>
                <patternFill>
                  <bgColor rgb="FFE0DCD8"/>
                </patternFill>
              </fill>
            </x14:dxf>
          </x14:cfRule>
          <xm:sqref>F19:M22</xm:sqref>
        </x14:conditionalFormatting>
        <x14:conditionalFormatting xmlns:xm="http://schemas.microsoft.com/office/excel/2006/main">
          <x14:cfRule type="expression" priority="11" id="{FD8ED12E-5435-4E3C-B995-C515A086521F}">
            <xm:f>'C:\Temp\notes6888BE\[2016-17 APR tables (April 2017).xlsx]Validation'!#REF!=1</xm:f>
            <x14:dxf>
              <fill>
                <patternFill>
                  <bgColor rgb="FFE0DCD8"/>
                </patternFill>
              </fill>
            </x14:dxf>
          </x14:cfRule>
          <xm:sqref>F24:M24</xm:sqref>
        </x14:conditionalFormatting>
        <x14:conditionalFormatting xmlns:xm="http://schemas.microsoft.com/office/excel/2006/main">
          <x14:cfRule type="expression" priority="10" id="{108449AA-045E-4B16-838B-B3451BAF41FA}">
            <xm:f>'C:\Temp\notes6888BE\[2016-17 APR tables (April 2017).xlsx]Validation'!#REF!=1</xm:f>
            <x14:dxf>
              <fill>
                <patternFill>
                  <bgColor rgb="FFE0DCD8"/>
                </patternFill>
              </fill>
            </x14:dxf>
          </x14:cfRule>
          <xm:sqref>F26:M26</xm:sqref>
        </x14:conditionalFormatting>
        <x14:conditionalFormatting xmlns:xm="http://schemas.microsoft.com/office/excel/2006/main">
          <x14:cfRule type="expression" priority="9" id="{A7225728-6977-4498-83FC-F417C0A6794C}">
            <xm:f>'C:\Temp\notes6888BE\[2016-17 APR tables (April 2017).xlsx]Validation'!#REF!=1</xm:f>
            <x14:dxf>
              <fill>
                <patternFill>
                  <bgColor rgb="FFE0DCD8"/>
                </patternFill>
              </fill>
            </x14:dxf>
          </x14:cfRule>
          <xm:sqref>F30:M31</xm:sqref>
        </x14:conditionalFormatting>
        <x14:conditionalFormatting xmlns:xm="http://schemas.microsoft.com/office/excel/2006/main">
          <x14:cfRule type="expression" priority="20" id="{CC718445-777C-4A24-86AC-D68655F7FC98}">
            <xm:f>Validation!$H$3=1</xm:f>
            <x14:dxf>
              <fill>
                <patternFill>
                  <bgColor rgb="FFE0DCD8"/>
                </patternFill>
              </fill>
            </x14:dxf>
          </x14:cfRule>
          <xm:sqref>F43:M45</xm:sqref>
        </x14:conditionalFormatting>
        <x14:conditionalFormatting xmlns:xm="http://schemas.microsoft.com/office/excel/2006/main">
          <x14:cfRule type="expression" priority="7" id="{A16EEBB7-4095-4116-9584-BC7004ADE2EA}">
            <xm:f>'C:\Temp\notes6888BE\[2016-17 APR tables (April 2017).xlsx]Validation'!#REF!=1</xm:f>
            <x14:dxf>
              <fill>
                <patternFill>
                  <bgColor rgb="FFE0DCD8"/>
                </patternFill>
              </fill>
            </x14:dxf>
          </x14:cfRule>
          <xm:sqref>G36</xm:sqref>
        </x14:conditionalFormatting>
        <x14:conditionalFormatting xmlns:xm="http://schemas.microsoft.com/office/excel/2006/main">
          <x14:cfRule type="expression" priority="6" id="{1381CAF7-5968-4E4D-97FC-2B0C3A7C08CD}">
            <xm:f>'C:\Temp\notes6888BE\[2016-17 APR tables (April 2017).xlsx]Validation'!#REF!=1</xm:f>
            <x14:dxf>
              <fill>
                <patternFill>
                  <bgColor rgb="FFE0DCD8"/>
                </patternFill>
              </fill>
            </x14:dxf>
          </x14:cfRule>
          <xm:sqref>H37</xm:sqref>
        </x14:conditionalFormatting>
        <x14:conditionalFormatting xmlns:xm="http://schemas.microsoft.com/office/excel/2006/main">
          <x14:cfRule type="expression" priority="5" id="{06B08ABE-0B11-41DE-A47B-CBD392603557}">
            <xm:f>'C:\Temp\notes6888BE\[2016-17 APR tables (April 2017).xlsx]Validation'!#REF!=1</xm:f>
            <x14:dxf>
              <fill>
                <patternFill>
                  <bgColor rgb="FFE0DCD8"/>
                </patternFill>
              </fill>
            </x14:dxf>
          </x14:cfRule>
          <xm:sqref>I38</xm:sqref>
        </x14:conditionalFormatting>
        <x14:conditionalFormatting xmlns:xm="http://schemas.microsoft.com/office/excel/2006/main">
          <x14:cfRule type="expression" priority="4" id="{53DAC396-3B9F-4B33-A6F2-EEC1BA412559}">
            <xm:f>'C:\Temp\notes6888BE\[2016-17 APR tables (April 2017).xlsx]Validation'!#REF!=1</xm:f>
            <x14:dxf>
              <fill>
                <patternFill>
                  <bgColor rgb="FFE0DCD8"/>
                </patternFill>
              </fill>
            </x14:dxf>
          </x14:cfRule>
          <xm:sqref>J39</xm:sqref>
        </x14:conditionalFormatting>
        <x14:conditionalFormatting xmlns:xm="http://schemas.microsoft.com/office/excel/2006/main">
          <x14:cfRule type="expression" priority="3" id="{9B287D80-CB1F-4860-AF8B-F8A2FC743B65}">
            <xm:f>'C:\Temp\notes6888BE\[2016-17 APR tables (April 2017).xlsx]Validation'!#REF!=1</xm:f>
            <x14:dxf>
              <fill>
                <patternFill>
                  <bgColor rgb="FFE0DCD8"/>
                </patternFill>
              </fill>
            </x14:dxf>
          </x14:cfRule>
          <xm:sqref>K40</xm:sqref>
        </x14:conditionalFormatting>
        <x14:conditionalFormatting xmlns:xm="http://schemas.microsoft.com/office/excel/2006/main">
          <x14:cfRule type="expression" priority="2" id="{3BB4CC18-EF17-4CEE-8817-C3EBF010AE7E}">
            <xm:f>'C:\Temp\notes6888BE\[2016-17 APR tables (April 2017).xlsx]Validation'!#REF!=1</xm:f>
            <x14:dxf>
              <fill>
                <patternFill>
                  <bgColor rgb="FFE0DCD8"/>
                </patternFill>
              </fill>
            </x14:dxf>
          </x14:cfRule>
          <xm:sqref>L41</xm:sqref>
        </x14:conditionalFormatting>
        <x14:conditionalFormatting xmlns:xm="http://schemas.microsoft.com/office/excel/2006/main">
          <x14:cfRule type="expression" priority="1" id="{EC8F3388-6B3D-47CF-9DF2-DC129605BEB8}">
            <xm:f>'C:\Temp\notes6888BE\[2016-17 APR tables (April 2017).xlsx]Validation'!#REF!=1</xm:f>
            <x14:dxf>
              <fill>
                <patternFill>
                  <bgColor rgb="FFE0DCD8"/>
                </patternFill>
              </fill>
            </x14:dxf>
          </x14:cfRule>
          <xm:sqref>M42</xm:sqref>
        </x14:conditionalFormatting>
        <x14:conditionalFormatting xmlns:xm="http://schemas.microsoft.com/office/excel/2006/main">
          <x14:cfRule type="expression" priority="57" id="{8B0516F3-5DEF-49F1-A92B-448BF03645A0}">
            <xm:f>Validation!$H$3=1</xm:f>
            <x14:dxf>
              <fill>
                <patternFill>
                  <bgColor rgb="FFE0DCD8"/>
                </patternFill>
              </fill>
            </x14:dxf>
          </x14:cfRule>
          <xm:sqref>N7:N12 F13:N13 N15 F16:N16 N19:N22 F23:N23 N24 F25:N25 N26 F27:N27 N30:N31 F32:N32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G85"/>
  <sheetViews>
    <sheetView showGridLines="0" zoomScale="80" zoomScaleNormal="80" workbookViewId="0">
      <selection activeCell="Q24" sqref="Q24"/>
    </sheetView>
  </sheetViews>
  <sheetFormatPr defaultColWidth="0" defaultRowHeight="14.25" zeroHeight="1" x14ac:dyDescent="0.2"/>
  <cols>
    <col min="1" max="1" width="2.5" customWidth="1"/>
    <col min="2" max="2" width="4.125" customWidth="1"/>
    <col min="3" max="3" width="53.125" bestFit="1" customWidth="1"/>
    <col min="4" max="5" width="5.125" customWidth="1"/>
    <col min="6" max="6" width="11.125" customWidth="1"/>
    <col min="7" max="7" width="12.625" customWidth="1"/>
    <col min="8" max="8" width="13.25" customWidth="1"/>
    <col min="9" max="9" width="13" customWidth="1"/>
    <col min="10" max="10" width="11.125" customWidth="1"/>
    <col min="11" max="11" width="12.625" customWidth="1"/>
    <col min="12" max="12" width="13.25" customWidth="1"/>
    <col min="13" max="13" width="13" customWidth="1"/>
    <col min="14" max="14" width="12.5" customWidth="1"/>
    <col min="15" max="15" width="2.625" style="83" customWidth="1"/>
    <col min="16" max="16" width="47.25" style="83" bestFit="1" customWidth="1"/>
    <col min="17" max="17" width="18.75" style="83" bestFit="1" customWidth="1"/>
    <col min="18" max="18" width="1.625" style="83" customWidth="1"/>
    <col min="19" max="19" width="1.625" style="84" hidden="1" customWidth="1"/>
    <col min="20" max="26" width="4.625" style="83" hidden="1" customWidth="1"/>
    <col min="27" max="27" width="1.625" style="84" hidden="1" customWidth="1"/>
    <col min="28" max="28" width="8.75" style="87" hidden="1" customWidth="1"/>
    <col min="29" max="29" width="1.625" style="84" hidden="1" customWidth="1"/>
    <col min="30" max="31" width="8.75" style="87" hidden="1" customWidth="1"/>
    <col min="32" max="32" width="71.125" style="87" hidden="1" customWidth="1"/>
    <col min="33" max="33" width="1.625" style="84" hidden="1" customWidth="1"/>
    <col min="34" max="16384" width="8.75" hidden="1"/>
  </cols>
  <sheetData>
    <row r="1" spans="2:33" ht="20.25" x14ac:dyDescent="0.2">
      <c r="B1" s="79" t="s">
        <v>862</v>
      </c>
      <c r="C1" s="79"/>
      <c r="D1" s="79"/>
      <c r="E1" s="79"/>
      <c r="F1" s="79"/>
      <c r="G1" s="79"/>
      <c r="H1" s="79"/>
      <c r="I1" s="79"/>
      <c r="J1" s="79"/>
      <c r="K1" s="79"/>
      <c r="L1" s="79"/>
      <c r="M1" s="79"/>
      <c r="N1" s="81" t="str">
        <f>Validation!B3</f>
        <v>Yorkshire Water</v>
      </c>
      <c r="O1" s="79"/>
      <c r="P1" s="82"/>
      <c r="Q1" s="82" t="s">
        <v>72</v>
      </c>
      <c r="AB1" s="83"/>
      <c r="AD1"/>
      <c r="AE1"/>
      <c r="AF1"/>
    </row>
    <row r="2" spans="2:33" ht="15" thickBot="1" x14ac:dyDescent="0.25">
      <c r="B2" s="86" t="s">
        <v>55</v>
      </c>
      <c r="C2" s="83"/>
      <c r="D2" s="83"/>
      <c r="E2" s="83"/>
      <c r="F2" s="217"/>
      <c r="G2" s="218"/>
      <c r="H2" s="218"/>
      <c r="I2" s="219"/>
      <c r="J2" s="217"/>
      <c r="K2" s="218"/>
      <c r="L2" s="218"/>
      <c r="M2" s="219"/>
      <c r="N2" s="83"/>
      <c r="AB2" s="83"/>
    </row>
    <row r="3" spans="2:33" ht="14.65" customHeight="1" x14ac:dyDescent="0.2">
      <c r="B3" s="959" t="s">
        <v>73</v>
      </c>
      <c r="C3" s="960"/>
      <c r="D3" s="963" t="s">
        <v>74</v>
      </c>
      <c r="E3" s="965" t="s">
        <v>75</v>
      </c>
      <c r="F3" s="1036" t="s">
        <v>863</v>
      </c>
      <c r="G3" s="1037"/>
      <c r="H3" s="1037"/>
      <c r="I3" s="1057"/>
      <c r="J3" s="1058" t="s">
        <v>864</v>
      </c>
      <c r="K3" s="1037"/>
      <c r="L3" s="1037"/>
      <c r="M3" s="1057"/>
      <c r="N3" s="894" t="s">
        <v>257</v>
      </c>
      <c r="P3" s="894" t="s">
        <v>294</v>
      </c>
      <c r="Q3" s="894" t="s">
        <v>79</v>
      </c>
    </row>
    <row r="4" spans="2:33" ht="27.75" thickBot="1" x14ac:dyDescent="0.25">
      <c r="B4" s="961"/>
      <c r="C4" s="962"/>
      <c r="D4" s="964"/>
      <c r="E4" s="966"/>
      <c r="F4" s="220" t="s">
        <v>865</v>
      </c>
      <c r="G4" s="221" t="s">
        <v>866</v>
      </c>
      <c r="H4" s="221" t="s">
        <v>867</v>
      </c>
      <c r="I4" s="222" t="s">
        <v>257</v>
      </c>
      <c r="J4" s="223" t="s">
        <v>865</v>
      </c>
      <c r="K4" s="221" t="s">
        <v>866</v>
      </c>
      <c r="L4" s="221" t="s">
        <v>867</v>
      </c>
      <c r="M4" s="222" t="s">
        <v>257</v>
      </c>
      <c r="N4" s="895"/>
      <c r="P4" s="1040"/>
      <c r="Q4" s="895"/>
    </row>
    <row r="5" spans="2:33" ht="24.75" thickBot="1" x14ac:dyDescent="0.25">
      <c r="B5" s="83"/>
      <c r="C5" s="83"/>
      <c r="D5" s="83"/>
      <c r="E5" s="83"/>
      <c r="F5" s="83"/>
      <c r="G5" s="83"/>
      <c r="H5" s="83"/>
      <c r="I5" s="83"/>
      <c r="J5" s="83"/>
      <c r="K5" s="83"/>
      <c r="L5" s="83"/>
      <c r="M5" s="83"/>
      <c r="N5" s="83"/>
      <c r="T5" s="896" t="s">
        <v>83</v>
      </c>
      <c r="U5" s="896"/>
      <c r="V5" s="896"/>
      <c r="W5" s="896"/>
      <c r="X5" s="896"/>
      <c r="Y5" s="896"/>
      <c r="Z5" s="896"/>
      <c r="AB5" s="842" t="s">
        <v>61</v>
      </c>
      <c r="AD5" s="89" t="s">
        <v>295</v>
      </c>
      <c r="AE5" s="842"/>
      <c r="AF5" s="842"/>
    </row>
    <row r="6" spans="2:33" s="83" customFormat="1" ht="15" thickBot="1" x14ac:dyDescent="0.25">
      <c r="B6" s="95" t="s">
        <v>134</v>
      </c>
      <c r="C6" s="96" t="s">
        <v>307</v>
      </c>
      <c r="S6" s="84"/>
      <c r="T6" s="97" t="s">
        <v>84</v>
      </c>
      <c r="U6" s="97"/>
      <c r="V6" s="97"/>
      <c r="W6" s="97"/>
      <c r="X6" s="97"/>
      <c r="Y6" s="97"/>
      <c r="Z6" s="212"/>
      <c r="AA6" s="84"/>
      <c r="AB6"/>
      <c r="AC6" s="84"/>
      <c r="AD6" s="87"/>
      <c r="AE6" s="87"/>
      <c r="AF6" s="87"/>
      <c r="AG6" s="84"/>
    </row>
    <row r="7" spans="2:33" x14ac:dyDescent="0.2">
      <c r="B7" s="98">
        <v>1</v>
      </c>
      <c r="C7" s="128" t="s">
        <v>378</v>
      </c>
      <c r="D7" s="100" t="s">
        <v>86</v>
      </c>
      <c r="E7" s="224">
        <v>3</v>
      </c>
      <c r="F7" s="517">
        <v>0.35099999999999998</v>
      </c>
      <c r="G7" s="444">
        <v>0.38700000000000001</v>
      </c>
      <c r="H7" s="445">
        <v>7.32</v>
      </c>
      <c r="I7" s="225">
        <f>SUM(F7:H7)</f>
        <v>8.0579999999999998</v>
      </c>
      <c r="J7" s="517">
        <v>0.29599999999999999</v>
      </c>
      <c r="K7" s="444">
        <v>0.29799999999999999</v>
      </c>
      <c r="L7" s="445">
        <v>7.7789999999999999</v>
      </c>
      <c r="M7" s="225">
        <f>SUM(J7:L7)</f>
        <v>8.3729999999999993</v>
      </c>
      <c r="N7" s="225">
        <f>I7+M7</f>
        <v>16.430999999999997</v>
      </c>
      <c r="P7" s="843">
        <f xml:space="preserve"> IF( SUM( AA7:AC7 ) = 0, 0, AF7 )</f>
        <v>0</v>
      </c>
      <c r="Q7" s="28">
        <f xml:space="preserve"> IF( SUM( S7:AA7 ) = 0, 0, $T$6 )</f>
        <v>0</v>
      </c>
      <c r="T7" s="105">
        <f xml:space="preserve"> IF( ISNUMBER( F7 ), 0, 1 )</f>
        <v>0</v>
      </c>
      <c r="U7" s="105">
        <f>IF(Validation!$H$3=1,0,IF(ISNUMBER(G7),0,1))</f>
        <v>0</v>
      </c>
      <c r="V7" s="105">
        <f>IF(Validation!$H$3=1,0,IF(ISNUMBER(H7),0,1))</f>
        <v>0</v>
      </c>
      <c r="W7" s="105">
        <f xml:space="preserve"> IF( ISNUMBER( J7 ), 0, 1 )</f>
        <v>0</v>
      </c>
      <c r="X7" s="105">
        <f>IF(Validation!$H$3=1,0,IF(ISNUMBER(K7),0,1))</f>
        <v>0</v>
      </c>
      <c r="Y7" s="105">
        <f>IF(Validation!$H$3=1,0,IF(ISNUMBER(L7),0,1))</f>
        <v>0</v>
      </c>
      <c r="Z7" s="212"/>
      <c r="AB7" s="105">
        <f t="shared" ref="AB7:AB16" si="0" xml:space="preserve"> IF( (AD7 - AE7) = 0, 0, 1 )</f>
        <v>0</v>
      </c>
      <c r="AD7" s="171">
        <f xml:space="preserve"> ROUND( N7, 3)</f>
        <v>16.431000000000001</v>
      </c>
      <c r="AE7" s="171">
        <f xml:space="preserve"> ROUND( '2C'!F6, 3)</f>
        <v>16.431000000000001</v>
      </c>
      <c r="AF7" s="87" t="s">
        <v>868</v>
      </c>
    </row>
    <row r="8" spans="2:33" x14ac:dyDescent="0.2">
      <c r="B8" s="106">
        <f xml:space="preserve"> B7 + 1</f>
        <v>2</v>
      </c>
      <c r="C8" s="99" t="s">
        <v>379</v>
      </c>
      <c r="D8" s="107" t="s">
        <v>86</v>
      </c>
      <c r="E8" s="226">
        <v>3</v>
      </c>
      <c r="F8" s="519">
        <v>8.5000000000000006E-2</v>
      </c>
      <c r="G8" s="446">
        <v>9.4E-2</v>
      </c>
      <c r="H8" s="447">
        <v>1.7709999999999999</v>
      </c>
      <c r="I8" s="227">
        <f t="shared" ref="I8:I16" si="1">SUM(F8:H8)</f>
        <v>1.95</v>
      </c>
      <c r="J8" s="519">
        <v>7.0999999999999994E-2</v>
      </c>
      <c r="K8" s="446">
        <v>7.1999999999999995E-2</v>
      </c>
      <c r="L8" s="447">
        <v>1.883</v>
      </c>
      <c r="M8" s="227">
        <f t="shared" ref="M8:M16" si="2">SUM(J8:L8)</f>
        <v>2.0259999999999998</v>
      </c>
      <c r="N8" s="227">
        <f t="shared" ref="N8:N17" si="3">I8+M8</f>
        <v>3.976</v>
      </c>
      <c r="P8" s="843">
        <f t="shared" ref="P8:P17" si="4" xml:space="preserve"> IF( SUM( AA8:AC8 ) = 0, 0, AF8 )</f>
        <v>0</v>
      </c>
      <c r="Q8" s="28">
        <f xml:space="preserve"> IF( SUM( S8:AA8 ) = 0, 0, $T$6 )</f>
        <v>0</v>
      </c>
      <c r="T8" s="105">
        <f t="shared" ref="T8:T16" si="5" xml:space="preserve"> IF( ISNUMBER( F8 ), 0, 1 )</f>
        <v>0</v>
      </c>
      <c r="U8" s="105">
        <f>IF(Validation!$H$3=1,0,IF(ISNUMBER(G8),0,1))</f>
        <v>0</v>
      </c>
      <c r="V8" s="105">
        <f>IF(Validation!$H$3=1,0,IF(ISNUMBER(H8),0,1))</f>
        <v>0</v>
      </c>
      <c r="W8" s="105">
        <f t="shared" ref="W8:W16" si="6" xml:space="preserve"> IF( ISNUMBER( J8 ), 0, 1 )</f>
        <v>0</v>
      </c>
      <c r="X8" s="105">
        <f>IF(Validation!$H$3=1,0,IF(ISNUMBER(K8),0,1))</f>
        <v>0</v>
      </c>
      <c r="Y8" s="105">
        <f>IF(Validation!$H$3=1,0,IF(ISNUMBER(L8),0,1))</f>
        <v>0</v>
      </c>
      <c r="Z8" s="212"/>
      <c r="AB8" s="105">
        <f t="shared" si="0"/>
        <v>0</v>
      </c>
      <c r="AD8" s="171">
        <f t="shared" ref="AD8:AD16" si="7" xml:space="preserve"> ROUND( N8, 3)</f>
        <v>3.976</v>
      </c>
      <c r="AE8" s="171">
        <f xml:space="preserve"> ROUND( '2C'!F7, 3)</f>
        <v>3.976</v>
      </c>
      <c r="AF8" s="87" t="s">
        <v>869</v>
      </c>
    </row>
    <row r="9" spans="2:33" ht="15" thickBot="1" x14ac:dyDescent="0.25">
      <c r="B9" s="106">
        <f t="shared" ref="B9:B25" si="8" xml:space="preserve"> B8 + 1</f>
        <v>3</v>
      </c>
      <c r="C9" s="99" t="s">
        <v>380</v>
      </c>
      <c r="D9" s="107" t="s">
        <v>86</v>
      </c>
      <c r="E9" s="226">
        <v>3</v>
      </c>
      <c r="F9" s="516">
        <v>0.372</v>
      </c>
      <c r="G9" s="448">
        <v>0.11700000000000001</v>
      </c>
      <c r="H9" s="450">
        <v>11.371</v>
      </c>
      <c r="I9" s="231">
        <f t="shared" si="1"/>
        <v>11.860000000000001</v>
      </c>
      <c r="J9" s="519">
        <v>0.16500000000000001</v>
      </c>
      <c r="K9" s="446">
        <v>0</v>
      </c>
      <c r="L9" s="447">
        <v>6.2380000000000004</v>
      </c>
      <c r="M9" s="227">
        <f t="shared" si="2"/>
        <v>6.4030000000000005</v>
      </c>
      <c r="N9" s="227">
        <f t="shared" si="3"/>
        <v>18.263000000000002</v>
      </c>
      <c r="P9" s="843">
        <f t="shared" si="4"/>
        <v>0</v>
      </c>
      <c r="Q9" s="28">
        <f xml:space="preserve"> IF( SUM( S9:AA9 ) = 0, 0, $T$6 )</f>
        <v>0</v>
      </c>
      <c r="T9" s="105">
        <f t="shared" si="5"/>
        <v>0</v>
      </c>
      <c r="U9" s="105">
        <f>IF(Validation!$H$3=1,0,IF(ISNUMBER(G9),0,1))</f>
        <v>0</v>
      </c>
      <c r="V9" s="105">
        <f>IF(Validation!$H$3=1,0,IF(ISNUMBER(H9),0,1))</f>
        <v>0</v>
      </c>
      <c r="W9" s="105">
        <f t="shared" si="6"/>
        <v>0</v>
      </c>
      <c r="X9" s="105">
        <f>IF(Validation!$H$3=1,0,IF(ISNUMBER(K9),0,1))</f>
        <v>0</v>
      </c>
      <c r="Y9" s="105">
        <f>IF(Validation!$H$3=1,0,IF(ISNUMBER(L9),0,1))</f>
        <v>0</v>
      </c>
      <c r="Z9" s="212"/>
      <c r="AB9" s="105">
        <f t="shared" si="0"/>
        <v>0</v>
      </c>
      <c r="AD9" s="171">
        <f t="shared" si="7"/>
        <v>18.263000000000002</v>
      </c>
      <c r="AE9" s="171">
        <f xml:space="preserve"> ROUND( '2C'!F8, 3)</f>
        <v>18.263000000000002</v>
      </c>
      <c r="AF9" s="87" t="s">
        <v>870</v>
      </c>
    </row>
    <row r="10" spans="2:33" ht="15" thickBot="1" x14ac:dyDescent="0.25">
      <c r="B10" s="106">
        <f t="shared" si="8"/>
        <v>4</v>
      </c>
      <c r="C10" s="228" t="s">
        <v>381</v>
      </c>
      <c r="D10" s="107" t="s">
        <v>86</v>
      </c>
      <c r="E10" s="226">
        <v>3</v>
      </c>
      <c r="F10" s="229"/>
      <c r="G10" s="230"/>
      <c r="H10" s="729"/>
      <c r="I10" s="730"/>
      <c r="J10" s="518">
        <v>6.4000000000000001E-2</v>
      </c>
      <c r="K10" s="449">
        <v>6.5000000000000002E-2</v>
      </c>
      <c r="L10" s="450">
        <v>1.6950000000000001</v>
      </c>
      <c r="M10" s="231">
        <f t="shared" si="2"/>
        <v>1.8240000000000001</v>
      </c>
      <c r="N10" s="231">
        <f t="shared" si="3"/>
        <v>1.8240000000000001</v>
      </c>
      <c r="P10" s="843">
        <f t="shared" si="4"/>
        <v>0</v>
      </c>
      <c r="Q10" s="28">
        <f xml:space="preserve"> IF( SUM( S10:AA10 ) = 0, 0, $T$6 )</f>
        <v>0</v>
      </c>
      <c r="T10" s="132"/>
      <c r="U10" s="132"/>
      <c r="V10" s="132"/>
      <c r="W10" s="105">
        <f t="shared" si="6"/>
        <v>0</v>
      </c>
      <c r="X10" s="105">
        <f>IF(Validation!$H$3=1,0,IF(ISNUMBER(K10),0,1))</f>
        <v>0</v>
      </c>
      <c r="Y10" s="105">
        <f>IF(Validation!$H$3=1,0,IF(ISNUMBER(L10),0,1))</f>
        <v>0</v>
      </c>
      <c r="Z10" s="212"/>
      <c r="AB10" s="105">
        <f t="shared" si="0"/>
        <v>0</v>
      </c>
      <c r="AD10" s="171">
        <f t="shared" si="7"/>
        <v>1.8240000000000001</v>
      </c>
      <c r="AE10" s="171">
        <f xml:space="preserve"> ROUND( '2C'!F9, 3)</f>
        <v>1.8240000000000001</v>
      </c>
      <c r="AF10" s="87" t="s">
        <v>871</v>
      </c>
    </row>
    <row r="11" spans="2:33" x14ac:dyDescent="0.2">
      <c r="B11" s="106">
        <f t="shared" si="8"/>
        <v>5</v>
      </c>
      <c r="C11" s="228" t="s">
        <v>335</v>
      </c>
      <c r="D11" s="107" t="s">
        <v>86</v>
      </c>
      <c r="E11" s="226">
        <v>3</v>
      </c>
      <c r="F11" s="517">
        <v>0.22004283969642599</v>
      </c>
      <c r="G11" s="444">
        <v>0.24254485599306488</v>
      </c>
      <c r="H11" s="727">
        <v>4.5874123043105088</v>
      </c>
      <c r="I11" s="728">
        <f t="shared" si="1"/>
        <v>5.05</v>
      </c>
      <c r="J11" s="519">
        <v>0.185</v>
      </c>
      <c r="K11" s="446">
        <v>0.187</v>
      </c>
      <c r="L11" s="447">
        <v>4.8739999999999997</v>
      </c>
      <c r="M11" s="227">
        <f t="shared" si="2"/>
        <v>5.2459999999999996</v>
      </c>
      <c r="N11" s="227">
        <f t="shared" si="3"/>
        <v>10.295999999999999</v>
      </c>
      <c r="P11" s="843">
        <f xml:space="preserve"> IF( SUM( AA11:AC11 ) = 0, 0, AF11 )</f>
        <v>0</v>
      </c>
      <c r="Q11" s="28">
        <f xml:space="preserve"> IF( SUM( S11:AA11 ) = 0, 0, $T$6 )</f>
        <v>0</v>
      </c>
      <c r="T11" s="105">
        <f t="shared" si="5"/>
        <v>0</v>
      </c>
      <c r="U11" s="105">
        <f>IF(Validation!$H$3=1,0,IF(ISNUMBER(G11),0,1))</f>
        <v>0</v>
      </c>
      <c r="V11" s="105">
        <f>IF(Validation!$H$3=1,0,IF(ISNUMBER(H11),0,1))</f>
        <v>0</v>
      </c>
      <c r="W11" s="105">
        <f t="shared" si="6"/>
        <v>0</v>
      </c>
      <c r="X11" s="105">
        <f>IF(Validation!$H$3=1,0,IF(ISNUMBER(K11),0,1))</f>
        <v>0</v>
      </c>
      <c r="Y11" s="105">
        <f>IF(Validation!$H$3=1,0,IF(ISNUMBER(L11),0,1))</f>
        <v>0</v>
      </c>
      <c r="Z11" s="212"/>
      <c r="AB11" s="105">
        <f t="shared" si="0"/>
        <v>0</v>
      </c>
      <c r="AD11" s="171">
        <f xml:space="preserve"> ROUND( N11, 3)</f>
        <v>10.295999999999999</v>
      </c>
      <c r="AE11" s="171">
        <f xml:space="preserve"> ROUND( '2C'!F10 + '2C'!F11, 3)</f>
        <v>10.295999999999999</v>
      </c>
      <c r="AF11" s="87" t="s">
        <v>872</v>
      </c>
    </row>
    <row r="12" spans="2:33" x14ac:dyDescent="0.2">
      <c r="B12" s="106">
        <f t="shared" si="8"/>
        <v>6</v>
      </c>
      <c r="C12" s="228" t="s">
        <v>337</v>
      </c>
      <c r="D12" s="107" t="s">
        <v>86</v>
      </c>
      <c r="E12" s="226">
        <v>3</v>
      </c>
      <c r="F12" s="232">
        <f>SUM(F7:F9) + F11</f>
        <v>1.0280428396964261</v>
      </c>
      <c r="G12" s="233">
        <f>SUM(G7:G9) + G11</f>
        <v>0.84054485599306483</v>
      </c>
      <c r="H12" s="234">
        <f>SUM(H7:H9) + H11</f>
        <v>25.049412304310511</v>
      </c>
      <c r="I12" s="227">
        <f t="shared" ref="I12:M12" si="9">SUM(I7:I11)</f>
        <v>26.918000000000003</v>
      </c>
      <c r="J12" s="232">
        <f t="shared" si="9"/>
        <v>0.78100000000000014</v>
      </c>
      <c r="K12" s="233">
        <f t="shared" si="9"/>
        <v>0.622</v>
      </c>
      <c r="L12" s="234">
        <f t="shared" si="9"/>
        <v>22.468999999999998</v>
      </c>
      <c r="M12" s="227">
        <f t="shared" si="9"/>
        <v>23.872</v>
      </c>
      <c r="N12" s="227">
        <f t="shared" si="3"/>
        <v>50.790000000000006</v>
      </c>
      <c r="P12" s="843">
        <f t="shared" si="4"/>
        <v>0</v>
      </c>
      <c r="Z12" s="212"/>
      <c r="AB12" s="105">
        <f t="shared" si="0"/>
        <v>0</v>
      </c>
      <c r="AD12" s="171">
        <f t="shared" si="7"/>
        <v>50.79</v>
      </c>
      <c r="AE12" s="171">
        <f xml:space="preserve"> ROUND( '2C'!F12, 3)</f>
        <v>50.79</v>
      </c>
      <c r="AF12" s="87" t="s">
        <v>873</v>
      </c>
    </row>
    <row r="13" spans="2:33" x14ac:dyDescent="0.2">
      <c r="B13" s="106">
        <f t="shared" si="8"/>
        <v>7</v>
      </c>
      <c r="C13" s="228" t="s">
        <v>383</v>
      </c>
      <c r="D13" s="107" t="s">
        <v>86</v>
      </c>
      <c r="E13" s="226">
        <v>3</v>
      </c>
      <c r="F13" s="519">
        <v>0</v>
      </c>
      <c r="G13" s="446">
        <v>0</v>
      </c>
      <c r="H13" s="447">
        <v>0</v>
      </c>
      <c r="I13" s="227">
        <f t="shared" si="1"/>
        <v>0</v>
      </c>
      <c r="J13" s="519">
        <v>0</v>
      </c>
      <c r="K13" s="446">
        <v>0</v>
      </c>
      <c r="L13" s="447">
        <v>0</v>
      </c>
      <c r="M13" s="227">
        <f t="shared" ref="M13" si="10">SUM(J13:L13)</f>
        <v>0</v>
      </c>
      <c r="N13" s="227">
        <f t="shared" ref="N13" si="11">I13+M13</f>
        <v>0</v>
      </c>
      <c r="P13" s="843">
        <f t="shared" si="4"/>
        <v>0</v>
      </c>
      <c r="Q13" s="28">
        <f xml:space="preserve"> IF( SUM( S13:AA13 ) = 0, 0, $T$6 )</f>
        <v>0</v>
      </c>
      <c r="T13" s="105">
        <f t="shared" ref="T13" si="12" xml:space="preserve"> IF( ISNUMBER( F13 ), 0, 1 )</f>
        <v>0</v>
      </c>
      <c r="U13" s="105">
        <f>IF(Validation!$H$3=1,0,IF(ISNUMBER(G13),0,1))</f>
        <v>0</v>
      </c>
      <c r="V13" s="105">
        <f>IF(Validation!$H$3=1,0,IF(ISNUMBER(H13),0,1))</f>
        <v>0</v>
      </c>
      <c r="W13" s="105">
        <f t="shared" ref="W13" si="13" xml:space="preserve"> IF( ISNUMBER( J13 ), 0, 1 )</f>
        <v>0</v>
      </c>
      <c r="X13" s="105">
        <f>IF(Validation!$H$3=1,0,IF(ISNUMBER(K13),0,1))</f>
        <v>0</v>
      </c>
      <c r="Y13" s="105">
        <f>IF(Validation!$H$3=1,0,IF(ISNUMBER(L13),0,1))</f>
        <v>0</v>
      </c>
      <c r="Z13" s="212"/>
      <c r="AB13" s="105">
        <f t="shared" ref="AB13" si="14" xml:space="preserve"> IF( (AD13 - AE13) = 0, 0, 1 )</f>
        <v>0</v>
      </c>
      <c r="AD13" s="171">
        <f t="shared" ref="AD13" si="15" xml:space="preserve"> ROUND( N13, 3)</f>
        <v>0</v>
      </c>
      <c r="AE13" s="171">
        <f xml:space="preserve"> ROUND( '2C'!F13, 3)</f>
        <v>0</v>
      </c>
      <c r="AF13" s="87" t="s">
        <v>874</v>
      </c>
    </row>
    <row r="14" spans="2:33" x14ac:dyDescent="0.2">
      <c r="B14" s="106">
        <f t="shared" si="8"/>
        <v>8</v>
      </c>
      <c r="C14" s="228" t="s">
        <v>339</v>
      </c>
      <c r="D14" s="107" t="s">
        <v>86</v>
      </c>
      <c r="E14" s="226">
        <v>3</v>
      </c>
      <c r="F14" s="232">
        <f xml:space="preserve"> F12 +F13</f>
        <v>1.0280428396964261</v>
      </c>
      <c r="G14" s="232">
        <f xml:space="preserve"> G12 +G13</f>
        <v>0.84054485599306483</v>
      </c>
      <c r="H14" s="232">
        <f xml:space="preserve"> H12 +H13</f>
        <v>25.049412304310511</v>
      </c>
      <c r="I14" s="232">
        <f xml:space="preserve"> I12 +I13</f>
        <v>26.918000000000003</v>
      </c>
      <c r="J14" s="232">
        <f t="shared" ref="J14:M14" si="16" xml:space="preserve"> J12 +J13</f>
        <v>0.78100000000000014</v>
      </c>
      <c r="K14" s="232">
        <f t="shared" si="16"/>
        <v>0.622</v>
      </c>
      <c r="L14" s="232">
        <f t="shared" si="16"/>
        <v>22.468999999999998</v>
      </c>
      <c r="M14" s="232">
        <f t="shared" si="16"/>
        <v>23.872</v>
      </c>
      <c r="N14" s="227">
        <f t="shared" ref="N14:N15" si="17">I14+M14</f>
        <v>50.790000000000006</v>
      </c>
      <c r="P14" s="843">
        <f t="shared" si="4"/>
        <v>0</v>
      </c>
      <c r="Z14" s="212"/>
      <c r="AB14" s="105">
        <f t="shared" ref="AB14" si="18" xml:space="preserve"> IF( (AD14 - AE14) = 0, 0, 1 )</f>
        <v>0</v>
      </c>
      <c r="AD14" s="171">
        <f t="shared" ref="AD14" si="19" xml:space="preserve"> ROUND( N14, 3)</f>
        <v>50.79</v>
      </c>
      <c r="AE14" s="171">
        <f xml:space="preserve"> ROUND( '2C'!F14, 3)</f>
        <v>50.79</v>
      </c>
      <c r="AF14" s="87" t="s">
        <v>875</v>
      </c>
    </row>
    <row r="15" spans="2:33" x14ac:dyDescent="0.2">
      <c r="B15" s="106">
        <f t="shared" si="8"/>
        <v>9</v>
      </c>
      <c r="C15" s="228" t="s">
        <v>309</v>
      </c>
      <c r="D15" s="107" t="s">
        <v>86</v>
      </c>
      <c r="E15" s="226">
        <v>3</v>
      </c>
      <c r="F15" s="519">
        <v>6.2E-2</v>
      </c>
      <c r="G15" s="446">
        <v>6.9000000000000006E-2</v>
      </c>
      <c r="H15" s="447">
        <v>1.3029999999999999</v>
      </c>
      <c r="I15" s="227">
        <f t="shared" si="1"/>
        <v>1.4339999999999999</v>
      </c>
      <c r="J15" s="519">
        <v>5.1999999999999998E-2</v>
      </c>
      <c r="K15" s="446">
        <v>5.2999999999999999E-2</v>
      </c>
      <c r="L15" s="447">
        <v>1.3839999999999999</v>
      </c>
      <c r="M15" s="227">
        <f t="shared" ref="M15" si="20">SUM(J15:L15)</f>
        <v>1.4889999999999999</v>
      </c>
      <c r="N15" s="227">
        <f t="shared" si="17"/>
        <v>2.923</v>
      </c>
      <c r="P15" s="843">
        <f t="shared" si="4"/>
        <v>0</v>
      </c>
      <c r="Q15" s="28">
        <f xml:space="preserve"> IF( SUM( S15:AA15 ) = 0, 0, $T$6 )</f>
        <v>0</v>
      </c>
      <c r="T15" s="105">
        <f t="shared" ref="T15" si="21" xml:space="preserve"> IF( ISNUMBER( F15 ), 0, 1 )</f>
        <v>0</v>
      </c>
      <c r="U15" s="105">
        <f>IF(Validation!$H$3=1,0,IF(ISNUMBER(G15),0,1))</f>
        <v>0</v>
      </c>
      <c r="V15" s="105">
        <f>IF(Validation!$H$3=1,0,IF(ISNUMBER(H15),0,1))</f>
        <v>0</v>
      </c>
      <c r="W15" s="105">
        <f t="shared" ref="W15" si="22" xml:space="preserve"> IF( ISNUMBER( J15 ), 0, 1 )</f>
        <v>0</v>
      </c>
      <c r="X15" s="105">
        <f>IF(Validation!$H$3=1,0,IF(ISNUMBER(K15),0,1))</f>
        <v>0</v>
      </c>
      <c r="Y15" s="105">
        <f>IF(Validation!$H$3=1,0,IF(ISNUMBER(L15),0,1))</f>
        <v>0</v>
      </c>
      <c r="Z15" s="212"/>
      <c r="AB15" s="105">
        <f t="shared" ref="AB15" si="23" xml:space="preserve"> IF( (AD15 - AE15) = 0, 0, 1 )</f>
        <v>0</v>
      </c>
      <c r="AD15" s="171">
        <f t="shared" ref="AD15" si="24" xml:space="preserve"> ROUND( N15, 3)</f>
        <v>2.923</v>
      </c>
      <c r="AE15" s="171">
        <f xml:space="preserve"> ROUND( '2C'!F15, 3)</f>
        <v>2.923</v>
      </c>
      <c r="AF15" s="87" t="s">
        <v>876</v>
      </c>
    </row>
    <row r="16" spans="2:33" x14ac:dyDescent="0.2">
      <c r="B16" s="106">
        <f t="shared" si="8"/>
        <v>10</v>
      </c>
      <c r="C16" s="228" t="s">
        <v>311</v>
      </c>
      <c r="D16" s="107" t="s">
        <v>86</v>
      </c>
      <c r="E16" s="226">
        <v>3</v>
      </c>
      <c r="F16" s="519">
        <v>0</v>
      </c>
      <c r="G16" s="446">
        <v>0</v>
      </c>
      <c r="H16" s="447">
        <v>0</v>
      </c>
      <c r="I16" s="227">
        <f t="shared" si="1"/>
        <v>0</v>
      </c>
      <c r="J16" s="519">
        <v>0</v>
      </c>
      <c r="K16" s="446">
        <v>0</v>
      </c>
      <c r="L16" s="447">
        <v>0</v>
      </c>
      <c r="M16" s="227">
        <f t="shared" si="2"/>
        <v>0</v>
      </c>
      <c r="N16" s="227">
        <f t="shared" si="3"/>
        <v>0</v>
      </c>
      <c r="P16" s="843">
        <f t="shared" si="4"/>
        <v>0</v>
      </c>
      <c r="Q16" s="28">
        <f xml:space="preserve"> IF( SUM( S16:AA16 ) = 0, 0, $T$6 )</f>
        <v>0</v>
      </c>
      <c r="T16" s="105">
        <f t="shared" si="5"/>
        <v>0</v>
      </c>
      <c r="U16" s="105">
        <f>IF(Validation!$H$3=1,0,IF(ISNUMBER(G16),0,1))</f>
        <v>0</v>
      </c>
      <c r="V16" s="105">
        <f>IF(Validation!$H$3=1,0,IF(ISNUMBER(H16),0,1))</f>
        <v>0</v>
      </c>
      <c r="W16" s="105">
        <f t="shared" si="6"/>
        <v>0</v>
      </c>
      <c r="X16" s="105">
        <f>IF(Validation!$H$3=1,0,IF(ISNUMBER(K16),0,1))</f>
        <v>0</v>
      </c>
      <c r="Y16" s="105">
        <f>IF(Validation!$H$3=1,0,IF(ISNUMBER(L16),0,1))</f>
        <v>0</v>
      </c>
      <c r="Z16" s="212"/>
      <c r="AB16" s="105">
        <f t="shared" si="0"/>
        <v>0</v>
      </c>
      <c r="AD16" s="171">
        <f t="shared" si="7"/>
        <v>0</v>
      </c>
      <c r="AE16" s="171">
        <f xml:space="preserve"> ROUND( '2C'!F16, 3)</f>
        <v>0</v>
      </c>
      <c r="AF16" s="87" t="s">
        <v>877</v>
      </c>
    </row>
    <row r="17" spans="2:33" ht="15" thickBot="1" x14ac:dyDescent="0.25">
      <c r="B17" s="113">
        <f t="shared" si="8"/>
        <v>11</v>
      </c>
      <c r="C17" s="114" t="s">
        <v>384</v>
      </c>
      <c r="D17" s="115" t="s">
        <v>86</v>
      </c>
      <c r="E17" s="236">
        <v>3</v>
      </c>
      <c r="F17" s="237">
        <f>SUM(F14:F16)</f>
        <v>1.0900428396964261</v>
      </c>
      <c r="G17" s="237">
        <f t="shared" ref="G17:H17" si="25">SUM(G14:G16)</f>
        <v>0.90954485599306478</v>
      </c>
      <c r="H17" s="237">
        <f t="shared" si="25"/>
        <v>26.352412304310512</v>
      </c>
      <c r="I17" s="238">
        <f>SUM(I14:I16)</f>
        <v>28.352000000000004</v>
      </c>
      <c r="J17" s="237">
        <f>SUM(J14:J16)</f>
        <v>0.83300000000000018</v>
      </c>
      <c r="K17" s="237">
        <f t="shared" ref="K17:M17" si="26">SUM(K14:K16)</f>
        <v>0.67500000000000004</v>
      </c>
      <c r="L17" s="237">
        <f t="shared" si="26"/>
        <v>23.852999999999998</v>
      </c>
      <c r="M17" s="238">
        <f t="shared" si="26"/>
        <v>25.361000000000001</v>
      </c>
      <c r="N17" s="238">
        <f t="shared" si="3"/>
        <v>53.713000000000008</v>
      </c>
      <c r="P17" s="843">
        <f t="shared" si="4"/>
        <v>0</v>
      </c>
      <c r="Z17" s="212"/>
      <c r="AB17" s="105">
        <f t="shared" ref="AB17" si="27" xml:space="preserve"> IF( (AD17 - AE17) = 0, 0, 1 )</f>
        <v>0</v>
      </c>
      <c r="AD17" s="171">
        <f t="shared" ref="AD17" si="28" xml:space="preserve"> ROUND( N17, 3)</f>
        <v>53.713000000000001</v>
      </c>
      <c r="AE17" s="171">
        <f xml:space="preserve"> ROUND( '2C'!F17, 3)</f>
        <v>53.713000000000001</v>
      </c>
      <c r="AF17" s="87" t="s">
        <v>878</v>
      </c>
    </row>
    <row r="18" spans="2:33" ht="15" thickBot="1" x14ac:dyDescent="0.25">
      <c r="B18" s="83"/>
      <c r="C18" s="83"/>
      <c r="D18" s="83"/>
      <c r="E18" s="83"/>
      <c r="F18" s="83"/>
      <c r="G18" s="83"/>
      <c r="H18" s="83"/>
      <c r="I18" s="83"/>
      <c r="J18" s="83"/>
      <c r="K18" s="83"/>
      <c r="L18" s="83"/>
      <c r="M18" s="83"/>
      <c r="N18" s="83"/>
      <c r="Z18" s="212"/>
      <c r="AB18" s="132"/>
      <c r="AD18" s="171"/>
      <c r="AE18" s="171"/>
    </row>
    <row r="19" spans="2:33" s="83" customFormat="1" ht="15" thickBot="1" x14ac:dyDescent="0.25">
      <c r="B19" s="125" t="s">
        <v>143</v>
      </c>
      <c r="C19" s="126" t="s">
        <v>879</v>
      </c>
      <c r="S19" s="84"/>
      <c r="Z19" s="212"/>
      <c r="AA19" s="84"/>
      <c r="AB19" s="132"/>
      <c r="AC19" s="84"/>
      <c r="AD19" s="171"/>
      <c r="AE19" s="171"/>
      <c r="AF19" s="87"/>
      <c r="AG19" s="84"/>
    </row>
    <row r="20" spans="2:33" x14ac:dyDescent="0.2">
      <c r="B20" s="239">
        <f xml:space="preserve"> B17 + 1</f>
        <v>12</v>
      </c>
      <c r="C20" s="240" t="s">
        <v>880</v>
      </c>
      <c r="D20" s="241" t="s">
        <v>86</v>
      </c>
      <c r="E20" s="242">
        <v>3</v>
      </c>
      <c r="F20" s="92"/>
      <c r="G20" s="92"/>
      <c r="H20" s="92"/>
      <c r="I20" s="92"/>
      <c r="J20" s="92"/>
      <c r="K20" s="92"/>
      <c r="L20" s="92"/>
      <c r="M20" s="92"/>
      <c r="N20" s="520">
        <v>0.35499999999999998</v>
      </c>
      <c r="Q20" s="28">
        <f xml:space="preserve"> IF( SUM( S20:AA20 ) = 0, 0, $T$6 )</f>
        <v>0</v>
      </c>
      <c r="Z20" s="105">
        <f t="shared" ref="Z20:Z24" si="29" xml:space="preserve"> IF( ISNUMBER( N20 ), 0, 1 )</f>
        <v>0</v>
      </c>
      <c r="AB20" s="132"/>
      <c r="AD20" s="171"/>
      <c r="AE20" s="171"/>
    </row>
    <row r="21" spans="2:33" x14ac:dyDescent="0.2">
      <c r="B21" s="243">
        <f t="shared" si="8"/>
        <v>13</v>
      </c>
      <c r="C21" s="99" t="s">
        <v>881</v>
      </c>
      <c r="D21" s="107" t="s">
        <v>86</v>
      </c>
      <c r="E21" s="244">
        <v>3</v>
      </c>
      <c r="F21" s="92"/>
      <c r="G21" s="92"/>
      <c r="H21" s="92"/>
      <c r="I21" s="92"/>
      <c r="J21" s="92"/>
      <c r="K21" s="92"/>
      <c r="L21" s="92"/>
      <c r="M21" s="92"/>
      <c r="N21" s="521">
        <v>0</v>
      </c>
      <c r="Q21" s="28">
        <f xml:space="preserve"> IF( SUM( S21:AA21 ) = 0, 0, $T$6 )</f>
        <v>0</v>
      </c>
      <c r="Z21" s="105">
        <f t="shared" si="29"/>
        <v>0</v>
      </c>
      <c r="AB21" s="132"/>
      <c r="AD21" s="171"/>
      <c r="AE21" s="171"/>
    </row>
    <row r="22" spans="2:33" x14ac:dyDescent="0.2">
      <c r="B22" s="243">
        <f t="shared" si="8"/>
        <v>14</v>
      </c>
      <c r="C22" s="99" t="s">
        <v>882</v>
      </c>
      <c r="D22" s="107" t="s">
        <v>86</v>
      </c>
      <c r="E22" s="244">
        <v>3</v>
      </c>
      <c r="F22" s="92"/>
      <c r="G22" s="92"/>
      <c r="H22" s="92"/>
      <c r="I22" s="92"/>
      <c r="J22" s="92"/>
      <c r="K22" s="92"/>
      <c r="L22" s="92"/>
      <c r="M22" s="92"/>
      <c r="N22" s="227">
        <f>N20-N21</f>
        <v>0.35499999999999998</v>
      </c>
      <c r="R22" s="129"/>
      <c r="S22" s="133"/>
      <c r="Z22" s="212"/>
      <c r="AB22" s="132"/>
      <c r="AD22" s="171"/>
      <c r="AE22" s="171"/>
    </row>
    <row r="23" spans="2:33" x14ac:dyDescent="0.2">
      <c r="B23" s="243">
        <f t="shared" si="8"/>
        <v>15</v>
      </c>
      <c r="C23" s="99" t="s">
        <v>883</v>
      </c>
      <c r="D23" s="107" t="s">
        <v>86</v>
      </c>
      <c r="E23" s="244">
        <v>3</v>
      </c>
      <c r="F23" s="92"/>
      <c r="G23" s="92"/>
      <c r="H23" s="92"/>
      <c r="I23" s="92"/>
      <c r="J23" s="92"/>
      <c r="K23" s="92"/>
      <c r="L23" s="92"/>
      <c r="M23" s="92"/>
      <c r="N23" s="521">
        <v>1.4770000000000001</v>
      </c>
      <c r="Q23" s="28">
        <f xml:space="preserve"> IF( SUM( S23:AA23 ) = 0, 0, $T$6 )</f>
        <v>0</v>
      </c>
      <c r="Z23" s="105">
        <f t="shared" si="29"/>
        <v>0</v>
      </c>
      <c r="AB23" s="132"/>
      <c r="AD23" s="171"/>
      <c r="AE23" s="171"/>
    </row>
    <row r="24" spans="2:33" x14ac:dyDescent="0.2">
      <c r="B24" s="243">
        <f t="shared" si="8"/>
        <v>16</v>
      </c>
      <c r="C24" s="99" t="s">
        <v>884</v>
      </c>
      <c r="D24" s="107" t="s">
        <v>86</v>
      </c>
      <c r="E24" s="244">
        <v>3</v>
      </c>
      <c r="F24" s="92"/>
      <c r="G24" s="92"/>
      <c r="H24" s="92"/>
      <c r="I24" s="92"/>
      <c r="J24" s="92"/>
      <c r="K24" s="92"/>
      <c r="L24" s="92"/>
      <c r="M24" s="92"/>
      <c r="N24" s="521">
        <v>1.3520000000000001</v>
      </c>
      <c r="Q24" s="28">
        <f xml:space="preserve"> IF( SUM( S24:AA24 ) = 0, 0, $T$6 )</f>
        <v>0</v>
      </c>
      <c r="Z24" s="105">
        <f t="shared" si="29"/>
        <v>0</v>
      </c>
      <c r="AB24" s="132"/>
      <c r="AD24" s="171"/>
      <c r="AE24" s="171"/>
    </row>
    <row r="25" spans="2:33" ht="15" thickBot="1" x14ac:dyDescent="0.25">
      <c r="B25" s="245">
        <f t="shared" si="8"/>
        <v>17</v>
      </c>
      <c r="C25" s="246" t="s">
        <v>885</v>
      </c>
      <c r="D25" s="247" t="s">
        <v>86</v>
      </c>
      <c r="E25" s="248">
        <v>3</v>
      </c>
      <c r="F25" s="171"/>
      <c r="G25" s="171"/>
      <c r="H25" s="171"/>
      <c r="I25" s="171"/>
      <c r="J25" s="171"/>
      <c r="K25" s="171"/>
      <c r="L25" s="171"/>
      <c r="M25" s="171"/>
      <c r="N25" s="238">
        <f>N23-N24</f>
        <v>0.125</v>
      </c>
      <c r="R25" s="129"/>
      <c r="S25" s="133"/>
      <c r="Z25" s="212"/>
      <c r="AB25" s="132"/>
      <c r="AD25" s="171"/>
      <c r="AE25" s="171"/>
    </row>
    <row r="26" spans="2:33" x14ac:dyDescent="0.2">
      <c r="B26" s="83"/>
      <c r="C26" s="83"/>
      <c r="D26" s="83"/>
      <c r="E26" s="83"/>
      <c r="F26" s="83"/>
      <c r="G26" s="83"/>
      <c r="H26" s="83"/>
      <c r="I26" s="83"/>
      <c r="J26" s="83"/>
      <c r="K26" s="83"/>
      <c r="L26" s="83"/>
      <c r="M26" s="83"/>
      <c r="N26" s="83"/>
      <c r="O26" s="129"/>
      <c r="R26" s="129"/>
      <c r="S26" s="133"/>
      <c r="Z26" s="212"/>
      <c r="AA26" s="133"/>
      <c r="AB26" s="132"/>
      <c r="AC26" s="133"/>
      <c r="AD26" s="171"/>
      <c r="AE26" s="171"/>
      <c r="AG26" s="133"/>
    </row>
    <row r="27" spans="2:33" x14ac:dyDescent="0.2">
      <c r="B27" s="897" t="s">
        <v>101</v>
      </c>
      <c r="C27" s="897"/>
      <c r="D27" s="169"/>
      <c r="E27" s="169"/>
      <c r="F27" s="169"/>
      <c r="G27" s="169"/>
      <c r="H27" s="169"/>
      <c r="I27" s="169"/>
      <c r="J27" s="169"/>
      <c r="K27" s="169"/>
      <c r="L27" s="169"/>
      <c r="M27" s="169"/>
      <c r="N27" s="135"/>
      <c r="O27" s="135"/>
      <c r="Z27" s="212"/>
      <c r="AB27" s="132"/>
      <c r="AC27" s="130"/>
      <c r="AD27" s="171"/>
      <c r="AE27" s="171"/>
      <c r="AG27" s="130"/>
    </row>
    <row r="28" spans="2:33" x14ac:dyDescent="0.2">
      <c r="B28" s="146"/>
      <c r="C28" s="147"/>
      <c r="D28" s="169"/>
      <c r="E28" s="169"/>
      <c r="F28" s="169"/>
      <c r="G28" s="169"/>
      <c r="H28" s="169"/>
      <c r="I28" s="169"/>
      <c r="J28" s="169"/>
      <c r="K28" s="169"/>
      <c r="L28" s="169"/>
      <c r="M28" s="169"/>
      <c r="N28" s="135"/>
      <c r="O28" s="135"/>
      <c r="R28" s="135"/>
      <c r="S28" s="130"/>
      <c r="Z28" s="212"/>
      <c r="AA28" s="130"/>
      <c r="AB28" s="132"/>
      <c r="AC28" s="130"/>
      <c r="AD28" s="171"/>
      <c r="AE28" s="171"/>
      <c r="AG28" s="130"/>
    </row>
    <row r="29" spans="2:33" x14ac:dyDescent="0.2">
      <c r="B29" s="29"/>
      <c r="C29" s="148" t="s">
        <v>102</v>
      </c>
      <c r="D29" s="169"/>
      <c r="E29" s="169"/>
      <c r="F29" s="169"/>
      <c r="G29" s="169"/>
      <c r="H29" s="169"/>
      <c r="I29" s="169"/>
      <c r="J29" s="169"/>
      <c r="K29" s="169"/>
      <c r="L29" s="169"/>
      <c r="M29" s="169"/>
      <c r="N29" s="135"/>
      <c r="O29" s="135"/>
      <c r="Z29" s="212"/>
      <c r="AB29" s="132"/>
      <c r="AC29" s="130"/>
      <c r="AD29" s="171"/>
      <c r="AE29" s="171"/>
      <c r="AG29" s="130"/>
    </row>
    <row r="30" spans="2:33" x14ac:dyDescent="0.2">
      <c r="B30" s="146"/>
      <c r="C30" s="147"/>
      <c r="D30" s="169"/>
      <c r="E30" s="169"/>
      <c r="F30" s="169"/>
      <c r="G30" s="169"/>
      <c r="H30" s="169"/>
      <c r="I30" s="169"/>
      <c r="J30" s="169"/>
      <c r="K30" s="169"/>
      <c r="L30" s="169"/>
      <c r="M30" s="169"/>
      <c r="N30" s="135"/>
      <c r="O30" s="135"/>
      <c r="R30" s="135"/>
      <c r="S30" s="130"/>
      <c r="Z30" s="212"/>
      <c r="AA30" s="130"/>
      <c r="AB30" s="132"/>
      <c r="AC30" s="130"/>
      <c r="AD30" s="171"/>
      <c r="AE30" s="171"/>
      <c r="AG30" s="130"/>
    </row>
    <row r="31" spans="2:33" x14ac:dyDescent="0.2">
      <c r="B31" s="149"/>
      <c r="C31" s="148" t="s">
        <v>103</v>
      </c>
      <c r="D31" s="169"/>
      <c r="E31" s="169"/>
      <c r="F31" s="169"/>
      <c r="G31" s="169"/>
      <c r="H31" s="169"/>
      <c r="I31" s="169"/>
      <c r="J31" s="169"/>
      <c r="K31" s="169"/>
      <c r="L31" s="169"/>
      <c r="M31" s="169"/>
      <c r="N31" s="135"/>
      <c r="O31" s="135"/>
      <c r="R31" s="135"/>
      <c r="S31" s="130"/>
      <c r="Z31" s="212"/>
      <c r="AA31" s="130"/>
      <c r="AB31" s="132"/>
      <c r="AC31" s="130"/>
      <c r="AD31" s="171"/>
      <c r="AE31" s="171"/>
      <c r="AG31" s="130"/>
    </row>
    <row r="32" spans="2:33" x14ac:dyDescent="0.2">
      <c r="B32" s="150"/>
      <c r="C32" s="148"/>
      <c r="D32" s="169"/>
      <c r="E32" s="169"/>
      <c r="F32" s="169"/>
      <c r="G32" s="169"/>
      <c r="H32" s="169"/>
      <c r="I32" s="169"/>
      <c r="J32" s="169"/>
      <c r="K32" s="169"/>
      <c r="L32" s="169"/>
      <c r="M32" s="169"/>
      <c r="N32" s="135"/>
      <c r="O32" s="135"/>
      <c r="R32" s="135"/>
      <c r="S32" s="130"/>
      <c r="Z32" s="212"/>
      <c r="AA32" s="130"/>
      <c r="AB32" s="132"/>
      <c r="AC32" s="130"/>
      <c r="AD32" s="171"/>
      <c r="AE32" s="171"/>
      <c r="AG32" s="130"/>
    </row>
    <row r="33" spans="2:33" x14ac:dyDescent="0.2">
      <c r="B33" s="151"/>
      <c r="C33" s="148" t="s">
        <v>104</v>
      </c>
      <c r="D33" s="169"/>
      <c r="E33" s="169"/>
      <c r="F33" s="169"/>
      <c r="G33" s="169"/>
      <c r="H33" s="169"/>
      <c r="I33" s="169"/>
      <c r="J33" s="169"/>
      <c r="K33" s="169"/>
      <c r="L33" s="169"/>
      <c r="M33" s="169"/>
      <c r="N33" s="135"/>
      <c r="O33" s="135"/>
      <c r="Z33" s="212"/>
      <c r="AB33" s="132"/>
      <c r="AC33" s="130"/>
      <c r="AD33" s="171"/>
      <c r="AE33" s="171"/>
      <c r="AG33" s="130"/>
    </row>
    <row r="34" spans="2:33" x14ac:dyDescent="0.2">
      <c r="B34" s="156"/>
      <c r="C34" s="157"/>
      <c r="D34" s="186"/>
      <c r="E34" s="186"/>
      <c r="F34" s="186"/>
      <c r="G34" s="186"/>
      <c r="H34" s="186"/>
      <c r="I34" s="186"/>
      <c r="J34" s="186"/>
      <c r="K34" s="186"/>
      <c r="L34" s="186"/>
      <c r="M34" s="186"/>
      <c r="N34" s="137"/>
      <c r="O34" s="135"/>
      <c r="Z34" s="212"/>
      <c r="AB34" s="132"/>
      <c r="AC34" s="130"/>
      <c r="AD34" s="171"/>
      <c r="AE34" s="171"/>
      <c r="AG34" s="130"/>
    </row>
    <row r="35" spans="2:33" ht="15" thickBot="1" x14ac:dyDescent="0.25">
      <c r="B35" s="186"/>
      <c r="C35" s="187"/>
      <c r="D35" s="186"/>
      <c r="E35" s="186"/>
      <c r="F35" s="186"/>
      <c r="G35" s="186"/>
      <c r="H35" s="186"/>
      <c r="I35" s="186"/>
      <c r="J35" s="186"/>
      <c r="K35" s="186"/>
      <c r="L35" s="186"/>
      <c r="M35" s="186"/>
      <c r="N35" s="137"/>
      <c r="O35" s="135"/>
      <c r="R35" s="135"/>
      <c r="S35" s="130"/>
      <c r="Z35" s="212"/>
      <c r="AA35" s="130"/>
      <c r="AB35" s="132"/>
      <c r="AC35" s="130"/>
      <c r="AD35" s="171"/>
      <c r="AE35" s="171"/>
      <c r="AG35" s="130"/>
    </row>
    <row r="36" spans="2:33" ht="21" thickBot="1" x14ac:dyDescent="0.25">
      <c r="B36" s="152" t="str">
        <f ca="1" xml:space="preserve"> RIGHT(CELL("filename", $A$1), LEN(CELL("filename", $A$1)) - SEARCH("]", CELL("filename", $A$1)))&amp;" - Line definitions"</f>
        <v>4F - Line definitions</v>
      </c>
      <c r="C36" s="153"/>
      <c r="D36" s="154"/>
      <c r="E36" s="154"/>
      <c r="F36" s="154"/>
      <c r="G36" s="154"/>
      <c r="H36" s="154"/>
      <c r="I36" s="154"/>
      <c r="J36" s="154"/>
      <c r="K36" s="154"/>
      <c r="L36" s="154"/>
      <c r="M36" s="154"/>
      <c r="N36" s="160"/>
      <c r="O36" s="135"/>
      <c r="R36" s="129"/>
      <c r="S36" s="133"/>
      <c r="T36" s="212"/>
      <c r="U36" s="212"/>
      <c r="V36" s="212"/>
      <c r="W36" s="212"/>
      <c r="X36" s="212"/>
      <c r="Y36" s="212"/>
      <c r="Z36" s="212"/>
      <c r="AA36" s="133"/>
      <c r="AB36"/>
      <c r="AC36" s="133"/>
      <c r="AG36" s="133"/>
    </row>
    <row r="37" spans="2:33" ht="15" thickBot="1" x14ac:dyDescent="0.25">
      <c r="B37" s="87"/>
      <c r="C37" s="161"/>
      <c r="D37" s="87"/>
      <c r="E37" s="87"/>
      <c r="F37" s="87"/>
      <c r="G37" s="87"/>
      <c r="H37" s="87"/>
      <c r="I37" s="87"/>
      <c r="J37" s="87"/>
      <c r="K37" s="87"/>
      <c r="L37" s="87"/>
      <c r="M37" s="87"/>
      <c r="N37" s="129"/>
      <c r="O37" s="135"/>
      <c r="R37" s="129"/>
      <c r="S37" s="133"/>
      <c r="T37" s="212"/>
      <c r="U37" s="212"/>
      <c r="V37" s="212"/>
      <c r="W37" s="212"/>
      <c r="X37" s="212"/>
      <c r="Y37" s="212"/>
      <c r="Z37" s="212"/>
      <c r="AA37" s="133"/>
      <c r="AB37"/>
      <c r="AC37" s="133"/>
      <c r="AG37" s="133"/>
    </row>
    <row r="38" spans="2:33" ht="15" thickBot="1" x14ac:dyDescent="0.25">
      <c r="B38" s="162" t="s">
        <v>105</v>
      </c>
      <c r="C38" s="1033" t="s">
        <v>886</v>
      </c>
      <c r="D38" s="1033"/>
      <c r="E38" s="1033"/>
      <c r="F38" s="1033"/>
      <c r="G38" s="1035"/>
      <c r="H38" s="1059" t="s">
        <v>887</v>
      </c>
      <c r="I38" s="1033"/>
      <c r="J38" s="1033"/>
      <c r="K38" s="1033"/>
      <c r="L38" s="1033"/>
      <c r="M38" s="1033"/>
      <c r="N38" s="1035"/>
      <c r="O38" s="135"/>
      <c r="R38" s="129"/>
      <c r="S38" s="133"/>
      <c r="T38" s="97" t="s">
        <v>107</v>
      </c>
      <c r="U38" s="212"/>
      <c r="V38" s="212"/>
      <c r="W38" s="212"/>
      <c r="X38" s="212"/>
      <c r="Y38" s="212"/>
      <c r="Z38" s="212"/>
      <c r="AA38" s="133"/>
      <c r="AB38"/>
      <c r="AC38" s="133"/>
      <c r="AG38" s="133"/>
    </row>
    <row r="39" spans="2:33" ht="51" x14ac:dyDescent="0.2">
      <c r="B39" s="189">
        <f t="shared" ref="B39:B47" si="30">B7</f>
        <v>1</v>
      </c>
      <c r="C39" s="951" t="s">
        <v>888</v>
      </c>
      <c r="D39" s="951"/>
      <c r="E39" s="951"/>
      <c r="F39" s="951"/>
      <c r="G39" s="951"/>
      <c r="H39" s="951" t="s">
        <v>889</v>
      </c>
      <c r="I39" s="951"/>
      <c r="J39" s="951"/>
      <c r="K39" s="951"/>
      <c r="L39" s="951"/>
      <c r="M39" s="951"/>
      <c r="N39" s="952"/>
      <c r="O39" s="135"/>
      <c r="T39" s="168" t="s">
        <v>118</v>
      </c>
      <c r="U39" s="212"/>
      <c r="V39" s="212"/>
      <c r="W39" s="212"/>
      <c r="X39" s="212"/>
      <c r="Y39" s="212"/>
      <c r="Z39" s="212"/>
      <c r="AB39" s="122"/>
      <c r="AC39" s="133"/>
      <c r="AG39" s="133"/>
    </row>
    <row r="40" spans="2:33" ht="51" x14ac:dyDescent="0.2">
      <c r="B40" s="166">
        <f t="shared" si="30"/>
        <v>2</v>
      </c>
      <c r="C40" s="879" t="s">
        <v>890</v>
      </c>
      <c r="D40" s="879"/>
      <c r="E40" s="879"/>
      <c r="F40" s="879"/>
      <c r="G40" s="879"/>
      <c r="H40" s="879" t="s">
        <v>891</v>
      </c>
      <c r="I40" s="879"/>
      <c r="J40" s="879"/>
      <c r="K40" s="879"/>
      <c r="L40" s="879"/>
      <c r="M40" s="879"/>
      <c r="N40" s="880"/>
      <c r="O40" s="135"/>
      <c r="T40" s="168" t="s">
        <v>118</v>
      </c>
      <c r="U40" s="212"/>
      <c r="V40" s="212"/>
      <c r="W40" s="212"/>
      <c r="X40" s="212"/>
      <c r="Y40" s="212"/>
      <c r="Z40" s="212"/>
      <c r="AC40" s="133"/>
      <c r="AG40" s="133"/>
    </row>
    <row r="41" spans="2:33" ht="25.5" x14ac:dyDescent="0.2">
      <c r="B41" s="166">
        <f t="shared" si="30"/>
        <v>3</v>
      </c>
      <c r="C41" s="879" t="s">
        <v>892</v>
      </c>
      <c r="D41" s="879"/>
      <c r="E41" s="879"/>
      <c r="F41" s="879"/>
      <c r="G41" s="879"/>
      <c r="H41" s="879" t="s">
        <v>893</v>
      </c>
      <c r="I41" s="879"/>
      <c r="J41" s="879"/>
      <c r="K41" s="879"/>
      <c r="L41" s="879"/>
      <c r="M41" s="879"/>
      <c r="N41" s="880"/>
      <c r="O41" s="137"/>
      <c r="P41" s="137"/>
      <c r="T41" s="168" t="s">
        <v>112</v>
      </c>
      <c r="U41" s="212"/>
      <c r="V41" s="212"/>
      <c r="W41" s="212"/>
      <c r="X41" s="212"/>
      <c r="Y41" s="212"/>
      <c r="Z41" s="212"/>
      <c r="AC41" s="133"/>
      <c r="AG41" s="133"/>
    </row>
    <row r="42" spans="2:33" ht="38.25" x14ac:dyDescent="0.2">
      <c r="B42" s="166">
        <f t="shared" si="30"/>
        <v>4</v>
      </c>
      <c r="C42" s="879" t="s">
        <v>894</v>
      </c>
      <c r="D42" s="879"/>
      <c r="E42" s="879"/>
      <c r="F42" s="879"/>
      <c r="G42" s="879"/>
      <c r="H42" s="879" t="s">
        <v>895</v>
      </c>
      <c r="I42" s="879"/>
      <c r="J42" s="879"/>
      <c r="K42" s="879"/>
      <c r="L42" s="879"/>
      <c r="M42" s="879"/>
      <c r="N42" s="880"/>
      <c r="O42" s="137"/>
      <c r="P42" s="137"/>
      <c r="T42" s="168" t="s">
        <v>109</v>
      </c>
      <c r="U42" s="212"/>
      <c r="V42" s="212"/>
      <c r="W42" s="212"/>
      <c r="X42" s="212"/>
      <c r="Y42" s="212"/>
      <c r="Z42" s="212"/>
      <c r="AC42" s="133"/>
      <c r="AD42" s="83"/>
      <c r="AE42" s="83"/>
      <c r="AF42" s="83"/>
      <c r="AG42" s="133"/>
    </row>
    <row r="43" spans="2:33" ht="38.25" x14ac:dyDescent="0.2">
      <c r="B43" s="166">
        <f t="shared" si="30"/>
        <v>5</v>
      </c>
      <c r="C43" s="879" t="s">
        <v>896</v>
      </c>
      <c r="D43" s="879"/>
      <c r="E43" s="879"/>
      <c r="F43" s="879"/>
      <c r="G43" s="879"/>
      <c r="H43" s="879" t="s">
        <v>897</v>
      </c>
      <c r="I43" s="879"/>
      <c r="J43" s="879"/>
      <c r="K43" s="879"/>
      <c r="L43" s="879"/>
      <c r="M43" s="879"/>
      <c r="N43" s="880"/>
      <c r="O43" s="137"/>
      <c r="P43" s="137"/>
      <c r="T43" s="168" t="s">
        <v>109</v>
      </c>
      <c r="U43" s="212"/>
      <c r="V43" s="212"/>
      <c r="W43" s="212"/>
      <c r="X43" s="212"/>
      <c r="Y43" s="212"/>
      <c r="Z43" s="212"/>
      <c r="AC43" s="133"/>
      <c r="AD43" s="169"/>
      <c r="AE43" s="169"/>
      <c r="AF43" s="169"/>
      <c r="AG43" s="133"/>
    </row>
    <row r="44" spans="2:33" ht="38.25" x14ac:dyDescent="0.2">
      <c r="B44" s="166">
        <f t="shared" si="30"/>
        <v>6</v>
      </c>
      <c r="C44" s="879" t="s">
        <v>898</v>
      </c>
      <c r="D44" s="879"/>
      <c r="E44" s="879"/>
      <c r="F44" s="879"/>
      <c r="G44" s="879"/>
      <c r="H44" s="879" t="s">
        <v>899</v>
      </c>
      <c r="I44" s="879"/>
      <c r="J44" s="879"/>
      <c r="K44" s="879"/>
      <c r="L44" s="879"/>
      <c r="M44" s="879"/>
      <c r="N44" s="880"/>
      <c r="O44" s="137"/>
      <c r="P44" s="137"/>
      <c r="R44" s="129"/>
      <c r="S44" s="133"/>
      <c r="T44" s="168" t="s">
        <v>109</v>
      </c>
      <c r="U44" s="212"/>
      <c r="V44" s="212"/>
      <c r="W44" s="212"/>
      <c r="X44" s="212"/>
      <c r="Y44" s="212"/>
      <c r="Z44" s="212"/>
      <c r="AA44" s="133"/>
      <c r="AC44" s="133"/>
      <c r="AD44" s="169"/>
      <c r="AE44" s="169"/>
      <c r="AF44" s="169"/>
      <c r="AG44" s="133"/>
    </row>
    <row r="45" spans="2:33" x14ac:dyDescent="0.2">
      <c r="B45" s="166">
        <f t="shared" si="30"/>
        <v>7</v>
      </c>
      <c r="C45" s="879" t="s">
        <v>900</v>
      </c>
      <c r="D45" s="879"/>
      <c r="E45" s="879"/>
      <c r="F45" s="879"/>
      <c r="G45" s="879"/>
      <c r="H45" s="879" t="s">
        <v>901</v>
      </c>
      <c r="I45" s="879"/>
      <c r="J45" s="879"/>
      <c r="K45" s="879"/>
      <c r="L45" s="879"/>
      <c r="M45" s="879"/>
      <c r="N45" s="880"/>
      <c r="O45" s="137"/>
      <c r="P45" s="137"/>
      <c r="R45" s="129"/>
      <c r="S45" s="133"/>
      <c r="T45" s="168">
        <v>1</v>
      </c>
      <c r="U45" s="212"/>
      <c r="V45" s="212"/>
      <c r="W45" s="212"/>
      <c r="X45" s="212"/>
      <c r="Y45" s="212"/>
      <c r="Z45" s="212"/>
      <c r="AA45" s="133"/>
      <c r="AC45" s="133"/>
      <c r="AD45" s="169"/>
      <c r="AE45" s="169"/>
      <c r="AF45" s="169"/>
      <c r="AG45" s="133"/>
    </row>
    <row r="46" spans="2:33" ht="25.5" x14ac:dyDescent="0.2">
      <c r="B46" s="166">
        <f t="shared" si="30"/>
        <v>8</v>
      </c>
      <c r="C46" s="879" t="s">
        <v>902</v>
      </c>
      <c r="D46" s="879"/>
      <c r="E46" s="879"/>
      <c r="F46" s="879"/>
      <c r="G46" s="879"/>
      <c r="H46" s="879" t="s">
        <v>903</v>
      </c>
      <c r="I46" s="879"/>
      <c r="J46" s="879"/>
      <c r="K46" s="879"/>
      <c r="L46" s="879"/>
      <c r="M46" s="879"/>
      <c r="N46" s="880"/>
      <c r="O46" s="137"/>
      <c r="P46" s="137"/>
      <c r="R46" s="129"/>
      <c r="S46" s="133"/>
      <c r="T46" s="168" t="s">
        <v>112</v>
      </c>
      <c r="U46" s="212"/>
      <c r="V46" s="212"/>
      <c r="W46" s="212"/>
      <c r="X46" s="212"/>
      <c r="Y46" s="212"/>
      <c r="Z46" s="212"/>
      <c r="AA46" s="133"/>
      <c r="AC46" s="133"/>
      <c r="AD46" s="169"/>
      <c r="AE46" s="169"/>
      <c r="AF46" s="169"/>
      <c r="AG46" s="133"/>
    </row>
    <row r="47" spans="2:33" ht="38.25" x14ac:dyDescent="0.2">
      <c r="B47" s="166">
        <f t="shared" si="30"/>
        <v>9</v>
      </c>
      <c r="C47" s="879" t="s">
        <v>904</v>
      </c>
      <c r="D47" s="879"/>
      <c r="E47" s="879"/>
      <c r="F47" s="879"/>
      <c r="G47" s="879"/>
      <c r="H47" s="879" t="s">
        <v>905</v>
      </c>
      <c r="I47" s="879"/>
      <c r="J47" s="879"/>
      <c r="K47" s="879"/>
      <c r="L47" s="879"/>
      <c r="M47" s="879"/>
      <c r="N47" s="880"/>
      <c r="O47" s="137"/>
      <c r="P47" s="137"/>
      <c r="R47" s="129"/>
      <c r="S47" s="133"/>
      <c r="T47" s="168" t="s">
        <v>109</v>
      </c>
      <c r="U47" s="212"/>
      <c r="V47" s="212"/>
      <c r="W47" s="212"/>
      <c r="X47" s="212"/>
      <c r="Y47" s="212"/>
      <c r="Z47" s="212"/>
      <c r="AA47" s="133"/>
      <c r="AC47" s="133"/>
      <c r="AD47" s="169"/>
      <c r="AE47" s="169"/>
      <c r="AF47" s="169"/>
      <c r="AG47" s="133"/>
    </row>
    <row r="48" spans="2:33" ht="38.25" x14ac:dyDescent="0.2">
      <c r="B48" s="166">
        <f t="shared" ref="B48:B49" si="31">B16</f>
        <v>10</v>
      </c>
      <c r="C48" s="879" t="s">
        <v>906</v>
      </c>
      <c r="D48" s="879"/>
      <c r="E48" s="879"/>
      <c r="F48" s="879"/>
      <c r="G48" s="879"/>
      <c r="H48" s="879" t="s">
        <v>907</v>
      </c>
      <c r="I48" s="879"/>
      <c r="J48" s="879"/>
      <c r="K48" s="879"/>
      <c r="L48" s="879"/>
      <c r="M48" s="879"/>
      <c r="N48" s="880"/>
      <c r="O48" s="137"/>
      <c r="P48" s="137"/>
      <c r="T48" s="168" t="s">
        <v>109</v>
      </c>
      <c r="U48" s="212"/>
      <c r="V48" s="212"/>
      <c r="W48" s="212"/>
      <c r="X48" s="212"/>
      <c r="Y48" s="212"/>
      <c r="Z48" s="212"/>
      <c r="AD48" s="169"/>
      <c r="AE48" s="169"/>
      <c r="AF48" s="169"/>
    </row>
    <row r="49" spans="2:32" ht="26.25" thickBot="1" x14ac:dyDescent="0.25">
      <c r="B49" s="191">
        <f t="shared" si="31"/>
        <v>11</v>
      </c>
      <c r="C49" s="955" t="s">
        <v>908</v>
      </c>
      <c r="D49" s="955"/>
      <c r="E49" s="955"/>
      <c r="F49" s="955"/>
      <c r="G49" s="955"/>
      <c r="H49" s="955" t="s">
        <v>909</v>
      </c>
      <c r="I49" s="955"/>
      <c r="J49" s="955"/>
      <c r="K49" s="955"/>
      <c r="L49" s="955"/>
      <c r="M49" s="955"/>
      <c r="N49" s="956"/>
      <c r="O49" s="137"/>
      <c r="P49" s="137"/>
      <c r="T49" s="168" t="s">
        <v>112</v>
      </c>
      <c r="U49" s="212"/>
      <c r="V49" s="212"/>
      <c r="W49" s="212"/>
      <c r="X49" s="212"/>
      <c r="Y49" s="212"/>
      <c r="Z49" s="212"/>
      <c r="AD49" s="169"/>
      <c r="AE49" s="169"/>
      <c r="AF49" s="169"/>
    </row>
    <row r="50" spans="2:32" ht="14.1" customHeight="1" thickBot="1" x14ac:dyDescent="0.25">
      <c r="B50" s="213"/>
      <c r="C50" s="861"/>
      <c r="D50" s="861"/>
      <c r="E50" s="861"/>
      <c r="F50" s="861"/>
      <c r="G50" s="861"/>
      <c r="H50" s="861"/>
      <c r="I50" s="861"/>
      <c r="J50" s="861"/>
      <c r="K50" s="861"/>
      <c r="L50" s="861"/>
      <c r="M50" s="861"/>
      <c r="N50" s="861"/>
      <c r="O50" s="137"/>
      <c r="P50" s="137"/>
      <c r="T50" s="215"/>
      <c r="U50" s="212"/>
      <c r="V50" s="212"/>
      <c r="W50" s="212"/>
      <c r="X50" s="212"/>
      <c r="Y50" s="212"/>
      <c r="Z50" s="212"/>
      <c r="AD50" s="169"/>
      <c r="AE50" s="169"/>
      <c r="AF50" s="169"/>
    </row>
    <row r="51" spans="2:32" ht="15" thickBot="1" x14ac:dyDescent="0.25">
      <c r="B51" s="162" t="s">
        <v>105</v>
      </c>
      <c r="C51" s="1033" t="s">
        <v>106</v>
      </c>
      <c r="D51" s="1033"/>
      <c r="E51" s="1033"/>
      <c r="F51" s="1033"/>
      <c r="G51" s="1033"/>
      <c r="H51" s="1033"/>
      <c r="I51" s="1033"/>
      <c r="J51" s="1033"/>
      <c r="K51" s="1033"/>
      <c r="L51" s="1033"/>
      <c r="M51" s="1033"/>
      <c r="N51" s="1035"/>
      <c r="O51" s="137"/>
      <c r="P51" s="137"/>
      <c r="T51" s="215"/>
      <c r="U51" s="212"/>
      <c r="V51" s="212"/>
      <c r="W51" s="212"/>
      <c r="X51" s="212"/>
      <c r="Y51" s="212"/>
      <c r="Z51" s="212"/>
      <c r="AD51" s="169"/>
      <c r="AE51" s="169"/>
      <c r="AF51" s="169"/>
    </row>
    <row r="52" spans="2:32" ht="63.75" x14ac:dyDescent="0.2">
      <c r="B52" s="189">
        <f>B20</f>
        <v>12</v>
      </c>
      <c r="C52" s="951" t="s">
        <v>910</v>
      </c>
      <c r="D52" s="951"/>
      <c r="E52" s="951"/>
      <c r="F52" s="951"/>
      <c r="G52" s="951"/>
      <c r="H52" s="951"/>
      <c r="I52" s="951"/>
      <c r="J52" s="951"/>
      <c r="K52" s="951"/>
      <c r="L52" s="951"/>
      <c r="M52" s="951"/>
      <c r="N52" s="952"/>
      <c r="O52" s="137"/>
      <c r="P52" s="137"/>
      <c r="T52" s="168" t="s">
        <v>396</v>
      </c>
      <c r="U52" s="212"/>
      <c r="V52" s="212"/>
      <c r="W52" s="212"/>
      <c r="X52" s="212"/>
      <c r="Y52" s="212"/>
      <c r="Z52" s="212"/>
      <c r="AD52" s="169"/>
      <c r="AE52" s="169"/>
      <c r="AF52" s="169"/>
    </row>
    <row r="53" spans="2:32" x14ac:dyDescent="0.2">
      <c r="B53" s="166">
        <f t="shared" ref="B53:B57" si="32">B21</f>
        <v>13</v>
      </c>
      <c r="C53" s="879" t="s">
        <v>911</v>
      </c>
      <c r="D53" s="879"/>
      <c r="E53" s="879"/>
      <c r="F53" s="879"/>
      <c r="G53" s="879"/>
      <c r="H53" s="879"/>
      <c r="I53" s="879"/>
      <c r="J53" s="879"/>
      <c r="K53" s="879"/>
      <c r="L53" s="879"/>
      <c r="M53" s="879"/>
      <c r="N53" s="880"/>
      <c r="O53" s="137"/>
      <c r="P53" s="137"/>
      <c r="T53" s="215">
        <v>1</v>
      </c>
      <c r="U53" s="212"/>
      <c r="V53" s="212"/>
      <c r="W53" s="212"/>
      <c r="X53" s="212"/>
      <c r="Y53" s="212"/>
      <c r="Z53" s="212"/>
      <c r="AD53" s="186"/>
      <c r="AE53" s="186"/>
      <c r="AF53" s="186"/>
    </row>
    <row r="54" spans="2:32" x14ac:dyDescent="0.2">
      <c r="B54" s="166">
        <f t="shared" si="32"/>
        <v>14</v>
      </c>
      <c r="C54" s="879" t="s">
        <v>912</v>
      </c>
      <c r="D54" s="879"/>
      <c r="E54" s="879"/>
      <c r="F54" s="879"/>
      <c r="G54" s="879"/>
      <c r="H54" s="879"/>
      <c r="I54" s="879"/>
      <c r="J54" s="879"/>
      <c r="K54" s="879"/>
      <c r="L54" s="879"/>
      <c r="M54" s="879"/>
      <c r="N54" s="880"/>
      <c r="O54" s="137"/>
      <c r="P54" s="137"/>
      <c r="T54" s="216">
        <v>1</v>
      </c>
      <c r="U54" s="212"/>
      <c r="V54" s="212"/>
      <c r="W54" s="212"/>
      <c r="X54" s="212"/>
      <c r="Y54" s="212"/>
      <c r="Z54" s="212"/>
      <c r="AD54" s="186"/>
      <c r="AE54" s="186"/>
      <c r="AF54" s="186"/>
    </row>
    <row r="55" spans="2:32" ht="46.5" customHeight="1" x14ac:dyDescent="0.2">
      <c r="B55" s="166">
        <f t="shared" si="32"/>
        <v>15</v>
      </c>
      <c r="C55" s="879" t="s">
        <v>913</v>
      </c>
      <c r="D55" s="879"/>
      <c r="E55" s="879"/>
      <c r="F55" s="879"/>
      <c r="G55" s="879"/>
      <c r="H55" s="879"/>
      <c r="I55" s="879"/>
      <c r="J55" s="879"/>
      <c r="K55" s="879"/>
      <c r="L55" s="879"/>
      <c r="M55" s="879"/>
      <c r="N55" s="880"/>
      <c r="O55" s="137"/>
      <c r="P55" s="137"/>
      <c r="T55" s="168" t="s">
        <v>118</v>
      </c>
      <c r="U55" s="212"/>
      <c r="V55" s="212"/>
      <c r="W55" s="212"/>
      <c r="X55" s="212"/>
      <c r="Y55" s="212"/>
      <c r="Z55" s="212"/>
      <c r="AD55" s="122"/>
      <c r="AE55" s="122"/>
      <c r="AF55" s="122"/>
    </row>
    <row r="56" spans="2:32" x14ac:dyDescent="0.2">
      <c r="B56" s="166">
        <f t="shared" si="32"/>
        <v>16</v>
      </c>
      <c r="C56" s="879" t="s">
        <v>914</v>
      </c>
      <c r="D56" s="879"/>
      <c r="E56" s="879"/>
      <c r="F56" s="879"/>
      <c r="G56" s="879"/>
      <c r="H56" s="879"/>
      <c r="I56" s="879"/>
      <c r="J56" s="879"/>
      <c r="K56" s="879"/>
      <c r="L56" s="879"/>
      <c r="M56" s="879"/>
      <c r="N56" s="880"/>
      <c r="O56" s="137"/>
      <c r="P56" s="137"/>
      <c r="T56" s="215">
        <v>1</v>
      </c>
      <c r="U56" s="212"/>
      <c r="V56" s="212"/>
      <c r="W56" s="212"/>
      <c r="X56" s="212"/>
      <c r="Y56" s="212"/>
      <c r="Z56" s="212"/>
      <c r="AD56" s="122"/>
      <c r="AE56" s="122"/>
      <c r="AF56" s="122"/>
    </row>
    <row r="57" spans="2:32" ht="15" thickBot="1" x14ac:dyDescent="0.25">
      <c r="B57" s="191">
        <f t="shared" si="32"/>
        <v>17</v>
      </c>
      <c r="C57" s="955" t="s">
        <v>915</v>
      </c>
      <c r="D57" s="955"/>
      <c r="E57" s="955"/>
      <c r="F57" s="955"/>
      <c r="G57" s="955"/>
      <c r="H57" s="955"/>
      <c r="I57" s="955"/>
      <c r="J57" s="955"/>
      <c r="K57" s="955"/>
      <c r="L57" s="955"/>
      <c r="M57" s="955"/>
      <c r="N57" s="956"/>
      <c r="O57" s="137"/>
      <c r="P57" s="137"/>
      <c r="T57" s="216">
        <v>1</v>
      </c>
      <c r="U57" s="212"/>
      <c r="V57" s="212"/>
      <c r="W57" s="212"/>
      <c r="X57" s="212"/>
      <c r="Y57" s="212"/>
      <c r="Z57" s="212"/>
      <c r="AD57" s="186"/>
      <c r="AE57" s="186"/>
      <c r="AF57" s="186"/>
    </row>
    <row r="58" spans="2:32" x14ac:dyDescent="0.2">
      <c r="B58" s="213"/>
      <c r="C58" s="1060"/>
      <c r="D58" s="1060"/>
      <c r="E58" s="1060"/>
      <c r="F58" s="1060"/>
      <c r="G58" s="1060"/>
      <c r="H58" s="1060"/>
      <c r="O58" s="137"/>
      <c r="P58" s="137"/>
      <c r="T58" s="212"/>
      <c r="U58" s="212"/>
      <c r="V58" s="212"/>
      <c r="W58" s="212"/>
      <c r="X58" s="212"/>
      <c r="Y58" s="212"/>
      <c r="Z58" s="212"/>
      <c r="AD58" s="122"/>
      <c r="AE58" s="122"/>
      <c r="AF58" s="122"/>
    </row>
    <row r="59" spans="2:32" hidden="1" x14ac:dyDescent="0.2">
      <c r="O59" s="137"/>
      <c r="P59" s="137"/>
      <c r="T59" s="212"/>
      <c r="U59" s="212"/>
      <c r="V59" s="212"/>
      <c r="W59" s="212"/>
      <c r="X59" s="212"/>
      <c r="Y59" s="212"/>
      <c r="Z59" s="212"/>
      <c r="AD59" s="122"/>
      <c r="AE59" s="122"/>
      <c r="AF59" s="122"/>
    </row>
    <row r="60" spans="2:32" hidden="1" x14ac:dyDescent="0.2">
      <c r="O60" s="137"/>
      <c r="P60" s="137"/>
      <c r="U60" s="212"/>
      <c r="V60" s="212"/>
      <c r="W60" s="212"/>
      <c r="X60" s="212"/>
      <c r="Y60" s="212"/>
      <c r="Z60" s="212"/>
      <c r="AD60" s="122"/>
      <c r="AE60" s="122"/>
      <c r="AF60" s="122"/>
    </row>
    <row r="61" spans="2:32" hidden="1" x14ac:dyDescent="0.2">
      <c r="O61" s="137"/>
      <c r="P61" s="137"/>
      <c r="U61" s="212"/>
      <c r="V61" s="212"/>
      <c r="W61" s="212"/>
      <c r="X61" s="212"/>
      <c r="Y61" s="212"/>
      <c r="Z61" s="212"/>
      <c r="AD61" s="122"/>
      <c r="AE61" s="122"/>
      <c r="AF61" s="122"/>
    </row>
    <row r="62" spans="2:32" hidden="1" x14ac:dyDescent="0.2">
      <c r="O62" s="137"/>
      <c r="P62" s="137"/>
      <c r="U62" s="212"/>
      <c r="V62" s="212"/>
      <c r="W62" s="212"/>
      <c r="X62" s="212"/>
      <c r="Y62" s="212"/>
      <c r="Z62" s="212"/>
      <c r="AD62" s="122"/>
      <c r="AE62" s="122"/>
      <c r="AF62" s="122"/>
    </row>
    <row r="63" spans="2:32" hidden="1" x14ac:dyDescent="0.2">
      <c r="O63" s="137"/>
      <c r="P63" s="137"/>
      <c r="U63" s="212"/>
      <c r="V63" s="212"/>
      <c r="W63" s="212"/>
      <c r="X63" s="212"/>
      <c r="Y63" s="212"/>
      <c r="Z63" s="212"/>
      <c r="AD63" s="122"/>
      <c r="AE63" s="122"/>
      <c r="AF63" s="122"/>
    </row>
    <row r="64" spans="2:32" hidden="1" x14ac:dyDescent="0.2">
      <c r="O64" s="137"/>
      <c r="P64" s="137"/>
      <c r="U64" s="212"/>
      <c r="V64" s="212"/>
      <c r="W64" s="212"/>
      <c r="X64" s="212"/>
      <c r="Y64" s="212"/>
      <c r="Z64" s="212"/>
      <c r="AD64" s="122"/>
      <c r="AE64" s="122"/>
      <c r="AF64" s="122"/>
    </row>
    <row r="65" spans="15:32" hidden="1" x14ac:dyDescent="0.2">
      <c r="O65" s="137"/>
      <c r="P65" s="137"/>
      <c r="U65" s="212"/>
      <c r="V65" s="212"/>
      <c r="W65" s="212"/>
      <c r="X65" s="212"/>
      <c r="Y65" s="212"/>
      <c r="Z65" s="212"/>
      <c r="AD65" s="122"/>
      <c r="AE65" s="122"/>
      <c r="AF65" s="122"/>
    </row>
    <row r="66" spans="15:32" hidden="1" x14ac:dyDescent="0.2">
      <c r="O66" s="137"/>
      <c r="P66" s="137"/>
      <c r="U66" s="212"/>
      <c r="V66" s="212"/>
      <c r="W66" s="212"/>
      <c r="X66" s="212"/>
      <c r="Y66" s="212"/>
      <c r="Z66" s="212"/>
      <c r="AD66" s="122"/>
      <c r="AE66" s="122"/>
      <c r="AF66" s="122"/>
    </row>
    <row r="67" spans="15:32" hidden="1" x14ac:dyDescent="0.2">
      <c r="U67" s="212"/>
      <c r="V67" s="212"/>
      <c r="W67" s="212"/>
      <c r="X67" s="212"/>
      <c r="Y67" s="212"/>
      <c r="Z67" s="212"/>
      <c r="AD67" s="122"/>
      <c r="AE67" s="122"/>
      <c r="AF67" s="122"/>
    </row>
    <row r="68" spans="15:32" hidden="1" x14ac:dyDescent="0.2">
      <c r="U68" s="212"/>
      <c r="V68" s="212"/>
      <c r="W68" s="212"/>
      <c r="X68" s="212"/>
      <c r="Y68" s="212"/>
      <c r="Z68" s="212"/>
      <c r="AD68" s="122"/>
      <c r="AE68" s="122"/>
      <c r="AF68" s="122"/>
    </row>
    <row r="69" spans="15:32" hidden="1" x14ac:dyDescent="0.2">
      <c r="U69" s="212"/>
      <c r="V69" s="212"/>
      <c r="W69" s="212"/>
      <c r="X69" s="212"/>
      <c r="Y69" s="212"/>
      <c r="Z69" s="212"/>
      <c r="AD69" s="122"/>
      <c r="AE69" s="122"/>
      <c r="AF69" s="122"/>
    </row>
    <row r="70" spans="15:32" hidden="1" x14ac:dyDescent="0.2">
      <c r="U70" s="212"/>
      <c r="V70" s="212"/>
      <c r="W70" s="212"/>
      <c r="X70" s="212"/>
      <c r="Y70" s="212"/>
      <c r="Z70" s="212"/>
      <c r="AD70" s="122"/>
      <c r="AE70" s="122"/>
      <c r="AF70" s="122"/>
    </row>
    <row r="71" spans="15:32" hidden="1" x14ac:dyDescent="0.2">
      <c r="U71" s="212"/>
      <c r="V71" s="212"/>
      <c r="W71" s="212"/>
      <c r="X71" s="212"/>
      <c r="Y71" s="212"/>
      <c r="Z71" s="212"/>
      <c r="AD71" s="122"/>
      <c r="AE71" s="122"/>
      <c r="AF71" s="122"/>
    </row>
    <row r="72" spans="15:32" hidden="1" x14ac:dyDescent="0.2">
      <c r="U72" s="212"/>
      <c r="V72" s="212"/>
      <c r="W72" s="212"/>
      <c r="X72" s="212"/>
      <c r="Y72" s="212"/>
      <c r="Z72" s="212"/>
      <c r="AD72" s="122"/>
      <c r="AE72" s="122"/>
      <c r="AF72" s="122"/>
    </row>
    <row r="73" spans="15:32" hidden="1" x14ac:dyDescent="0.2">
      <c r="U73" s="212"/>
      <c r="V73" s="212"/>
      <c r="W73" s="212"/>
      <c r="X73" s="212"/>
      <c r="Y73" s="212"/>
      <c r="Z73" s="212"/>
      <c r="AD73" s="122"/>
      <c r="AE73" s="122"/>
      <c r="AF73" s="122"/>
    </row>
    <row r="74" spans="15:32" hidden="1" x14ac:dyDescent="0.2">
      <c r="U74" s="212"/>
      <c r="V74" s="212"/>
      <c r="W74" s="212"/>
      <c r="X74" s="212"/>
      <c r="Y74" s="212"/>
      <c r="Z74" s="212"/>
      <c r="AD74" s="122"/>
      <c r="AE74" s="122"/>
      <c r="AF74" s="122"/>
    </row>
    <row r="75" spans="15:32" hidden="1" x14ac:dyDescent="0.2">
      <c r="U75" s="212"/>
      <c r="V75" s="212"/>
      <c r="W75" s="212"/>
      <c r="X75" s="212"/>
      <c r="Y75" s="212"/>
      <c r="Z75" s="212"/>
      <c r="AD75" s="122"/>
      <c r="AE75" s="122"/>
      <c r="AF75" s="122"/>
    </row>
    <row r="76" spans="15:32" hidden="1" x14ac:dyDescent="0.2">
      <c r="U76" s="212"/>
      <c r="V76" s="212"/>
      <c r="W76" s="212"/>
      <c r="X76" s="212"/>
      <c r="Y76" s="212"/>
      <c r="Z76" s="212"/>
      <c r="AD76" s="122"/>
      <c r="AE76" s="122"/>
      <c r="AF76" s="122"/>
    </row>
    <row r="77" spans="15:32" hidden="1" x14ac:dyDescent="0.2">
      <c r="U77" s="212"/>
      <c r="V77" s="212"/>
      <c r="W77" s="212"/>
      <c r="X77" s="212"/>
      <c r="Y77" s="212"/>
      <c r="Z77" s="212"/>
      <c r="AD77" s="122"/>
      <c r="AE77" s="122"/>
      <c r="AF77" s="122"/>
    </row>
    <row r="78" spans="15:32" hidden="1" x14ac:dyDescent="0.2">
      <c r="U78" s="212"/>
      <c r="V78" s="212"/>
      <c r="W78" s="212"/>
      <c r="X78" s="212"/>
      <c r="Y78" s="212"/>
      <c r="Z78" s="212"/>
      <c r="AD78" s="122"/>
      <c r="AE78" s="122"/>
      <c r="AF78" s="122"/>
    </row>
    <row r="79" spans="15:32" hidden="1" x14ac:dyDescent="0.2">
      <c r="U79" s="212"/>
      <c r="V79" s="212"/>
      <c r="W79" s="212"/>
      <c r="X79" s="212"/>
      <c r="Y79" s="212"/>
      <c r="Z79" s="212"/>
      <c r="AD79" s="122"/>
      <c r="AE79" s="122"/>
      <c r="AF79" s="122"/>
    </row>
    <row r="80" spans="15:32" hidden="1" x14ac:dyDescent="0.2">
      <c r="U80" s="212"/>
      <c r="V80" s="212"/>
      <c r="W80" s="212"/>
      <c r="X80" s="212"/>
      <c r="Y80" s="212"/>
      <c r="Z80" s="212"/>
    </row>
    <row r="81" spans="21:26" hidden="1" x14ac:dyDescent="0.2">
      <c r="U81" s="212"/>
      <c r="V81" s="212"/>
      <c r="W81" s="212"/>
      <c r="X81" s="212"/>
      <c r="Y81" s="212"/>
      <c r="Z81" s="212"/>
    </row>
    <row r="82" spans="21:26" hidden="1" x14ac:dyDescent="0.2">
      <c r="U82" s="212"/>
      <c r="V82" s="212"/>
      <c r="W82" s="212"/>
      <c r="X82" s="212"/>
      <c r="Y82" s="212"/>
      <c r="Z82" s="212"/>
    </row>
    <row r="83" spans="21:26" hidden="1" x14ac:dyDescent="0.2">
      <c r="U83" s="212"/>
      <c r="V83" s="212"/>
      <c r="W83" s="212"/>
      <c r="X83" s="212"/>
      <c r="Y83" s="212"/>
      <c r="Z83" s="212"/>
    </row>
    <row r="84" spans="21:26" hidden="1" x14ac:dyDescent="0.2">
      <c r="U84" s="212"/>
      <c r="V84" s="212"/>
      <c r="W84" s="212"/>
      <c r="X84" s="212"/>
      <c r="Y84" s="212"/>
      <c r="Z84" s="212"/>
    </row>
    <row r="85" spans="21:26" hidden="1" x14ac:dyDescent="0.2">
      <c r="U85" s="212"/>
      <c r="V85" s="212"/>
      <c r="W85" s="212"/>
      <c r="X85" s="212"/>
      <c r="Y85" s="212"/>
      <c r="Z85" s="212"/>
    </row>
  </sheetData>
  <sheetProtection algorithmName="SHA-512" hashValue="cVsUYV50WC5iXr+6LAEENj1dj3GlJnRvVL1oTSaYdo9HfW6ysnjBcoCMvW+YKFeoQ50B2MIUz/dC+StId63FlA==" saltValue="SlDbcA1LRvzgfgpBbu89zQ==" spinCount="100000" sheet="1" objects="1" scenarios="1"/>
  <mergeCells count="42">
    <mergeCell ref="C45:G45"/>
    <mergeCell ref="H45:N45"/>
    <mergeCell ref="C46:G46"/>
    <mergeCell ref="H46:N46"/>
    <mergeCell ref="C47:G47"/>
    <mergeCell ref="H47:N47"/>
    <mergeCell ref="C58:H58"/>
    <mergeCell ref="C48:G48"/>
    <mergeCell ref="H48:N48"/>
    <mergeCell ref="C49:G49"/>
    <mergeCell ref="H49:N49"/>
    <mergeCell ref="C51:N51"/>
    <mergeCell ref="C52:N52"/>
    <mergeCell ref="C53:N53"/>
    <mergeCell ref="C54:N54"/>
    <mergeCell ref="C55:N55"/>
    <mergeCell ref="C56:N56"/>
    <mergeCell ref="C57:N57"/>
    <mergeCell ref="C42:G42"/>
    <mergeCell ref="H42:N42"/>
    <mergeCell ref="C43:G43"/>
    <mergeCell ref="H43:N43"/>
    <mergeCell ref="C44:G44"/>
    <mergeCell ref="H44:N44"/>
    <mergeCell ref="C39:G39"/>
    <mergeCell ref="H39:N39"/>
    <mergeCell ref="C40:G40"/>
    <mergeCell ref="H40:N40"/>
    <mergeCell ref="C41:G41"/>
    <mergeCell ref="H41:N41"/>
    <mergeCell ref="P3:P4"/>
    <mergeCell ref="Q3:Q4"/>
    <mergeCell ref="T5:Z5"/>
    <mergeCell ref="B27:C27"/>
    <mergeCell ref="C38:G38"/>
    <mergeCell ref="H38:N38"/>
    <mergeCell ref="B3:C4"/>
    <mergeCell ref="D3:D4"/>
    <mergeCell ref="E3:E4"/>
    <mergeCell ref="F3:I3"/>
    <mergeCell ref="J3:M3"/>
    <mergeCell ref="N3:N4"/>
  </mergeCells>
  <conditionalFormatting sqref="P7:P17">
    <cfRule type="cellIs" dxfId="19" priority="19" operator="equal">
      <formula>0</formula>
    </cfRule>
  </conditionalFormatting>
  <conditionalFormatting sqref="Q7:Q11">
    <cfRule type="cellIs" dxfId="18" priority="22" operator="equal">
      <formula>0</formula>
    </cfRule>
  </conditionalFormatting>
  <conditionalFormatting sqref="Q13">
    <cfRule type="cellIs" dxfId="17" priority="13" operator="equal">
      <formula>0</formula>
    </cfRule>
  </conditionalFormatting>
  <conditionalFormatting sqref="Q15:Q16">
    <cfRule type="cellIs" dxfId="16" priority="12" operator="equal">
      <formula>0</formula>
    </cfRule>
  </conditionalFormatting>
  <conditionalFormatting sqref="Q20:Q21 Q23:Q24">
    <cfRule type="cellIs" dxfId="15" priority="21" operator="equal">
      <formula>0</formula>
    </cfRule>
  </conditionalFormatting>
  <printOptions horizontalCentered="1"/>
  <pageMargins left="0.39370078740157483" right="0.39370078740157483" top="0.78740157480314965" bottom="0.78740157480314965" header="0.31496062992125984" footer="0.31496062992125984"/>
  <pageSetup paperSize="9" scale="34"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9" id="{51F10271-CD71-49F7-9980-DDC96F914C99}">
            <xm:f>'C:\Temp\notes6888BE\[2016-17 APR tables (April 2017).xlsx]Validation'!#REF!=1</xm:f>
            <x14:dxf>
              <fill>
                <patternFill>
                  <bgColor rgb="FFE0DCD8"/>
                </patternFill>
              </fill>
            </x14:dxf>
          </x14:cfRule>
          <xm:sqref>G7:H9</xm:sqref>
        </x14:conditionalFormatting>
        <x14:conditionalFormatting xmlns:xm="http://schemas.microsoft.com/office/excel/2006/main">
          <x14:cfRule type="expression" priority="8" id="{D6FF26C3-808A-4E37-921B-34EE936A73A7}">
            <xm:f>'C:\Temp\notes6888BE\[2016-17 APR tables (April 2017).xlsx]Validation'!#REF!=1</xm:f>
            <x14:dxf>
              <fill>
                <patternFill>
                  <bgColor rgb="FFE0DCD8"/>
                </patternFill>
              </fill>
            </x14:dxf>
          </x14:cfRule>
          <xm:sqref>G11:H11</xm:sqref>
        </x14:conditionalFormatting>
        <x14:conditionalFormatting xmlns:xm="http://schemas.microsoft.com/office/excel/2006/main">
          <x14:cfRule type="expression" priority="62" id="{A27A2449-78A9-46CA-84AF-963CC7EFB43C}">
            <xm:f>Validation!$H$3=1</xm:f>
            <x14:dxf>
              <fill>
                <patternFill>
                  <bgColor rgb="FFE0DCD8"/>
                </patternFill>
              </fill>
            </x14:dxf>
          </x14:cfRule>
          <xm:sqref>G12:H12 K12:L12 G17:H17 K17:L17</xm:sqref>
        </x14:conditionalFormatting>
        <x14:conditionalFormatting xmlns:xm="http://schemas.microsoft.com/office/excel/2006/main">
          <x14:cfRule type="expression" priority="7" id="{A4CC152B-282F-46FA-B5D2-3C130D1645A2}">
            <xm:f>'C:\Temp\notes6888BE\[2016-17 APR tables (April 2017).xlsx]Validation'!#REF!=1</xm:f>
            <x14:dxf>
              <fill>
                <patternFill>
                  <bgColor rgb="FFE0DCD8"/>
                </patternFill>
              </fill>
            </x14:dxf>
          </x14:cfRule>
          <xm:sqref>G13:H13</xm:sqref>
        </x14:conditionalFormatting>
        <x14:conditionalFormatting xmlns:xm="http://schemas.microsoft.com/office/excel/2006/main">
          <x14:cfRule type="expression" priority="5" id="{4A95202D-AE47-483E-8609-B51692E70DC9}">
            <xm:f>'C:\Temp\notes6888BE\[2016-17 APR tables (April 2017).xlsx]Validation'!#REF!=1</xm:f>
            <x14:dxf>
              <fill>
                <patternFill>
                  <bgColor rgb="FFE0DCD8"/>
                </patternFill>
              </fill>
            </x14:dxf>
          </x14:cfRule>
          <xm:sqref>G15:H16</xm:sqref>
        </x14:conditionalFormatting>
        <x14:conditionalFormatting xmlns:xm="http://schemas.microsoft.com/office/excel/2006/main">
          <x14:cfRule type="expression" priority="4" id="{FAFB531C-F5EC-4A67-B619-84CBFB73C66F}">
            <xm:f>'C:\Temp\notes6888BE\[2016-17 APR tables (April 2017).xlsx]Validation'!#REF!=1</xm:f>
            <x14:dxf>
              <fill>
                <patternFill>
                  <bgColor rgb="FFE0DCD8"/>
                </patternFill>
              </fill>
            </x14:dxf>
          </x14:cfRule>
          <xm:sqref>K7:L11</xm:sqref>
        </x14:conditionalFormatting>
        <x14:conditionalFormatting xmlns:xm="http://schemas.microsoft.com/office/excel/2006/main">
          <x14:cfRule type="expression" priority="3" id="{82A28242-B49E-486A-9DD2-0AFBDA79F3C8}">
            <xm:f>'C:\Temp\notes6888BE\[2016-17 APR tables (April 2017).xlsx]Validation'!#REF!=1</xm:f>
            <x14:dxf>
              <fill>
                <patternFill>
                  <bgColor rgb="FFE0DCD8"/>
                </patternFill>
              </fill>
            </x14:dxf>
          </x14:cfRule>
          <xm:sqref>K13:L13</xm:sqref>
        </x14:conditionalFormatting>
        <x14:conditionalFormatting xmlns:xm="http://schemas.microsoft.com/office/excel/2006/main">
          <x14:cfRule type="expression" priority="1" id="{8D1AE0C6-281B-4D62-AF05-3AB08367FDB5}">
            <xm:f>'C:\Temp\notes6888BE\[2016-17 APR tables (April 2017).xlsx]Validation'!#REF!=1</xm:f>
            <x14:dxf>
              <fill>
                <patternFill>
                  <bgColor rgb="FFE0DCD8"/>
                </patternFill>
              </fill>
            </x14:dxf>
          </x14:cfRule>
          <xm:sqref>K15:L16</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V84"/>
  <sheetViews>
    <sheetView showGridLines="0" zoomScale="85" zoomScaleNormal="85" workbookViewId="0">
      <selection activeCell="F17" sqref="F17:G17"/>
    </sheetView>
  </sheetViews>
  <sheetFormatPr defaultColWidth="0" defaultRowHeight="14.25" zeroHeight="1" x14ac:dyDescent="0.2"/>
  <cols>
    <col min="1" max="1" width="2.5" customWidth="1"/>
    <col min="2" max="2" width="4.125" customWidth="1"/>
    <col min="3" max="3" width="48.25" bestFit="1" customWidth="1"/>
    <col min="4" max="5" width="5.125" customWidth="1"/>
    <col min="6" max="8" width="14.625" customWidth="1"/>
    <col min="9" max="9" width="2.625" style="83" customWidth="1"/>
    <col min="10" max="10" width="62.25" style="87" bestFit="1" customWidth="1"/>
    <col min="11" max="11" width="18.75" style="83" bestFit="1" customWidth="1"/>
    <col min="12" max="12" width="1.625" style="83" customWidth="1"/>
    <col min="13" max="13" width="1.625" style="84" hidden="1" customWidth="1"/>
    <col min="14" max="15" width="8.625" style="83" hidden="1" customWidth="1"/>
    <col min="16" max="16" width="1.625" style="84" hidden="1" customWidth="1"/>
    <col min="17" max="17" width="8.75" style="87" hidden="1" customWidth="1"/>
    <col min="18" max="18" width="1.625" style="84" hidden="1" customWidth="1"/>
    <col min="19" max="20" width="8.75" style="87" hidden="1" customWidth="1"/>
    <col min="21" max="21" width="71.125" style="87" hidden="1" customWidth="1"/>
    <col min="22" max="22" width="1.625" style="84" hidden="1" customWidth="1"/>
    <col min="23" max="16384" width="8.75" hidden="1"/>
  </cols>
  <sheetData>
    <row r="1" spans="2:21" ht="20.25" x14ac:dyDescent="0.2">
      <c r="B1" s="79" t="s">
        <v>916</v>
      </c>
      <c r="C1" s="79"/>
      <c r="D1" s="79"/>
      <c r="E1" s="79"/>
      <c r="F1" s="79"/>
      <c r="G1" s="79"/>
      <c r="H1" s="81" t="str">
        <f>Validation!B3</f>
        <v>Yorkshire Water</v>
      </c>
      <c r="I1" s="79"/>
      <c r="J1" s="82"/>
      <c r="K1" s="82" t="s">
        <v>72</v>
      </c>
      <c r="Q1" s="83"/>
      <c r="S1"/>
      <c r="T1"/>
      <c r="U1"/>
    </row>
    <row r="2" spans="2:21" ht="15" thickBot="1" x14ac:dyDescent="0.25">
      <c r="B2" s="86" t="s">
        <v>55</v>
      </c>
      <c r="C2" s="83"/>
      <c r="D2" s="83"/>
      <c r="E2" s="83"/>
      <c r="F2" s="83"/>
      <c r="G2" s="83"/>
      <c r="H2" s="83"/>
      <c r="J2" s="83"/>
      <c r="Q2" s="83"/>
    </row>
    <row r="3" spans="2:21" ht="24.75" thickBot="1" x14ac:dyDescent="0.25">
      <c r="B3" s="985" t="s">
        <v>73</v>
      </c>
      <c r="C3" s="986"/>
      <c r="D3" s="192" t="s">
        <v>74</v>
      </c>
      <c r="E3" s="193" t="s">
        <v>75</v>
      </c>
      <c r="F3" s="194" t="s">
        <v>457</v>
      </c>
      <c r="G3" s="195" t="s">
        <v>458</v>
      </c>
      <c r="H3" s="196" t="s">
        <v>257</v>
      </c>
      <c r="J3" s="196" t="s">
        <v>294</v>
      </c>
      <c r="K3" s="196" t="s">
        <v>79</v>
      </c>
      <c r="N3" s="896" t="s">
        <v>83</v>
      </c>
      <c r="O3" s="896"/>
      <c r="Q3" s="842" t="s">
        <v>61</v>
      </c>
      <c r="S3" s="89" t="s">
        <v>295</v>
      </c>
      <c r="T3" s="89"/>
      <c r="U3" s="842"/>
    </row>
    <row r="4" spans="2:21" ht="15" thickBot="1" x14ac:dyDescent="0.25">
      <c r="B4" s="83"/>
      <c r="C4" s="83"/>
      <c r="D4" s="83"/>
      <c r="E4" s="83"/>
      <c r="F4" s="83"/>
      <c r="G4" s="83"/>
      <c r="H4" s="83"/>
      <c r="J4" s="83"/>
      <c r="N4" s="97" t="s">
        <v>84</v>
      </c>
    </row>
    <row r="5" spans="2:21" ht="14.1" customHeight="1" x14ac:dyDescent="0.2">
      <c r="B5" s="98">
        <v>1</v>
      </c>
      <c r="C5" s="128" t="s">
        <v>85</v>
      </c>
      <c r="D5" s="100" t="s">
        <v>86</v>
      </c>
      <c r="E5" s="101">
        <v>3</v>
      </c>
      <c r="F5" s="197">
        <f xml:space="preserve"> '2A'!J6 + '2A'!J7</f>
        <v>411.49983877896614</v>
      </c>
      <c r="G5" s="199">
        <f xml:space="preserve"> '2A'!M6 + '2A'!M7</f>
        <v>501.45946200000003</v>
      </c>
      <c r="H5" s="206">
        <f>F5+G5</f>
        <v>912.95930077896617</v>
      </c>
      <c r="J5" s="83"/>
      <c r="N5" s="132"/>
      <c r="O5" s="132"/>
      <c r="Q5" s="254"/>
      <c r="S5" s="707"/>
      <c r="T5" s="707"/>
      <c r="U5" s="254"/>
    </row>
    <row r="6" spans="2:21" x14ac:dyDescent="0.2">
      <c r="B6" s="106">
        <f xml:space="preserve"> B5 + 1</f>
        <v>2</v>
      </c>
      <c r="C6" s="99" t="s">
        <v>307</v>
      </c>
      <c r="D6" s="107" t="s">
        <v>86</v>
      </c>
      <c r="E6" s="108">
        <v>3</v>
      </c>
      <c r="F6" s="200">
        <f xml:space="preserve"> -1 * ('2B'!F15 + '2B'!G15)</f>
        <v>-185.21900000000002</v>
      </c>
      <c r="G6" s="748">
        <f xml:space="preserve"> -1 * ('2B'!H15 + '2B'!I15)</f>
        <v>-206.06100000000001</v>
      </c>
      <c r="H6" s="207">
        <f t="shared" ref="H6:H18" si="0">F6+G6</f>
        <v>-391.28000000000003</v>
      </c>
      <c r="J6" s="83"/>
      <c r="N6" s="132"/>
      <c r="O6" s="132"/>
      <c r="Q6"/>
    </row>
    <row r="7" spans="2:21" x14ac:dyDescent="0.2">
      <c r="B7" s="106">
        <f t="shared" ref="B7:B18" si="1" xml:space="preserve"> B6 + 1</f>
        <v>3</v>
      </c>
      <c r="C7" s="99" t="s">
        <v>917</v>
      </c>
      <c r="D7" s="107" t="s">
        <v>86</v>
      </c>
      <c r="E7" s="108">
        <v>3</v>
      </c>
      <c r="F7" s="439">
        <v>-73.117999999999995</v>
      </c>
      <c r="G7" s="443">
        <v>-151.54400000000001</v>
      </c>
      <c r="H7" s="207">
        <f t="shared" si="0"/>
        <v>-224.66200000000001</v>
      </c>
      <c r="J7" s="83"/>
      <c r="K7" s="28">
        <f t="shared" ref="K7" si="2" xml:space="preserve"> IF( SUM( M7:P7 ) = 0, 0, $N$4 )</f>
        <v>0</v>
      </c>
      <c r="N7" s="105">
        <f t="shared" ref="N7:N14" si="3" xml:space="preserve"> IF( ISNUMBER( F7 ), 0, 1 )</f>
        <v>0</v>
      </c>
      <c r="O7" s="105">
        <f>IF(Validation!$H$3=1,0,IF(ISNUMBER(G7),0,1))</f>
        <v>0</v>
      </c>
      <c r="Q7" s="132"/>
      <c r="S7" s="171"/>
      <c r="T7" s="171"/>
    </row>
    <row r="8" spans="2:21" x14ac:dyDescent="0.2">
      <c r="B8" s="106">
        <f t="shared" si="1"/>
        <v>4</v>
      </c>
      <c r="C8" s="99" t="s">
        <v>88</v>
      </c>
      <c r="D8" s="107" t="s">
        <v>86</v>
      </c>
      <c r="E8" s="108">
        <v>3</v>
      </c>
      <c r="F8" s="200">
        <f xml:space="preserve"> '2A'!J11</f>
        <v>1.6890000000000001</v>
      </c>
      <c r="G8" s="748">
        <f xml:space="preserve"> '2A'!M11</f>
        <v>46.373999999999995</v>
      </c>
      <c r="H8" s="207">
        <f t="shared" si="0"/>
        <v>48.062999999999995</v>
      </c>
      <c r="J8" s="83"/>
      <c r="N8" s="132"/>
      <c r="O8" s="132"/>
      <c r="Q8" s="132"/>
      <c r="S8" s="171"/>
      <c r="T8" s="171"/>
    </row>
    <row r="9" spans="2:21" ht="15" thickBot="1" x14ac:dyDescent="0.25">
      <c r="B9" s="113">
        <f t="shared" si="1"/>
        <v>5</v>
      </c>
      <c r="C9" s="114" t="s">
        <v>918</v>
      </c>
      <c r="D9" s="115" t="s">
        <v>86</v>
      </c>
      <c r="E9" s="112">
        <v>3</v>
      </c>
      <c r="F9" s="203">
        <f>SUM(F5:F8)</f>
        <v>154.85183877896611</v>
      </c>
      <c r="G9" s="205">
        <f>SUM(G5:G8)</f>
        <v>190.22846199999998</v>
      </c>
      <c r="H9" s="208">
        <f t="shared" si="0"/>
        <v>345.08030077896609</v>
      </c>
      <c r="J9" s="83"/>
      <c r="Q9" s="132"/>
      <c r="S9" s="171"/>
      <c r="T9" s="171"/>
    </row>
    <row r="10" spans="2:21" ht="15" thickBot="1" x14ac:dyDescent="0.25">
      <c r="B10" s="83"/>
      <c r="C10" s="83"/>
      <c r="D10" s="83"/>
      <c r="E10" s="83"/>
      <c r="F10" s="83"/>
      <c r="G10" s="83"/>
      <c r="H10" s="83"/>
      <c r="J10" s="83"/>
      <c r="Q10" s="132"/>
      <c r="S10" s="171"/>
      <c r="T10" s="171"/>
    </row>
    <row r="11" spans="2:21" x14ac:dyDescent="0.2">
      <c r="B11" s="98">
        <f xml:space="preserve"> B9 + 1</f>
        <v>6</v>
      </c>
      <c r="C11" s="128" t="s">
        <v>90</v>
      </c>
      <c r="D11" s="100" t="s">
        <v>86</v>
      </c>
      <c r="E11" s="101">
        <v>3</v>
      </c>
      <c r="F11" s="441">
        <v>5.1879999999999997</v>
      </c>
      <c r="G11" s="442">
        <v>4.8979999999999997</v>
      </c>
      <c r="H11" s="206">
        <f t="shared" si="0"/>
        <v>10.085999999999999</v>
      </c>
      <c r="J11" s="843">
        <f xml:space="preserve"> IF( SUM( P11:R11 ) = 0, 0, U11 )</f>
        <v>0</v>
      </c>
      <c r="K11" s="28">
        <f t="shared" ref="K11:K14" si="4" xml:space="preserve"> IF( SUM( M11:P11 ) = 0, 0, $N$4 )</f>
        <v>0</v>
      </c>
      <c r="N11" s="105">
        <f t="shared" si="3"/>
        <v>0</v>
      </c>
      <c r="O11" s="105">
        <f>IF(Validation!$H$3=1,0,IF(ISNUMBER(G11),0,1))</f>
        <v>0</v>
      </c>
      <c r="Q11" s="105">
        <f xml:space="preserve"> IF( (S11 - T11) = 0, 0, 1 )</f>
        <v>0</v>
      </c>
      <c r="S11" s="171">
        <f xml:space="preserve"> ROUND( H11, 3)</f>
        <v>10.086</v>
      </c>
      <c r="T11" s="171">
        <f xml:space="preserve"> ROUND( '1A'!J11, 3)</f>
        <v>10.086</v>
      </c>
      <c r="U11" s="87" t="s">
        <v>919</v>
      </c>
    </row>
    <row r="12" spans="2:21" x14ac:dyDescent="0.2">
      <c r="B12" s="106">
        <f t="shared" si="1"/>
        <v>7</v>
      </c>
      <c r="C12" s="99" t="s">
        <v>91</v>
      </c>
      <c r="D12" s="107" t="s">
        <v>86</v>
      </c>
      <c r="E12" s="108">
        <v>3</v>
      </c>
      <c r="F12" s="439">
        <v>34.11004697614036</v>
      </c>
      <c r="G12" s="443">
        <v>46.175953023859641</v>
      </c>
      <c r="H12" s="207">
        <f t="shared" si="0"/>
        <v>80.286000000000001</v>
      </c>
      <c r="J12" s="843">
        <f t="shared" ref="J12:J14" si="5" xml:space="preserve"> IF( SUM( P12:R12 ) = 0, 0, U12 )</f>
        <v>0</v>
      </c>
      <c r="K12" s="28">
        <f t="shared" si="4"/>
        <v>0</v>
      </c>
      <c r="N12" s="105">
        <f t="shared" si="3"/>
        <v>0</v>
      </c>
      <c r="O12" s="105">
        <f>IF(Validation!$H$3=1,0,IF(ISNUMBER(G12),0,1))</f>
        <v>0</v>
      </c>
      <c r="Q12" s="105">
        <f t="shared" ref="Q12:Q14" si="6" xml:space="preserve"> IF( (S12 - T12) = 0, 0, 1 )</f>
        <v>0</v>
      </c>
      <c r="S12" s="171">
        <f t="shared" ref="S12:S14" si="7" xml:space="preserve"> ROUND( H12, 3)</f>
        <v>80.286000000000001</v>
      </c>
      <c r="T12" s="171">
        <f xml:space="preserve"> ROUND( '1A'!J12, 3)</f>
        <v>80.286000000000001</v>
      </c>
      <c r="U12" s="87" t="s">
        <v>920</v>
      </c>
    </row>
    <row r="13" spans="2:21" x14ac:dyDescent="0.2">
      <c r="B13" s="106">
        <f t="shared" si="1"/>
        <v>8</v>
      </c>
      <c r="C13" s="99" t="s">
        <v>92</v>
      </c>
      <c r="D13" s="107" t="s">
        <v>86</v>
      </c>
      <c r="E13" s="108">
        <v>3</v>
      </c>
      <c r="F13" s="439">
        <v>-129.7967033049313</v>
      </c>
      <c r="G13" s="443">
        <v>-175.71029669506873</v>
      </c>
      <c r="H13" s="207">
        <f t="shared" si="0"/>
        <v>-305.50700000000006</v>
      </c>
      <c r="J13" s="843">
        <f t="shared" si="5"/>
        <v>0</v>
      </c>
      <c r="K13" s="28">
        <f t="shared" si="4"/>
        <v>0</v>
      </c>
      <c r="N13" s="105">
        <f t="shared" si="3"/>
        <v>0</v>
      </c>
      <c r="O13" s="105">
        <f>IF(Validation!$H$3=1,0,IF(ISNUMBER(G13),0,1))</f>
        <v>0</v>
      </c>
      <c r="Q13" s="105">
        <f t="shared" si="6"/>
        <v>0</v>
      </c>
      <c r="S13" s="171">
        <f t="shared" si="7"/>
        <v>-305.50700000000001</v>
      </c>
      <c r="T13" s="171">
        <f xml:space="preserve"> ROUND( '1A'!J13, 3)</f>
        <v>-305.50700000000001</v>
      </c>
      <c r="U13" s="87" t="s">
        <v>921</v>
      </c>
    </row>
    <row r="14" spans="2:21" x14ac:dyDescent="0.2">
      <c r="B14" s="106">
        <f t="shared" si="1"/>
        <v>9</v>
      </c>
      <c r="C14" s="99" t="s">
        <v>922</v>
      </c>
      <c r="D14" s="107" t="s">
        <v>86</v>
      </c>
      <c r="E14" s="108">
        <v>3</v>
      </c>
      <c r="F14" s="439">
        <v>0</v>
      </c>
      <c r="G14" s="443">
        <v>0</v>
      </c>
      <c r="H14" s="207">
        <f t="shared" si="0"/>
        <v>0</v>
      </c>
      <c r="J14" s="843">
        <f t="shared" si="5"/>
        <v>0</v>
      </c>
      <c r="K14" s="28">
        <f t="shared" si="4"/>
        <v>0</v>
      </c>
      <c r="N14" s="105">
        <f t="shared" si="3"/>
        <v>0</v>
      </c>
      <c r="O14" s="105">
        <f>IF(Validation!$H$3=1,0,IF(ISNUMBER(G14),0,1))</f>
        <v>0</v>
      </c>
      <c r="Q14" s="105">
        <f t="shared" si="6"/>
        <v>0</v>
      </c>
      <c r="S14" s="171">
        <f t="shared" si="7"/>
        <v>0</v>
      </c>
      <c r="T14" s="171">
        <f xml:space="preserve"> ROUND( '1A'!J14, 3)</f>
        <v>0</v>
      </c>
      <c r="U14" s="87" t="s">
        <v>923</v>
      </c>
    </row>
    <row r="15" spans="2:21" ht="15" thickBot="1" x14ac:dyDescent="0.25">
      <c r="B15" s="113">
        <f t="shared" si="1"/>
        <v>10</v>
      </c>
      <c r="C15" s="114" t="s">
        <v>924</v>
      </c>
      <c r="D15" s="115" t="s">
        <v>86</v>
      </c>
      <c r="E15" s="112">
        <v>3</v>
      </c>
      <c r="F15" s="203">
        <f xml:space="preserve"> F9 + SUM( F11:F14 )</f>
        <v>64.353182450175183</v>
      </c>
      <c r="G15" s="205">
        <f xml:space="preserve"> G9 + SUM( G11:G14 )</f>
        <v>65.592118328790889</v>
      </c>
      <c r="H15" s="208">
        <f>F15+G15</f>
        <v>129.94530077896607</v>
      </c>
      <c r="J15" s="83"/>
      <c r="Q15" s="132"/>
      <c r="S15" s="171"/>
      <c r="T15" s="171"/>
    </row>
    <row r="16" spans="2:21" ht="15" thickBot="1" x14ac:dyDescent="0.25">
      <c r="B16" s="83"/>
      <c r="C16" s="83"/>
      <c r="D16" s="83"/>
      <c r="E16" s="83"/>
      <c r="F16" s="83"/>
      <c r="G16" s="83"/>
      <c r="H16" s="83"/>
      <c r="J16" s="83"/>
      <c r="Q16" s="132"/>
      <c r="S16" s="171"/>
      <c r="T16" s="171"/>
    </row>
    <row r="17" spans="2:22" x14ac:dyDescent="0.2">
      <c r="B17" s="98">
        <f xml:space="preserve"> B15 + 1</f>
        <v>11</v>
      </c>
      <c r="C17" s="128" t="s">
        <v>95</v>
      </c>
      <c r="D17" s="100" t="s">
        <v>86</v>
      </c>
      <c r="E17" s="101">
        <v>3</v>
      </c>
      <c r="F17" s="441">
        <v>-198.2105319235439</v>
      </c>
      <c r="G17" s="442">
        <v>-268.32446807645618</v>
      </c>
      <c r="H17" s="209">
        <f t="shared" si="0"/>
        <v>-466.53500000000008</v>
      </c>
      <c r="J17" s="843">
        <f t="shared" ref="J17" si="8" xml:space="preserve"> IF( SUM( P17:R17 ) = 0, 0, U17 )</f>
        <v>0</v>
      </c>
      <c r="K17" s="28">
        <f xml:space="preserve"> IF( SUM( M17:P17 ) = 0, 0, $N$4 )</f>
        <v>0</v>
      </c>
      <c r="N17" s="105">
        <f xml:space="preserve"> IF( ISNUMBER( F17 ), 0, 1 )</f>
        <v>0</v>
      </c>
      <c r="O17" s="105">
        <f>IF(Validation!$H$3=1,0,IF(ISNUMBER(G17),0,1))</f>
        <v>0</v>
      </c>
      <c r="Q17" s="105">
        <f xml:space="preserve"> IF( (S17 - T17) = 0, 0, 1 )</f>
        <v>0</v>
      </c>
      <c r="S17" s="171">
        <f t="shared" ref="S17" si="9" xml:space="preserve"> ROUND( H17, 3)</f>
        <v>-466.53500000000003</v>
      </c>
      <c r="T17" s="171">
        <f xml:space="preserve"> ROUND( '1A'!J17, 3)</f>
        <v>-466.53500000000003</v>
      </c>
      <c r="U17" s="87" t="s">
        <v>925</v>
      </c>
    </row>
    <row r="18" spans="2:22" ht="15" thickBot="1" x14ac:dyDescent="0.25">
      <c r="B18" s="113">
        <f t="shared" si="1"/>
        <v>12</v>
      </c>
      <c r="C18" s="114" t="s">
        <v>926</v>
      </c>
      <c r="D18" s="115" t="s">
        <v>86</v>
      </c>
      <c r="E18" s="112">
        <v>3</v>
      </c>
      <c r="F18" s="203">
        <f xml:space="preserve"> F15 + F17</f>
        <v>-133.85734947336871</v>
      </c>
      <c r="G18" s="205">
        <f xml:space="preserve"> G15 + G17</f>
        <v>-202.7323497476653</v>
      </c>
      <c r="H18" s="210">
        <f t="shared" si="0"/>
        <v>-336.58969922103404</v>
      </c>
      <c r="J18" s="83"/>
      <c r="N18" s="132"/>
      <c r="O18" s="132"/>
      <c r="Q18" s="132"/>
      <c r="S18" s="171"/>
      <c r="T18" s="171"/>
    </row>
    <row r="19" spans="2:22" x14ac:dyDescent="0.2">
      <c r="B19" s="122"/>
      <c r="C19" s="158"/>
      <c r="D19" s="122"/>
      <c r="E19" s="122"/>
      <c r="F19" s="122"/>
      <c r="G19" s="169"/>
      <c r="H19" s="129"/>
      <c r="J19" s="83"/>
      <c r="L19" s="129"/>
      <c r="M19" s="133"/>
      <c r="Q19" s="132"/>
      <c r="S19" s="171"/>
      <c r="T19" s="171"/>
    </row>
    <row r="20" spans="2:22" x14ac:dyDescent="0.2">
      <c r="B20" s="897" t="s">
        <v>101</v>
      </c>
      <c r="C20" s="897"/>
      <c r="D20" s="169"/>
      <c r="E20" s="169"/>
      <c r="F20" s="169"/>
      <c r="G20" s="169"/>
      <c r="H20" s="135"/>
      <c r="J20" s="83"/>
      <c r="Q20" s="132"/>
      <c r="S20" s="171"/>
      <c r="T20" s="171"/>
    </row>
    <row r="21" spans="2:22" x14ac:dyDescent="0.2">
      <c r="B21" s="146"/>
      <c r="C21" s="147"/>
      <c r="D21" s="169"/>
      <c r="E21" s="169"/>
      <c r="F21" s="169"/>
      <c r="G21" s="169"/>
      <c r="H21" s="135"/>
      <c r="J21" s="83"/>
      <c r="Q21" s="132"/>
      <c r="S21" s="171"/>
      <c r="T21" s="171"/>
    </row>
    <row r="22" spans="2:22" x14ac:dyDescent="0.2">
      <c r="B22" s="29"/>
      <c r="C22" s="148" t="s">
        <v>102</v>
      </c>
      <c r="D22" s="169"/>
      <c r="E22" s="169"/>
      <c r="F22" s="169"/>
      <c r="G22" s="169"/>
      <c r="H22" s="135"/>
      <c r="J22" s="83"/>
      <c r="L22" s="129"/>
      <c r="M22" s="133"/>
      <c r="Q22" s="132"/>
      <c r="S22" s="171"/>
      <c r="T22" s="171"/>
    </row>
    <row r="23" spans="2:22" x14ac:dyDescent="0.2">
      <c r="B23" s="146"/>
      <c r="C23" s="147"/>
      <c r="D23" s="169"/>
      <c r="E23" s="169"/>
      <c r="F23" s="169"/>
      <c r="G23" s="169"/>
      <c r="H23" s="135"/>
      <c r="I23" s="129"/>
      <c r="J23" s="83"/>
      <c r="L23" s="129"/>
      <c r="M23" s="133"/>
      <c r="P23" s="133"/>
      <c r="Q23" s="132"/>
      <c r="R23" s="133"/>
      <c r="S23" s="171"/>
      <c r="T23" s="171"/>
      <c r="V23" s="133"/>
    </row>
    <row r="24" spans="2:22" x14ac:dyDescent="0.2">
      <c r="B24" s="149"/>
      <c r="C24" s="148" t="s">
        <v>103</v>
      </c>
      <c r="D24" s="169"/>
      <c r="E24" s="169"/>
      <c r="F24" s="169"/>
      <c r="G24" s="169"/>
      <c r="H24" s="135"/>
      <c r="I24" s="135"/>
      <c r="J24" s="83"/>
      <c r="Q24" s="132"/>
      <c r="R24" s="130"/>
      <c r="S24" s="171"/>
      <c r="T24" s="171"/>
      <c r="V24" s="130"/>
    </row>
    <row r="25" spans="2:22" x14ac:dyDescent="0.2">
      <c r="B25" s="150"/>
      <c r="C25" s="148"/>
      <c r="D25" s="169"/>
      <c r="E25" s="169"/>
      <c r="F25" s="169"/>
      <c r="G25" s="169"/>
      <c r="H25" s="135"/>
      <c r="I25" s="135"/>
      <c r="J25" s="83"/>
      <c r="L25" s="135"/>
      <c r="M25" s="130"/>
      <c r="P25" s="130"/>
      <c r="Q25" s="132"/>
      <c r="R25" s="130"/>
      <c r="S25" s="171"/>
      <c r="T25" s="171"/>
      <c r="V25" s="130"/>
    </row>
    <row r="26" spans="2:22" x14ac:dyDescent="0.2">
      <c r="B26" s="151"/>
      <c r="C26" s="148" t="s">
        <v>104</v>
      </c>
      <c r="D26" s="169"/>
      <c r="E26" s="169"/>
      <c r="F26" s="169"/>
      <c r="G26" s="169"/>
      <c r="H26" s="135"/>
      <c r="I26" s="135"/>
      <c r="J26" s="83"/>
      <c r="Q26" s="132"/>
      <c r="R26" s="130"/>
      <c r="S26" s="171"/>
      <c r="T26" s="171"/>
      <c r="V26" s="130"/>
    </row>
    <row r="27" spans="2:22" x14ac:dyDescent="0.2">
      <c r="B27" s="156"/>
      <c r="C27" s="157"/>
      <c r="D27" s="186"/>
      <c r="E27" s="186"/>
      <c r="F27" s="186"/>
      <c r="G27" s="186"/>
      <c r="H27" s="137"/>
      <c r="I27" s="135"/>
      <c r="J27" s="83"/>
      <c r="L27" s="135"/>
      <c r="M27" s="130"/>
      <c r="P27" s="130"/>
      <c r="Q27" s="132"/>
      <c r="R27" s="130"/>
      <c r="S27" s="171"/>
      <c r="T27" s="171"/>
      <c r="V27" s="130"/>
    </row>
    <row r="28" spans="2:22" ht="15" thickBot="1" x14ac:dyDescent="0.25">
      <c r="B28" s="186"/>
      <c r="C28" s="187"/>
      <c r="D28" s="186"/>
      <c r="E28" s="186"/>
      <c r="F28" s="186"/>
      <c r="G28" s="186"/>
      <c r="H28" s="137"/>
      <c r="I28" s="135"/>
      <c r="J28" s="83"/>
      <c r="L28" s="135"/>
      <c r="M28" s="130"/>
      <c r="P28" s="130"/>
      <c r="Q28" s="132"/>
      <c r="R28" s="130"/>
      <c r="S28" s="171"/>
      <c r="T28" s="171"/>
      <c r="V28" s="130"/>
    </row>
    <row r="29" spans="2:22" ht="21" thickBot="1" x14ac:dyDescent="0.25">
      <c r="B29" s="152" t="str">
        <f ca="1" xml:space="preserve"> RIGHT(CELL("filename", $A$1), LEN(CELL("filename", $A$1)) - SEARCH("]", CELL("filename", $A$1)))&amp;" - Line definitions"</f>
        <v>4G - Line definitions</v>
      </c>
      <c r="C29" s="153"/>
      <c r="D29" s="154"/>
      <c r="E29" s="154"/>
      <c r="F29" s="154"/>
      <c r="G29" s="154"/>
      <c r="H29" s="160"/>
      <c r="I29" s="135"/>
      <c r="J29" s="83"/>
      <c r="L29" s="135"/>
      <c r="M29" s="130"/>
      <c r="P29" s="130"/>
      <c r="Q29" s="132"/>
      <c r="R29" s="130"/>
      <c r="S29" s="171"/>
      <c r="T29" s="171"/>
      <c r="V29" s="130"/>
    </row>
    <row r="30" spans="2:22" ht="15" thickBot="1" x14ac:dyDescent="0.25">
      <c r="B30" s="87"/>
      <c r="C30" s="161"/>
      <c r="D30" s="87"/>
      <c r="E30" s="87"/>
      <c r="F30" s="87"/>
      <c r="G30" s="122"/>
      <c r="H30" s="129"/>
      <c r="I30" s="135"/>
      <c r="J30" s="83"/>
      <c r="Q30" s="132"/>
      <c r="R30" s="130"/>
      <c r="S30" s="171"/>
      <c r="T30" s="171"/>
      <c r="V30" s="130"/>
    </row>
    <row r="31" spans="2:22" ht="15" thickBot="1" x14ac:dyDescent="0.25">
      <c r="B31" s="162" t="s">
        <v>105</v>
      </c>
      <c r="C31" s="1033" t="s">
        <v>106</v>
      </c>
      <c r="D31" s="1033"/>
      <c r="E31" s="1033"/>
      <c r="F31" s="1033"/>
      <c r="G31" s="1033"/>
      <c r="H31" s="1035"/>
      <c r="I31" s="135"/>
      <c r="J31" s="83"/>
      <c r="N31" s="97" t="s">
        <v>107</v>
      </c>
      <c r="Q31" s="132"/>
      <c r="R31" s="130"/>
      <c r="S31" s="171"/>
      <c r="T31" s="171"/>
      <c r="V31" s="130"/>
    </row>
    <row r="32" spans="2:22" ht="26.1" customHeight="1" x14ac:dyDescent="0.2">
      <c r="B32" s="189">
        <f>B5</f>
        <v>1</v>
      </c>
      <c r="C32" s="898" t="s">
        <v>927</v>
      </c>
      <c r="D32" s="898"/>
      <c r="E32" s="898"/>
      <c r="F32" s="898"/>
      <c r="G32" s="898"/>
      <c r="H32" s="899"/>
      <c r="I32" s="135"/>
      <c r="J32" s="83"/>
      <c r="L32" s="135"/>
      <c r="M32" s="130"/>
      <c r="N32" s="168" t="s">
        <v>112</v>
      </c>
      <c r="P32" s="130"/>
      <c r="Q32" s="132"/>
      <c r="R32" s="130"/>
      <c r="S32" s="171"/>
      <c r="T32" s="171"/>
      <c r="V32" s="130"/>
    </row>
    <row r="33" spans="2:22" ht="25.5" x14ac:dyDescent="0.2">
      <c r="B33" s="166">
        <f>B6</f>
        <v>2</v>
      </c>
      <c r="C33" s="877" t="s">
        <v>928</v>
      </c>
      <c r="D33" s="877"/>
      <c r="E33" s="877"/>
      <c r="F33" s="877"/>
      <c r="G33" s="877"/>
      <c r="H33" s="878"/>
      <c r="I33" s="135"/>
      <c r="J33" s="83"/>
      <c r="L33" s="129"/>
      <c r="M33" s="133"/>
      <c r="N33" s="168" t="s">
        <v>112</v>
      </c>
      <c r="O33" s="212"/>
      <c r="P33" s="133"/>
      <c r="Q33"/>
      <c r="R33" s="133"/>
      <c r="V33" s="133"/>
    </row>
    <row r="34" spans="2:22" ht="25.5" x14ac:dyDescent="0.2">
      <c r="B34" s="166">
        <f>B7</f>
        <v>3</v>
      </c>
      <c r="C34" s="877" t="s">
        <v>929</v>
      </c>
      <c r="D34" s="877"/>
      <c r="E34" s="877"/>
      <c r="F34" s="877"/>
      <c r="G34" s="877"/>
      <c r="H34" s="878"/>
      <c r="I34" s="135"/>
      <c r="J34" s="83"/>
      <c r="L34" s="129"/>
      <c r="M34" s="133"/>
      <c r="N34" s="168" t="s">
        <v>112</v>
      </c>
      <c r="O34" s="212"/>
      <c r="P34" s="133"/>
      <c r="Q34"/>
      <c r="R34" s="133"/>
      <c r="V34" s="133"/>
    </row>
    <row r="35" spans="2:22" x14ac:dyDescent="0.2">
      <c r="B35" s="166">
        <f t="shared" ref="B35:B36" si="10">B8</f>
        <v>4</v>
      </c>
      <c r="C35" s="877" t="s">
        <v>930</v>
      </c>
      <c r="D35" s="877"/>
      <c r="E35" s="877"/>
      <c r="F35" s="877"/>
      <c r="G35" s="877"/>
      <c r="H35" s="878"/>
      <c r="I35" s="135"/>
      <c r="J35" s="83"/>
      <c r="L35" s="129"/>
      <c r="M35" s="133"/>
      <c r="N35" s="168">
        <v>1</v>
      </c>
      <c r="O35" s="212"/>
      <c r="P35" s="133"/>
      <c r="Q35"/>
      <c r="R35" s="133"/>
      <c r="V35" s="133"/>
    </row>
    <row r="36" spans="2:22" x14ac:dyDescent="0.2">
      <c r="B36" s="166">
        <f t="shared" si="10"/>
        <v>5</v>
      </c>
      <c r="C36" s="877" t="s">
        <v>931</v>
      </c>
      <c r="D36" s="877"/>
      <c r="E36" s="877"/>
      <c r="F36" s="877"/>
      <c r="G36" s="877"/>
      <c r="H36" s="878"/>
      <c r="I36" s="135"/>
      <c r="J36" s="83"/>
      <c r="N36" s="168">
        <v>1</v>
      </c>
      <c r="O36" s="212"/>
      <c r="Q36" s="122"/>
      <c r="R36" s="133"/>
      <c r="V36" s="133"/>
    </row>
    <row r="37" spans="2:22" x14ac:dyDescent="0.2">
      <c r="B37" s="166">
        <f>B11</f>
        <v>6</v>
      </c>
      <c r="C37" s="877" t="s">
        <v>932</v>
      </c>
      <c r="D37" s="877"/>
      <c r="E37" s="877"/>
      <c r="F37" s="877"/>
      <c r="G37" s="877"/>
      <c r="H37" s="878"/>
      <c r="I37" s="135"/>
      <c r="J37" s="83"/>
      <c r="N37" s="168">
        <v>1</v>
      </c>
      <c r="O37" s="212"/>
      <c r="R37" s="133"/>
      <c r="V37" s="133"/>
    </row>
    <row r="38" spans="2:22" x14ac:dyDescent="0.2">
      <c r="B38" s="166">
        <f t="shared" ref="B38:B41" si="11">B12</f>
        <v>7</v>
      </c>
      <c r="C38" s="877" t="s">
        <v>933</v>
      </c>
      <c r="D38" s="877"/>
      <c r="E38" s="877"/>
      <c r="F38" s="877"/>
      <c r="G38" s="877"/>
      <c r="H38" s="878"/>
      <c r="I38" s="137"/>
      <c r="J38" s="83"/>
      <c r="N38" s="168">
        <v>1</v>
      </c>
      <c r="O38" s="212"/>
      <c r="R38" s="133"/>
      <c r="V38" s="133"/>
    </row>
    <row r="39" spans="2:22" x14ac:dyDescent="0.2">
      <c r="B39" s="166">
        <f t="shared" si="11"/>
        <v>8</v>
      </c>
      <c r="C39" s="877" t="s">
        <v>934</v>
      </c>
      <c r="D39" s="877"/>
      <c r="E39" s="877"/>
      <c r="F39" s="877"/>
      <c r="G39" s="877"/>
      <c r="H39" s="878"/>
      <c r="I39" s="137"/>
      <c r="J39" s="83"/>
      <c r="N39" s="168">
        <v>1</v>
      </c>
      <c r="O39" s="212"/>
      <c r="R39" s="133"/>
      <c r="S39" s="83"/>
      <c r="T39" s="83"/>
      <c r="U39" s="83"/>
      <c r="V39" s="133"/>
    </row>
    <row r="40" spans="2:22" x14ac:dyDescent="0.2">
      <c r="B40" s="166">
        <f t="shared" si="11"/>
        <v>9</v>
      </c>
      <c r="C40" s="877" t="s">
        <v>935</v>
      </c>
      <c r="D40" s="877"/>
      <c r="E40" s="877"/>
      <c r="F40" s="877"/>
      <c r="G40" s="877"/>
      <c r="H40" s="878"/>
      <c r="I40" s="137"/>
      <c r="J40" s="83"/>
      <c r="N40" s="168">
        <v>1</v>
      </c>
      <c r="O40" s="212"/>
      <c r="R40" s="133"/>
      <c r="S40" s="169"/>
      <c r="T40" s="169"/>
      <c r="U40" s="169"/>
      <c r="V40" s="133"/>
    </row>
    <row r="41" spans="2:22" x14ac:dyDescent="0.2">
      <c r="B41" s="166">
        <f t="shared" si="11"/>
        <v>10</v>
      </c>
      <c r="C41" s="877" t="s">
        <v>936</v>
      </c>
      <c r="D41" s="877"/>
      <c r="E41" s="877"/>
      <c r="F41" s="877"/>
      <c r="G41" s="877"/>
      <c r="H41" s="878"/>
      <c r="I41" s="137"/>
      <c r="J41" s="83"/>
      <c r="L41" s="129"/>
      <c r="M41" s="133"/>
      <c r="N41" s="168">
        <v>1</v>
      </c>
      <c r="O41" s="212"/>
      <c r="P41" s="133"/>
      <c r="R41" s="133"/>
      <c r="S41" s="169"/>
      <c r="T41" s="169"/>
      <c r="U41" s="169"/>
      <c r="V41" s="133"/>
    </row>
    <row r="42" spans="2:22" x14ac:dyDescent="0.2">
      <c r="B42" s="166">
        <f>B17</f>
        <v>11</v>
      </c>
      <c r="C42" s="877" t="s">
        <v>937</v>
      </c>
      <c r="D42" s="877"/>
      <c r="E42" s="877"/>
      <c r="F42" s="877"/>
      <c r="G42" s="877"/>
      <c r="H42" s="878"/>
      <c r="I42" s="137"/>
      <c r="J42" s="83"/>
      <c r="N42" s="168">
        <v>1</v>
      </c>
      <c r="O42" s="212"/>
      <c r="S42" s="169"/>
      <c r="T42" s="169"/>
      <c r="U42" s="169"/>
    </row>
    <row r="43" spans="2:22" ht="15" thickBot="1" x14ac:dyDescent="0.25">
      <c r="B43" s="191">
        <f>B18</f>
        <v>12</v>
      </c>
      <c r="C43" s="900" t="s">
        <v>938</v>
      </c>
      <c r="D43" s="900"/>
      <c r="E43" s="900"/>
      <c r="F43" s="900"/>
      <c r="G43" s="900"/>
      <c r="H43" s="901"/>
      <c r="I43" s="137"/>
      <c r="J43" s="83"/>
      <c r="N43" s="168">
        <v>1</v>
      </c>
      <c r="O43" s="212"/>
      <c r="S43" s="169"/>
      <c r="T43" s="169"/>
      <c r="U43" s="169"/>
    </row>
    <row r="44" spans="2:22" x14ac:dyDescent="0.2">
      <c r="B44" s="213"/>
      <c r="C44" s="214"/>
      <c r="D44" s="214"/>
      <c r="E44" s="214"/>
      <c r="F44" s="214"/>
      <c r="G44" s="214"/>
      <c r="H44" s="214"/>
      <c r="I44" s="137"/>
      <c r="J44" s="83"/>
      <c r="N44" s="215"/>
      <c r="O44" s="212"/>
      <c r="Q44" s="132"/>
      <c r="R44" s="130"/>
      <c r="S44" s="171"/>
      <c r="T44"/>
      <c r="U44"/>
      <c r="V44"/>
    </row>
    <row r="45" spans="2:22" ht="13.9" hidden="1" customHeight="1" x14ac:dyDescent="0.2">
      <c r="B45" s="213"/>
      <c r="C45" s="214"/>
      <c r="D45" s="214"/>
      <c r="E45" s="214"/>
      <c r="F45" s="214"/>
      <c r="G45" s="214"/>
      <c r="H45" s="214"/>
      <c r="I45" s="137"/>
      <c r="J45" s="83"/>
      <c r="N45" s="215"/>
      <c r="O45" s="212"/>
      <c r="Q45" s="132"/>
      <c r="R45" s="130"/>
      <c r="S45" s="171"/>
      <c r="T45"/>
      <c r="U45"/>
      <c r="V45"/>
    </row>
    <row r="46" spans="2:22" ht="13.9" hidden="1" customHeight="1" x14ac:dyDescent="0.2">
      <c r="I46" s="137"/>
      <c r="N46" s="168"/>
      <c r="O46" s="212"/>
      <c r="S46" s="169"/>
      <c r="T46" s="169"/>
      <c r="U46" s="169"/>
    </row>
    <row r="47" spans="2:22" ht="13.9" hidden="1" customHeight="1" x14ac:dyDescent="0.2">
      <c r="I47" s="137"/>
      <c r="N47" s="215"/>
      <c r="O47" s="212"/>
      <c r="S47" s="169"/>
      <c r="T47" s="169"/>
      <c r="U47" s="169"/>
    </row>
    <row r="48" spans="2:22" ht="13.9" hidden="1" customHeight="1" x14ac:dyDescent="0.2">
      <c r="I48" s="137"/>
      <c r="N48" s="216"/>
      <c r="O48" s="212"/>
      <c r="S48" s="169"/>
      <c r="T48" s="169"/>
      <c r="U48" s="169"/>
    </row>
    <row r="49" spans="9:21" ht="13.9" hidden="1" customHeight="1" x14ac:dyDescent="0.2">
      <c r="I49" s="137"/>
      <c r="N49" s="168"/>
      <c r="O49" s="212"/>
      <c r="S49" s="186"/>
      <c r="T49" s="186"/>
      <c r="U49" s="186"/>
    </row>
    <row r="50" spans="9:21" ht="13.9" hidden="1" customHeight="1" x14ac:dyDescent="0.2">
      <c r="I50" s="137"/>
      <c r="N50" s="215"/>
      <c r="O50" s="212"/>
      <c r="S50" s="186"/>
      <c r="T50" s="186"/>
      <c r="U50" s="186"/>
    </row>
    <row r="51" spans="9:21" ht="13.9" hidden="1" customHeight="1" x14ac:dyDescent="0.2">
      <c r="I51" s="137"/>
      <c r="N51" s="216"/>
      <c r="O51" s="212"/>
      <c r="S51" s="122"/>
      <c r="T51" s="122"/>
      <c r="U51" s="122"/>
    </row>
    <row r="52" spans="9:21" ht="13.9" hidden="1" customHeight="1" x14ac:dyDescent="0.2">
      <c r="I52" s="137"/>
      <c r="N52" s="212"/>
      <c r="O52" s="212"/>
      <c r="S52" s="122"/>
      <c r="T52" s="122"/>
      <c r="U52" s="122"/>
    </row>
    <row r="53" spans="9:21" ht="13.9" hidden="1" customHeight="1" x14ac:dyDescent="0.2">
      <c r="I53" s="137"/>
      <c r="N53" s="212"/>
      <c r="O53" s="212"/>
      <c r="S53" s="186"/>
      <c r="T53" s="186"/>
      <c r="U53" s="186"/>
    </row>
    <row r="54" spans="9:21" ht="13.9" hidden="1" customHeight="1" x14ac:dyDescent="0.2">
      <c r="I54" s="137"/>
      <c r="O54" s="212"/>
      <c r="S54" s="122"/>
      <c r="T54" s="122"/>
      <c r="U54" s="122"/>
    </row>
    <row r="55" spans="9:21" ht="13.9" hidden="1" customHeight="1" x14ac:dyDescent="0.2">
      <c r="I55" s="137"/>
      <c r="O55" s="212"/>
      <c r="S55" s="122"/>
      <c r="T55" s="122"/>
      <c r="U55" s="122"/>
    </row>
    <row r="56" spans="9:21" ht="13.9" hidden="1" customHeight="1" x14ac:dyDescent="0.2">
      <c r="I56" s="137"/>
      <c r="O56" s="212"/>
      <c r="S56" s="122"/>
      <c r="T56" s="122"/>
      <c r="U56" s="122"/>
    </row>
    <row r="57" spans="9:21" ht="13.9" hidden="1" customHeight="1" x14ac:dyDescent="0.2">
      <c r="I57" s="137"/>
      <c r="O57" s="212"/>
      <c r="S57" s="122"/>
      <c r="T57" s="122"/>
      <c r="U57" s="122"/>
    </row>
    <row r="58" spans="9:21" ht="13.9" hidden="1" customHeight="1" x14ac:dyDescent="0.2">
      <c r="I58" s="137"/>
      <c r="O58" s="212"/>
      <c r="S58" s="122"/>
      <c r="T58" s="122"/>
      <c r="U58" s="122"/>
    </row>
    <row r="59" spans="9:21" ht="13.9" hidden="1" customHeight="1" x14ac:dyDescent="0.2">
      <c r="I59" s="137"/>
      <c r="O59" s="212"/>
      <c r="S59" s="122"/>
      <c r="T59" s="122"/>
      <c r="U59" s="122"/>
    </row>
    <row r="60" spans="9:21" ht="13.9" hidden="1" customHeight="1" x14ac:dyDescent="0.2">
      <c r="I60" s="137"/>
      <c r="O60" s="212"/>
      <c r="S60" s="122"/>
      <c r="T60" s="122"/>
      <c r="U60" s="122"/>
    </row>
    <row r="61" spans="9:21" ht="13.9" hidden="1" customHeight="1" x14ac:dyDescent="0.2">
      <c r="O61" s="212"/>
      <c r="S61" s="122"/>
      <c r="T61" s="122"/>
      <c r="U61" s="122"/>
    </row>
    <row r="62" spans="9:21" ht="13.9" hidden="1" customHeight="1" x14ac:dyDescent="0.2">
      <c r="O62" s="212"/>
      <c r="S62" s="122"/>
      <c r="T62" s="122"/>
      <c r="U62" s="122"/>
    </row>
    <row r="63" spans="9:21" ht="13.9" hidden="1" customHeight="1" x14ac:dyDescent="0.2">
      <c r="O63" s="212"/>
      <c r="S63" s="122"/>
      <c r="T63" s="122"/>
      <c r="U63" s="122"/>
    </row>
    <row r="64" spans="9:21" ht="13.9" hidden="1" customHeight="1" x14ac:dyDescent="0.2">
      <c r="O64" s="212"/>
      <c r="S64" s="122"/>
      <c r="T64" s="122"/>
      <c r="U64" s="122"/>
    </row>
    <row r="65" spans="15:21" ht="13.9" hidden="1" customHeight="1" x14ac:dyDescent="0.2">
      <c r="O65" s="212"/>
      <c r="S65" s="122"/>
      <c r="T65" s="122"/>
      <c r="U65" s="122"/>
    </row>
    <row r="66" spans="15:21" ht="13.9" hidden="1" customHeight="1" x14ac:dyDescent="0.2">
      <c r="O66" s="212"/>
      <c r="S66" s="122"/>
      <c r="T66" s="122"/>
      <c r="U66" s="122"/>
    </row>
    <row r="67" spans="15:21" ht="13.9" hidden="1" customHeight="1" x14ac:dyDescent="0.2">
      <c r="O67" s="212"/>
      <c r="S67" s="122"/>
      <c r="T67" s="122"/>
      <c r="U67" s="122"/>
    </row>
    <row r="68" spans="15:21" ht="13.9" hidden="1" customHeight="1" x14ac:dyDescent="0.2">
      <c r="O68" s="212"/>
      <c r="S68" s="122"/>
      <c r="T68" s="122"/>
      <c r="U68" s="122"/>
    </row>
    <row r="69" spans="15:21" ht="13.9" hidden="1" customHeight="1" x14ac:dyDescent="0.2">
      <c r="O69" s="212"/>
      <c r="S69" s="122"/>
      <c r="T69" s="122"/>
      <c r="U69" s="122"/>
    </row>
    <row r="70" spans="15:21" ht="13.9" hidden="1" customHeight="1" x14ac:dyDescent="0.2">
      <c r="O70" s="212"/>
      <c r="S70" s="122"/>
      <c r="T70" s="122"/>
      <c r="U70" s="122"/>
    </row>
    <row r="71" spans="15:21" ht="13.9" hidden="1" customHeight="1" x14ac:dyDescent="0.2">
      <c r="O71" s="212"/>
      <c r="S71" s="122"/>
      <c r="T71" s="122"/>
      <c r="U71" s="122"/>
    </row>
    <row r="72" spans="15:21" ht="13.9" hidden="1" customHeight="1" x14ac:dyDescent="0.2">
      <c r="O72" s="212"/>
      <c r="S72" s="122"/>
      <c r="T72" s="122"/>
      <c r="U72" s="122"/>
    </row>
    <row r="73" spans="15:21" ht="13.9" hidden="1" customHeight="1" x14ac:dyDescent="0.2">
      <c r="O73" s="212"/>
      <c r="S73" s="122"/>
      <c r="T73" s="122"/>
      <c r="U73" s="122"/>
    </row>
    <row r="74" spans="15:21" ht="13.9" hidden="1" customHeight="1" x14ac:dyDescent="0.2">
      <c r="O74" s="212"/>
      <c r="S74" s="122"/>
      <c r="T74" s="122"/>
      <c r="U74" s="122"/>
    </row>
    <row r="75" spans="15:21" ht="13.9" hidden="1" customHeight="1" x14ac:dyDescent="0.2">
      <c r="O75" s="212"/>
      <c r="S75" s="122"/>
      <c r="T75" s="122"/>
      <c r="U75" s="122"/>
    </row>
    <row r="76" spans="15:21" ht="13.9" hidden="1" customHeight="1" x14ac:dyDescent="0.2">
      <c r="O76" s="212"/>
    </row>
    <row r="77" spans="15:21" ht="13.9" hidden="1" customHeight="1" x14ac:dyDescent="0.2">
      <c r="O77" s="212"/>
    </row>
    <row r="78" spans="15:21" ht="13.9" hidden="1" customHeight="1" x14ac:dyDescent="0.2">
      <c r="O78" s="212"/>
    </row>
    <row r="79" spans="15:21" ht="13.9" hidden="1" customHeight="1" x14ac:dyDescent="0.2">
      <c r="O79" s="212"/>
    </row>
    <row r="80" spans="15:21" ht="13.9" hidden="1" customHeight="1" x14ac:dyDescent="0.2"/>
    <row r="81" ht="13.9" hidden="1" customHeight="1" x14ac:dyDescent="0.2"/>
    <row r="82" ht="13.9" hidden="1" customHeight="1" x14ac:dyDescent="0.2"/>
    <row r="83" ht="13.9" hidden="1" customHeight="1" x14ac:dyDescent="0.2"/>
    <row r="84" ht="13.9" hidden="1" customHeight="1" x14ac:dyDescent="0.2"/>
  </sheetData>
  <sheetProtection algorithmName="SHA-512" hashValue="xK4YBs6ETXS0B3vMeNUqwes4YdyUKthkZYyNUZlwjWyUN3KgRLVThW3QnPXlGtD3h7Dk5I9rx6oVBp95y+Z+JA==" saltValue="bwedB7R+vgr+OXfL6FiT9w==" spinCount="100000" sheet="1" objects="1" scenarios="1"/>
  <mergeCells count="16">
    <mergeCell ref="C40:H40"/>
    <mergeCell ref="C41:H41"/>
    <mergeCell ref="C42:H42"/>
    <mergeCell ref="C43:H43"/>
    <mergeCell ref="C34:H34"/>
    <mergeCell ref="C35:H35"/>
    <mergeCell ref="C36:H36"/>
    <mergeCell ref="C37:H37"/>
    <mergeCell ref="C38:H38"/>
    <mergeCell ref="C39:H39"/>
    <mergeCell ref="C33:H33"/>
    <mergeCell ref="B3:C3"/>
    <mergeCell ref="N3:O3"/>
    <mergeCell ref="B20:C20"/>
    <mergeCell ref="C31:H31"/>
    <mergeCell ref="C32:H32"/>
  </mergeCells>
  <conditionalFormatting sqref="J11:K14">
    <cfRule type="cellIs" dxfId="13" priority="3" operator="equal">
      <formula>0</formula>
    </cfRule>
  </conditionalFormatting>
  <conditionalFormatting sqref="J17:K17">
    <cfRule type="cellIs" dxfId="12" priority="1" operator="equal">
      <formula>0</formula>
    </cfRule>
  </conditionalFormatting>
  <conditionalFormatting sqref="K7">
    <cfRule type="cellIs" dxfId="11" priority="6" operator="equal">
      <formula>0</formula>
    </cfRule>
  </conditionalFormatting>
  <printOptions horizontalCentered="1"/>
  <pageMargins left="0.39370078740157483" right="0.39370078740157483" top="0.78740157480314965" bottom="0.78740157480314965" header="0.31496062992125984" footer="0.31496062992125984"/>
  <pageSetup paperSize="9" scale="45"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52" id="{1060D9B9-E3BE-40B9-B288-40E02451224C}">
            <xm:f>Validation!$H$3=1</xm:f>
            <x14:dxf>
              <fill>
                <patternFill>
                  <bgColor rgb="FFE0DCD8"/>
                </patternFill>
              </fill>
            </x14:dxf>
          </x14:cfRule>
          <xm:sqref>G5:G9 G11:G15 G17:G18</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A83"/>
  <sheetViews>
    <sheetView showGridLines="0" zoomScaleNormal="100" workbookViewId="0">
      <selection activeCell="F21" sqref="F21"/>
    </sheetView>
  </sheetViews>
  <sheetFormatPr defaultColWidth="0" defaultRowHeight="14.25" zeroHeight="1" x14ac:dyDescent="0.2"/>
  <cols>
    <col min="1" max="1" width="1.625" style="83" customWidth="1"/>
    <col min="2" max="2" width="4.125" style="83" customWidth="1"/>
    <col min="3" max="3" width="60.75" style="83" customWidth="1"/>
    <col min="4" max="5" width="5.125" style="83" customWidth="1"/>
    <col min="6" max="6" width="12.5" style="83" customWidth="1"/>
    <col min="7" max="7" width="2.625" style="83" customWidth="1"/>
    <col min="8" max="8" width="32.25" style="87" bestFit="1" customWidth="1"/>
    <col min="9" max="9" width="18.75" style="83" bestFit="1" customWidth="1"/>
    <col min="10" max="10" width="1.625" style="83" customWidth="1"/>
    <col min="11" max="11" width="1.625" style="84" hidden="1" customWidth="1"/>
    <col min="12" max="12" width="18.75" style="83" hidden="1" customWidth="1"/>
    <col min="13" max="13" width="1.625" style="84" hidden="1" customWidth="1"/>
    <col min="14" max="14" width="8.125" style="87" hidden="1" customWidth="1"/>
    <col min="15" max="15" width="1.625" style="84" hidden="1" customWidth="1"/>
    <col min="16" max="17" width="8.125" style="87" hidden="1" customWidth="1"/>
    <col min="18" max="18" width="118.5" style="87" hidden="1" customWidth="1"/>
    <col min="19" max="19" width="1.625" style="84" hidden="1" customWidth="1"/>
    <col min="20" max="20" width="3.625" style="83" hidden="1" customWidth="1"/>
    <col min="21" max="21" width="8.125" style="83" hidden="1" customWidth="1"/>
    <col min="22" max="27" width="8.75" style="83" hidden="1" customWidth="1"/>
    <col min="28" max="16384" width="8.125" style="83" hidden="1"/>
  </cols>
  <sheetData>
    <row r="1" spans="2:23" ht="20.25" x14ac:dyDescent="0.2">
      <c r="B1" s="79" t="s">
        <v>939</v>
      </c>
      <c r="C1" s="79"/>
      <c r="D1" s="79"/>
      <c r="E1" s="79"/>
      <c r="F1" s="81" t="str">
        <f>Validation!B3</f>
        <v>Yorkshire Water</v>
      </c>
      <c r="G1" s="79"/>
      <c r="H1" s="82"/>
      <c r="I1" s="82" t="s">
        <v>72</v>
      </c>
      <c r="N1" s="83"/>
      <c r="P1"/>
      <c r="Q1"/>
      <c r="R1"/>
    </row>
    <row r="2" spans="2:23" ht="15" thickBot="1" x14ac:dyDescent="0.25">
      <c r="B2" s="86" t="s">
        <v>55</v>
      </c>
      <c r="H2" s="83"/>
      <c r="N2" s="83"/>
    </row>
    <row r="3" spans="2:23" ht="14.65" customHeight="1" x14ac:dyDescent="0.2">
      <c r="B3" s="959" t="s">
        <v>73</v>
      </c>
      <c r="C3" s="960"/>
      <c r="D3" s="963" t="s">
        <v>74</v>
      </c>
      <c r="E3" s="965" t="s">
        <v>75</v>
      </c>
      <c r="F3" s="889" t="s">
        <v>940</v>
      </c>
      <c r="G3" s="169"/>
      <c r="H3" s="894" t="s">
        <v>294</v>
      </c>
      <c r="I3" s="894" t="s">
        <v>79</v>
      </c>
      <c r="J3" s="169"/>
    </row>
    <row r="4" spans="2:23" ht="36.75" thickBot="1" x14ac:dyDescent="0.25">
      <c r="B4" s="961"/>
      <c r="C4" s="962"/>
      <c r="D4" s="964"/>
      <c r="E4" s="966"/>
      <c r="F4" s="890"/>
      <c r="G4" s="169"/>
      <c r="H4" s="1040"/>
      <c r="I4" s="895"/>
      <c r="L4" s="105" t="s">
        <v>83</v>
      </c>
      <c r="N4" s="842" t="s">
        <v>61</v>
      </c>
      <c r="P4" s="89" t="s">
        <v>295</v>
      </c>
      <c r="Q4" s="842"/>
      <c r="R4" s="842"/>
      <c r="W4" s="92"/>
    </row>
    <row r="5" spans="2:23" ht="15" thickBot="1" x14ac:dyDescent="0.25">
      <c r="G5" s="169"/>
      <c r="L5" s="97" t="s">
        <v>84</v>
      </c>
      <c r="N5"/>
    </row>
    <row r="6" spans="2:23" ht="15" thickBot="1" x14ac:dyDescent="0.25">
      <c r="B6" s="125" t="s">
        <v>134</v>
      </c>
      <c r="C6" s="126" t="s">
        <v>941</v>
      </c>
      <c r="G6" s="169"/>
      <c r="L6" s="97"/>
      <c r="N6"/>
    </row>
    <row r="7" spans="2:23" x14ac:dyDescent="0.2">
      <c r="B7" s="98">
        <v>1</v>
      </c>
      <c r="C7" s="128" t="s">
        <v>942</v>
      </c>
      <c r="D7" s="100" t="s">
        <v>86</v>
      </c>
      <c r="E7" s="101">
        <v>3</v>
      </c>
      <c r="F7" s="170">
        <f>'1E'!I11</f>
        <v>4630.1399537653433</v>
      </c>
      <c r="G7" s="169"/>
      <c r="L7" s="132"/>
      <c r="N7" s="132"/>
      <c r="P7" s="171"/>
      <c r="Q7" s="171"/>
    </row>
    <row r="8" spans="2:23" x14ac:dyDescent="0.2">
      <c r="B8" s="106">
        <f xml:space="preserve"> B7 + 1</f>
        <v>2</v>
      </c>
      <c r="C8" s="99" t="s">
        <v>943</v>
      </c>
      <c r="D8" s="107" t="s">
        <v>86</v>
      </c>
      <c r="E8" s="108">
        <v>3</v>
      </c>
      <c r="F8" s="172">
        <f>IF(Validation!$H$3=1, '4C'!F6 - '1E'!I11, '4C'!F6 + '4C'!G6 - '1E'!I11)</f>
        <v>1513.482046234657</v>
      </c>
      <c r="G8" s="169"/>
      <c r="L8" s="132"/>
      <c r="N8" s="132"/>
      <c r="P8" s="171"/>
      <c r="Q8" s="171"/>
    </row>
    <row r="9" spans="2:23" x14ac:dyDescent="0.2">
      <c r="B9" s="106">
        <v>3</v>
      </c>
      <c r="C9" s="99" t="s">
        <v>944</v>
      </c>
      <c r="D9" s="107" t="s">
        <v>264</v>
      </c>
      <c r="E9" s="108">
        <v>2</v>
      </c>
      <c r="F9" s="732">
        <f>'1E'!I13</f>
        <v>0.75364987523082361</v>
      </c>
      <c r="G9" s="169"/>
      <c r="L9" s="132"/>
      <c r="N9" s="132"/>
      <c r="P9" s="171"/>
      <c r="Q9" s="171"/>
    </row>
    <row r="10" spans="2:23" x14ac:dyDescent="0.2">
      <c r="B10" s="106">
        <v>4</v>
      </c>
      <c r="C10" s="99" t="s">
        <v>945</v>
      </c>
      <c r="D10" s="107" t="s">
        <v>264</v>
      </c>
      <c r="E10" s="108">
        <v>2</v>
      </c>
      <c r="F10" s="733">
        <v>6.5000000000000002E-2</v>
      </c>
      <c r="G10" s="169"/>
      <c r="I10" s="28">
        <f xml:space="preserve"> IF( SUM( K10:M10 ) = 0, 0, $L$5 )</f>
        <v>0</v>
      </c>
      <c r="L10" s="105">
        <f t="shared" ref="L10:L16" si="0" xml:space="preserve"> IF( ISNUMBER( F10 ), 0, 1 )</f>
        <v>0</v>
      </c>
      <c r="N10" s="132"/>
      <c r="P10" s="171"/>
      <c r="Q10" s="171"/>
    </row>
    <row r="11" spans="2:23" x14ac:dyDescent="0.2">
      <c r="B11" s="106">
        <v>5</v>
      </c>
      <c r="C11" s="99" t="s">
        <v>946</v>
      </c>
      <c r="D11" s="107" t="s">
        <v>264</v>
      </c>
      <c r="E11" s="108">
        <v>2</v>
      </c>
      <c r="F11" s="733">
        <v>3.9399999999999998E-2</v>
      </c>
      <c r="G11" s="169"/>
      <c r="I11" s="28">
        <f xml:space="preserve"> IF( SUM( K11:M11 ) = 0, 0, $L$5 )</f>
        <v>0</v>
      </c>
      <c r="L11" s="105">
        <f t="shared" si="0"/>
        <v>0</v>
      </c>
      <c r="N11" s="132"/>
      <c r="P11" s="171"/>
      <c r="Q11" s="171"/>
    </row>
    <row r="12" spans="2:23" x14ac:dyDescent="0.2">
      <c r="B12" s="106">
        <v>6</v>
      </c>
      <c r="C12" s="99" t="s">
        <v>947</v>
      </c>
      <c r="D12" s="107" t="s">
        <v>264</v>
      </c>
      <c r="E12" s="108">
        <v>2</v>
      </c>
      <c r="F12" s="733">
        <v>0.03</v>
      </c>
      <c r="G12" s="169"/>
      <c r="I12" s="28">
        <f xml:space="preserve"> IF( SUM( K12:M12 ) = 0, 0, $L$5 )</f>
        <v>0</v>
      </c>
      <c r="L12" s="105">
        <f t="shared" si="0"/>
        <v>0</v>
      </c>
      <c r="N12" s="132"/>
      <c r="P12" s="171"/>
      <c r="Q12" s="171"/>
    </row>
    <row r="13" spans="2:23" ht="13.9" customHeight="1" x14ac:dyDescent="0.2">
      <c r="B13" s="106">
        <v>7</v>
      </c>
      <c r="C13" s="99" t="s">
        <v>948</v>
      </c>
      <c r="D13" s="107" t="s">
        <v>264</v>
      </c>
      <c r="E13" s="108">
        <v>2</v>
      </c>
      <c r="F13" s="804">
        <f xml:space="preserve"> IF( ( '2I'!F17 + '2I'!F23 = 0), 0, ( '2I'!F17 + '2I'!F23 - '2C'!F17 - '2I'!F9 - '2I'!F15 ) / ( '2I'!F17 + '2I'!F23 ) )</f>
        <v>9.3117748250799576E-3</v>
      </c>
      <c r="G13" s="169"/>
      <c r="L13" s="132"/>
      <c r="N13" s="132"/>
      <c r="P13" s="171"/>
      <c r="Q13" s="171"/>
      <c r="R13" s="174" t="s">
        <v>949</v>
      </c>
    </row>
    <row r="14" spans="2:23" ht="13.9" customHeight="1" x14ac:dyDescent="0.2">
      <c r="B14" s="106">
        <v>8</v>
      </c>
      <c r="C14" s="99" t="s">
        <v>950</v>
      </c>
      <c r="D14" s="107" t="s">
        <v>264</v>
      </c>
      <c r="E14" s="108">
        <v>2</v>
      </c>
      <c r="F14" s="804">
        <f xml:space="preserve"> IF( ( '2I'!G17 + '2I'!G23 = 0 ), 0, ( '2I'!G17 + '2I'!G23 - '2C'!G17 - '2I'!G9 - '2I'!G15 ) / ( '2I'!G17 + '2I'!G23 ) )</f>
        <v>7.3976036672481465E-3</v>
      </c>
      <c r="G14" s="169"/>
      <c r="L14" s="132"/>
      <c r="P14" s="171"/>
      <c r="R14" s="174" t="s">
        <v>949</v>
      </c>
    </row>
    <row r="15" spans="2:23" x14ac:dyDescent="0.2">
      <c r="B15" s="106">
        <v>9</v>
      </c>
      <c r="C15" s="99" t="s">
        <v>951</v>
      </c>
      <c r="D15" s="107" t="s">
        <v>952</v>
      </c>
      <c r="E15" s="108" t="s">
        <v>952</v>
      </c>
      <c r="F15" s="438" t="s">
        <v>953</v>
      </c>
      <c r="G15" s="169"/>
      <c r="I15" s="28">
        <f xml:space="preserve"> IF( SUM( K15:M15 ) = 0, 0, $L$5 )</f>
        <v>0</v>
      </c>
      <c r="L15" s="105">
        <f xml:space="preserve"> IF( ISTEXT( F15 ), 0, 1 )</f>
        <v>0</v>
      </c>
      <c r="N15" s="132"/>
      <c r="P15" s="171"/>
      <c r="Q15" s="171"/>
    </row>
    <row r="16" spans="2:23" x14ac:dyDescent="0.2">
      <c r="B16" s="106">
        <v>10</v>
      </c>
      <c r="C16" s="99" t="s">
        <v>954</v>
      </c>
      <c r="D16" s="107" t="s">
        <v>264</v>
      </c>
      <c r="E16" s="108">
        <v>2</v>
      </c>
      <c r="F16" s="733">
        <v>5.4199999999999998E-2</v>
      </c>
      <c r="G16" s="169"/>
      <c r="I16" s="28">
        <f xml:space="preserve"> IF( SUM( K16:M16 ) = 0, 0, $L$5 )</f>
        <v>0</v>
      </c>
      <c r="L16" s="105">
        <f t="shared" si="0"/>
        <v>0</v>
      </c>
      <c r="N16" s="132"/>
      <c r="P16" s="171"/>
      <c r="Q16" s="171"/>
    </row>
    <row r="17" spans="2:22" x14ac:dyDescent="0.2">
      <c r="B17" s="106">
        <v>11</v>
      </c>
      <c r="C17" s="99" t="s">
        <v>955</v>
      </c>
      <c r="D17" s="107" t="s">
        <v>956</v>
      </c>
      <c r="E17" s="108">
        <v>2</v>
      </c>
      <c r="F17" s="840">
        <v>-5.8843013403173643</v>
      </c>
      <c r="G17" s="169"/>
      <c r="I17" s="28">
        <f xml:space="preserve"> IF( SUM( K17:M17 ) = 0, 0, $L$5 )</f>
        <v>0</v>
      </c>
      <c r="L17" s="105">
        <f xml:space="preserve"> IF( ISNUMBER( F17 ), 0, 1 )</f>
        <v>0</v>
      </c>
      <c r="N17" s="132"/>
      <c r="P17" s="171"/>
      <c r="Q17" s="171"/>
    </row>
    <row r="18" spans="2:22" x14ac:dyDescent="0.2">
      <c r="B18" s="106">
        <v>12</v>
      </c>
      <c r="C18" s="99" t="s">
        <v>957</v>
      </c>
      <c r="D18" s="175" t="s">
        <v>86</v>
      </c>
      <c r="E18" s="176">
        <v>3</v>
      </c>
      <c r="F18" s="172">
        <f>'1D'!J19 - '1D'!J11</f>
        <v>415.86997968000003</v>
      </c>
      <c r="G18" s="169"/>
      <c r="L18" s="132"/>
      <c r="N18" s="132"/>
      <c r="P18" s="171"/>
      <c r="Q18" s="171"/>
    </row>
    <row r="19" spans="2:22" x14ac:dyDescent="0.2">
      <c r="B19" s="106">
        <v>13</v>
      </c>
      <c r="C19" s="99" t="s">
        <v>958</v>
      </c>
      <c r="D19" s="107" t="s">
        <v>956</v>
      </c>
      <c r="E19" s="108">
        <v>2</v>
      </c>
      <c r="F19" s="437">
        <v>2.74</v>
      </c>
      <c r="G19" s="169"/>
      <c r="I19" s="28">
        <f xml:space="preserve"> IF( SUM( K19:M19 ) = 0, 0, $L$5 )</f>
        <v>0</v>
      </c>
      <c r="L19" s="105">
        <f xml:space="preserve"> IF( ISNUMBER( F19 ), 0, 1 )</f>
        <v>0</v>
      </c>
      <c r="N19" s="132"/>
      <c r="P19" s="171"/>
      <c r="Q19" s="171"/>
    </row>
    <row r="20" spans="2:22" x14ac:dyDescent="0.2">
      <c r="B20" s="106">
        <v>14</v>
      </c>
      <c r="C20" s="99" t="s">
        <v>959</v>
      </c>
      <c r="D20" s="107" t="s">
        <v>956</v>
      </c>
      <c r="E20" s="108">
        <v>2</v>
      </c>
      <c r="F20" s="437">
        <v>1.7</v>
      </c>
      <c r="G20" s="169"/>
      <c r="I20" s="28">
        <f xml:space="preserve"> IF( SUM( K20:M20 ) = 0, 0, $L$5 )</f>
        <v>0</v>
      </c>
      <c r="J20" s="169"/>
      <c r="K20" s="133"/>
      <c r="L20" s="105">
        <f xml:space="preserve"> IF( ISNUMBER( F20 ), 0, 1 )</f>
        <v>0</v>
      </c>
      <c r="M20" s="133"/>
      <c r="N20" s="132"/>
      <c r="P20" s="171"/>
      <c r="Q20" s="171"/>
      <c r="S20" s="133"/>
    </row>
    <row r="21" spans="2:22" x14ac:dyDescent="0.2">
      <c r="B21" s="106">
        <v>15</v>
      </c>
      <c r="C21" s="99" t="s">
        <v>960</v>
      </c>
      <c r="D21" s="107" t="s">
        <v>956</v>
      </c>
      <c r="E21" s="108">
        <v>2</v>
      </c>
      <c r="F21" s="173">
        <f>IF(F7 = 0, 0, +F18 / F7)</f>
        <v>8.9818014969894028E-2</v>
      </c>
      <c r="G21" s="169"/>
      <c r="J21" s="169"/>
      <c r="L21" s="132"/>
      <c r="N21" s="132"/>
      <c r="P21" s="171"/>
      <c r="Q21" s="171"/>
    </row>
    <row r="22" spans="2:22" x14ac:dyDescent="0.2">
      <c r="B22" s="106">
        <v>16</v>
      </c>
      <c r="C22" s="99" t="s">
        <v>961</v>
      </c>
      <c r="D22" s="107" t="s">
        <v>264</v>
      </c>
      <c r="E22" s="108">
        <v>2</v>
      </c>
      <c r="F22" s="733">
        <v>0</v>
      </c>
      <c r="G22" s="169"/>
      <c r="I22" s="28">
        <f xml:space="preserve"> IF( SUM( K22:M22 ) = 0, 0, $L$5 )</f>
        <v>0</v>
      </c>
      <c r="J22" s="169"/>
      <c r="K22" s="133"/>
      <c r="L22" s="105">
        <f xml:space="preserve"> IF( ISNUMBER( F22 ), 0, 1 )</f>
        <v>0</v>
      </c>
      <c r="M22" s="133"/>
      <c r="N22" s="132"/>
      <c r="P22" s="171"/>
      <c r="Q22" s="171"/>
    </row>
    <row r="23" spans="2:22" x14ac:dyDescent="0.2">
      <c r="B23" s="106">
        <v>17</v>
      </c>
      <c r="C23" s="99" t="s">
        <v>962</v>
      </c>
      <c r="D23" s="107" t="s">
        <v>86</v>
      </c>
      <c r="E23" s="108">
        <v>3</v>
      </c>
      <c r="F23" s="172">
        <f xml:space="preserve"> +F18 - ( -1 * '1D'!J30 )</f>
        <v>280.03097968000003</v>
      </c>
      <c r="G23" s="169"/>
      <c r="I23" s="12"/>
      <c r="J23" s="169"/>
      <c r="K23" s="133"/>
      <c r="L23" s="132"/>
      <c r="M23" s="133"/>
      <c r="N23" s="132"/>
      <c r="P23" s="171"/>
      <c r="Q23" s="171"/>
      <c r="S23" s="133"/>
    </row>
    <row r="24" spans="2:22" ht="15" thickBot="1" x14ac:dyDescent="0.25">
      <c r="B24" s="113">
        <v>18</v>
      </c>
      <c r="C24" s="114" t="s">
        <v>963</v>
      </c>
      <c r="D24" s="115" t="s">
        <v>956</v>
      </c>
      <c r="E24" s="112">
        <v>2</v>
      </c>
      <c r="F24" s="177">
        <f>IF( '1D'!J22 = 0, 0, F23 / ( -1 * '1D'!J22 ) )</f>
        <v>0.78955806466892986</v>
      </c>
      <c r="G24" s="169"/>
      <c r="J24" s="169"/>
      <c r="K24" s="133"/>
      <c r="L24" s="132"/>
      <c r="M24" s="133"/>
      <c r="N24" s="132"/>
      <c r="O24" s="133"/>
      <c r="P24" s="171"/>
      <c r="Q24" s="171"/>
      <c r="S24" s="133"/>
    </row>
    <row r="25" spans="2:22" ht="15" thickBot="1" x14ac:dyDescent="0.25">
      <c r="J25" s="169"/>
      <c r="L25" s="132"/>
      <c r="N25" s="132"/>
      <c r="O25" s="130"/>
      <c r="P25" s="171"/>
      <c r="Q25" s="171"/>
    </row>
    <row r="26" spans="2:22" ht="15" thickBot="1" x14ac:dyDescent="0.25">
      <c r="B26" s="125" t="s">
        <v>143</v>
      </c>
      <c r="C26" s="126" t="s">
        <v>964</v>
      </c>
      <c r="J26" s="169"/>
      <c r="L26" s="132"/>
      <c r="N26" s="132"/>
      <c r="O26" s="130"/>
      <c r="P26" s="171"/>
      <c r="Q26" s="171"/>
    </row>
    <row r="27" spans="2:22" x14ac:dyDescent="0.2">
      <c r="B27" s="98">
        <v>19</v>
      </c>
      <c r="C27" s="128" t="s">
        <v>965</v>
      </c>
      <c r="D27" s="100" t="s">
        <v>86</v>
      </c>
      <c r="E27" s="101">
        <v>3</v>
      </c>
      <c r="F27" s="170">
        <f>'2A'!N6</f>
        <v>979.81083877896617</v>
      </c>
      <c r="G27" s="169"/>
      <c r="J27" s="169"/>
      <c r="K27" s="130"/>
      <c r="L27" s="132"/>
      <c r="M27" s="130"/>
      <c r="N27" s="132"/>
      <c r="O27" s="130"/>
      <c r="P27" s="171"/>
      <c r="Q27" s="171"/>
      <c r="S27" s="130"/>
      <c r="V27" s="135"/>
    </row>
    <row r="28" spans="2:22" ht="15" thickBot="1" x14ac:dyDescent="0.25">
      <c r="B28" s="113">
        <v>20</v>
      </c>
      <c r="C28" s="114" t="s">
        <v>966</v>
      </c>
      <c r="D28" s="115" t="s">
        <v>86</v>
      </c>
      <c r="E28" s="112">
        <v>3</v>
      </c>
      <c r="F28" s="119">
        <f>'2A'!N6 - ( -1 * '2A'!N8 )</f>
        <v>528.52083877896621</v>
      </c>
      <c r="G28" s="169"/>
      <c r="J28" s="169"/>
      <c r="L28" s="132"/>
      <c r="N28" s="132"/>
      <c r="O28" s="130"/>
      <c r="P28" s="171"/>
      <c r="Q28" s="171"/>
      <c r="V28" s="135"/>
    </row>
    <row r="29" spans="2:22" ht="15" thickBot="1" x14ac:dyDescent="0.25">
      <c r="G29" s="169"/>
      <c r="J29" s="169"/>
      <c r="K29" s="130"/>
      <c r="L29" s="132"/>
      <c r="M29" s="130"/>
      <c r="N29" s="132"/>
      <c r="O29" s="130"/>
      <c r="P29" s="171"/>
      <c r="Q29" s="171"/>
      <c r="S29" s="130"/>
      <c r="V29" s="131"/>
    </row>
    <row r="30" spans="2:22" ht="15" thickBot="1" x14ac:dyDescent="0.25">
      <c r="B30" s="125" t="s">
        <v>149</v>
      </c>
      <c r="C30" s="126" t="s">
        <v>153</v>
      </c>
      <c r="G30" s="169"/>
      <c r="J30" s="169"/>
      <c r="K30" s="130"/>
      <c r="L30" s="132"/>
      <c r="M30" s="130"/>
      <c r="N30" s="132"/>
      <c r="O30" s="130"/>
      <c r="P30" s="171"/>
      <c r="Q30" s="171"/>
      <c r="S30" s="130"/>
      <c r="V30" s="131"/>
    </row>
    <row r="31" spans="2:22" x14ac:dyDescent="0.2">
      <c r="B31" s="98">
        <v>21</v>
      </c>
      <c r="C31" s="128" t="s">
        <v>967</v>
      </c>
      <c r="D31" s="100" t="s">
        <v>264</v>
      </c>
      <c r="E31" s="101">
        <v>2</v>
      </c>
      <c r="F31" s="805">
        <f>IF( '1E'!I8 = 0, 0, ('1E'!F6+'1E'!I7) / '1E'!I8 )</f>
        <v>0.45347434282978544</v>
      </c>
      <c r="G31" s="169"/>
      <c r="K31" s="130"/>
      <c r="L31" s="132"/>
      <c r="M31" s="130"/>
      <c r="N31" s="132"/>
      <c r="O31" s="130"/>
      <c r="P31" s="171"/>
      <c r="Q31" s="171"/>
      <c r="S31" s="130"/>
      <c r="V31" s="178"/>
    </row>
    <row r="32" spans="2:22" x14ac:dyDescent="0.2">
      <c r="B32" s="179">
        <v>22</v>
      </c>
      <c r="C32" s="180" t="s">
        <v>968</v>
      </c>
      <c r="D32" s="175" t="s">
        <v>264</v>
      </c>
      <c r="E32" s="176">
        <v>2</v>
      </c>
      <c r="F32" s="804">
        <f>IF( '1E'!I8 = 0, 0, '1E'!G6 / '1E'!I8 )</f>
        <v>0.23569470123611622</v>
      </c>
      <c r="G32" s="169"/>
      <c r="J32" s="169"/>
      <c r="K32" s="130"/>
      <c r="L32" s="132"/>
      <c r="M32" s="130"/>
      <c r="N32" s="132"/>
      <c r="O32" s="130"/>
      <c r="P32" s="171"/>
      <c r="Q32" s="171"/>
      <c r="S32" s="130"/>
      <c r="V32" s="178"/>
    </row>
    <row r="33" spans="1:22" x14ac:dyDescent="0.2">
      <c r="B33" s="179">
        <v>23</v>
      </c>
      <c r="C33" s="180" t="s">
        <v>969</v>
      </c>
      <c r="D33" s="175" t="s">
        <v>264</v>
      </c>
      <c r="E33" s="176">
        <v>2</v>
      </c>
      <c r="F33" s="804">
        <f>IF('1E'!I8 = 0, 0, '1E'!H6 / '1E'!I8 )</f>
        <v>0.31083095593409837</v>
      </c>
      <c r="G33" s="169"/>
      <c r="H33" s="843">
        <f xml:space="preserve"> IF( SUM( M33:O33 ) = 0, 0, R33 )</f>
        <v>0</v>
      </c>
      <c r="J33" s="169"/>
      <c r="L33" s="132"/>
      <c r="N33" s="105">
        <f xml:space="preserve"> IF( (P33 - Q33) = 0, 0, 1 )</f>
        <v>0</v>
      </c>
      <c r="O33" s="130"/>
      <c r="P33" s="171">
        <f xml:space="preserve"> F31 + F32 + F33</f>
        <v>1</v>
      </c>
      <c r="Q33" s="171">
        <v>1</v>
      </c>
      <c r="R33" s="174" t="s">
        <v>970</v>
      </c>
      <c r="V33" s="178"/>
    </row>
    <row r="34" spans="1:22" x14ac:dyDescent="0.2">
      <c r="B34" s="179">
        <v>24</v>
      </c>
      <c r="C34" s="180" t="s">
        <v>971</v>
      </c>
      <c r="D34" s="175" t="s">
        <v>264</v>
      </c>
      <c r="E34" s="176">
        <v>2</v>
      </c>
      <c r="F34" s="733">
        <v>7.9200000000000007E-2</v>
      </c>
      <c r="G34" s="169"/>
      <c r="I34" s="28">
        <f xml:space="preserve"> IF( SUM( K34:M34 ) = 0, 0, $L$5 )</f>
        <v>0</v>
      </c>
      <c r="J34" s="169"/>
      <c r="L34" s="105">
        <f xml:space="preserve"> IF( ISNUMBER( F34 ), 0, 1 )</f>
        <v>0</v>
      </c>
      <c r="N34" s="132"/>
      <c r="O34" s="130"/>
      <c r="P34" s="171"/>
      <c r="Q34" s="171"/>
      <c r="V34" s="178"/>
    </row>
    <row r="35" spans="1:22" x14ac:dyDescent="0.2">
      <c r="B35" s="179">
        <v>25</v>
      </c>
      <c r="C35" s="181" t="s">
        <v>972</v>
      </c>
      <c r="D35" s="175" t="s">
        <v>264</v>
      </c>
      <c r="E35" s="176">
        <v>2</v>
      </c>
      <c r="F35" s="733">
        <v>1.0999999999999999E-2</v>
      </c>
      <c r="G35" s="169"/>
      <c r="I35" s="28">
        <f xml:space="preserve"> IF( SUM( K35:M35 ) = 0, 0, $L$5 )</f>
        <v>0</v>
      </c>
      <c r="J35" s="169"/>
      <c r="K35" s="130"/>
      <c r="L35" s="105">
        <f xml:space="preserve"> IF( ISNUMBER( F35 ), 0, 1 )</f>
        <v>0</v>
      </c>
      <c r="M35" s="130"/>
      <c r="N35" s="132"/>
      <c r="O35" s="130"/>
      <c r="P35" s="171"/>
      <c r="Q35" s="171"/>
      <c r="S35" s="130"/>
      <c r="V35" s="178"/>
    </row>
    <row r="36" spans="1:22" ht="13.9" customHeight="1" x14ac:dyDescent="0.2">
      <c r="B36" s="179">
        <v>26</v>
      </c>
      <c r="C36" s="182" t="s">
        <v>973</v>
      </c>
      <c r="D36" s="175" t="s">
        <v>264</v>
      </c>
      <c r="E36" s="176">
        <v>2</v>
      </c>
      <c r="F36" s="733">
        <v>0.1023</v>
      </c>
      <c r="G36" s="169"/>
      <c r="I36" s="28">
        <f xml:space="preserve"> IF( SUM( K36:M36 ) = 0, 0, $L$5 )</f>
        <v>0</v>
      </c>
      <c r="J36" s="169"/>
      <c r="K36" s="133"/>
      <c r="L36" s="105">
        <f xml:space="preserve"> IF( ISNUMBER( F36 ), 0, 1 )</f>
        <v>0</v>
      </c>
      <c r="M36" s="133"/>
      <c r="N36"/>
      <c r="O36" s="133"/>
      <c r="P36" s="171"/>
      <c r="S36" s="133"/>
      <c r="V36" s="178"/>
    </row>
    <row r="37" spans="1:22" x14ac:dyDescent="0.2">
      <c r="B37" s="179">
        <v>27</v>
      </c>
      <c r="C37" s="182" t="s">
        <v>974</v>
      </c>
      <c r="D37" s="175" t="s">
        <v>264</v>
      </c>
      <c r="E37" s="176">
        <v>2</v>
      </c>
      <c r="F37" s="734">
        <v>0.46839999999999998</v>
      </c>
      <c r="G37" s="169"/>
      <c r="I37" s="28">
        <f xml:space="preserve"> IF( SUM( K37:M37 ) = 0, 0, $L$5 )</f>
        <v>0</v>
      </c>
      <c r="J37" s="169"/>
      <c r="K37" s="133"/>
      <c r="L37" s="105">
        <f xml:space="preserve"> IF( ISNUMBER( F37 ), 0, 1 )</f>
        <v>0</v>
      </c>
      <c r="M37" s="133"/>
      <c r="N37"/>
      <c r="O37" s="133"/>
      <c r="P37" s="171"/>
      <c r="S37" s="133"/>
      <c r="V37" s="178"/>
    </row>
    <row r="38" spans="1:22" ht="15" thickBot="1" x14ac:dyDescent="0.25">
      <c r="B38" s="183">
        <v>28</v>
      </c>
      <c r="C38" s="114" t="s">
        <v>975</v>
      </c>
      <c r="D38" s="184" t="s">
        <v>264</v>
      </c>
      <c r="E38" s="185">
        <v>2</v>
      </c>
      <c r="F38" s="731">
        <v>0.33910000000000001</v>
      </c>
      <c r="G38" s="169"/>
      <c r="H38" s="843">
        <f xml:space="preserve"> IF( SUM( M38:O38 ) = 0, 0, R38 )</f>
        <v>0</v>
      </c>
      <c r="I38" s="28">
        <f xml:space="preserve"> IF( SUM( K38:M38 ) = 0, 0, $L$5 )</f>
        <v>0</v>
      </c>
      <c r="J38" s="169"/>
      <c r="K38" s="133"/>
      <c r="L38" s="105">
        <f xml:space="preserve"> IF( ISNUMBER( F38 ), 0, 1 )</f>
        <v>0</v>
      </c>
      <c r="M38" s="133"/>
      <c r="N38" s="105">
        <f xml:space="preserve"> IF( (P38 - Q38) = 0, 0, 1 )</f>
        <v>0</v>
      </c>
      <c r="O38" s="130"/>
      <c r="P38" s="171">
        <f xml:space="preserve"> SUM( F34:F38 )</f>
        <v>1</v>
      </c>
      <c r="Q38" s="171">
        <v>1</v>
      </c>
      <c r="R38" s="174" t="s">
        <v>976</v>
      </c>
      <c r="S38" s="133"/>
      <c r="V38" s="178"/>
    </row>
    <row r="39" spans="1:22" x14ac:dyDescent="0.2">
      <c r="G39" s="169"/>
      <c r="J39" s="169"/>
      <c r="L39" s="131"/>
      <c r="N39" s="122"/>
      <c r="O39" s="133"/>
    </row>
    <row r="40" spans="1:22" s="122" customFormat="1" x14ac:dyDescent="0.2">
      <c r="C40" s="158"/>
      <c r="G40" s="169"/>
      <c r="H40" s="87"/>
      <c r="J40" s="129"/>
      <c r="K40" s="84"/>
      <c r="L40" s="131"/>
      <c r="M40" s="84"/>
      <c r="N40" s="87"/>
      <c r="O40" s="133"/>
      <c r="P40" s="87"/>
      <c r="Q40" s="87"/>
      <c r="R40" s="87"/>
      <c r="S40" s="84"/>
      <c r="T40" s="129"/>
    </row>
    <row r="41" spans="1:22" s="169" customFormat="1" x14ac:dyDescent="0.2">
      <c r="B41" s="897" t="s">
        <v>101</v>
      </c>
      <c r="C41" s="897"/>
      <c r="H41" s="87"/>
      <c r="J41" s="135"/>
      <c r="K41" s="84"/>
      <c r="L41" s="83"/>
      <c r="M41" s="84"/>
      <c r="N41" s="87"/>
      <c r="O41" s="133"/>
      <c r="P41" s="87"/>
      <c r="Q41" s="87"/>
      <c r="R41" s="87"/>
      <c r="S41" s="84"/>
      <c r="T41" s="135"/>
    </row>
    <row r="42" spans="1:22" s="169" customFormat="1" x14ac:dyDescent="0.2">
      <c r="B42" s="146"/>
      <c r="C42" s="147"/>
      <c r="H42" s="87"/>
      <c r="J42" s="135"/>
      <c r="K42" s="84"/>
      <c r="L42" s="83"/>
      <c r="M42" s="84"/>
      <c r="N42" s="87"/>
      <c r="O42" s="133"/>
      <c r="P42" s="83"/>
      <c r="Q42" s="83"/>
      <c r="R42" s="83"/>
      <c r="S42" s="84"/>
      <c r="T42" s="135"/>
    </row>
    <row r="43" spans="1:22" s="169" customFormat="1" x14ac:dyDescent="0.2">
      <c r="B43" s="29"/>
      <c r="C43" s="148" t="s">
        <v>102</v>
      </c>
      <c r="H43" s="87"/>
      <c r="J43" s="135"/>
      <c r="K43" s="84"/>
      <c r="L43" s="83"/>
      <c r="M43" s="84"/>
      <c r="N43" s="87"/>
      <c r="O43" s="133"/>
      <c r="S43" s="84"/>
      <c r="T43" s="135"/>
    </row>
    <row r="44" spans="1:22" s="169" customFormat="1" x14ac:dyDescent="0.2">
      <c r="B44" s="146"/>
      <c r="C44" s="147"/>
      <c r="H44" s="87"/>
      <c r="J44" s="135"/>
      <c r="K44" s="133"/>
      <c r="L44" s="83"/>
      <c r="M44" s="133"/>
      <c r="N44" s="87"/>
      <c r="O44" s="133"/>
      <c r="S44" s="133"/>
      <c r="T44" s="135"/>
    </row>
    <row r="45" spans="1:22" s="169" customFormat="1" x14ac:dyDescent="0.2">
      <c r="B45" s="149"/>
      <c r="C45" s="148" t="s">
        <v>103</v>
      </c>
      <c r="H45" s="87"/>
      <c r="J45" s="135"/>
      <c r="K45" s="84"/>
      <c r="L45" s="83"/>
      <c r="M45" s="84"/>
      <c r="N45" s="87"/>
      <c r="O45" s="84"/>
      <c r="S45" s="84"/>
      <c r="T45" s="135"/>
    </row>
    <row r="46" spans="1:22" s="169" customFormat="1" x14ac:dyDescent="0.2">
      <c r="B46" s="150"/>
      <c r="C46" s="148"/>
      <c r="H46" s="87"/>
      <c r="J46" s="135"/>
      <c r="K46" s="84"/>
      <c r="L46" s="83"/>
      <c r="M46" s="84"/>
      <c r="N46" s="87"/>
      <c r="O46" s="84"/>
      <c r="S46" s="84"/>
      <c r="T46" s="135"/>
    </row>
    <row r="47" spans="1:22" s="169" customFormat="1" x14ac:dyDescent="0.2">
      <c r="B47" s="151"/>
      <c r="C47" s="148" t="s">
        <v>104</v>
      </c>
      <c r="H47" s="87"/>
      <c r="J47" s="135"/>
      <c r="K47" s="84"/>
      <c r="L47" s="83"/>
      <c r="M47" s="84"/>
      <c r="N47" s="87"/>
      <c r="O47" s="84"/>
      <c r="S47" s="84"/>
      <c r="T47" s="135"/>
    </row>
    <row r="48" spans="1:22" s="186" customFormat="1" x14ac:dyDescent="0.2">
      <c r="A48" s="156"/>
      <c r="B48" s="156"/>
      <c r="C48" s="157"/>
      <c r="H48" s="87"/>
      <c r="J48" s="137"/>
      <c r="K48" s="84"/>
      <c r="L48" s="83"/>
      <c r="M48" s="84"/>
      <c r="N48" s="87"/>
      <c r="O48" s="84"/>
      <c r="P48" s="169"/>
      <c r="Q48" s="169"/>
      <c r="R48" s="169"/>
      <c r="S48" s="84"/>
      <c r="T48" s="135"/>
    </row>
    <row r="49" spans="2:20" s="186" customFormat="1" ht="15" thickBot="1" x14ac:dyDescent="0.25">
      <c r="C49" s="187"/>
      <c r="H49" s="87"/>
      <c r="J49" s="137"/>
      <c r="K49" s="84"/>
      <c r="L49" s="83"/>
      <c r="M49" s="84"/>
      <c r="N49" s="87"/>
      <c r="O49" s="84"/>
      <c r="P49" s="169"/>
      <c r="Q49" s="169"/>
      <c r="R49" s="169"/>
      <c r="S49" s="84"/>
      <c r="T49" s="135"/>
    </row>
    <row r="50" spans="2:20" s="122" customFormat="1" ht="21" thickBot="1" x14ac:dyDescent="0.25">
      <c r="B50" s="152" t="str">
        <f ca="1" xml:space="preserve"> RIGHT(CELL("filename", $A$1), LEN(CELL("filename", $A$1)) - SEARCH("]", CELL("filename", $A$1)))&amp;" - Line definitions"</f>
        <v>4H - Line definitions</v>
      </c>
      <c r="C50" s="153"/>
      <c r="D50" s="154"/>
      <c r="E50" s="154"/>
      <c r="F50" s="155"/>
      <c r="G50" s="186"/>
      <c r="H50" s="87"/>
      <c r="I50" s="186"/>
      <c r="K50" s="84"/>
      <c r="L50" s="83"/>
      <c r="M50" s="84"/>
      <c r="N50" s="87"/>
      <c r="O50" s="84"/>
      <c r="P50" s="186"/>
      <c r="Q50" s="186"/>
      <c r="R50" s="186"/>
      <c r="S50" s="84"/>
      <c r="T50" s="135"/>
    </row>
    <row r="51" spans="2:20" s="122" customFormat="1" x14ac:dyDescent="0.2">
      <c r="B51" s="156"/>
      <c r="C51" s="157"/>
      <c r="D51" s="87"/>
      <c r="E51" s="87"/>
      <c r="F51" s="87"/>
      <c r="H51" s="87"/>
      <c r="K51" s="84"/>
      <c r="L51" s="83"/>
      <c r="M51" s="84"/>
      <c r="N51" s="87"/>
      <c r="O51" s="84"/>
      <c r="P51" s="186"/>
      <c r="Q51" s="186"/>
      <c r="R51" s="186"/>
      <c r="S51" s="84"/>
      <c r="T51" s="135"/>
    </row>
    <row r="52" spans="2:20" s="122" customFormat="1" ht="30" customHeight="1" x14ac:dyDescent="0.2">
      <c r="C52" s="158"/>
      <c r="H52" s="87"/>
      <c r="K52" s="84"/>
      <c r="L52" s="83"/>
      <c r="M52" s="84"/>
      <c r="N52" s="87"/>
      <c r="O52" s="84"/>
      <c r="S52" s="84"/>
      <c r="T52" s="135"/>
    </row>
    <row r="53" spans="2:20" s="122" customFormat="1" ht="15" thickBot="1" x14ac:dyDescent="0.25">
      <c r="B53" s="87"/>
      <c r="C53" s="161"/>
      <c r="D53" s="87"/>
      <c r="E53" s="87"/>
      <c r="F53" s="87"/>
      <c r="H53" s="87"/>
      <c r="K53" s="84"/>
      <c r="L53" s="188">
        <v>1</v>
      </c>
      <c r="M53" s="84"/>
      <c r="N53" s="87"/>
      <c r="O53" s="84"/>
      <c r="S53" s="84"/>
      <c r="T53" s="129"/>
    </row>
    <row r="54" spans="2:20" s="186" customFormat="1" ht="15" thickBot="1" x14ac:dyDescent="0.25">
      <c r="B54" s="162" t="s">
        <v>105</v>
      </c>
      <c r="C54" s="1061" t="s">
        <v>106</v>
      </c>
      <c r="D54" s="988"/>
      <c r="E54" s="988"/>
      <c r="F54" s="989"/>
      <c r="G54" s="122"/>
      <c r="H54" s="87"/>
      <c r="I54" s="122"/>
      <c r="J54" s="122"/>
      <c r="K54" s="84"/>
      <c r="L54" s="188">
        <v>1</v>
      </c>
      <c r="M54" s="84"/>
      <c r="N54" s="87"/>
      <c r="O54" s="84"/>
      <c r="P54" s="122"/>
      <c r="Q54" s="122"/>
      <c r="R54" s="122"/>
      <c r="S54" s="84"/>
      <c r="T54" s="129"/>
    </row>
    <row r="55" spans="2:20" s="186" customFormat="1" ht="14.1" customHeight="1" x14ac:dyDescent="0.2">
      <c r="B55" s="189">
        <v>1</v>
      </c>
      <c r="C55" s="940" t="s">
        <v>977</v>
      </c>
      <c r="D55" s="941"/>
      <c r="E55" s="941"/>
      <c r="F55" s="942"/>
      <c r="G55" s="122"/>
      <c r="H55" s="87"/>
      <c r="I55" s="122"/>
      <c r="J55" s="122"/>
      <c r="K55" s="84"/>
      <c r="L55" s="188">
        <v>1</v>
      </c>
      <c r="M55" s="84"/>
      <c r="N55" s="87"/>
      <c r="O55" s="84"/>
      <c r="P55" s="122"/>
      <c r="Q55" s="122"/>
      <c r="R55" s="122"/>
      <c r="S55" s="84"/>
      <c r="T55" s="129"/>
    </row>
    <row r="56" spans="2:20" ht="25.5" x14ac:dyDescent="0.2">
      <c r="B56" s="166">
        <f>B8</f>
        <v>2</v>
      </c>
      <c r="C56" s="935" t="s">
        <v>978</v>
      </c>
      <c r="D56" s="936"/>
      <c r="E56" s="936"/>
      <c r="F56" s="937"/>
      <c r="G56" s="122"/>
      <c r="I56" s="122"/>
      <c r="J56" s="122"/>
      <c r="L56" s="190" t="s">
        <v>112</v>
      </c>
      <c r="P56" s="122"/>
      <c r="Q56" s="122"/>
      <c r="R56" s="122"/>
    </row>
    <row r="57" spans="2:20" s="122" customFormat="1" ht="25.5" x14ac:dyDescent="0.2">
      <c r="B57" s="166">
        <v>3</v>
      </c>
      <c r="C57" s="935" t="s">
        <v>979</v>
      </c>
      <c r="D57" s="936"/>
      <c r="E57" s="936"/>
      <c r="F57" s="937"/>
      <c r="H57" s="87"/>
      <c r="K57" s="84"/>
      <c r="L57" s="190" t="s">
        <v>112</v>
      </c>
      <c r="M57" s="84"/>
      <c r="N57" s="87"/>
      <c r="O57" s="84"/>
      <c r="S57" s="84"/>
      <c r="T57" s="129"/>
    </row>
    <row r="58" spans="2:20" s="122" customFormat="1" ht="76.5" x14ac:dyDescent="0.2">
      <c r="B58" s="166">
        <f>B10</f>
        <v>4</v>
      </c>
      <c r="C58" s="935" t="s">
        <v>980</v>
      </c>
      <c r="D58" s="936"/>
      <c r="E58" s="936"/>
      <c r="F58" s="937"/>
      <c r="H58" s="87"/>
      <c r="K58" s="84"/>
      <c r="L58" s="190" t="s">
        <v>285</v>
      </c>
      <c r="M58" s="84"/>
      <c r="N58" s="87"/>
      <c r="O58" s="84"/>
      <c r="S58" s="84"/>
      <c r="T58" s="129"/>
    </row>
    <row r="59" spans="2:20" s="122" customFormat="1" ht="255" x14ac:dyDescent="0.2">
      <c r="B59" s="166">
        <f>B11</f>
        <v>5</v>
      </c>
      <c r="C59" s="935" t="s">
        <v>981</v>
      </c>
      <c r="D59" s="936"/>
      <c r="E59" s="936"/>
      <c r="F59" s="937"/>
      <c r="H59" s="87"/>
      <c r="K59" s="84"/>
      <c r="L59" s="190" t="s">
        <v>982</v>
      </c>
      <c r="M59" s="84"/>
      <c r="N59" s="87"/>
      <c r="O59" s="84"/>
      <c r="S59" s="84"/>
      <c r="T59" s="129"/>
    </row>
    <row r="60" spans="2:20" s="131" customFormat="1" ht="38.25" x14ac:dyDescent="0.2">
      <c r="B60" s="166">
        <f>B12</f>
        <v>6</v>
      </c>
      <c r="C60" s="935" t="s">
        <v>983</v>
      </c>
      <c r="D60" s="936"/>
      <c r="E60" s="936"/>
      <c r="F60" s="937"/>
      <c r="G60" s="122"/>
      <c r="H60" s="87"/>
      <c r="I60" s="122"/>
      <c r="J60" s="122"/>
      <c r="K60" s="84"/>
      <c r="L60" s="190" t="s">
        <v>109</v>
      </c>
      <c r="M60" s="84"/>
      <c r="N60" s="87"/>
      <c r="O60" s="84"/>
      <c r="P60" s="122"/>
      <c r="Q60" s="122"/>
      <c r="R60" s="122"/>
      <c r="S60" s="84"/>
      <c r="T60" s="129"/>
    </row>
    <row r="61" spans="2:20" s="131" customFormat="1" ht="25.5" x14ac:dyDescent="0.2">
      <c r="B61" s="166">
        <f>B13</f>
        <v>7</v>
      </c>
      <c r="C61" s="935" t="s">
        <v>984</v>
      </c>
      <c r="D61" s="936"/>
      <c r="E61" s="936"/>
      <c r="F61" s="937"/>
      <c r="G61" s="122"/>
      <c r="H61" s="87"/>
      <c r="I61" s="122"/>
      <c r="J61" s="122"/>
      <c r="K61" s="84"/>
      <c r="L61" s="190" t="s">
        <v>112</v>
      </c>
      <c r="M61" s="84"/>
      <c r="N61" s="87"/>
      <c r="O61" s="84"/>
      <c r="P61" s="122"/>
      <c r="Q61" s="122"/>
      <c r="R61" s="122"/>
      <c r="S61" s="84"/>
      <c r="T61" s="129"/>
    </row>
    <row r="62" spans="2:20" s="131" customFormat="1" ht="25.5" x14ac:dyDescent="0.2">
      <c r="B62" s="166">
        <f>B14</f>
        <v>8</v>
      </c>
      <c r="C62" s="935" t="s">
        <v>984</v>
      </c>
      <c r="D62" s="936"/>
      <c r="E62" s="936"/>
      <c r="F62" s="937"/>
      <c r="G62" s="122"/>
      <c r="H62" s="87"/>
      <c r="I62" s="122"/>
      <c r="J62" s="122"/>
      <c r="K62" s="84"/>
      <c r="L62" s="190" t="s">
        <v>112</v>
      </c>
      <c r="M62" s="84"/>
      <c r="N62" s="87"/>
      <c r="O62" s="84"/>
      <c r="P62" s="122"/>
      <c r="Q62" s="122"/>
      <c r="R62" s="122"/>
      <c r="S62" s="84"/>
      <c r="T62" s="129"/>
    </row>
    <row r="63" spans="2:20" s="131" customFormat="1" ht="51" x14ac:dyDescent="0.2">
      <c r="B63" s="166">
        <f>+B15</f>
        <v>9</v>
      </c>
      <c r="C63" s="935" t="s">
        <v>985</v>
      </c>
      <c r="D63" s="936"/>
      <c r="E63" s="936"/>
      <c r="F63" s="937"/>
      <c r="G63" s="122"/>
      <c r="H63" s="87"/>
      <c r="I63" s="122"/>
      <c r="J63" s="122"/>
      <c r="K63" s="84"/>
      <c r="L63" s="190" t="s">
        <v>118</v>
      </c>
      <c r="M63" s="84"/>
      <c r="N63" s="87"/>
      <c r="O63" s="84"/>
      <c r="P63" s="122"/>
      <c r="Q63" s="122"/>
      <c r="R63" s="122"/>
      <c r="S63" s="84"/>
      <c r="T63" s="129"/>
    </row>
    <row r="64" spans="2:20" ht="63.75" x14ac:dyDescent="0.2">
      <c r="B64" s="166">
        <f t="shared" ref="B64:B65" si="1">+B16</f>
        <v>10</v>
      </c>
      <c r="C64" s="935" t="s">
        <v>986</v>
      </c>
      <c r="D64" s="936"/>
      <c r="E64" s="936"/>
      <c r="F64" s="937"/>
      <c r="G64" s="122"/>
      <c r="I64" s="122"/>
      <c r="J64" s="122"/>
      <c r="L64" s="190" t="s">
        <v>396</v>
      </c>
      <c r="P64" s="122"/>
      <c r="Q64" s="122"/>
      <c r="R64" s="122"/>
    </row>
    <row r="65" spans="2:18" ht="51" x14ac:dyDescent="0.2">
      <c r="B65" s="166">
        <f t="shared" si="1"/>
        <v>11</v>
      </c>
      <c r="C65" s="935" t="s">
        <v>987</v>
      </c>
      <c r="D65" s="936"/>
      <c r="E65" s="936"/>
      <c r="F65" s="937"/>
      <c r="G65" s="122"/>
      <c r="I65" s="122"/>
      <c r="J65" s="122"/>
      <c r="L65" s="190" t="s">
        <v>118</v>
      </c>
      <c r="P65" s="122"/>
      <c r="Q65" s="122"/>
      <c r="R65" s="122"/>
    </row>
    <row r="66" spans="2:18" ht="38.25" x14ac:dyDescent="0.2">
      <c r="B66" s="166">
        <f>+B18</f>
        <v>12</v>
      </c>
      <c r="C66" s="935" t="s">
        <v>988</v>
      </c>
      <c r="D66" s="936"/>
      <c r="E66" s="936"/>
      <c r="F66" s="937"/>
      <c r="G66" s="122"/>
      <c r="I66" s="122"/>
      <c r="J66" s="122"/>
      <c r="L66" s="190" t="s">
        <v>109</v>
      </c>
      <c r="P66" s="122"/>
      <c r="Q66" s="122"/>
      <c r="R66" s="122"/>
    </row>
    <row r="67" spans="2:18" ht="25.5" x14ac:dyDescent="0.2">
      <c r="B67" s="166">
        <f t="shared" ref="B67:B69" si="2">+B19</f>
        <v>13</v>
      </c>
      <c r="C67" s="935" t="s">
        <v>989</v>
      </c>
      <c r="D67" s="936"/>
      <c r="E67" s="936"/>
      <c r="F67" s="937"/>
      <c r="G67" s="122"/>
      <c r="I67" s="122"/>
      <c r="J67" s="122"/>
      <c r="L67" s="190" t="s">
        <v>112</v>
      </c>
      <c r="P67" s="122"/>
      <c r="Q67" s="122"/>
      <c r="R67" s="122"/>
    </row>
    <row r="68" spans="2:18" ht="63.75" x14ac:dyDescent="0.2">
      <c r="B68" s="166">
        <f t="shared" si="2"/>
        <v>14</v>
      </c>
      <c r="C68" s="935" t="s">
        <v>990</v>
      </c>
      <c r="D68" s="936"/>
      <c r="E68" s="936"/>
      <c r="F68" s="937"/>
      <c r="G68" s="122"/>
      <c r="I68" s="122"/>
      <c r="J68" s="122"/>
      <c r="L68" s="190" t="s">
        <v>396</v>
      </c>
      <c r="P68" s="122"/>
      <c r="Q68" s="122"/>
      <c r="R68" s="122"/>
    </row>
    <row r="69" spans="2:18" ht="25.5" x14ac:dyDescent="0.2">
      <c r="B69" s="166">
        <f t="shared" si="2"/>
        <v>15</v>
      </c>
      <c r="C69" s="935" t="s">
        <v>991</v>
      </c>
      <c r="D69" s="936"/>
      <c r="E69" s="936"/>
      <c r="F69" s="937"/>
      <c r="G69" s="122"/>
      <c r="I69" s="122"/>
      <c r="J69" s="122"/>
      <c r="L69" s="190" t="s">
        <v>112</v>
      </c>
      <c r="P69" s="122"/>
      <c r="Q69" s="122"/>
      <c r="R69" s="122"/>
    </row>
    <row r="70" spans="2:18" ht="25.5" x14ac:dyDescent="0.2">
      <c r="B70" s="166">
        <v>16</v>
      </c>
      <c r="C70" s="935" t="s">
        <v>992</v>
      </c>
      <c r="D70" s="936"/>
      <c r="E70" s="936"/>
      <c r="F70" s="937"/>
      <c r="G70" s="122"/>
      <c r="I70" s="122"/>
      <c r="J70" s="122"/>
      <c r="L70" s="190" t="s">
        <v>112</v>
      </c>
      <c r="P70" s="122"/>
      <c r="Q70" s="122"/>
      <c r="R70" s="122"/>
    </row>
    <row r="71" spans="2:18" ht="16.899999999999999" customHeight="1" x14ac:dyDescent="0.2">
      <c r="B71" s="166">
        <v>17</v>
      </c>
      <c r="C71" s="935" t="s">
        <v>993</v>
      </c>
      <c r="D71" s="936"/>
      <c r="E71" s="936"/>
      <c r="F71" s="937"/>
      <c r="G71" s="122"/>
      <c r="I71" s="122"/>
      <c r="J71" s="122"/>
      <c r="L71" s="188">
        <v>1</v>
      </c>
      <c r="P71" s="122"/>
      <c r="Q71" s="122"/>
      <c r="R71" s="122"/>
    </row>
    <row r="72" spans="2:18" ht="16.899999999999999" customHeight="1" x14ac:dyDescent="0.2">
      <c r="B72" s="166">
        <v>18</v>
      </c>
      <c r="C72" s="935" t="s">
        <v>994</v>
      </c>
      <c r="D72" s="936"/>
      <c r="E72" s="936"/>
      <c r="F72" s="937"/>
      <c r="G72" s="122"/>
      <c r="I72" s="122"/>
      <c r="J72" s="122"/>
      <c r="L72" s="188">
        <v>1</v>
      </c>
      <c r="P72" s="122"/>
      <c r="Q72" s="122"/>
      <c r="R72" s="122"/>
    </row>
    <row r="73" spans="2:18" ht="16.899999999999999" customHeight="1" x14ac:dyDescent="0.2">
      <c r="B73" s="166">
        <v>19</v>
      </c>
      <c r="C73" s="935" t="s">
        <v>995</v>
      </c>
      <c r="D73" s="936"/>
      <c r="E73" s="936"/>
      <c r="F73" s="937"/>
      <c r="G73" s="122"/>
      <c r="I73" s="122"/>
      <c r="J73" s="122"/>
      <c r="L73" s="188">
        <v>1</v>
      </c>
      <c r="P73" s="122"/>
      <c r="Q73" s="122"/>
      <c r="R73" s="122"/>
    </row>
    <row r="74" spans="2:18" ht="38.25" x14ac:dyDescent="0.2">
      <c r="B74" s="166">
        <v>20</v>
      </c>
      <c r="C74" s="935" t="s">
        <v>996</v>
      </c>
      <c r="D74" s="936"/>
      <c r="E74" s="936"/>
      <c r="F74" s="937"/>
      <c r="G74" s="122"/>
      <c r="I74" s="122"/>
      <c r="J74" s="122"/>
      <c r="L74" s="190" t="s">
        <v>109</v>
      </c>
      <c r="P74" s="122"/>
      <c r="Q74" s="122"/>
      <c r="R74" s="122"/>
    </row>
    <row r="75" spans="2:18" ht="25.5" x14ac:dyDescent="0.2">
      <c r="B75" s="166">
        <v>21</v>
      </c>
      <c r="C75" s="935" t="s">
        <v>997</v>
      </c>
      <c r="D75" s="936"/>
      <c r="E75" s="936"/>
      <c r="F75" s="937"/>
      <c r="G75" s="122"/>
      <c r="I75" s="122"/>
      <c r="J75" s="122"/>
      <c r="L75" s="190" t="s">
        <v>112</v>
      </c>
    </row>
    <row r="76" spans="2:18" ht="16.899999999999999" customHeight="1" x14ac:dyDescent="0.2">
      <c r="B76" s="166">
        <v>22</v>
      </c>
      <c r="C76" s="935" t="s">
        <v>998</v>
      </c>
      <c r="D76" s="936"/>
      <c r="E76" s="936"/>
      <c r="F76" s="937"/>
      <c r="G76" s="122"/>
      <c r="I76" s="122"/>
      <c r="J76" s="122"/>
      <c r="L76" s="188">
        <v>1</v>
      </c>
    </row>
    <row r="77" spans="2:18" ht="16.899999999999999" customHeight="1" x14ac:dyDescent="0.2">
      <c r="B77" s="166">
        <v>23</v>
      </c>
      <c r="C77" s="935" t="s">
        <v>999</v>
      </c>
      <c r="D77" s="936"/>
      <c r="E77" s="936"/>
      <c r="F77" s="937"/>
      <c r="G77" s="122"/>
      <c r="I77" s="122"/>
      <c r="J77" s="122"/>
      <c r="L77" s="188">
        <v>1</v>
      </c>
    </row>
    <row r="78" spans="2:18" ht="15" thickBot="1" x14ac:dyDescent="0.25">
      <c r="B78" s="191" t="s">
        <v>1000</v>
      </c>
      <c r="C78" s="943" t="s">
        <v>1001</v>
      </c>
      <c r="D78" s="944"/>
      <c r="E78" s="944"/>
      <c r="F78" s="945"/>
      <c r="G78" s="122"/>
      <c r="I78" s="122"/>
      <c r="J78" s="122"/>
      <c r="L78" s="190">
        <v>1</v>
      </c>
    </row>
    <row r="79" spans="2:18" ht="15" thickBot="1" x14ac:dyDescent="0.25">
      <c r="G79" s="122"/>
      <c r="I79" s="122"/>
      <c r="J79" s="122"/>
    </row>
    <row r="80" spans="2:18" ht="21" thickBot="1" x14ac:dyDescent="0.25">
      <c r="B80" s="152" t="s">
        <v>1002</v>
      </c>
      <c r="C80" s="153"/>
      <c r="D80" s="154"/>
      <c r="E80" s="154"/>
      <c r="F80" s="155"/>
      <c r="H80" s="83"/>
    </row>
    <row r="81" spans="2:12" ht="15" thickBot="1" x14ac:dyDescent="0.25">
      <c r="B81" s="87"/>
      <c r="C81" s="161"/>
      <c r="D81" s="87"/>
      <c r="E81" s="87"/>
      <c r="F81" s="122"/>
    </row>
    <row r="82" spans="2:12" ht="153.75" thickBot="1" x14ac:dyDescent="0.25">
      <c r="B82" s="1062" t="s">
        <v>1003</v>
      </c>
      <c r="C82" s="1063"/>
      <c r="D82" s="1063"/>
      <c r="E82" s="1063"/>
      <c r="F82" s="1064"/>
      <c r="G82" s="87"/>
      <c r="L82" s="190" t="s">
        <v>1004</v>
      </c>
    </row>
    <row r="83" spans="2:12" x14ac:dyDescent="0.2"/>
  </sheetData>
  <sheetProtection algorithmName="SHA-512" hashValue="nEOLnYtUznN5+2WWewXaFo3Gy28E10E2IEOV1hTqUcdOOaBZjO9IBFk/343ND+IF9nd/0r7BuVKGDq0LLR/bfA==" saltValue="XCWqyUFOeTkxdSF6nh0oRw==" spinCount="100000" sheet="1" objects="1" scenarios="1"/>
  <mergeCells count="33">
    <mergeCell ref="B82:F82"/>
    <mergeCell ref="C78:F78"/>
    <mergeCell ref="C72:F72"/>
    <mergeCell ref="C73:F73"/>
    <mergeCell ref="C74:F74"/>
    <mergeCell ref="C75:F75"/>
    <mergeCell ref="C76:F76"/>
    <mergeCell ref="C77:F77"/>
    <mergeCell ref="C71:F71"/>
    <mergeCell ref="C59:F59"/>
    <mergeCell ref="C60:F60"/>
    <mergeCell ref="C61:F61"/>
    <mergeCell ref="C63:F63"/>
    <mergeCell ref="C64:F64"/>
    <mergeCell ref="C65:F65"/>
    <mergeCell ref="C66:F66"/>
    <mergeCell ref="C67:F67"/>
    <mergeCell ref="C68:F68"/>
    <mergeCell ref="C69:F69"/>
    <mergeCell ref="C70:F70"/>
    <mergeCell ref="C62:F62"/>
    <mergeCell ref="H3:H4"/>
    <mergeCell ref="I3:I4"/>
    <mergeCell ref="C58:F58"/>
    <mergeCell ref="B3:C4"/>
    <mergeCell ref="D3:D4"/>
    <mergeCell ref="E3:E4"/>
    <mergeCell ref="F3:F4"/>
    <mergeCell ref="B41:C41"/>
    <mergeCell ref="C54:F54"/>
    <mergeCell ref="C55:F55"/>
    <mergeCell ref="C56:F56"/>
    <mergeCell ref="C57:F57"/>
  </mergeCells>
  <conditionalFormatting sqref="H33 H38">
    <cfRule type="cellIs" dxfId="9" priority="5" operator="equal">
      <formula>0</formula>
    </cfRule>
  </conditionalFormatting>
  <conditionalFormatting sqref="I10:I12 I19:I20 I34:I38">
    <cfRule type="cellIs" dxfId="8" priority="6" operator="equal">
      <formula>0</formula>
    </cfRule>
  </conditionalFormatting>
  <conditionalFormatting sqref="I15:I17">
    <cfRule type="cellIs" dxfId="7" priority="3" operator="equal">
      <formula>0</formula>
    </cfRule>
  </conditionalFormatting>
  <conditionalFormatting sqref="I22">
    <cfRule type="cellIs" dxfId="6" priority="2" operator="equal">
      <formula>0</formula>
    </cfRule>
  </conditionalFormatting>
  <printOptions horizontalCentered="1"/>
  <pageMargins left="0.39370078740157483" right="0.39370078740157483" top="0.78740157480314965" bottom="0.78740157480314965" header="0.31496062992125984" footer="0.31496062992125984"/>
  <pageSetup paperSize="9" scale="36" orientation="portrait" r:id="rId1"/>
  <headerFooter>
    <oddHeader>&amp;L&amp;9&amp;K857362Page &amp;P of &amp;N&amp;C&amp;9 &amp;K8573622017 annual performance report tables (May 2017) &amp;R&amp;9&amp;G</oddHeader>
    <oddFooter>&amp;L&amp;9&amp;K857362&amp;A&amp;R&amp;9&amp;K857362Printed: &amp;D &amp;T</oddFooter>
  </headerFooter>
  <rowBreaks count="1" manualBreakCount="1">
    <brk id="49" max="9" man="1"/>
  </rowBreaks>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9C6E98AD-18A3-44A1-A9F9-8AFA3CAAE280}">
            <xm:f>'C:\Temp\notes6888BE\[2016-17 APR tables (April 2017).xlsx]Validation'!#REF!=1</xm:f>
            <x14:dxf>
              <fill>
                <patternFill>
                  <bgColor rgb="FFE0DCD8"/>
                </patternFill>
              </fill>
            </x14:dxf>
          </x14:cfRule>
          <xm:sqref>F17</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G84"/>
  <sheetViews>
    <sheetView showGridLines="0" tabSelected="1" zoomScale="90" zoomScaleNormal="90" workbookViewId="0">
      <selection activeCell="Q41" sqref="Q41"/>
    </sheetView>
  </sheetViews>
  <sheetFormatPr defaultColWidth="0" defaultRowHeight="14.25" zeroHeight="1" x14ac:dyDescent="0.2"/>
  <cols>
    <col min="1" max="1" width="3" customWidth="1"/>
    <col min="2" max="2" width="3.75" customWidth="1"/>
    <col min="3" max="3" width="36.5" customWidth="1"/>
    <col min="4" max="5" width="5.125" customWidth="1"/>
    <col min="6" max="11" width="10.625" customWidth="1"/>
    <col min="12" max="13" width="5.125" customWidth="1"/>
    <col min="14" max="15" width="10.625" customWidth="1"/>
    <col min="16" max="16" width="2.625" style="87" customWidth="1"/>
    <col min="17" max="17" width="37.125" style="87" customWidth="1"/>
    <col min="18" max="18" width="1.625" style="83" customWidth="1"/>
    <col min="19" max="19" width="1.625" style="84" hidden="1" customWidth="1"/>
    <col min="20" max="26" width="4.625" style="83" hidden="1" customWidth="1"/>
    <col min="27" max="27" width="1.625" style="84" hidden="1" customWidth="1"/>
    <col min="28" max="28" width="8.75" style="85" hidden="1" customWidth="1"/>
    <col min="29" max="29" width="1.625" style="84" hidden="1" customWidth="1"/>
    <col min="30" max="31" width="8.75" hidden="1" customWidth="1"/>
    <col min="32" max="32" width="77" hidden="1" customWidth="1"/>
    <col min="33" max="33" width="1.625" style="84" hidden="1" customWidth="1"/>
    <col min="34" max="16384" width="8.75" hidden="1"/>
  </cols>
  <sheetData>
    <row r="1" spans="2:33" ht="20.25" x14ac:dyDescent="0.2">
      <c r="B1" s="79" t="s">
        <v>1005</v>
      </c>
      <c r="C1" s="79"/>
      <c r="D1" s="79"/>
      <c r="E1" s="79"/>
      <c r="F1" s="79"/>
      <c r="G1" s="79"/>
      <c r="H1" s="79"/>
      <c r="I1" s="79"/>
      <c r="J1" s="79"/>
      <c r="K1" s="80"/>
      <c r="L1" s="79"/>
      <c r="M1" s="79"/>
      <c r="N1" s="79"/>
      <c r="O1" s="81" t="str">
        <f>Validation!B3</f>
        <v>Yorkshire Water</v>
      </c>
      <c r="P1" s="79"/>
      <c r="Q1" s="82" t="s">
        <v>72</v>
      </c>
    </row>
    <row r="2" spans="2:33" ht="15" thickBot="1" x14ac:dyDescent="0.25">
      <c r="B2" s="86" t="s">
        <v>55</v>
      </c>
      <c r="Q2" s="83"/>
    </row>
    <row r="3" spans="2:33" s="83" customFormat="1" ht="24.6" customHeight="1" x14ac:dyDescent="0.2">
      <c r="B3" s="881" t="s">
        <v>73</v>
      </c>
      <c r="C3" s="882"/>
      <c r="D3" s="885" t="s">
        <v>74</v>
      </c>
      <c r="E3" s="887" t="s">
        <v>75</v>
      </c>
      <c r="F3" s="891" t="s">
        <v>1006</v>
      </c>
      <c r="G3" s="892"/>
      <c r="H3" s="893"/>
      <c r="I3" s="891" t="s">
        <v>1007</v>
      </c>
      <c r="J3" s="1071"/>
      <c r="K3" s="894" t="s">
        <v>1008</v>
      </c>
      <c r="L3" s="1068" t="s">
        <v>74</v>
      </c>
      <c r="M3" s="887" t="s">
        <v>75</v>
      </c>
      <c r="N3" s="891" t="s">
        <v>1009</v>
      </c>
      <c r="O3" s="1071"/>
      <c r="P3" s="88"/>
      <c r="Q3" s="894" t="s">
        <v>1010</v>
      </c>
      <c r="S3" s="84"/>
      <c r="T3" s="89" t="s">
        <v>83</v>
      </c>
      <c r="U3" s="90"/>
      <c r="V3" s="90"/>
      <c r="W3" s="90"/>
      <c r="X3" s="90"/>
      <c r="Y3" s="90"/>
      <c r="Z3" s="90"/>
      <c r="AA3" s="84"/>
      <c r="AB3" s="842" t="s">
        <v>61</v>
      </c>
      <c r="AC3" s="84"/>
      <c r="AD3" s="89" t="s">
        <v>295</v>
      </c>
      <c r="AE3" s="842"/>
      <c r="AF3" s="842"/>
      <c r="AG3" s="84"/>
    </row>
    <row r="4" spans="2:33" s="83" customFormat="1" ht="27.75" thickBot="1" x14ac:dyDescent="0.25">
      <c r="B4" s="883"/>
      <c r="C4" s="884"/>
      <c r="D4" s="1072"/>
      <c r="E4" s="888"/>
      <c r="F4" s="846" t="s">
        <v>1011</v>
      </c>
      <c r="G4" s="91" t="s">
        <v>1012</v>
      </c>
      <c r="H4" s="847" t="s">
        <v>1013</v>
      </c>
      <c r="I4" s="846" t="s">
        <v>1014</v>
      </c>
      <c r="J4" s="847" t="s">
        <v>1015</v>
      </c>
      <c r="K4" s="1040"/>
      <c r="L4" s="1069"/>
      <c r="M4" s="1070"/>
      <c r="N4" s="846" t="s">
        <v>1016</v>
      </c>
      <c r="O4" s="847" t="s">
        <v>1017</v>
      </c>
      <c r="P4" s="87"/>
      <c r="Q4" s="895"/>
      <c r="R4" s="92"/>
      <c r="S4" s="84"/>
      <c r="AA4" s="84"/>
      <c r="AC4" s="84"/>
      <c r="AG4" s="84"/>
    </row>
    <row r="5" spans="2:33" ht="15" thickBot="1" x14ac:dyDescent="0.25"/>
    <row r="6" spans="2:33" ht="15" thickBot="1" x14ac:dyDescent="0.25">
      <c r="B6" s="93" t="s">
        <v>1018</v>
      </c>
      <c r="C6" s="94"/>
    </row>
    <row r="7" spans="2:33" ht="15.75" thickBot="1" x14ac:dyDescent="0.3">
      <c r="B7" s="95" t="s">
        <v>134</v>
      </c>
      <c r="C7" s="96" t="s">
        <v>1019</v>
      </c>
      <c r="D7" s="68"/>
      <c r="E7" s="68"/>
      <c r="F7" s="68"/>
      <c r="G7" s="68"/>
      <c r="H7" s="68"/>
      <c r="L7" s="68"/>
      <c r="M7" s="68"/>
      <c r="T7" s="97" t="s">
        <v>84</v>
      </c>
    </row>
    <row r="8" spans="2:33" x14ac:dyDescent="0.2">
      <c r="B8" s="98">
        <v>1</v>
      </c>
      <c r="C8" s="99" t="s">
        <v>1020</v>
      </c>
      <c r="D8" s="100" t="s">
        <v>86</v>
      </c>
      <c r="E8" s="101">
        <v>3</v>
      </c>
      <c r="F8" s="40">
        <v>0</v>
      </c>
      <c r="G8" s="41">
        <v>0</v>
      </c>
      <c r="H8" s="42">
        <v>45</v>
      </c>
      <c r="I8" s="102">
        <f>SUM(F8:H8)</f>
        <v>45</v>
      </c>
      <c r="J8" s="42">
        <v>-27.658669059999998</v>
      </c>
      <c r="K8" s="41">
        <v>0</v>
      </c>
      <c r="L8" s="103" t="s">
        <v>264</v>
      </c>
      <c r="M8" s="101">
        <v>2</v>
      </c>
      <c r="N8" s="43">
        <v>6.0333333333333297</v>
      </c>
      <c r="O8" s="44">
        <v>0</v>
      </c>
      <c r="P8" s="104"/>
      <c r="Q8" s="28">
        <f xml:space="preserve"> IF( SUM( S8:AA8 ) = 0, 0, $T$7 )</f>
        <v>0</v>
      </c>
      <c r="T8" s="105">
        <f xml:space="preserve"> IF( ISNUMBER( F8 ), 0, 1 )</f>
        <v>0</v>
      </c>
      <c r="U8" s="105">
        <f t="shared" ref="U8:V8" si="0" xml:space="preserve"> IF( ISNUMBER( G8 ), 0, 1 )</f>
        <v>0</v>
      </c>
      <c r="V8" s="105">
        <f t="shared" si="0"/>
        <v>0</v>
      </c>
      <c r="W8" s="105">
        <f xml:space="preserve"> IF( ISNUMBER( J8 ), 0, 1 )</f>
        <v>0</v>
      </c>
      <c r="X8" s="105">
        <f xml:space="preserve"> IF( ISNUMBER( K8 ), 0, 1 )</f>
        <v>0</v>
      </c>
      <c r="Y8" s="105">
        <f xml:space="preserve"> IF( ISNUMBER( N8 ), 0, 1 )</f>
        <v>0</v>
      </c>
      <c r="Z8" s="105">
        <f xml:space="preserve"> IF( ISNUMBER( O8 ), 0, 1 )</f>
        <v>0</v>
      </c>
      <c r="AD8" s="27"/>
      <c r="AE8" s="27"/>
      <c r="AF8" s="27"/>
    </row>
    <row r="9" spans="2:33" x14ac:dyDescent="0.2">
      <c r="B9" s="179">
        <v>2</v>
      </c>
      <c r="C9" s="99" t="s">
        <v>1021</v>
      </c>
      <c r="D9" s="107" t="s">
        <v>86</v>
      </c>
      <c r="E9" s="108">
        <v>3</v>
      </c>
      <c r="F9" s="708">
        <v>0</v>
      </c>
      <c r="G9" s="709">
        <v>0</v>
      </c>
      <c r="H9" s="710">
        <v>430</v>
      </c>
      <c r="I9" s="109">
        <f t="shared" ref="I9:I13" si="1">SUM(F9:H9)</f>
        <v>430</v>
      </c>
      <c r="J9" s="710">
        <v>62.585024159999996</v>
      </c>
      <c r="K9" s="709">
        <v>0</v>
      </c>
      <c r="L9" s="110" t="s">
        <v>264</v>
      </c>
      <c r="M9" s="108">
        <v>2</v>
      </c>
      <c r="N9" s="711">
        <v>1.4225930232558099</v>
      </c>
      <c r="O9" s="712">
        <v>0</v>
      </c>
      <c r="P9" s="104"/>
      <c r="Q9" s="28">
        <f t="shared" ref="Q9:Q13" si="2" xml:space="preserve"> IF( SUM( S9:AA9 ) = 0, 0, $T$7 )</f>
        <v>0</v>
      </c>
      <c r="T9" s="105">
        <f t="shared" ref="T9:T13" si="3" xml:space="preserve"> IF( ISNUMBER( F9 ), 0, 1 )</f>
        <v>0</v>
      </c>
      <c r="U9" s="105">
        <f t="shared" ref="U9:U13" si="4" xml:space="preserve"> IF( ISNUMBER( G9 ), 0, 1 )</f>
        <v>0</v>
      </c>
      <c r="V9" s="105">
        <f t="shared" ref="V9:V13" si="5" xml:space="preserve"> IF( ISNUMBER( H9 ), 0, 1 )</f>
        <v>0</v>
      </c>
      <c r="W9" s="105">
        <f t="shared" ref="W9:W13" si="6" xml:space="preserve"> IF( ISNUMBER( J9 ), 0, 1 )</f>
        <v>0</v>
      </c>
      <c r="X9" s="105">
        <f t="shared" ref="X9:X13" si="7" xml:space="preserve"> IF( ISNUMBER( K9 ), 0, 1 )</f>
        <v>0</v>
      </c>
      <c r="Y9" s="105">
        <f t="shared" ref="Y9:Y13" si="8" xml:space="preserve"> IF( ISNUMBER( N9 ), 0, 1 )</f>
        <v>0</v>
      </c>
      <c r="Z9" s="105">
        <f t="shared" ref="Z9:Z13" si="9" xml:space="preserve"> IF( ISNUMBER( O9 ), 0, 1 )</f>
        <v>0</v>
      </c>
      <c r="AD9" s="27"/>
      <c r="AE9" s="27"/>
      <c r="AF9" s="27"/>
    </row>
    <row r="10" spans="2:33" x14ac:dyDescent="0.2">
      <c r="B10" s="106">
        <v>3</v>
      </c>
      <c r="C10" s="99" t="s">
        <v>1022</v>
      </c>
      <c r="D10" s="107" t="s">
        <v>86</v>
      </c>
      <c r="E10" s="108">
        <v>3</v>
      </c>
      <c r="F10" s="45">
        <v>0</v>
      </c>
      <c r="G10" s="46">
        <v>117.53720699999998</v>
      </c>
      <c r="H10" s="47">
        <v>1171.4627930000001</v>
      </c>
      <c r="I10" s="109">
        <f t="shared" si="1"/>
        <v>1289.0000000000002</v>
      </c>
      <c r="J10" s="47">
        <v>-2664.08967201</v>
      </c>
      <c r="K10" s="46">
        <v>123.46081211000001</v>
      </c>
      <c r="L10" s="110" t="s">
        <v>264</v>
      </c>
      <c r="M10" s="108">
        <v>2</v>
      </c>
      <c r="N10" s="49">
        <v>2.5326834896214101</v>
      </c>
      <c r="O10" s="50">
        <v>0</v>
      </c>
      <c r="P10" s="104"/>
      <c r="Q10" s="28">
        <f t="shared" si="2"/>
        <v>0</v>
      </c>
      <c r="T10" s="105">
        <f t="shared" si="3"/>
        <v>0</v>
      </c>
      <c r="U10" s="105">
        <f t="shared" si="4"/>
        <v>0</v>
      </c>
      <c r="V10" s="105">
        <f t="shared" si="5"/>
        <v>0</v>
      </c>
      <c r="W10" s="105">
        <f t="shared" si="6"/>
        <v>0</v>
      </c>
      <c r="X10" s="105">
        <f t="shared" si="7"/>
        <v>0</v>
      </c>
      <c r="Y10" s="105">
        <f t="shared" si="8"/>
        <v>0</v>
      </c>
      <c r="Z10" s="105">
        <f t="shared" si="9"/>
        <v>0</v>
      </c>
      <c r="AD10" s="27"/>
      <c r="AE10" s="27"/>
      <c r="AF10" s="27"/>
    </row>
    <row r="11" spans="2:33" x14ac:dyDescent="0.2">
      <c r="B11" s="106">
        <v>4</v>
      </c>
      <c r="C11" s="99" t="s">
        <v>1023</v>
      </c>
      <c r="D11" s="107" t="s">
        <v>86</v>
      </c>
      <c r="E11" s="108">
        <v>3</v>
      </c>
      <c r="F11" s="45">
        <v>0</v>
      </c>
      <c r="G11" s="46">
        <v>0</v>
      </c>
      <c r="H11" s="47">
        <v>0</v>
      </c>
      <c r="I11" s="109">
        <f t="shared" si="1"/>
        <v>0</v>
      </c>
      <c r="J11" s="47">
        <v>0</v>
      </c>
      <c r="K11" s="48">
        <v>0</v>
      </c>
      <c r="L11" s="110" t="s">
        <v>264</v>
      </c>
      <c r="M11" s="108">
        <v>2</v>
      </c>
      <c r="N11" s="713">
        <v>0</v>
      </c>
      <c r="O11" s="714">
        <v>0</v>
      </c>
      <c r="P11" s="104"/>
      <c r="Q11" s="28">
        <f t="shared" si="2"/>
        <v>0</v>
      </c>
      <c r="T11" s="105">
        <f t="shared" si="3"/>
        <v>0</v>
      </c>
      <c r="U11" s="105">
        <f t="shared" si="4"/>
        <v>0</v>
      </c>
      <c r="V11" s="105">
        <f t="shared" si="5"/>
        <v>0</v>
      </c>
      <c r="W11" s="105">
        <f t="shared" si="6"/>
        <v>0</v>
      </c>
      <c r="X11" s="105">
        <f t="shared" si="7"/>
        <v>0</v>
      </c>
      <c r="Y11" s="105">
        <f t="shared" si="8"/>
        <v>0</v>
      </c>
      <c r="Z11" s="105">
        <f t="shared" si="9"/>
        <v>0</v>
      </c>
      <c r="AD11" s="27"/>
      <c r="AE11" s="27"/>
      <c r="AF11" s="27"/>
    </row>
    <row r="12" spans="2:33" ht="14.65" customHeight="1" x14ac:dyDescent="0.2">
      <c r="B12" s="106">
        <v>5</v>
      </c>
      <c r="C12" s="99" t="s">
        <v>1024</v>
      </c>
      <c r="D12" s="107" t="s">
        <v>86</v>
      </c>
      <c r="E12" s="108">
        <v>3</v>
      </c>
      <c r="F12" s="45">
        <v>0</v>
      </c>
      <c r="G12" s="46">
        <v>0</v>
      </c>
      <c r="H12" s="47">
        <v>0</v>
      </c>
      <c r="I12" s="109">
        <f t="shared" si="1"/>
        <v>0</v>
      </c>
      <c r="J12" s="47">
        <v>0</v>
      </c>
      <c r="K12" s="48">
        <v>0</v>
      </c>
      <c r="L12" s="110" t="s">
        <v>264</v>
      </c>
      <c r="M12" s="108">
        <v>2</v>
      </c>
      <c r="N12" s="713">
        <v>0</v>
      </c>
      <c r="O12" s="714">
        <v>0</v>
      </c>
      <c r="P12" s="104"/>
      <c r="Q12" s="28">
        <f t="shared" si="2"/>
        <v>0</v>
      </c>
      <c r="T12" s="105">
        <f t="shared" si="3"/>
        <v>0</v>
      </c>
      <c r="U12" s="105">
        <f t="shared" si="4"/>
        <v>0</v>
      </c>
      <c r="V12" s="105">
        <f t="shared" si="5"/>
        <v>0</v>
      </c>
      <c r="W12" s="105">
        <f t="shared" si="6"/>
        <v>0</v>
      </c>
      <c r="X12" s="105">
        <f t="shared" si="7"/>
        <v>0</v>
      </c>
      <c r="Y12" s="105">
        <f t="shared" si="8"/>
        <v>0</v>
      </c>
      <c r="Z12" s="105">
        <f t="shared" si="9"/>
        <v>0</v>
      </c>
      <c r="AD12" s="27"/>
      <c r="AE12" s="27"/>
      <c r="AF12" s="27"/>
    </row>
    <row r="13" spans="2:33" ht="14.65" customHeight="1" thickBot="1" x14ac:dyDescent="0.25">
      <c r="B13" s="374">
        <v>6</v>
      </c>
      <c r="C13" s="99" t="s">
        <v>1025</v>
      </c>
      <c r="D13" s="107" t="s">
        <v>86</v>
      </c>
      <c r="E13" s="108">
        <v>3</v>
      </c>
      <c r="F13" s="715">
        <v>0</v>
      </c>
      <c r="G13" s="716">
        <v>0</v>
      </c>
      <c r="H13" s="717">
        <v>0</v>
      </c>
      <c r="I13" s="109">
        <f t="shared" si="1"/>
        <v>0</v>
      </c>
      <c r="J13" s="717">
        <v>0</v>
      </c>
      <c r="K13" s="718">
        <v>0</v>
      </c>
      <c r="L13" s="111" t="s">
        <v>264</v>
      </c>
      <c r="M13" s="112">
        <v>2</v>
      </c>
      <c r="N13" s="51">
        <v>0</v>
      </c>
      <c r="O13" s="52">
        <v>0</v>
      </c>
      <c r="P13" s="104"/>
      <c r="Q13" s="28">
        <f t="shared" si="2"/>
        <v>0</v>
      </c>
      <c r="T13" s="105">
        <f t="shared" si="3"/>
        <v>0</v>
      </c>
      <c r="U13" s="105">
        <f t="shared" si="4"/>
        <v>0</v>
      </c>
      <c r="V13" s="105">
        <f t="shared" si="5"/>
        <v>0</v>
      </c>
      <c r="W13" s="105">
        <f t="shared" si="6"/>
        <v>0</v>
      </c>
      <c r="X13" s="105">
        <f t="shared" si="7"/>
        <v>0</v>
      </c>
      <c r="Y13" s="105">
        <f t="shared" si="8"/>
        <v>0</v>
      </c>
      <c r="Z13" s="105">
        <f t="shared" si="9"/>
        <v>0</v>
      </c>
      <c r="AD13" s="27"/>
      <c r="AE13" s="27"/>
      <c r="AF13" s="27"/>
    </row>
    <row r="14" spans="2:33" ht="14.65" customHeight="1" thickBot="1" x14ac:dyDescent="0.25">
      <c r="B14" s="113">
        <v>7</v>
      </c>
      <c r="C14" s="114" t="s">
        <v>257</v>
      </c>
      <c r="D14" s="115" t="s">
        <v>86</v>
      </c>
      <c r="E14" s="112">
        <v>3</v>
      </c>
      <c r="F14" s="116">
        <f t="shared" ref="F14:K14" si="10">SUM(F8:F13)</f>
        <v>0</v>
      </c>
      <c r="G14" s="117">
        <f t="shared" si="10"/>
        <v>117.53720699999998</v>
      </c>
      <c r="H14" s="118">
        <f t="shared" si="10"/>
        <v>1646.4627930000001</v>
      </c>
      <c r="I14" s="116">
        <f t="shared" si="10"/>
        <v>1764.0000000000002</v>
      </c>
      <c r="J14" s="118">
        <f t="shared" si="10"/>
        <v>-2629.16331691</v>
      </c>
      <c r="K14" s="119">
        <f t="shared" si="10"/>
        <v>123.46081211000001</v>
      </c>
      <c r="N14" s="120"/>
      <c r="O14" s="120"/>
      <c r="P14" s="104"/>
      <c r="AD14" s="27"/>
      <c r="AE14" s="27"/>
      <c r="AF14" s="27"/>
    </row>
    <row r="15" spans="2:33" ht="14.65" customHeight="1" thickBot="1" x14ac:dyDescent="0.25">
      <c r="D15" s="122"/>
      <c r="E15" s="122"/>
      <c r="F15" s="123"/>
      <c r="G15" s="123"/>
      <c r="H15" s="123"/>
      <c r="I15" s="123"/>
      <c r="J15" s="124"/>
      <c r="K15" s="124"/>
      <c r="L15" s="122"/>
      <c r="M15" s="122"/>
      <c r="N15" s="120"/>
      <c r="O15" s="120"/>
      <c r="P15" s="104"/>
      <c r="AD15" s="27"/>
      <c r="AE15" s="27"/>
      <c r="AF15" s="27"/>
    </row>
    <row r="16" spans="2:33" ht="14.65" customHeight="1" thickBot="1" x14ac:dyDescent="0.25">
      <c r="B16" s="125" t="s">
        <v>143</v>
      </c>
      <c r="C16" s="126" t="s">
        <v>1026</v>
      </c>
      <c r="D16" s="127"/>
      <c r="E16" s="127"/>
      <c r="F16" s="124"/>
      <c r="G16" s="124"/>
      <c r="H16" s="124"/>
      <c r="I16" s="124"/>
      <c r="J16" s="124"/>
      <c r="K16" s="124"/>
      <c r="L16" s="127"/>
      <c r="M16" s="127"/>
      <c r="N16" s="120"/>
      <c r="O16" s="120"/>
      <c r="P16" s="2"/>
      <c r="AD16" s="27"/>
      <c r="AE16" s="27"/>
      <c r="AF16" s="27"/>
    </row>
    <row r="17" spans="2:33" ht="14.65" customHeight="1" x14ac:dyDescent="0.2">
      <c r="B17" s="98">
        <v>8</v>
      </c>
      <c r="C17" s="128" t="s">
        <v>1027</v>
      </c>
      <c r="D17" s="100" t="s">
        <v>1028</v>
      </c>
      <c r="E17" s="101">
        <v>3</v>
      </c>
      <c r="F17" s="40">
        <v>28.27789762489471</v>
      </c>
      <c r="G17" s="41">
        <v>144.55811252600961</v>
      </c>
      <c r="H17" s="42">
        <v>113.11159049957887</v>
      </c>
      <c r="I17" s="102">
        <f>SUM(F17:H17)</f>
        <v>285.9476006504832</v>
      </c>
      <c r="J17" s="42">
        <v>80.218047090000013</v>
      </c>
      <c r="K17" s="53">
        <v>0</v>
      </c>
      <c r="L17" s="103" t="s">
        <v>264</v>
      </c>
      <c r="M17" s="101">
        <v>2</v>
      </c>
      <c r="N17" s="43">
        <v>1.6646844796712246</v>
      </c>
      <c r="O17" s="44">
        <v>0</v>
      </c>
      <c r="P17" s="104"/>
      <c r="Q17" s="28">
        <f xml:space="preserve"> IF( SUM( S17:AA17 ) = 0, 0, $T$7 )</f>
        <v>0</v>
      </c>
      <c r="T17" s="105">
        <f xml:space="preserve"> IF( ISNUMBER( F17 ), 0, 1 )</f>
        <v>0</v>
      </c>
      <c r="U17" s="105">
        <f t="shared" ref="U17:V20" si="11" xml:space="preserve"> IF( ISNUMBER( G17 ), 0, 1 )</f>
        <v>0</v>
      </c>
      <c r="V17" s="105">
        <f t="shared" si="11"/>
        <v>0</v>
      </c>
      <c r="W17" s="105">
        <f xml:space="preserve"> IF( ISNUMBER( J17 ), 0, 1 )</f>
        <v>0</v>
      </c>
      <c r="X17" s="105">
        <f xml:space="preserve"> IF( ISNUMBER( K17 ), 0, 1 )</f>
        <v>0</v>
      </c>
      <c r="Y17" s="105">
        <f xml:space="preserve"> IF( ISNUMBER( N17 ), 0, 1 )</f>
        <v>0</v>
      </c>
      <c r="Z17" s="105">
        <f xml:space="preserve"> IF( ISNUMBER( O17 ), 0, 1 )</f>
        <v>0</v>
      </c>
      <c r="AD17" s="27"/>
      <c r="AE17" s="27"/>
      <c r="AF17" s="27"/>
    </row>
    <row r="18" spans="2:33" ht="14.65" customHeight="1" x14ac:dyDescent="0.2">
      <c r="B18" s="106">
        <v>9</v>
      </c>
      <c r="C18" s="99" t="s">
        <v>1029</v>
      </c>
      <c r="D18" s="107" t="s">
        <v>1028</v>
      </c>
      <c r="E18" s="108">
        <v>3</v>
      </c>
      <c r="F18" s="45">
        <v>0</v>
      </c>
      <c r="G18" s="46">
        <v>0</v>
      </c>
      <c r="H18" s="47">
        <v>0</v>
      </c>
      <c r="I18" s="109">
        <f t="shared" ref="I18" si="12">SUM(F18:H18)</f>
        <v>0</v>
      </c>
      <c r="J18" s="47">
        <v>0</v>
      </c>
      <c r="K18" s="54">
        <v>0</v>
      </c>
      <c r="L18" s="110" t="s">
        <v>264</v>
      </c>
      <c r="M18" s="108">
        <v>2</v>
      </c>
      <c r="N18" s="49">
        <v>0</v>
      </c>
      <c r="O18" s="50">
        <v>0</v>
      </c>
      <c r="P18" s="104"/>
      <c r="Q18" s="28">
        <f t="shared" ref="Q18:Q20" si="13" xml:space="preserve"> IF( SUM( S18:AA18 ) = 0, 0, $T$7 )</f>
        <v>0</v>
      </c>
      <c r="T18" s="105">
        <f t="shared" ref="T18:T20" si="14" xml:space="preserve"> IF( ISNUMBER( F18 ), 0, 1 )</f>
        <v>0</v>
      </c>
      <c r="U18" s="105">
        <f t="shared" si="11"/>
        <v>0</v>
      </c>
      <c r="V18" s="105">
        <f t="shared" si="11"/>
        <v>0</v>
      </c>
      <c r="W18" s="105">
        <f t="shared" ref="W18:X20" si="15" xml:space="preserve"> IF( ISNUMBER( J18 ), 0, 1 )</f>
        <v>0</v>
      </c>
      <c r="X18" s="105">
        <f t="shared" si="15"/>
        <v>0</v>
      </c>
      <c r="Y18" s="105">
        <f t="shared" ref="Y18:Z20" si="16" xml:space="preserve"> IF( ISNUMBER( N18 ), 0, 1 )</f>
        <v>0</v>
      </c>
      <c r="Z18" s="105">
        <f t="shared" si="16"/>
        <v>0</v>
      </c>
      <c r="AD18" s="27"/>
      <c r="AE18" s="27"/>
      <c r="AF18" s="27"/>
    </row>
    <row r="19" spans="2:33" ht="14.65" customHeight="1" x14ac:dyDescent="0.2">
      <c r="B19" s="106">
        <v>10</v>
      </c>
      <c r="C19" s="99" t="s">
        <v>1030</v>
      </c>
      <c r="D19" s="107" t="s">
        <v>1028</v>
      </c>
      <c r="E19" s="108">
        <v>3</v>
      </c>
      <c r="F19" s="45">
        <v>0</v>
      </c>
      <c r="G19" s="46">
        <v>0</v>
      </c>
      <c r="H19" s="47">
        <v>0</v>
      </c>
      <c r="I19" s="109">
        <f>SUM(F19:H19)</f>
        <v>0</v>
      </c>
      <c r="J19" s="47">
        <v>0</v>
      </c>
      <c r="K19" s="54">
        <v>0</v>
      </c>
      <c r="L19" s="110" t="s">
        <v>264</v>
      </c>
      <c r="M19" s="108">
        <v>2</v>
      </c>
      <c r="N19" s="49">
        <v>0</v>
      </c>
      <c r="O19" s="50">
        <v>0</v>
      </c>
      <c r="P19" s="2"/>
      <c r="Q19" s="28">
        <f t="shared" si="13"/>
        <v>0</v>
      </c>
      <c r="T19" s="105">
        <f t="shared" si="14"/>
        <v>0</v>
      </c>
      <c r="U19" s="105">
        <f t="shared" si="11"/>
        <v>0</v>
      </c>
      <c r="V19" s="105">
        <f t="shared" si="11"/>
        <v>0</v>
      </c>
      <c r="W19" s="105">
        <f t="shared" si="15"/>
        <v>0</v>
      </c>
      <c r="X19" s="105">
        <f t="shared" si="15"/>
        <v>0</v>
      </c>
      <c r="Y19" s="105">
        <f t="shared" si="16"/>
        <v>0</v>
      </c>
      <c r="Z19" s="105">
        <f t="shared" si="16"/>
        <v>0</v>
      </c>
      <c r="AD19" s="27"/>
      <c r="AE19" s="27"/>
      <c r="AF19" s="27"/>
    </row>
    <row r="20" spans="2:33" ht="14.65" customHeight="1" thickBot="1" x14ac:dyDescent="0.25">
      <c r="B20" s="106">
        <v>11</v>
      </c>
      <c r="C20" s="99" t="s">
        <v>1031</v>
      </c>
      <c r="D20" s="107" t="s">
        <v>1028</v>
      </c>
      <c r="E20" s="108">
        <v>3</v>
      </c>
      <c r="F20" s="45">
        <v>0</v>
      </c>
      <c r="G20" s="46">
        <v>0</v>
      </c>
      <c r="H20" s="47">
        <v>33.799999999999997</v>
      </c>
      <c r="I20" s="109">
        <f t="shared" ref="I20" si="17">SUM(F20:H20)</f>
        <v>33.799999999999997</v>
      </c>
      <c r="J20" s="47">
        <v>-1.4115158000000001</v>
      </c>
      <c r="K20" s="54">
        <v>0</v>
      </c>
      <c r="L20" s="111" t="s">
        <v>264</v>
      </c>
      <c r="M20" s="112">
        <v>2</v>
      </c>
      <c r="N20" s="51">
        <v>1.4500000000000002</v>
      </c>
      <c r="O20" s="52">
        <v>0</v>
      </c>
      <c r="P20" s="2"/>
      <c r="Q20" s="28">
        <f t="shared" si="13"/>
        <v>0</v>
      </c>
      <c r="T20" s="105">
        <f t="shared" si="14"/>
        <v>0</v>
      </c>
      <c r="U20" s="105">
        <f t="shared" si="11"/>
        <v>0</v>
      </c>
      <c r="V20" s="105">
        <f t="shared" si="11"/>
        <v>0</v>
      </c>
      <c r="W20" s="105">
        <f t="shared" si="15"/>
        <v>0</v>
      </c>
      <c r="X20" s="105">
        <f t="shared" si="15"/>
        <v>0</v>
      </c>
      <c r="Y20" s="105">
        <f t="shared" si="16"/>
        <v>0</v>
      </c>
      <c r="Z20" s="105">
        <f t="shared" si="16"/>
        <v>0</v>
      </c>
      <c r="AD20" s="27"/>
      <c r="AE20" s="27"/>
      <c r="AF20" s="27"/>
    </row>
    <row r="21" spans="2:33" ht="15.6" customHeight="1" thickBot="1" x14ac:dyDescent="0.25">
      <c r="B21" s="113">
        <v>12</v>
      </c>
      <c r="C21" s="114" t="s">
        <v>257</v>
      </c>
      <c r="D21" s="115" t="s">
        <v>1028</v>
      </c>
      <c r="E21" s="112">
        <v>3</v>
      </c>
      <c r="F21" s="116">
        <f>SUM(F17:F20)</f>
        <v>28.27789762489471</v>
      </c>
      <c r="G21" s="117">
        <f t="shared" ref="G21:J21" si="18">SUM(G17:G20)</f>
        <v>144.55811252600961</v>
      </c>
      <c r="H21" s="118">
        <f t="shared" si="18"/>
        <v>146.91159049957886</v>
      </c>
      <c r="I21" s="116">
        <f t="shared" si="18"/>
        <v>319.74760065048321</v>
      </c>
      <c r="J21" s="118">
        <f t="shared" si="18"/>
        <v>78.806531290000009</v>
      </c>
      <c r="K21" s="119">
        <f>SUM(K17:K20)</f>
        <v>0</v>
      </c>
      <c r="L21" s="127"/>
      <c r="M21" s="127"/>
      <c r="N21" s="120"/>
      <c r="O21" s="120"/>
      <c r="P21" s="104"/>
      <c r="R21" s="129"/>
      <c r="S21" s="130"/>
      <c r="T21" s="131"/>
      <c r="U21" s="129"/>
      <c r="V21" s="129"/>
      <c r="W21" s="129"/>
      <c r="X21" s="129"/>
      <c r="Y21" s="129"/>
      <c r="Z21" s="129"/>
      <c r="AA21" s="130"/>
      <c r="AC21" s="130"/>
      <c r="AD21" s="27"/>
      <c r="AE21" s="27"/>
      <c r="AF21" s="27"/>
      <c r="AG21" s="130"/>
    </row>
    <row r="22" spans="2:33" ht="15.6" customHeight="1" thickBot="1" x14ac:dyDescent="0.25">
      <c r="B22" s="132"/>
      <c r="C22" s="86"/>
      <c r="D22" s="127"/>
      <c r="E22" s="127"/>
      <c r="F22" s="124"/>
      <c r="G22" s="124"/>
      <c r="H22" s="124"/>
      <c r="I22" s="124"/>
      <c r="J22" s="124"/>
      <c r="K22" s="124"/>
      <c r="L22" s="127"/>
      <c r="M22" s="127"/>
      <c r="N22" s="120"/>
      <c r="O22" s="120"/>
      <c r="P22" s="104"/>
      <c r="R22" s="129"/>
      <c r="S22" s="130"/>
      <c r="T22" s="131"/>
      <c r="U22" s="129"/>
      <c r="V22" s="129"/>
      <c r="W22" s="129"/>
      <c r="X22" s="129"/>
      <c r="Y22" s="129"/>
      <c r="Z22" s="129"/>
      <c r="AA22" s="130"/>
      <c r="AC22" s="130"/>
      <c r="AD22" s="27"/>
      <c r="AE22" s="27"/>
      <c r="AF22" s="27"/>
      <c r="AG22" s="130"/>
    </row>
    <row r="23" spans="2:33" ht="15" thickBot="1" x14ac:dyDescent="0.25">
      <c r="B23" s="125" t="s">
        <v>149</v>
      </c>
      <c r="C23" s="126" t="s">
        <v>1032</v>
      </c>
      <c r="D23" s="127"/>
      <c r="E23" s="127"/>
      <c r="F23" s="124"/>
      <c r="G23" s="124"/>
      <c r="H23" s="124"/>
      <c r="I23" s="124"/>
      <c r="J23" s="124"/>
      <c r="K23" s="124"/>
      <c r="L23" s="127"/>
      <c r="M23" s="127"/>
      <c r="N23" s="120"/>
      <c r="O23" s="120"/>
      <c r="P23" s="104"/>
      <c r="R23" s="129"/>
      <c r="S23" s="130"/>
      <c r="T23" s="131"/>
      <c r="U23" s="129"/>
      <c r="V23" s="129"/>
      <c r="W23" s="129"/>
      <c r="X23" s="129"/>
      <c r="Y23" s="129"/>
      <c r="Z23" s="129"/>
      <c r="AA23" s="130"/>
      <c r="AC23" s="130"/>
      <c r="AD23" s="27"/>
      <c r="AE23" s="27"/>
      <c r="AF23" s="27"/>
      <c r="AG23" s="130"/>
    </row>
    <row r="24" spans="2:33" x14ac:dyDescent="0.2">
      <c r="B24" s="98">
        <v>13</v>
      </c>
      <c r="C24" s="128" t="s">
        <v>1033</v>
      </c>
      <c r="D24" s="100" t="s">
        <v>1028</v>
      </c>
      <c r="E24" s="101">
        <v>3</v>
      </c>
      <c r="F24" s="40">
        <v>0</v>
      </c>
      <c r="G24" s="41">
        <v>0</v>
      </c>
      <c r="H24" s="42">
        <v>0</v>
      </c>
      <c r="I24" s="102">
        <f>SUM(F24:H24)</f>
        <v>0</v>
      </c>
      <c r="J24" s="42">
        <v>0</v>
      </c>
      <c r="K24" s="55">
        <v>0</v>
      </c>
      <c r="L24" s="103" t="s">
        <v>264</v>
      </c>
      <c r="M24" s="101">
        <v>2</v>
      </c>
      <c r="N24" s="43">
        <v>0</v>
      </c>
      <c r="O24" s="44">
        <v>0</v>
      </c>
      <c r="P24" s="104"/>
      <c r="Q24" s="28">
        <f t="shared" ref="Q24:Q27" si="19" xml:space="preserve"> IF( SUM( S24:AA24 ) = 0, 0, $T$7 )</f>
        <v>0</v>
      </c>
      <c r="T24" s="105">
        <f t="shared" ref="T24:V27" si="20" xml:space="preserve"> IF( ISNUMBER( F24 ), 0, 1 )</f>
        <v>0</v>
      </c>
      <c r="U24" s="105">
        <f t="shared" si="20"/>
        <v>0</v>
      </c>
      <c r="V24" s="105">
        <f t="shared" si="20"/>
        <v>0</v>
      </c>
      <c r="W24" s="105">
        <f t="shared" ref="W24:X27" si="21" xml:space="preserve"> IF( ISNUMBER( J24 ), 0, 1 )</f>
        <v>0</v>
      </c>
      <c r="X24" s="105">
        <f t="shared" si="21"/>
        <v>0</v>
      </c>
      <c r="Y24" s="105">
        <f t="shared" ref="Y24:Z27" si="22" xml:space="preserve"> IF( ISNUMBER( N24 ), 0, 1 )</f>
        <v>0</v>
      </c>
      <c r="Z24" s="105">
        <f t="shared" si="22"/>
        <v>0</v>
      </c>
      <c r="AD24" s="27"/>
      <c r="AE24" s="27"/>
      <c r="AF24" s="27"/>
    </row>
    <row r="25" spans="2:33" x14ac:dyDescent="0.2">
      <c r="B25" s="106">
        <v>14</v>
      </c>
      <c r="C25" s="99" t="s">
        <v>1034</v>
      </c>
      <c r="D25" s="107" t="s">
        <v>1028</v>
      </c>
      <c r="E25" s="108">
        <v>3</v>
      </c>
      <c r="F25" s="45">
        <v>0</v>
      </c>
      <c r="G25" s="46">
        <v>0</v>
      </c>
      <c r="H25" s="47">
        <v>0</v>
      </c>
      <c r="I25" s="109">
        <f t="shared" ref="I25:I27" si="23">SUM(F25:H25)</f>
        <v>0</v>
      </c>
      <c r="J25" s="47">
        <v>0</v>
      </c>
      <c r="K25" s="56">
        <v>0</v>
      </c>
      <c r="L25" s="110" t="s">
        <v>264</v>
      </c>
      <c r="M25" s="108">
        <v>2</v>
      </c>
      <c r="N25" s="49">
        <v>0</v>
      </c>
      <c r="O25" s="50">
        <v>0</v>
      </c>
      <c r="P25" s="104"/>
      <c r="Q25" s="28">
        <f t="shared" si="19"/>
        <v>0</v>
      </c>
      <c r="T25" s="105">
        <f t="shared" si="20"/>
        <v>0</v>
      </c>
      <c r="U25" s="105">
        <f t="shared" si="20"/>
        <v>0</v>
      </c>
      <c r="V25" s="105">
        <f t="shared" si="20"/>
        <v>0</v>
      </c>
      <c r="W25" s="105">
        <f t="shared" si="21"/>
        <v>0</v>
      </c>
      <c r="X25" s="105">
        <f t="shared" si="21"/>
        <v>0</v>
      </c>
      <c r="Y25" s="105">
        <f t="shared" si="22"/>
        <v>0</v>
      </c>
      <c r="Z25" s="105">
        <f t="shared" si="22"/>
        <v>0</v>
      </c>
      <c r="AD25" s="27"/>
      <c r="AE25" s="27"/>
      <c r="AF25" s="27"/>
    </row>
    <row r="26" spans="2:33" x14ac:dyDescent="0.2">
      <c r="B26" s="106">
        <v>15</v>
      </c>
      <c r="C26" s="99" t="s">
        <v>1035</v>
      </c>
      <c r="D26" s="107" t="s">
        <v>1028</v>
      </c>
      <c r="E26" s="108">
        <v>3</v>
      </c>
      <c r="F26" s="45">
        <v>0</v>
      </c>
      <c r="G26" s="46">
        <v>0</v>
      </c>
      <c r="H26" s="47">
        <v>0</v>
      </c>
      <c r="I26" s="109">
        <f>SUM(F26:H26)</f>
        <v>0</v>
      </c>
      <c r="J26" s="47">
        <v>0</v>
      </c>
      <c r="K26" s="56">
        <v>0</v>
      </c>
      <c r="L26" s="110" t="s">
        <v>264</v>
      </c>
      <c r="M26" s="108">
        <v>2</v>
      </c>
      <c r="N26" s="49">
        <v>0</v>
      </c>
      <c r="O26" s="50">
        <v>0</v>
      </c>
      <c r="P26" s="104"/>
      <c r="Q26" s="28">
        <f t="shared" si="19"/>
        <v>0</v>
      </c>
      <c r="T26" s="105">
        <f t="shared" si="20"/>
        <v>0</v>
      </c>
      <c r="U26" s="105">
        <f t="shared" si="20"/>
        <v>0</v>
      </c>
      <c r="V26" s="105">
        <f t="shared" si="20"/>
        <v>0</v>
      </c>
      <c r="W26" s="105">
        <f t="shared" si="21"/>
        <v>0</v>
      </c>
      <c r="X26" s="105">
        <f t="shared" si="21"/>
        <v>0</v>
      </c>
      <c r="Y26" s="105">
        <f t="shared" si="22"/>
        <v>0</v>
      </c>
      <c r="Z26" s="105">
        <f t="shared" si="22"/>
        <v>0</v>
      </c>
      <c r="AA26" s="133"/>
      <c r="AC26" s="133"/>
      <c r="AD26" s="27"/>
      <c r="AE26" s="27"/>
      <c r="AF26" s="27"/>
      <c r="AG26" s="133"/>
    </row>
    <row r="27" spans="2:33" ht="15" thickBot="1" x14ac:dyDescent="0.25">
      <c r="B27" s="106">
        <v>16</v>
      </c>
      <c r="C27" s="99" t="s">
        <v>1036</v>
      </c>
      <c r="D27" s="107" t="s">
        <v>1028</v>
      </c>
      <c r="E27" s="108">
        <v>3</v>
      </c>
      <c r="F27" s="45">
        <v>0</v>
      </c>
      <c r="G27" s="46">
        <v>0</v>
      </c>
      <c r="H27" s="47">
        <v>0</v>
      </c>
      <c r="I27" s="109">
        <f t="shared" si="23"/>
        <v>0</v>
      </c>
      <c r="J27" s="47">
        <v>0</v>
      </c>
      <c r="K27" s="57">
        <v>0</v>
      </c>
      <c r="L27" s="111" t="s">
        <v>264</v>
      </c>
      <c r="M27" s="112">
        <v>2</v>
      </c>
      <c r="N27" s="51">
        <v>0</v>
      </c>
      <c r="O27" s="52">
        <v>0</v>
      </c>
      <c r="P27" s="104"/>
      <c r="Q27" s="28">
        <f t="shared" si="19"/>
        <v>0</v>
      </c>
      <c r="T27" s="105">
        <f t="shared" si="20"/>
        <v>0</v>
      </c>
      <c r="U27" s="105">
        <f t="shared" si="20"/>
        <v>0</v>
      </c>
      <c r="V27" s="105">
        <f t="shared" si="20"/>
        <v>0</v>
      </c>
      <c r="W27" s="105">
        <f t="shared" si="21"/>
        <v>0</v>
      </c>
      <c r="X27" s="105">
        <f t="shared" si="21"/>
        <v>0</v>
      </c>
      <c r="Y27" s="105">
        <f t="shared" si="22"/>
        <v>0</v>
      </c>
      <c r="Z27" s="105">
        <f t="shared" si="22"/>
        <v>0</v>
      </c>
      <c r="AA27" s="130"/>
      <c r="AC27" s="130"/>
      <c r="AD27" s="27"/>
      <c r="AE27" s="27"/>
      <c r="AF27" s="27"/>
      <c r="AG27" s="130"/>
    </row>
    <row r="28" spans="2:33" ht="15" thickBot="1" x14ac:dyDescent="0.25">
      <c r="B28" s="113">
        <v>17</v>
      </c>
      <c r="C28" s="114" t="s">
        <v>257</v>
      </c>
      <c r="D28" s="115" t="s">
        <v>1028</v>
      </c>
      <c r="E28" s="112">
        <v>3</v>
      </c>
      <c r="F28" s="116">
        <f>SUM(F24:F27)</f>
        <v>0</v>
      </c>
      <c r="G28" s="117">
        <f t="shared" ref="G28:J28" si="24">SUM(G24:G27)</f>
        <v>0</v>
      </c>
      <c r="H28" s="118">
        <f t="shared" si="24"/>
        <v>0</v>
      </c>
      <c r="I28" s="116">
        <f t="shared" si="24"/>
        <v>0</v>
      </c>
      <c r="J28" s="118">
        <f t="shared" si="24"/>
        <v>0</v>
      </c>
      <c r="K28" s="134">
        <f>SUM(K24:K27)</f>
        <v>0</v>
      </c>
      <c r="L28" s="127"/>
      <c r="M28" s="127"/>
      <c r="N28" s="120"/>
      <c r="O28" s="120"/>
      <c r="P28" s="104"/>
      <c r="R28" s="129"/>
      <c r="S28" s="130"/>
      <c r="T28" s="131"/>
      <c r="U28" s="129"/>
      <c r="V28" s="129"/>
      <c r="W28" s="129"/>
      <c r="X28" s="129"/>
      <c r="Y28" s="129"/>
      <c r="Z28" s="129"/>
      <c r="AA28" s="130"/>
      <c r="AC28" s="130"/>
      <c r="AD28" s="27"/>
      <c r="AE28" s="27"/>
      <c r="AF28" s="27"/>
      <c r="AG28" s="130"/>
    </row>
    <row r="29" spans="2:33" ht="15" thickBot="1" x14ac:dyDescent="0.25">
      <c r="B29" s="132"/>
      <c r="C29" s="86"/>
      <c r="D29" s="127"/>
      <c r="E29" s="127"/>
      <c r="F29" s="124"/>
      <c r="G29" s="124"/>
      <c r="H29" s="124"/>
      <c r="I29" s="124"/>
      <c r="J29" s="124"/>
      <c r="K29" s="124"/>
      <c r="L29" s="127"/>
      <c r="M29" s="127"/>
      <c r="N29" s="120"/>
      <c r="O29" s="120"/>
      <c r="P29" s="104"/>
      <c r="R29" s="135"/>
      <c r="S29" s="130"/>
      <c r="T29" s="135"/>
      <c r="U29" s="135"/>
      <c r="V29" s="135"/>
      <c r="W29" s="135"/>
      <c r="X29" s="135"/>
      <c r="Y29" s="135"/>
      <c r="Z29" s="135"/>
      <c r="AA29" s="130"/>
      <c r="AC29" s="130"/>
      <c r="AG29" s="130"/>
    </row>
    <row r="30" spans="2:33" ht="15" thickBot="1" x14ac:dyDescent="0.25">
      <c r="B30" s="125" t="s">
        <v>158</v>
      </c>
      <c r="C30" s="126" t="s">
        <v>1037</v>
      </c>
      <c r="D30" s="127"/>
      <c r="E30" s="127"/>
      <c r="F30" s="124"/>
      <c r="G30" s="124"/>
      <c r="H30" s="124"/>
      <c r="I30" s="124"/>
      <c r="J30" s="124"/>
      <c r="K30" s="124"/>
      <c r="L30" s="127"/>
      <c r="M30" s="127"/>
      <c r="N30" s="120"/>
      <c r="O30" s="120"/>
      <c r="P30" s="2"/>
      <c r="R30" s="135"/>
      <c r="S30" s="130"/>
      <c r="T30" s="135"/>
      <c r="U30" s="135"/>
      <c r="V30" s="135"/>
      <c r="W30" s="135"/>
      <c r="X30" s="135"/>
      <c r="Y30" s="135"/>
      <c r="Z30" s="135"/>
      <c r="AA30" s="130"/>
      <c r="AC30" s="130"/>
      <c r="AG30" s="130"/>
    </row>
    <row r="31" spans="2:33" x14ac:dyDescent="0.2">
      <c r="B31" s="98">
        <v>18</v>
      </c>
      <c r="C31" s="128" t="s">
        <v>1038</v>
      </c>
      <c r="D31" s="100" t="s">
        <v>86</v>
      </c>
      <c r="E31" s="101">
        <v>3</v>
      </c>
      <c r="F31" s="40">
        <v>0</v>
      </c>
      <c r="G31" s="41">
        <v>0</v>
      </c>
      <c r="H31" s="42">
        <v>0</v>
      </c>
      <c r="I31" s="102">
        <f>SUM(F31:H31)</f>
        <v>0</v>
      </c>
      <c r="J31" s="42">
        <v>0</v>
      </c>
      <c r="K31" s="55">
        <v>0</v>
      </c>
      <c r="L31" s="103" t="s">
        <v>86</v>
      </c>
      <c r="M31" s="101">
        <v>3</v>
      </c>
      <c r="N31" s="40">
        <v>0</v>
      </c>
      <c r="O31" s="42">
        <v>0</v>
      </c>
      <c r="P31" s="2"/>
      <c r="Q31" s="28">
        <f t="shared" ref="Q31:Q34" si="25" xml:space="preserve"> IF( SUM( S31:AA31 ) = 0, 0, $T$7 )</f>
        <v>0</v>
      </c>
      <c r="T31" s="105">
        <f t="shared" ref="T31:V34" si="26" xml:space="preserve"> IF( ISNUMBER( F31 ), 0, 1 )</f>
        <v>0</v>
      </c>
      <c r="U31" s="105">
        <f t="shared" si="26"/>
        <v>0</v>
      </c>
      <c r="V31" s="105">
        <f t="shared" si="26"/>
        <v>0</v>
      </c>
      <c r="W31" s="105">
        <f t="shared" ref="W31:X34" si="27" xml:space="preserve"> IF( ISNUMBER( J31 ), 0, 1 )</f>
        <v>0</v>
      </c>
      <c r="X31" s="105">
        <f t="shared" si="27"/>
        <v>0</v>
      </c>
      <c r="Y31" s="105">
        <f t="shared" ref="Y31:Z34" si="28" xml:space="preserve"> IF( ISNUMBER( N31 ), 0, 1 )</f>
        <v>0</v>
      </c>
      <c r="Z31" s="105">
        <f t="shared" si="28"/>
        <v>0</v>
      </c>
    </row>
    <row r="32" spans="2:33" x14ac:dyDescent="0.2">
      <c r="B32" s="106">
        <v>19</v>
      </c>
      <c r="C32" s="99" t="s">
        <v>1039</v>
      </c>
      <c r="D32" s="107" t="s">
        <v>86</v>
      </c>
      <c r="E32" s="108">
        <v>3</v>
      </c>
      <c r="F32" s="45">
        <v>0</v>
      </c>
      <c r="G32" s="46">
        <v>0</v>
      </c>
      <c r="H32" s="47">
        <v>0</v>
      </c>
      <c r="I32" s="109">
        <f t="shared" ref="I32" si="29">SUM(F32:H32)</f>
        <v>0</v>
      </c>
      <c r="J32" s="47">
        <v>0</v>
      </c>
      <c r="K32" s="56">
        <v>0</v>
      </c>
      <c r="L32" s="110" t="s">
        <v>86</v>
      </c>
      <c r="M32" s="108">
        <v>3</v>
      </c>
      <c r="N32" s="45">
        <v>0</v>
      </c>
      <c r="O32" s="47">
        <v>0</v>
      </c>
      <c r="P32" s="104"/>
      <c r="Q32" s="28">
        <f t="shared" si="25"/>
        <v>0</v>
      </c>
      <c r="T32" s="105">
        <f t="shared" si="26"/>
        <v>0</v>
      </c>
      <c r="U32" s="105">
        <f t="shared" si="26"/>
        <v>0</v>
      </c>
      <c r="V32" s="105">
        <f t="shared" si="26"/>
        <v>0</v>
      </c>
      <c r="W32" s="105">
        <f t="shared" si="27"/>
        <v>0</v>
      </c>
      <c r="X32" s="105">
        <f t="shared" si="27"/>
        <v>0</v>
      </c>
      <c r="Y32" s="105">
        <f t="shared" si="28"/>
        <v>0</v>
      </c>
      <c r="Z32" s="105">
        <f t="shared" si="28"/>
        <v>0</v>
      </c>
    </row>
    <row r="33" spans="2:33" x14ac:dyDescent="0.2">
      <c r="B33" s="106">
        <v>20</v>
      </c>
      <c r="C33" s="99" t="s">
        <v>1040</v>
      </c>
      <c r="D33" s="107" t="s">
        <v>86</v>
      </c>
      <c r="E33" s="108">
        <v>3</v>
      </c>
      <c r="F33" s="45">
        <v>0</v>
      </c>
      <c r="G33" s="46">
        <v>0</v>
      </c>
      <c r="H33" s="47">
        <v>0</v>
      </c>
      <c r="I33" s="109">
        <f>SUM(F33:H33)</f>
        <v>0</v>
      </c>
      <c r="J33" s="47">
        <v>0</v>
      </c>
      <c r="K33" s="56">
        <v>0</v>
      </c>
      <c r="L33" s="110" t="s">
        <v>86</v>
      </c>
      <c r="M33" s="108">
        <v>3</v>
      </c>
      <c r="N33" s="45">
        <v>0</v>
      </c>
      <c r="O33" s="47">
        <v>0</v>
      </c>
      <c r="P33" s="104"/>
      <c r="Q33" s="28">
        <f t="shared" si="25"/>
        <v>0</v>
      </c>
      <c r="T33" s="105">
        <f t="shared" si="26"/>
        <v>0</v>
      </c>
      <c r="U33" s="105">
        <f t="shared" si="26"/>
        <v>0</v>
      </c>
      <c r="V33" s="105">
        <f t="shared" si="26"/>
        <v>0</v>
      </c>
      <c r="W33" s="105">
        <f t="shared" si="27"/>
        <v>0</v>
      </c>
      <c r="X33" s="105">
        <f t="shared" si="27"/>
        <v>0</v>
      </c>
      <c r="Y33" s="105">
        <f t="shared" si="28"/>
        <v>0</v>
      </c>
      <c r="Z33" s="105">
        <f t="shared" si="28"/>
        <v>0</v>
      </c>
      <c r="AB33" s="132"/>
    </row>
    <row r="34" spans="2:33" ht="15" thickBot="1" x14ac:dyDescent="0.25">
      <c r="B34" s="106">
        <v>21</v>
      </c>
      <c r="C34" s="99" t="s">
        <v>1041</v>
      </c>
      <c r="D34" s="107" t="s">
        <v>86</v>
      </c>
      <c r="E34" s="108">
        <v>3</v>
      </c>
      <c r="F34" s="45">
        <v>0</v>
      </c>
      <c r="G34" s="46">
        <v>0</v>
      </c>
      <c r="H34" s="47">
        <v>0</v>
      </c>
      <c r="I34" s="109">
        <f t="shared" ref="I34" si="30">SUM(F34:H34)</f>
        <v>0</v>
      </c>
      <c r="J34" s="47">
        <v>0</v>
      </c>
      <c r="K34" s="56">
        <v>0</v>
      </c>
      <c r="L34" s="111" t="s">
        <v>86</v>
      </c>
      <c r="M34" s="112">
        <v>3</v>
      </c>
      <c r="N34" s="58">
        <v>0</v>
      </c>
      <c r="O34" s="59">
        <v>0</v>
      </c>
      <c r="P34" s="104"/>
      <c r="Q34" s="28">
        <f t="shared" si="25"/>
        <v>0</v>
      </c>
      <c r="T34" s="105">
        <f t="shared" si="26"/>
        <v>0</v>
      </c>
      <c r="U34" s="105">
        <f t="shared" si="26"/>
        <v>0</v>
      </c>
      <c r="V34" s="105">
        <f t="shared" si="26"/>
        <v>0</v>
      </c>
      <c r="W34" s="105">
        <f t="shared" si="27"/>
        <v>0</v>
      </c>
      <c r="X34" s="105">
        <f t="shared" si="27"/>
        <v>0</v>
      </c>
      <c r="Y34" s="105">
        <f t="shared" si="28"/>
        <v>0</v>
      </c>
      <c r="Z34" s="105">
        <f t="shared" si="28"/>
        <v>0</v>
      </c>
    </row>
    <row r="35" spans="2:33" ht="15" thickBot="1" x14ac:dyDescent="0.25">
      <c r="B35" s="113">
        <v>22</v>
      </c>
      <c r="C35" s="114" t="s">
        <v>257</v>
      </c>
      <c r="D35" s="115" t="s">
        <v>1028</v>
      </c>
      <c r="E35" s="112">
        <v>3</v>
      </c>
      <c r="F35" s="116">
        <f xml:space="preserve"> SUM( F31:F34 )</f>
        <v>0</v>
      </c>
      <c r="G35" s="117">
        <f t="shared" ref="G35:K35" si="31" xml:space="preserve"> SUM( G31:G34 )</f>
        <v>0</v>
      </c>
      <c r="H35" s="118">
        <f t="shared" si="31"/>
        <v>0</v>
      </c>
      <c r="I35" s="116">
        <f t="shared" si="31"/>
        <v>0</v>
      </c>
      <c r="J35" s="118">
        <f t="shared" si="31"/>
        <v>0</v>
      </c>
      <c r="K35" s="136">
        <f t="shared" si="31"/>
        <v>0</v>
      </c>
      <c r="L35" s="127"/>
      <c r="M35" s="127"/>
      <c r="N35" s="120"/>
      <c r="O35" s="120"/>
      <c r="P35" s="104"/>
      <c r="R35" s="129"/>
      <c r="S35" s="130"/>
      <c r="T35" s="131"/>
      <c r="U35" s="129"/>
      <c r="V35" s="129"/>
      <c r="W35" s="129"/>
      <c r="X35" s="129"/>
      <c r="Y35" s="129"/>
      <c r="Z35" s="129"/>
      <c r="AA35" s="130"/>
      <c r="AC35" s="130"/>
      <c r="AG35" s="130"/>
    </row>
    <row r="36" spans="2:33" ht="15" thickBot="1" x14ac:dyDescent="0.25">
      <c r="B36" s="132"/>
      <c r="C36" s="86"/>
      <c r="D36" s="127"/>
      <c r="E36" s="127"/>
      <c r="F36" s="124"/>
      <c r="G36" s="124"/>
      <c r="H36" s="124"/>
      <c r="I36" s="124"/>
      <c r="J36" s="124"/>
      <c r="K36" s="124"/>
      <c r="L36" s="127"/>
      <c r="M36" s="127"/>
      <c r="N36" s="120"/>
      <c r="O36" s="120"/>
      <c r="P36" s="104"/>
      <c r="R36" s="129"/>
      <c r="S36" s="133"/>
      <c r="T36" s="131"/>
      <c r="U36" s="129"/>
      <c r="V36" s="129"/>
      <c r="W36" s="129"/>
      <c r="X36" s="129"/>
      <c r="Y36" s="129"/>
      <c r="Z36" s="129"/>
      <c r="AA36" s="133"/>
      <c r="AC36" s="133"/>
      <c r="AG36" s="133"/>
    </row>
    <row r="37" spans="2:33" ht="15" thickBot="1" x14ac:dyDescent="0.25">
      <c r="B37" s="125" t="s">
        <v>165</v>
      </c>
      <c r="C37" s="126" t="s">
        <v>1042</v>
      </c>
      <c r="D37" s="127"/>
      <c r="E37" s="127"/>
      <c r="F37" s="124"/>
      <c r="G37" s="124"/>
      <c r="H37" s="124"/>
      <c r="I37" s="124"/>
      <c r="J37" s="124"/>
      <c r="K37" s="124"/>
      <c r="L37" s="127"/>
      <c r="M37" s="127"/>
      <c r="N37" s="120"/>
      <c r="O37" s="120"/>
      <c r="P37" s="104"/>
      <c r="R37" s="129"/>
      <c r="S37" s="133"/>
      <c r="T37" s="131"/>
      <c r="U37" s="129"/>
      <c r="V37" s="129"/>
      <c r="W37" s="129"/>
      <c r="X37" s="129"/>
      <c r="Y37" s="129"/>
      <c r="Z37" s="129"/>
      <c r="AA37" s="133"/>
      <c r="AC37" s="133"/>
      <c r="AG37" s="133"/>
    </row>
    <row r="38" spans="2:33" ht="15" thickBot="1" x14ac:dyDescent="0.25">
      <c r="B38" s="651">
        <v>23</v>
      </c>
      <c r="C38" s="652" t="s">
        <v>1042</v>
      </c>
      <c r="D38" s="140" t="s">
        <v>86</v>
      </c>
      <c r="E38" s="141">
        <v>3</v>
      </c>
      <c r="F38" s="522">
        <v>0</v>
      </c>
      <c r="G38" s="523">
        <v>0</v>
      </c>
      <c r="H38" s="524">
        <v>0</v>
      </c>
      <c r="I38" s="142">
        <f>SUM(F38:H38)</f>
        <v>0</v>
      </c>
      <c r="J38" s="524">
        <v>0</v>
      </c>
      <c r="K38" s="525">
        <v>0</v>
      </c>
      <c r="L38" s="526" t="s">
        <v>264</v>
      </c>
      <c r="M38" s="141">
        <v>2</v>
      </c>
      <c r="N38" s="527">
        <v>0</v>
      </c>
      <c r="O38" s="528">
        <v>0</v>
      </c>
      <c r="P38" s="104"/>
      <c r="Q38" s="28">
        <f t="shared" ref="Q38" si="32" xml:space="preserve"> IF( SUM( S38:AA38 ) = 0, 0, $T$7 )</f>
        <v>0</v>
      </c>
      <c r="R38" s="129"/>
      <c r="S38" s="133"/>
      <c r="T38" s="105">
        <f t="shared" ref="T38" si="33" xml:space="preserve"> IF( ISNUMBER( F38 ), 0, 1 )</f>
        <v>0</v>
      </c>
      <c r="U38" s="105">
        <f t="shared" ref="U38" si="34" xml:space="preserve"> IF( ISNUMBER( G38 ), 0, 1 )</f>
        <v>0</v>
      </c>
      <c r="V38" s="105">
        <f t="shared" ref="V38" si="35" xml:space="preserve"> IF( ISNUMBER( H38 ), 0, 1 )</f>
        <v>0</v>
      </c>
      <c r="W38" s="105">
        <f t="shared" ref="W38" si="36" xml:space="preserve"> IF( ISNUMBER( J38 ), 0, 1 )</f>
        <v>0</v>
      </c>
      <c r="X38" s="105">
        <f t="shared" ref="X38" si="37" xml:space="preserve"> IF( ISNUMBER( K38 ), 0, 1 )</f>
        <v>0</v>
      </c>
      <c r="Y38" s="105">
        <f t="shared" ref="Y38" si="38" xml:space="preserve"> IF( ISNUMBER( N38 ), 0, 1 )</f>
        <v>0</v>
      </c>
      <c r="Z38" s="105">
        <f t="shared" ref="Z38" si="39" xml:space="preserve"> IF( ISNUMBER( O38 ), 0, 1 )</f>
        <v>0</v>
      </c>
      <c r="AA38" s="133"/>
      <c r="AC38" s="133"/>
      <c r="AG38" s="133"/>
    </row>
    <row r="39" spans="2:33" ht="15" thickBot="1" x14ac:dyDescent="0.25">
      <c r="B39" s="132"/>
      <c r="C39" s="86"/>
      <c r="D39" s="127"/>
      <c r="E39" s="127"/>
      <c r="F39" s="124"/>
      <c r="G39" s="124"/>
      <c r="H39" s="124"/>
      <c r="I39" s="124"/>
      <c r="J39" s="124"/>
      <c r="K39" s="124"/>
      <c r="L39" s="127"/>
      <c r="M39" s="127"/>
      <c r="N39" s="120"/>
      <c r="O39" s="120"/>
      <c r="P39" s="104"/>
      <c r="Q39" s="131"/>
      <c r="R39" s="129"/>
      <c r="S39" s="133"/>
      <c r="T39" s="131"/>
      <c r="U39" s="129"/>
      <c r="V39" s="129"/>
      <c r="W39" s="129"/>
      <c r="X39" s="129"/>
      <c r="Y39" s="129"/>
      <c r="Z39" s="129"/>
      <c r="AA39" s="133"/>
      <c r="AC39" s="133"/>
      <c r="AG39" s="133"/>
    </row>
    <row r="40" spans="2:33" ht="15" thickBot="1" x14ac:dyDescent="0.25">
      <c r="B40" s="125" t="s">
        <v>596</v>
      </c>
      <c r="C40" s="126" t="s">
        <v>257</v>
      </c>
      <c r="D40" s="127"/>
      <c r="E40" s="127"/>
      <c r="F40" s="124"/>
      <c r="G40" s="124"/>
      <c r="H40" s="124"/>
      <c r="I40" s="124"/>
      <c r="J40" s="124"/>
      <c r="K40" s="124"/>
      <c r="L40" s="127"/>
      <c r="M40" s="127"/>
      <c r="N40" s="120"/>
      <c r="O40" s="120"/>
      <c r="P40" s="129"/>
      <c r="R40" s="129"/>
      <c r="S40" s="133"/>
      <c r="T40" s="137"/>
      <c r="U40" s="129"/>
      <c r="V40" s="129"/>
      <c r="W40" s="129"/>
      <c r="X40" s="129"/>
      <c r="Y40" s="129"/>
      <c r="Z40" s="129"/>
      <c r="AA40" s="133"/>
      <c r="AC40" s="133"/>
      <c r="AG40" s="133"/>
    </row>
    <row r="41" spans="2:33" ht="23.25" thickBot="1" x14ac:dyDescent="0.25">
      <c r="B41" s="138">
        <v>24</v>
      </c>
      <c r="C41" s="139" t="s">
        <v>1043</v>
      </c>
      <c r="D41" s="140" t="s">
        <v>86</v>
      </c>
      <c r="E41" s="141">
        <v>3</v>
      </c>
      <c r="F41" s="142">
        <f xml:space="preserve"> F14 + F21 + F28 + F35 + F38</f>
        <v>28.27789762489471</v>
      </c>
      <c r="G41" s="143">
        <f t="shared" ref="G41:K41" si="40" xml:space="preserve"> G14 + G21 + G28 + G35 + G38</f>
        <v>262.09531952600958</v>
      </c>
      <c r="H41" s="144">
        <f t="shared" si="40"/>
        <v>1793.3743834995789</v>
      </c>
      <c r="I41" s="142">
        <f t="shared" si="40"/>
        <v>2083.7476006504835</v>
      </c>
      <c r="J41" s="144">
        <f t="shared" si="40"/>
        <v>-2550.3567856200002</v>
      </c>
      <c r="K41" s="145">
        <f t="shared" si="40"/>
        <v>123.46081211000001</v>
      </c>
      <c r="L41" s="127"/>
      <c r="M41" s="127"/>
      <c r="N41" s="120"/>
      <c r="O41" s="120"/>
      <c r="P41" s="135"/>
      <c r="Q41" s="843" t="str">
        <f xml:space="preserve"> IF( SUM( AA41:AC41 ) = 0, 0, AF41 )</f>
        <v>Please provide explanation why 'Nominal value net' does not equal the 'Financial instruments' totals from table 1C.</v>
      </c>
      <c r="R41" s="129"/>
      <c r="S41" s="133"/>
      <c r="T41" s="131"/>
      <c r="U41" s="129"/>
      <c r="V41" s="129"/>
      <c r="W41" s="129"/>
      <c r="X41" s="129"/>
      <c r="Y41" s="129"/>
      <c r="Z41" s="129"/>
      <c r="AA41" s="133"/>
      <c r="AB41" s="105">
        <f xml:space="preserve"> IF( (AD41 - AE41) = 0, 0, 1 )</f>
        <v>1</v>
      </c>
      <c r="AC41" s="133"/>
      <c r="AD41" s="124">
        <f xml:space="preserve"> ROUND( I41, 3 )</f>
        <v>2083.748</v>
      </c>
      <c r="AE41" s="124">
        <f xml:space="preserve"> ROUND( ('1C'!J11 + '1C'!J18 + '1C'!J26 + '1C'!J35), 3 )</f>
        <v>-1924.643</v>
      </c>
      <c r="AF41" s="27" t="s">
        <v>1044</v>
      </c>
      <c r="AG41" s="133"/>
    </row>
    <row r="42" spans="2:33" x14ac:dyDescent="0.2">
      <c r="B42" s="132"/>
      <c r="C42" s="86"/>
      <c r="D42" s="127"/>
      <c r="E42" s="127"/>
      <c r="L42" s="127"/>
      <c r="M42" s="127"/>
      <c r="N42" s="120"/>
      <c r="O42" s="120"/>
      <c r="P42" s="135"/>
      <c r="R42" s="122"/>
      <c r="S42" s="133"/>
      <c r="T42" s="122"/>
      <c r="U42" s="122"/>
      <c r="V42" s="122"/>
      <c r="W42" s="122"/>
      <c r="X42" s="122"/>
      <c r="Y42" s="122"/>
      <c r="Z42" s="122"/>
      <c r="AA42" s="133"/>
      <c r="AC42" s="133"/>
      <c r="AG42" s="133"/>
    </row>
    <row r="43" spans="2:33" x14ac:dyDescent="0.2">
      <c r="B43" s="897" t="s">
        <v>101</v>
      </c>
      <c r="C43" s="897"/>
      <c r="D43" s="127"/>
      <c r="E43" s="127"/>
      <c r="L43" s="127"/>
      <c r="M43" s="127"/>
      <c r="N43" s="120"/>
      <c r="O43" s="120"/>
      <c r="P43" s="135"/>
      <c r="R43" s="122"/>
      <c r="S43" s="133"/>
      <c r="T43" s="122"/>
      <c r="U43" s="122"/>
      <c r="V43" s="122"/>
      <c r="W43" s="122"/>
      <c r="X43" s="122"/>
      <c r="Y43" s="122"/>
      <c r="Z43" s="122"/>
      <c r="AA43" s="133"/>
      <c r="AC43" s="133"/>
      <c r="AG43" s="133"/>
    </row>
    <row r="44" spans="2:33" x14ac:dyDescent="0.2">
      <c r="B44" s="146"/>
      <c r="C44" s="147"/>
      <c r="D44" s="127"/>
      <c r="E44" s="127"/>
      <c r="L44" s="127"/>
      <c r="M44" s="127"/>
      <c r="P44" s="135"/>
      <c r="R44" s="131"/>
      <c r="S44" s="133"/>
      <c r="T44" s="131"/>
      <c r="U44" s="131"/>
      <c r="V44" s="131"/>
      <c r="W44" s="131"/>
      <c r="X44" s="131"/>
      <c r="Y44" s="131"/>
      <c r="Z44" s="131"/>
      <c r="AA44" s="133"/>
      <c r="AC44" s="133"/>
      <c r="AG44" s="133"/>
    </row>
    <row r="45" spans="2:33" x14ac:dyDescent="0.2">
      <c r="B45" s="29"/>
      <c r="C45" s="148" t="s">
        <v>102</v>
      </c>
      <c r="D45" s="127"/>
      <c r="E45" s="127"/>
      <c r="L45" s="127"/>
      <c r="M45" s="127"/>
      <c r="P45" s="135"/>
      <c r="R45" s="131"/>
      <c r="S45" s="133"/>
      <c r="T45" s="131"/>
      <c r="U45" s="131"/>
      <c r="V45" s="131"/>
      <c r="W45" s="131"/>
      <c r="X45" s="131"/>
      <c r="Y45" s="131"/>
      <c r="Z45" s="131"/>
      <c r="AA45" s="133"/>
      <c r="AC45" s="133"/>
      <c r="AG45" s="133"/>
    </row>
    <row r="46" spans="2:33" x14ac:dyDescent="0.2">
      <c r="B46" s="146"/>
      <c r="C46" s="147"/>
      <c r="D46" s="127"/>
      <c r="E46" s="127"/>
      <c r="L46" s="127"/>
      <c r="M46" s="127"/>
      <c r="P46" s="135"/>
      <c r="R46" s="131"/>
      <c r="S46" s="133"/>
      <c r="T46" s="131"/>
      <c r="U46" s="131"/>
      <c r="V46" s="131"/>
      <c r="W46" s="131"/>
      <c r="X46" s="131"/>
      <c r="Y46" s="131"/>
      <c r="Z46" s="131"/>
      <c r="AA46" s="133"/>
      <c r="AC46" s="133"/>
      <c r="AG46" s="133"/>
    </row>
    <row r="47" spans="2:33" x14ac:dyDescent="0.2">
      <c r="B47" s="149"/>
      <c r="C47" s="148" t="s">
        <v>103</v>
      </c>
      <c r="P47" s="135"/>
      <c r="S47" s="133"/>
      <c r="AA47" s="133"/>
      <c r="AC47" s="133"/>
      <c r="AG47" s="133"/>
    </row>
    <row r="48" spans="2:33" x14ac:dyDescent="0.2">
      <c r="B48" s="150"/>
      <c r="C48" s="148"/>
      <c r="P48" s="137"/>
    </row>
    <row r="49" spans="2:20" x14ac:dyDescent="0.2">
      <c r="B49" s="151"/>
      <c r="C49" s="148" t="s">
        <v>104</v>
      </c>
      <c r="P49" s="137"/>
    </row>
    <row r="50" spans="2:20" x14ac:dyDescent="0.2">
      <c r="B50" s="148"/>
      <c r="C50" s="148"/>
      <c r="P50" s="137"/>
    </row>
    <row r="51" spans="2:20" ht="15" thickBot="1" x14ac:dyDescent="0.25">
      <c r="B51" s="148"/>
      <c r="C51" s="148"/>
      <c r="P51" s="137"/>
      <c r="T51" s="122"/>
    </row>
    <row r="52" spans="2:20" ht="21" thickBot="1" x14ac:dyDescent="0.25">
      <c r="B52" s="152" t="str">
        <f ca="1" xml:space="preserve"> RIGHT(CELL("filename", $A$1), LEN(CELL("filename", $A$1)) - SEARCH("]", CELL("filename", $A$1)))&amp;" - Line definitions"</f>
        <v>4I - Line definitions</v>
      </c>
      <c r="C52" s="153"/>
      <c r="D52" s="154"/>
      <c r="E52" s="154"/>
      <c r="F52" s="154"/>
      <c r="G52" s="154"/>
      <c r="H52" s="154"/>
      <c r="I52" s="154"/>
      <c r="J52" s="154"/>
      <c r="K52" s="154"/>
      <c r="L52" s="154"/>
      <c r="M52" s="154"/>
      <c r="N52" s="154"/>
      <c r="O52" s="155"/>
      <c r="P52" s="2"/>
    </row>
    <row r="53" spans="2:20" x14ac:dyDescent="0.2">
      <c r="B53" s="156"/>
      <c r="C53" s="157"/>
      <c r="D53" s="87"/>
      <c r="E53" s="87"/>
      <c r="F53" s="87"/>
      <c r="G53" s="122"/>
      <c r="H53" s="122"/>
      <c r="I53" s="122"/>
      <c r="O53" t="s">
        <v>1045</v>
      </c>
      <c r="P53" s="2"/>
    </row>
    <row r="54" spans="2:20" ht="32.65" customHeight="1" x14ac:dyDescent="0.2">
      <c r="B54" s="122"/>
      <c r="C54" s="158"/>
      <c r="D54" s="122"/>
      <c r="E54" s="122"/>
      <c r="F54" s="122"/>
      <c r="G54" s="122"/>
      <c r="H54" s="122"/>
      <c r="I54" s="122"/>
      <c r="P54" s="2"/>
    </row>
    <row r="55" spans="2:20" x14ac:dyDescent="0.2">
      <c r="B55" s="159"/>
      <c r="C55" s="158"/>
      <c r="D55" s="122"/>
      <c r="E55" s="122"/>
      <c r="F55" s="122"/>
      <c r="G55" s="122"/>
      <c r="H55" s="122"/>
      <c r="I55" s="122"/>
      <c r="P55" s="2"/>
    </row>
    <row r="56" spans="2:20" ht="15" thickBot="1" x14ac:dyDescent="0.25">
      <c r="B56" s="122"/>
      <c r="C56" s="158"/>
      <c r="D56" s="122"/>
      <c r="E56" s="122"/>
      <c r="F56" s="122"/>
      <c r="G56" s="122"/>
      <c r="H56" s="122"/>
      <c r="I56" s="129"/>
      <c r="P56" s="2"/>
    </row>
    <row r="57" spans="2:20" ht="21" thickBot="1" x14ac:dyDescent="0.25">
      <c r="B57" s="152" t="str">
        <f ca="1" xml:space="preserve"> RIGHT(CELL("filename", $A$1), LEN(CELL("filename", $A$1)) - SEARCH("]", CELL("filename", $A$1)))&amp;" - Line definitions"</f>
        <v>4I - Line definitions</v>
      </c>
      <c r="C57" s="153"/>
      <c r="D57" s="154"/>
      <c r="E57" s="154"/>
      <c r="F57" s="154"/>
      <c r="G57" s="154"/>
      <c r="H57" s="154"/>
      <c r="I57" s="154"/>
      <c r="J57" s="154"/>
      <c r="K57" s="154"/>
      <c r="L57" s="154"/>
      <c r="M57" s="154"/>
      <c r="N57" s="154"/>
      <c r="O57" s="160"/>
      <c r="P57" s="2"/>
    </row>
    <row r="58" spans="2:20" ht="15" thickBot="1" x14ac:dyDescent="0.25">
      <c r="B58" s="87"/>
      <c r="C58" s="161"/>
      <c r="D58" s="87"/>
      <c r="E58" s="87"/>
      <c r="F58" s="87"/>
      <c r="G58" s="122"/>
      <c r="H58" s="122"/>
      <c r="I58" s="129"/>
      <c r="P58" s="2"/>
    </row>
    <row r="59" spans="2:20" ht="15" thickBot="1" x14ac:dyDescent="0.25">
      <c r="B59" s="162" t="s">
        <v>105</v>
      </c>
      <c r="C59" s="863" t="s">
        <v>106</v>
      </c>
      <c r="D59" s="855"/>
      <c r="E59" s="855"/>
      <c r="F59" s="855"/>
      <c r="G59" s="855"/>
      <c r="H59" s="855"/>
      <c r="I59" s="855"/>
      <c r="J59" s="855"/>
      <c r="K59" s="855"/>
      <c r="L59" s="855"/>
      <c r="M59" s="855"/>
      <c r="N59" s="855"/>
      <c r="O59" s="163"/>
      <c r="P59" s="2"/>
      <c r="T59" s="97" t="s">
        <v>107</v>
      </c>
    </row>
    <row r="60" spans="2:20" ht="51" x14ac:dyDescent="0.2">
      <c r="B60" s="164">
        <v>1</v>
      </c>
      <c r="C60" s="1073" t="s">
        <v>1046</v>
      </c>
      <c r="D60" s="1074"/>
      <c r="E60" s="1074"/>
      <c r="F60" s="1074"/>
      <c r="G60" s="1074"/>
      <c r="H60" s="1074"/>
      <c r="I60" s="1074"/>
      <c r="J60" s="1074"/>
      <c r="K60" s="1074"/>
      <c r="L60" s="1074"/>
      <c r="M60" s="1074"/>
      <c r="N60" s="1074"/>
      <c r="O60" s="1075"/>
      <c r="P60" s="2"/>
      <c r="T60" s="168" t="s">
        <v>118</v>
      </c>
    </row>
    <row r="61" spans="2:20" ht="48.6" customHeight="1" x14ac:dyDescent="0.2">
      <c r="B61" s="164">
        <v>2</v>
      </c>
      <c r="C61" s="1065" t="s">
        <v>1047</v>
      </c>
      <c r="D61" s="1066"/>
      <c r="E61" s="1066"/>
      <c r="F61" s="1066"/>
      <c r="G61" s="1066"/>
      <c r="H61" s="1066"/>
      <c r="I61" s="1066"/>
      <c r="J61" s="1066"/>
      <c r="K61" s="1066"/>
      <c r="L61" s="1066"/>
      <c r="M61" s="1066"/>
      <c r="N61" s="1066"/>
      <c r="O61" s="1067"/>
      <c r="P61" s="2"/>
      <c r="T61" s="168" t="s">
        <v>118</v>
      </c>
    </row>
    <row r="62" spans="2:20" ht="48.6" customHeight="1" x14ac:dyDescent="0.2">
      <c r="B62" s="166">
        <v>3</v>
      </c>
      <c r="C62" s="1065" t="s">
        <v>1048</v>
      </c>
      <c r="D62" s="1066"/>
      <c r="E62" s="1066"/>
      <c r="F62" s="1066"/>
      <c r="G62" s="1066"/>
      <c r="H62" s="1066"/>
      <c r="I62" s="1066"/>
      <c r="J62" s="1066"/>
      <c r="K62" s="1066"/>
      <c r="L62" s="1066"/>
      <c r="M62" s="1066"/>
      <c r="N62" s="1066"/>
      <c r="O62" s="1067"/>
      <c r="P62" s="2"/>
      <c r="T62" s="168" t="s">
        <v>118</v>
      </c>
    </row>
    <row r="63" spans="2:20" ht="48.6" customHeight="1" x14ac:dyDescent="0.2">
      <c r="B63" s="166">
        <v>4</v>
      </c>
      <c r="C63" s="1065" t="s">
        <v>1049</v>
      </c>
      <c r="D63" s="1066"/>
      <c r="E63" s="1066"/>
      <c r="F63" s="1066"/>
      <c r="G63" s="1066"/>
      <c r="H63" s="1066"/>
      <c r="I63" s="1066"/>
      <c r="J63" s="1066"/>
      <c r="K63" s="1066"/>
      <c r="L63" s="1066"/>
      <c r="M63" s="1066"/>
      <c r="N63" s="1066"/>
      <c r="O63" s="1067"/>
      <c r="P63" s="2"/>
      <c r="T63" s="168" t="s">
        <v>118</v>
      </c>
    </row>
    <row r="64" spans="2:20" ht="48.6" customHeight="1" x14ac:dyDescent="0.2">
      <c r="B64" s="166">
        <v>5</v>
      </c>
      <c r="C64" s="1065" t="s">
        <v>1050</v>
      </c>
      <c r="D64" s="1066"/>
      <c r="E64" s="1066"/>
      <c r="F64" s="1066"/>
      <c r="G64" s="1066"/>
      <c r="H64" s="1066"/>
      <c r="I64" s="1066"/>
      <c r="J64" s="1066"/>
      <c r="K64" s="1066"/>
      <c r="L64" s="1066"/>
      <c r="M64" s="1066"/>
      <c r="N64" s="1066"/>
      <c r="O64" s="1067"/>
      <c r="P64" s="2"/>
      <c r="T64" s="168" t="s">
        <v>118</v>
      </c>
    </row>
    <row r="65" spans="2:20" ht="48" customHeight="1" x14ac:dyDescent="0.2">
      <c r="B65" s="166">
        <v>6</v>
      </c>
      <c r="C65" s="1065" t="s">
        <v>1051</v>
      </c>
      <c r="D65" s="1066"/>
      <c r="E65" s="1066"/>
      <c r="F65" s="1066"/>
      <c r="G65" s="1066"/>
      <c r="H65" s="1066"/>
      <c r="I65" s="1066"/>
      <c r="J65" s="1066"/>
      <c r="K65" s="1066"/>
      <c r="L65" s="1066"/>
      <c r="M65" s="1066"/>
      <c r="N65" s="1066"/>
      <c r="O65" s="1067"/>
      <c r="P65" s="2"/>
      <c r="T65" s="168" t="s">
        <v>118</v>
      </c>
    </row>
    <row r="66" spans="2:20" x14ac:dyDescent="0.2">
      <c r="B66" s="166">
        <v>7</v>
      </c>
      <c r="C66" s="1065" t="s">
        <v>1052</v>
      </c>
      <c r="D66" s="1066"/>
      <c r="E66" s="1066"/>
      <c r="F66" s="1066"/>
      <c r="G66" s="1066"/>
      <c r="H66" s="1066"/>
      <c r="I66" s="1066"/>
      <c r="J66" s="1066"/>
      <c r="K66" s="1066"/>
      <c r="L66" s="1066"/>
      <c r="M66" s="1066"/>
      <c r="N66" s="1066"/>
      <c r="O66" s="1067"/>
      <c r="P66" s="2"/>
      <c r="T66" s="165">
        <v>1</v>
      </c>
    </row>
    <row r="67" spans="2:20" x14ac:dyDescent="0.2">
      <c r="B67" s="166">
        <v>8</v>
      </c>
      <c r="C67" s="1065" t="s">
        <v>1053</v>
      </c>
      <c r="D67" s="1066"/>
      <c r="E67" s="1066"/>
      <c r="F67" s="1066"/>
      <c r="G67" s="1066"/>
      <c r="H67" s="1066"/>
      <c r="I67" s="1066"/>
      <c r="J67" s="1066"/>
      <c r="K67" s="1066"/>
      <c r="L67" s="1066"/>
      <c r="M67" s="1066"/>
      <c r="N67" s="1066"/>
      <c r="O67" s="1067"/>
      <c r="P67" s="2"/>
      <c r="T67" s="165">
        <v>1</v>
      </c>
    </row>
    <row r="68" spans="2:20" x14ac:dyDescent="0.2">
      <c r="B68" s="166">
        <v>9</v>
      </c>
      <c r="C68" s="1065" t="s">
        <v>1054</v>
      </c>
      <c r="D68" s="1066"/>
      <c r="E68" s="1066"/>
      <c r="F68" s="1066"/>
      <c r="G68" s="1066"/>
      <c r="H68" s="1066"/>
      <c r="I68" s="1066"/>
      <c r="J68" s="1066"/>
      <c r="K68" s="1066"/>
      <c r="L68" s="1066"/>
      <c r="M68" s="1066"/>
      <c r="N68" s="1066"/>
      <c r="O68" s="1067"/>
      <c r="P68" s="2"/>
      <c r="T68" s="165">
        <v>1</v>
      </c>
    </row>
    <row r="69" spans="2:20" x14ac:dyDescent="0.2">
      <c r="B69" s="166">
        <v>10</v>
      </c>
      <c r="C69" s="1065" t="s">
        <v>1055</v>
      </c>
      <c r="D69" s="1066"/>
      <c r="E69" s="1066"/>
      <c r="F69" s="1066"/>
      <c r="G69" s="1066"/>
      <c r="H69" s="1066"/>
      <c r="I69" s="1066"/>
      <c r="J69" s="1066"/>
      <c r="K69" s="1066"/>
      <c r="L69" s="1066"/>
      <c r="M69" s="1066"/>
      <c r="N69" s="1066"/>
      <c r="O69" s="1067"/>
      <c r="P69" s="2"/>
      <c r="T69" s="165">
        <v>1</v>
      </c>
    </row>
    <row r="70" spans="2:20" x14ac:dyDescent="0.2">
      <c r="B70" s="166">
        <v>11</v>
      </c>
      <c r="C70" s="1065" t="s">
        <v>1056</v>
      </c>
      <c r="D70" s="1066"/>
      <c r="E70" s="1066"/>
      <c r="F70" s="1066"/>
      <c r="G70" s="1066"/>
      <c r="H70" s="1066"/>
      <c r="I70" s="1066"/>
      <c r="J70" s="1066"/>
      <c r="K70" s="1066"/>
      <c r="L70" s="1066"/>
      <c r="M70" s="1066"/>
      <c r="N70" s="1066"/>
      <c r="O70" s="1067"/>
      <c r="P70" s="2"/>
      <c r="T70" s="165">
        <v>1</v>
      </c>
    </row>
    <row r="71" spans="2:20" x14ac:dyDescent="0.2">
      <c r="B71" s="166">
        <v>12</v>
      </c>
      <c r="C71" s="1065" t="s">
        <v>1057</v>
      </c>
      <c r="D71" s="1066"/>
      <c r="E71" s="1066"/>
      <c r="F71" s="1066"/>
      <c r="G71" s="1066"/>
      <c r="H71" s="1066"/>
      <c r="I71" s="1066"/>
      <c r="J71" s="1066"/>
      <c r="K71" s="1066"/>
      <c r="L71" s="1066"/>
      <c r="M71" s="1066"/>
      <c r="N71" s="1066"/>
      <c r="O71" s="1067"/>
      <c r="P71" s="2"/>
      <c r="T71" s="165">
        <v>1</v>
      </c>
    </row>
    <row r="72" spans="2:20" x14ac:dyDescent="0.2">
      <c r="B72" s="166">
        <v>13</v>
      </c>
      <c r="C72" s="1065" t="s">
        <v>1058</v>
      </c>
      <c r="D72" s="1066"/>
      <c r="E72" s="1066"/>
      <c r="F72" s="1066"/>
      <c r="G72" s="1066"/>
      <c r="H72" s="1066"/>
      <c r="I72" s="1066"/>
      <c r="J72" s="1066"/>
      <c r="K72" s="1066"/>
      <c r="L72" s="1066"/>
      <c r="M72" s="1066"/>
      <c r="N72" s="1066"/>
      <c r="O72" s="1067"/>
      <c r="P72" s="2"/>
      <c r="T72" s="165">
        <v>1</v>
      </c>
    </row>
    <row r="73" spans="2:20" x14ac:dyDescent="0.2">
      <c r="B73" s="166">
        <v>14</v>
      </c>
      <c r="C73" s="1065" t="s">
        <v>1059</v>
      </c>
      <c r="D73" s="1066"/>
      <c r="E73" s="1066"/>
      <c r="F73" s="1066"/>
      <c r="G73" s="1066"/>
      <c r="H73" s="1066"/>
      <c r="I73" s="1066"/>
      <c r="J73" s="1066"/>
      <c r="K73" s="1066"/>
      <c r="L73" s="1066"/>
      <c r="M73" s="1066"/>
      <c r="N73" s="1066"/>
      <c r="O73" s="1067"/>
      <c r="P73" s="2"/>
      <c r="T73" s="165">
        <v>1</v>
      </c>
    </row>
    <row r="74" spans="2:20" x14ac:dyDescent="0.2">
      <c r="B74" s="166">
        <v>15</v>
      </c>
      <c r="C74" s="1065" t="s">
        <v>1060</v>
      </c>
      <c r="D74" s="1066"/>
      <c r="E74" s="1066"/>
      <c r="F74" s="1066"/>
      <c r="G74" s="1066"/>
      <c r="H74" s="1066"/>
      <c r="I74" s="1066"/>
      <c r="J74" s="1066"/>
      <c r="K74" s="1066"/>
      <c r="L74" s="1066"/>
      <c r="M74" s="1066"/>
      <c r="N74" s="1066"/>
      <c r="O74" s="1067"/>
      <c r="P74" s="2"/>
      <c r="T74" s="165">
        <v>1</v>
      </c>
    </row>
    <row r="75" spans="2:20" x14ac:dyDescent="0.2">
      <c r="B75" s="166">
        <v>16</v>
      </c>
      <c r="C75" s="1065" t="s">
        <v>1061</v>
      </c>
      <c r="D75" s="1066"/>
      <c r="E75" s="1066"/>
      <c r="F75" s="1066"/>
      <c r="G75" s="1066"/>
      <c r="H75" s="1066"/>
      <c r="I75" s="1066"/>
      <c r="J75" s="1066"/>
      <c r="K75" s="1066"/>
      <c r="L75" s="1066"/>
      <c r="M75" s="1066"/>
      <c r="N75" s="1066"/>
      <c r="O75" s="1067"/>
      <c r="P75" s="2"/>
      <c r="T75" s="165">
        <v>1</v>
      </c>
    </row>
    <row r="76" spans="2:20" x14ac:dyDescent="0.2">
      <c r="B76" s="166">
        <v>17</v>
      </c>
      <c r="C76" s="1065" t="s">
        <v>1062</v>
      </c>
      <c r="D76" s="1066"/>
      <c r="E76" s="1066"/>
      <c r="F76" s="1066"/>
      <c r="G76" s="1066"/>
      <c r="H76" s="1066"/>
      <c r="I76" s="1066"/>
      <c r="J76" s="1066"/>
      <c r="K76" s="1066"/>
      <c r="L76" s="1066"/>
      <c r="M76" s="1066"/>
      <c r="N76" s="1066"/>
      <c r="O76" s="1067"/>
      <c r="P76" s="2"/>
      <c r="T76" s="165">
        <v>1</v>
      </c>
    </row>
    <row r="77" spans="2:20" x14ac:dyDescent="0.2">
      <c r="B77" s="166">
        <v>18</v>
      </c>
      <c r="C77" s="1065" t="s">
        <v>1063</v>
      </c>
      <c r="D77" s="1066"/>
      <c r="E77" s="1066"/>
      <c r="F77" s="1066"/>
      <c r="G77" s="1066"/>
      <c r="H77" s="1066"/>
      <c r="I77" s="1066"/>
      <c r="J77" s="1066"/>
      <c r="K77" s="1066"/>
      <c r="L77" s="1066"/>
      <c r="M77" s="1066"/>
      <c r="N77" s="1066"/>
      <c r="O77" s="1067"/>
      <c r="P77" s="2"/>
      <c r="T77" s="165">
        <v>1</v>
      </c>
    </row>
    <row r="78" spans="2:20" x14ac:dyDescent="0.2">
      <c r="B78" s="166">
        <v>19</v>
      </c>
      <c r="C78" s="1065" t="s">
        <v>1064</v>
      </c>
      <c r="D78" s="1066"/>
      <c r="E78" s="1066"/>
      <c r="F78" s="1066"/>
      <c r="G78" s="1066"/>
      <c r="H78" s="1066"/>
      <c r="I78" s="1066"/>
      <c r="J78" s="1066"/>
      <c r="K78" s="1066"/>
      <c r="L78" s="1066"/>
      <c r="M78" s="1066"/>
      <c r="N78" s="1066"/>
      <c r="O78" s="1067"/>
      <c r="P78" s="2"/>
      <c r="T78" s="165">
        <v>1</v>
      </c>
    </row>
    <row r="79" spans="2:20" x14ac:dyDescent="0.2">
      <c r="B79" s="166">
        <v>20</v>
      </c>
      <c r="C79" s="1065" t="s">
        <v>1065</v>
      </c>
      <c r="D79" s="1066"/>
      <c r="E79" s="1066"/>
      <c r="F79" s="1066"/>
      <c r="G79" s="1066"/>
      <c r="H79" s="1066"/>
      <c r="I79" s="1066"/>
      <c r="J79" s="1066"/>
      <c r="K79" s="1066"/>
      <c r="L79" s="1066"/>
      <c r="M79" s="1066"/>
      <c r="N79" s="1066"/>
      <c r="O79" s="1067"/>
      <c r="P79" s="2"/>
      <c r="T79" s="165">
        <v>1</v>
      </c>
    </row>
    <row r="80" spans="2:20" x14ac:dyDescent="0.2">
      <c r="B80" s="166">
        <v>21</v>
      </c>
      <c r="C80" s="1065" t="s">
        <v>1066</v>
      </c>
      <c r="D80" s="1066"/>
      <c r="E80" s="1066"/>
      <c r="F80" s="1066"/>
      <c r="G80" s="1066"/>
      <c r="H80" s="1066"/>
      <c r="I80" s="1066"/>
      <c r="J80" s="1066"/>
      <c r="K80" s="1066"/>
      <c r="L80" s="1066"/>
      <c r="M80" s="1066"/>
      <c r="N80" s="1066"/>
      <c r="O80" s="1067"/>
      <c r="P80" s="2"/>
      <c r="T80" s="165">
        <v>1</v>
      </c>
    </row>
    <row r="81" spans="2:20" x14ac:dyDescent="0.2">
      <c r="B81" s="166">
        <v>22</v>
      </c>
      <c r="C81" s="1065" t="s">
        <v>1067</v>
      </c>
      <c r="D81" s="1066"/>
      <c r="E81" s="1066"/>
      <c r="F81" s="1066"/>
      <c r="G81" s="1066"/>
      <c r="H81" s="1066"/>
      <c r="I81" s="1066"/>
      <c r="J81" s="1066"/>
      <c r="K81" s="1066"/>
      <c r="L81" s="1066"/>
      <c r="M81" s="1066"/>
      <c r="N81" s="1066"/>
      <c r="O81" s="1067"/>
      <c r="P81" s="2"/>
      <c r="T81" s="165">
        <v>1</v>
      </c>
    </row>
    <row r="82" spans="2:20" x14ac:dyDescent="0.2">
      <c r="B82" s="706">
        <v>23</v>
      </c>
      <c r="C82" s="1065" t="s">
        <v>1068</v>
      </c>
      <c r="D82" s="1066"/>
      <c r="E82" s="1066"/>
      <c r="F82" s="1066"/>
      <c r="G82" s="1066"/>
      <c r="H82" s="1066"/>
      <c r="I82" s="1066"/>
      <c r="J82" s="1066"/>
      <c r="K82" s="1066"/>
      <c r="L82" s="1066"/>
      <c r="M82" s="1066"/>
      <c r="N82" s="1066"/>
      <c r="O82" s="1067"/>
      <c r="P82" s="2"/>
      <c r="T82" s="165">
        <v>1</v>
      </c>
    </row>
    <row r="83" spans="2:20" ht="39" thickBot="1" x14ac:dyDescent="0.25">
      <c r="B83" s="167">
        <v>24</v>
      </c>
      <c r="C83" s="1076" t="s">
        <v>1069</v>
      </c>
      <c r="D83" s="1077"/>
      <c r="E83" s="1077"/>
      <c r="F83" s="1077"/>
      <c r="G83" s="1077"/>
      <c r="H83" s="1077"/>
      <c r="I83" s="1077"/>
      <c r="J83" s="1077"/>
      <c r="K83" s="1077"/>
      <c r="L83" s="1077"/>
      <c r="M83" s="1077"/>
      <c r="N83" s="1077"/>
      <c r="O83" s="1078"/>
      <c r="P83" s="2"/>
      <c r="T83" s="168" t="s">
        <v>109</v>
      </c>
    </row>
    <row r="84" spans="2:20" x14ac:dyDescent="0.2">
      <c r="P84" s="2"/>
      <c r="T84" s="168"/>
    </row>
  </sheetData>
  <sheetProtection algorithmName="SHA-512" hashValue="TsnanRZM1RwU+I1sjdiZyldDoifV+6BDKoIEHNvjhQsf2X0HuMyZLqJl9Djg8MOPDrnq2v9Sb0wSnUh9jE76TQ==" saltValue="KYWBjJijtEPxXnC9edf9Mw==" spinCount="100000" sheet="1" objects="1" scenarios="1"/>
  <mergeCells count="35">
    <mergeCell ref="C83:O83"/>
    <mergeCell ref="C76:O76"/>
    <mergeCell ref="C77:O77"/>
    <mergeCell ref="C78:O78"/>
    <mergeCell ref="C79:O79"/>
    <mergeCell ref="C80:O80"/>
    <mergeCell ref="C81:O81"/>
    <mergeCell ref="Q3:Q4"/>
    <mergeCell ref="B43:C43"/>
    <mergeCell ref="C75:O75"/>
    <mergeCell ref="C62:O62"/>
    <mergeCell ref="C64:O64"/>
    <mergeCell ref="C66:O66"/>
    <mergeCell ref="C67:O67"/>
    <mergeCell ref="C68:O68"/>
    <mergeCell ref="C69:O69"/>
    <mergeCell ref="C70:O70"/>
    <mergeCell ref="C71:O71"/>
    <mergeCell ref="C72:O72"/>
    <mergeCell ref="C73:O73"/>
    <mergeCell ref="C74:O74"/>
    <mergeCell ref="C60:O60"/>
    <mergeCell ref="B3:C4"/>
    <mergeCell ref="C61:O61"/>
    <mergeCell ref="C63:O63"/>
    <mergeCell ref="C65:O65"/>
    <mergeCell ref="C82:O82"/>
    <mergeCell ref="L3:L4"/>
    <mergeCell ref="M3:M4"/>
    <mergeCell ref="N3:O3"/>
    <mergeCell ref="D3:D4"/>
    <mergeCell ref="E3:E4"/>
    <mergeCell ref="F3:H3"/>
    <mergeCell ref="I3:J3"/>
    <mergeCell ref="K3:K4"/>
  </mergeCells>
  <conditionalFormatting sqref="Q8:Q13">
    <cfRule type="cellIs" dxfId="5" priority="6" operator="equal">
      <formula>0</formula>
    </cfRule>
  </conditionalFormatting>
  <conditionalFormatting sqref="Q17:Q20">
    <cfRule type="cellIs" dxfId="4" priority="5" operator="equal">
      <formula>0</formula>
    </cfRule>
  </conditionalFormatting>
  <conditionalFormatting sqref="Q24:Q27">
    <cfRule type="cellIs" dxfId="3" priority="4" operator="equal">
      <formula>0</formula>
    </cfRule>
  </conditionalFormatting>
  <conditionalFormatting sqref="Q31:Q34">
    <cfRule type="cellIs" dxfId="2" priority="3" operator="equal">
      <formula>0</formula>
    </cfRule>
  </conditionalFormatting>
  <conditionalFormatting sqref="Q38">
    <cfRule type="cellIs" dxfId="1" priority="1" operator="equal">
      <formula>0</formula>
    </cfRule>
  </conditionalFormatting>
  <conditionalFormatting sqref="Q41">
    <cfRule type="cellIs" dxfId="0" priority="2" operator="equal">
      <formula>0</formula>
    </cfRule>
  </conditionalFormatting>
  <printOptions horizontalCentered="1"/>
  <pageMargins left="0.39370078740157483" right="0.39370078740157483" top="0.78740157480314965" bottom="0.78740157480314965" header="0.31496062992125984" footer="0.31496062992125984"/>
  <pageSetup paperSize="9" scale="46" orientation="portrait" r:id="rId1"/>
  <headerFooter>
    <oddHeader>&amp;L&amp;9&amp;K857362Page &amp;P of &amp;N&amp;C&amp;9 &amp;K8573622017 annual performance report tables (May 2017) &amp;R&amp;9&amp;G</oddHeader>
    <oddFooter>&amp;L&amp;9&amp;K857362&amp;A&amp;R&amp;9&amp;K857362Printed: &amp;D &amp;T</oddFoot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23"/>
  <sheetViews>
    <sheetView workbookViewId="0">
      <selection activeCell="D23" sqref="D23"/>
    </sheetView>
  </sheetViews>
  <sheetFormatPr defaultRowHeight="14.25" x14ac:dyDescent="0.2"/>
  <cols>
    <col min="1" max="1" width="26.75" bestFit="1" customWidth="1"/>
    <col min="2" max="2" width="36.25" customWidth="1"/>
    <col min="3" max="4" width="8.625" customWidth="1"/>
    <col min="5" max="5" width="2.625" customWidth="1"/>
    <col min="6" max="6" width="8.75" customWidth="1"/>
  </cols>
  <sheetData>
    <row r="1" spans="1:10" ht="20.25" x14ac:dyDescent="0.35">
      <c r="A1" s="1" t="s">
        <v>1070</v>
      </c>
      <c r="B1" s="1"/>
      <c r="C1" s="1"/>
      <c r="D1" s="1"/>
      <c r="E1" s="1"/>
      <c r="F1" s="1"/>
      <c r="G1" s="1"/>
      <c r="H1" s="1"/>
      <c r="I1" s="1"/>
      <c r="J1" s="1"/>
    </row>
    <row r="2" spans="1:10" x14ac:dyDescent="0.2">
      <c r="A2" s="60"/>
      <c r="B2" s="60"/>
      <c r="E2" s="60"/>
    </row>
    <row r="3" spans="1:10" s="12" customFormat="1" ht="27" x14ac:dyDescent="0.2">
      <c r="A3" s="61" t="s">
        <v>1071</v>
      </c>
      <c r="B3" s="61" t="s">
        <v>1072</v>
      </c>
      <c r="C3" s="61" t="s">
        <v>1073</v>
      </c>
      <c r="D3" s="61" t="s">
        <v>1074</v>
      </c>
      <c r="F3" s="62" t="s">
        <v>1075</v>
      </c>
      <c r="G3" s="61"/>
      <c r="H3" s="61"/>
    </row>
    <row r="4" spans="1:10" x14ac:dyDescent="0.2">
      <c r="A4" s="60"/>
      <c r="B4" s="60" t="s">
        <v>1076</v>
      </c>
      <c r="C4" s="60"/>
      <c r="D4" s="60" t="s">
        <v>1077</v>
      </c>
    </row>
    <row r="5" spans="1:10" x14ac:dyDescent="0.2">
      <c r="A5" s="60" t="s">
        <v>1078</v>
      </c>
      <c r="B5" s="60" t="s">
        <v>1079</v>
      </c>
      <c r="C5" s="60" t="s">
        <v>1080</v>
      </c>
      <c r="D5" s="60" t="s">
        <v>1077</v>
      </c>
      <c r="F5" s="62" t="s">
        <v>1081</v>
      </c>
    </row>
    <row r="6" spans="1:10" x14ac:dyDescent="0.2">
      <c r="A6" s="60" t="s">
        <v>1082</v>
      </c>
      <c r="B6" s="60" t="s">
        <v>1083</v>
      </c>
      <c r="C6" s="60" t="s">
        <v>1084</v>
      </c>
      <c r="D6" s="60" t="s">
        <v>1077</v>
      </c>
      <c r="F6" s="60" t="s">
        <v>605</v>
      </c>
    </row>
    <row r="7" spans="1:10" x14ac:dyDescent="0.2">
      <c r="A7" s="60" t="s">
        <v>1085</v>
      </c>
      <c r="B7" s="60" t="s">
        <v>1086</v>
      </c>
      <c r="C7" s="60" t="s">
        <v>1087</v>
      </c>
      <c r="D7" s="60" t="s">
        <v>1077</v>
      </c>
      <c r="F7" s="60" t="s">
        <v>606</v>
      </c>
    </row>
    <row r="8" spans="1:10" x14ac:dyDescent="0.2">
      <c r="A8" s="60" t="s">
        <v>1088</v>
      </c>
      <c r="B8" s="60" t="s">
        <v>1089</v>
      </c>
      <c r="C8" s="60" t="s">
        <v>1090</v>
      </c>
      <c r="D8" s="60" t="s">
        <v>1077</v>
      </c>
      <c r="F8" s="60" t="s">
        <v>609</v>
      </c>
    </row>
    <row r="9" spans="1:10" x14ac:dyDescent="0.2">
      <c r="A9" s="60" t="s">
        <v>1091</v>
      </c>
      <c r="B9" s="60" t="s">
        <v>1092</v>
      </c>
      <c r="C9" s="60" t="s">
        <v>1093</v>
      </c>
      <c r="D9" s="60" t="s">
        <v>1077</v>
      </c>
    </row>
    <row r="10" spans="1:10" x14ac:dyDescent="0.2">
      <c r="A10" s="60" t="s">
        <v>1094</v>
      </c>
      <c r="B10" s="60" t="s">
        <v>1095</v>
      </c>
      <c r="C10" s="60" t="s">
        <v>1096</v>
      </c>
      <c r="D10" s="60" t="s">
        <v>1077</v>
      </c>
      <c r="F10" s="62" t="s">
        <v>1097</v>
      </c>
    </row>
    <row r="11" spans="1:10" x14ac:dyDescent="0.2">
      <c r="A11" s="60" t="s">
        <v>1098</v>
      </c>
      <c r="B11" s="60" t="s">
        <v>1099</v>
      </c>
      <c r="C11" s="60" t="s">
        <v>1100</v>
      </c>
      <c r="D11" s="60" t="s">
        <v>1077</v>
      </c>
      <c r="F11" s="60" t="s">
        <v>611</v>
      </c>
    </row>
    <row r="12" spans="1:10" x14ac:dyDescent="0.2">
      <c r="A12" s="60" t="s">
        <v>1101</v>
      </c>
      <c r="B12" s="60" t="s">
        <v>1102</v>
      </c>
      <c r="C12" s="60" t="s">
        <v>1103</v>
      </c>
      <c r="D12" s="60" t="s">
        <v>1077</v>
      </c>
      <c r="F12" s="60" t="s">
        <v>610</v>
      </c>
    </row>
    <row r="13" spans="1:10" x14ac:dyDescent="0.2">
      <c r="A13" s="60" t="s">
        <v>1104</v>
      </c>
      <c r="B13" s="60" t="s">
        <v>1105</v>
      </c>
      <c r="C13" s="60" t="s">
        <v>1106</v>
      </c>
      <c r="D13" s="60" t="s">
        <v>1077</v>
      </c>
      <c r="F13" s="60" t="s">
        <v>1107</v>
      </c>
    </row>
    <row r="14" spans="1:10" x14ac:dyDescent="0.2">
      <c r="A14" s="60" t="s">
        <v>1108</v>
      </c>
      <c r="B14" s="60" t="s">
        <v>56</v>
      </c>
      <c r="C14" s="60" t="s">
        <v>1109</v>
      </c>
      <c r="D14" s="60" t="s">
        <v>1077</v>
      </c>
      <c r="F14" s="60" t="s">
        <v>607</v>
      </c>
    </row>
    <row r="15" spans="1:10" x14ac:dyDescent="0.2">
      <c r="A15" s="60" t="s">
        <v>1110</v>
      </c>
      <c r="B15" s="60" t="s">
        <v>1110</v>
      </c>
      <c r="C15" s="60" t="s">
        <v>1111</v>
      </c>
      <c r="D15" s="60" t="s">
        <v>1112</v>
      </c>
      <c r="F15" s="60" t="s">
        <v>609</v>
      </c>
    </row>
    <row r="16" spans="1:10" x14ac:dyDescent="0.2">
      <c r="A16" s="60" t="s">
        <v>1113</v>
      </c>
      <c r="B16" s="60" t="s">
        <v>1114</v>
      </c>
      <c r="C16" s="60" t="s">
        <v>1115</v>
      </c>
      <c r="D16" s="60" t="s">
        <v>1112</v>
      </c>
      <c r="F16" s="60"/>
    </row>
    <row r="17" spans="1:4" x14ac:dyDescent="0.2">
      <c r="A17" s="60" t="s">
        <v>1116</v>
      </c>
      <c r="B17" s="60" t="s">
        <v>1117</v>
      </c>
      <c r="C17" s="60" t="s">
        <v>1118</v>
      </c>
      <c r="D17" s="60" t="s">
        <v>1112</v>
      </c>
    </row>
    <row r="18" spans="1:4" x14ac:dyDescent="0.2">
      <c r="A18" s="60" t="s">
        <v>1119</v>
      </c>
      <c r="B18" s="60" t="s">
        <v>1120</v>
      </c>
      <c r="C18" s="60" t="s">
        <v>1121</v>
      </c>
      <c r="D18" s="60" t="s">
        <v>1112</v>
      </c>
    </row>
    <row r="19" spans="1:4" x14ac:dyDescent="0.2">
      <c r="A19" s="60" t="s">
        <v>1122</v>
      </c>
      <c r="B19" s="60" t="s">
        <v>1123</v>
      </c>
      <c r="C19" s="60" t="s">
        <v>1124</v>
      </c>
      <c r="D19" s="60" t="s">
        <v>1112</v>
      </c>
    </row>
    <row r="20" spans="1:4" x14ac:dyDescent="0.2">
      <c r="A20" s="60" t="s">
        <v>1125</v>
      </c>
      <c r="B20" s="60" t="s">
        <v>1126</v>
      </c>
      <c r="C20" s="60" t="s">
        <v>1127</v>
      </c>
      <c r="D20" s="60" t="s">
        <v>1112</v>
      </c>
    </row>
    <row r="21" spans="1:4" x14ac:dyDescent="0.2">
      <c r="A21" s="60" t="s">
        <v>1128</v>
      </c>
      <c r="B21" s="60" t="s">
        <v>1129</v>
      </c>
      <c r="C21" s="60" t="s">
        <v>1130</v>
      </c>
      <c r="D21" s="60" t="s">
        <v>1112</v>
      </c>
    </row>
    <row r="22" spans="1:4" x14ac:dyDescent="0.2">
      <c r="A22" s="60" t="s">
        <v>1131</v>
      </c>
      <c r="B22" s="60" t="s">
        <v>1132</v>
      </c>
      <c r="C22" s="60" t="s">
        <v>1133</v>
      </c>
      <c r="D22" s="60" t="s">
        <v>1112</v>
      </c>
    </row>
    <row r="23" spans="1:4" x14ac:dyDescent="0.2">
      <c r="A23" s="60" t="s">
        <v>1134</v>
      </c>
      <c r="B23" s="60" t="s">
        <v>1135</v>
      </c>
      <c r="C23" s="60" t="s">
        <v>1136</v>
      </c>
      <c r="D23" s="60" t="s">
        <v>1077</v>
      </c>
    </row>
  </sheetData>
  <sheetProtection algorithmName="SHA-512" hashValue="Wxmdq3ajJW5JgtZB2xalRGlghFdxXMa6Dafzd4mLUwZnw1038MPESvvkY0lHIxwsMYtj0slhPIO/O3Z7vfSSpQ==" saltValue="YOnuUWd49LahMxL2W6hveQ==" spinCount="100000" sheet="1" objects="1" scenarios="1"/>
  <pageMargins left="0.70866141732283472" right="0.70866141732283472" top="0.74803149606299213" bottom="0.74803149606299213" header="0.31496062992125984" footer="0.31496062992125984"/>
  <pageSetup paperSize="9" scale="63" orientation="portrait" r:id="rId1"/>
  <headerFooter>
    <oddFooter>&amp;L2016 Annual performance report tables, December 2015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A529"/>
  <sheetViews>
    <sheetView workbookViewId="0"/>
  </sheetViews>
  <sheetFormatPr defaultRowHeight="14.25" x14ac:dyDescent="0.2"/>
  <cols>
    <col min="2" max="2" width="21.125" bestFit="1" customWidth="1"/>
  </cols>
  <sheetData>
    <row r="1" spans="1:79" x14ac:dyDescent="0.2">
      <c r="N1" t="s">
        <v>1137</v>
      </c>
      <c r="T1" t="s">
        <v>1138</v>
      </c>
      <c r="Y1" t="s">
        <v>1139</v>
      </c>
      <c r="AI1" t="s">
        <v>1140</v>
      </c>
      <c r="AN1" t="s">
        <v>1141</v>
      </c>
      <c r="AS1" t="s">
        <v>607</v>
      </c>
      <c r="AX1" t="s">
        <v>610</v>
      </c>
      <c r="BC1" t="s">
        <v>1142</v>
      </c>
      <c r="BH1" t="s">
        <v>1143</v>
      </c>
      <c r="BI1" t="s">
        <v>1144</v>
      </c>
      <c r="BJ1" t="s">
        <v>1145</v>
      </c>
      <c r="BK1" t="s">
        <v>1146</v>
      </c>
      <c r="BL1" t="s">
        <v>1147</v>
      </c>
      <c r="BM1" t="s">
        <v>1148</v>
      </c>
      <c r="BP1" t="s">
        <v>1149</v>
      </c>
    </row>
    <row r="2" spans="1:79" x14ac:dyDescent="0.2">
      <c r="A2" t="s">
        <v>1150</v>
      </c>
      <c r="B2" t="s">
        <v>579</v>
      </c>
      <c r="C2" t="s">
        <v>1151</v>
      </c>
      <c r="D2" t="s">
        <v>1152</v>
      </c>
      <c r="E2" t="s">
        <v>1153</v>
      </c>
      <c r="F2" t="s">
        <v>1154</v>
      </c>
      <c r="G2" t="s">
        <v>1155</v>
      </c>
      <c r="H2" t="s">
        <v>1156</v>
      </c>
      <c r="I2" t="s">
        <v>580</v>
      </c>
      <c r="J2" t="s">
        <v>1157</v>
      </c>
      <c r="K2" t="s">
        <v>1158</v>
      </c>
      <c r="L2" t="s">
        <v>1159</v>
      </c>
      <c r="M2" t="s">
        <v>1160</v>
      </c>
      <c r="N2" t="s">
        <v>1161</v>
      </c>
      <c r="O2" t="s">
        <v>1162</v>
      </c>
      <c r="P2" t="s">
        <v>1163</v>
      </c>
      <c r="Q2" t="s">
        <v>583</v>
      </c>
      <c r="R2" t="s">
        <v>1164</v>
      </c>
      <c r="S2" t="s">
        <v>1165</v>
      </c>
      <c r="T2" t="s">
        <v>1166</v>
      </c>
      <c r="U2" t="s">
        <v>1167</v>
      </c>
      <c r="V2" t="s">
        <v>1168</v>
      </c>
      <c r="W2" t="s">
        <v>1169</v>
      </c>
      <c r="X2" t="s">
        <v>1170</v>
      </c>
      <c r="Y2" t="s">
        <v>1171</v>
      </c>
      <c r="Z2" t="s">
        <v>1172</v>
      </c>
      <c r="AA2" t="s">
        <v>1173</v>
      </c>
      <c r="AB2" t="s">
        <v>1174</v>
      </c>
      <c r="AC2" t="s">
        <v>1175</v>
      </c>
      <c r="AD2" t="s">
        <v>1176</v>
      </c>
      <c r="AE2" t="s">
        <v>1177</v>
      </c>
      <c r="AF2" t="s">
        <v>1178</v>
      </c>
      <c r="AG2" t="s">
        <v>1179</v>
      </c>
      <c r="AH2" t="s">
        <v>1180</v>
      </c>
      <c r="AI2" t="s">
        <v>1181</v>
      </c>
      <c r="AJ2" t="s">
        <v>1182</v>
      </c>
      <c r="AK2" t="s">
        <v>1183</v>
      </c>
      <c r="AL2" t="s">
        <v>1184</v>
      </c>
      <c r="AM2" t="s">
        <v>1185</v>
      </c>
      <c r="AN2" t="s">
        <v>1181</v>
      </c>
      <c r="AO2" t="s">
        <v>1182</v>
      </c>
      <c r="AP2" t="s">
        <v>1183</v>
      </c>
      <c r="AQ2" t="s">
        <v>1184</v>
      </c>
      <c r="AR2" t="s">
        <v>1185</v>
      </c>
      <c r="AS2" t="s">
        <v>1181</v>
      </c>
      <c r="AT2" t="s">
        <v>1182</v>
      </c>
      <c r="AU2" t="s">
        <v>1183</v>
      </c>
      <c r="AV2" t="s">
        <v>1184</v>
      </c>
      <c r="AW2" t="s">
        <v>1185</v>
      </c>
      <c r="AX2" t="s">
        <v>1181</v>
      </c>
      <c r="AY2" t="s">
        <v>1182</v>
      </c>
      <c r="AZ2" t="s">
        <v>1183</v>
      </c>
      <c r="BA2" t="s">
        <v>1184</v>
      </c>
      <c r="BB2" t="s">
        <v>1185</v>
      </c>
      <c r="BC2" t="s">
        <v>1181</v>
      </c>
      <c r="BD2" t="s">
        <v>1182</v>
      </c>
      <c r="BE2" t="s">
        <v>1183</v>
      </c>
      <c r="BF2" t="s">
        <v>1184</v>
      </c>
      <c r="BG2" t="s">
        <v>1185</v>
      </c>
      <c r="BH2" t="s">
        <v>1186</v>
      </c>
      <c r="BI2" t="s">
        <v>1186</v>
      </c>
      <c r="BJ2" t="s">
        <v>1186</v>
      </c>
      <c r="BK2" t="s">
        <v>1186</v>
      </c>
      <c r="BL2" t="s">
        <v>1186</v>
      </c>
      <c r="BM2" t="s">
        <v>1186</v>
      </c>
      <c r="BN2" t="s">
        <v>1187</v>
      </c>
      <c r="BO2" t="s">
        <v>1188</v>
      </c>
      <c r="BP2" t="s">
        <v>1189</v>
      </c>
      <c r="BQ2" t="s">
        <v>1190</v>
      </c>
      <c r="BR2" t="s">
        <v>1191</v>
      </c>
      <c r="BS2" t="s">
        <v>1192</v>
      </c>
      <c r="BT2" t="s">
        <v>1193</v>
      </c>
      <c r="BU2" t="s">
        <v>1194</v>
      </c>
      <c r="BV2" t="s">
        <v>1195</v>
      </c>
      <c r="BW2" t="s">
        <v>1196</v>
      </c>
      <c r="BX2" t="s">
        <v>1197</v>
      </c>
      <c r="BY2" t="s">
        <v>1198</v>
      </c>
      <c r="BZ2" t="s">
        <v>580</v>
      </c>
      <c r="CA2" t="s">
        <v>1199</v>
      </c>
    </row>
    <row r="3" spans="1:79" x14ac:dyDescent="0.2">
      <c r="A3" t="s">
        <v>1200</v>
      </c>
      <c r="B3" t="s">
        <v>1201</v>
      </c>
      <c r="C3" t="s">
        <v>1112</v>
      </c>
      <c r="D3" t="s">
        <v>457</v>
      </c>
      <c r="E3" t="s">
        <v>1202</v>
      </c>
      <c r="F3" t="s">
        <v>1203</v>
      </c>
      <c r="G3" t="s">
        <v>1204</v>
      </c>
      <c r="H3" t="s">
        <v>1205</v>
      </c>
      <c r="I3" t="s">
        <v>1206</v>
      </c>
      <c r="J3" t="s">
        <v>1207</v>
      </c>
      <c r="K3" t="s">
        <v>1208</v>
      </c>
      <c r="M3" t="s">
        <v>606</v>
      </c>
      <c r="N3" t="s">
        <v>1209</v>
      </c>
      <c r="O3" t="s">
        <v>272</v>
      </c>
      <c r="P3" t="s">
        <v>1210</v>
      </c>
      <c r="Q3">
        <v>1</v>
      </c>
      <c r="R3" t="s">
        <v>1211</v>
      </c>
      <c r="S3">
        <v>189.3</v>
      </c>
      <c r="T3">
        <v>183.9</v>
      </c>
      <c r="U3">
        <v>178.5</v>
      </c>
      <c r="V3">
        <v>173.1</v>
      </c>
      <c r="W3">
        <v>167.7</v>
      </c>
      <c r="X3">
        <v>162.19999999999999</v>
      </c>
      <c r="AE3" t="s">
        <v>605</v>
      </c>
      <c r="AH3">
        <v>0</v>
      </c>
      <c r="AI3" t="s">
        <v>605</v>
      </c>
      <c r="AJ3" t="s">
        <v>605</v>
      </c>
      <c r="AK3" t="s">
        <v>605</v>
      </c>
      <c r="AL3" t="s">
        <v>605</v>
      </c>
      <c r="AM3" t="s">
        <v>605</v>
      </c>
      <c r="AN3">
        <v>211.9</v>
      </c>
      <c r="AO3">
        <v>206.5</v>
      </c>
      <c r="AP3">
        <v>201.1</v>
      </c>
      <c r="AQ3">
        <v>195.7</v>
      </c>
      <c r="AR3">
        <v>190.3</v>
      </c>
      <c r="AS3">
        <v>183.9</v>
      </c>
      <c r="AT3">
        <v>178.5</v>
      </c>
      <c r="AU3">
        <v>173.1</v>
      </c>
      <c r="AV3">
        <v>167.7</v>
      </c>
      <c r="AW3">
        <v>162.19999999999999</v>
      </c>
      <c r="AX3">
        <v>170.2</v>
      </c>
      <c r="AY3">
        <v>170.2</v>
      </c>
      <c r="AZ3">
        <v>170.2</v>
      </c>
      <c r="BA3">
        <v>167.7</v>
      </c>
      <c r="BB3">
        <v>162.19999999999999</v>
      </c>
      <c r="BC3">
        <v>155.9</v>
      </c>
      <c r="BD3">
        <v>150.5</v>
      </c>
      <c r="BE3">
        <v>145.1</v>
      </c>
      <c r="BF3">
        <v>139.69999999999999</v>
      </c>
      <c r="BG3">
        <v>134.30000000000001</v>
      </c>
      <c r="BH3">
        <v>0.249</v>
      </c>
      <c r="BL3">
        <v>8.4000000000000005E-2</v>
      </c>
      <c r="BM3">
        <v>0.126</v>
      </c>
      <c r="BN3">
        <v>1</v>
      </c>
      <c r="BO3" t="s">
        <v>1212</v>
      </c>
      <c r="BP3">
        <v>183.49</v>
      </c>
      <c r="BQ3" s="769">
        <v>180.89</v>
      </c>
      <c r="BR3" t="s">
        <v>605</v>
      </c>
      <c r="BS3" t="s">
        <v>1213</v>
      </c>
      <c r="BT3">
        <v>0</v>
      </c>
      <c r="BU3" t="s">
        <v>610</v>
      </c>
      <c r="BV3">
        <v>0</v>
      </c>
      <c r="BW3" t="s">
        <v>1213</v>
      </c>
      <c r="BX3">
        <v>0</v>
      </c>
      <c r="BY3" t="s">
        <v>1213</v>
      </c>
      <c r="BZ3" t="s">
        <v>1214</v>
      </c>
    </row>
    <row r="4" spans="1:79" x14ac:dyDescent="0.2">
      <c r="A4" t="s">
        <v>1200</v>
      </c>
      <c r="B4" t="s">
        <v>1215</v>
      </c>
      <c r="C4" t="s">
        <v>1112</v>
      </c>
      <c r="D4" t="s">
        <v>457</v>
      </c>
      <c r="E4" t="s">
        <v>1202</v>
      </c>
      <c r="F4" t="s">
        <v>1203</v>
      </c>
      <c r="G4" t="s">
        <v>1216</v>
      </c>
      <c r="H4" t="s">
        <v>1217</v>
      </c>
      <c r="I4" t="s">
        <v>1218</v>
      </c>
      <c r="J4" t="s">
        <v>1219</v>
      </c>
      <c r="K4" t="s">
        <v>1208</v>
      </c>
      <c r="M4" t="s">
        <v>606</v>
      </c>
      <c r="N4" t="s">
        <v>1220</v>
      </c>
      <c r="O4" t="s">
        <v>272</v>
      </c>
      <c r="P4" t="s">
        <v>1221</v>
      </c>
      <c r="Q4">
        <v>1</v>
      </c>
      <c r="R4" t="s">
        <v>1211</v>
      </c>
      <c r="S4">
        <v>158.4</v>
      </c>
      <c r="T4">
        <v>156.30000000000001</v>
      </c>
      <c r="U4">
        <v>155.6</v>
      </c>
      <c r="V4">
        <v>153.30000000000001</v>
      </c>
      <c r="W4">
        <v>150.30000000000001</v>
      </c>
      <c r="X4">
        <v>147.4</v>
      </c>
      <c r="AH4">
        <v>0</v>
      </c>
      <c r="AK4" t="s">
        <v>605</v>
      </c>
      <c r="AM4" t="s">
        <v>605</v>
      </c>
      <c r="BH4">
        <v>0.75</v>
      </c>
      <c r="BI4">
        <v>1.75</v>
      </c>
      <c r="BN4">
        <v>1</v>
      </c>
      <c r="BO4" t="s">
        <v>1212</v>
      </c>
      <c r="BP4">
        <v>154.9</v>
      </c>
      <c r="BQ4" s="769">
        <v>154.4</v>
      </c>
      <c r="BR4" t="s">
        <v>605</v>
      </c>
      <c r="BS4" t="s">
        <v>1213</v>
      </c>
      <c r="BT4">
        <v>0</v>
      </c>
      <c r="BU4" t="s">
        <v>1213</v>
      </c>
      <c r="BV4">
        <v>0</v>
      </c>
      <c r="BW4" t="s">
        <v>1213</v>
      </c>
      <c r="BX4">
        <v>0</v>
      </c>
      <c r="BY4" t="s">
        <v>1213</v>
      </c>
      <c r="BZ4" t="s">
        <v>1222</v>
      </c>
      <c r="CA4" t="s">
        <v>1223</v>
      </c>
    </row>
    <row r="5" spans="1:79" x14ac:dyDescent="0.2">
      <c r="A5" t="s">
        <v>1200</v>
      </c>
      <c r="B5" t="s">
        <v>1224</v>
      </c>
      <c r="C5" t="s">
        <v>1112</v>
      </c>
      <c r="D5" t="s">
        <v>457</v>
      </c>
      <c r="E5" t="s">
        <v>1202</v>
      </c>
      <c r="F5" t="s">
        <v>1203</v>
      </c>
      <c r="G5" t="s">
        <v>1225</v>
      </c>
      <c r="H5" t="s">
        <v>1226</v>
      </c>
      <c r="I5" t="s">
        <v>1227</v>
      </c>
      <c r="J5" t="s">
        <v>1219</v>
      </c>
      <c r="K5" t="s">
        <v>1208</v>
      </c>
      <c r="M5" t="s">
        <v>606</v>
      </c>
      <c r="N5" t="s">
        <v>1228</v>
      </c>
      <c r="O5" t="s">
        <v>272</v>
      </c>
      <c r="P5" t="s">
        <v>1210</v>
      </c>
      <c r="Q5">
        <v>1</v>
      </c>
      <c r="R5" t="s">
        <v>1211</v>
      </c>
      <c r="S5">
        <v>1114.7</v>
      </c>
      <c r="T5">
        <v>1110.4000000000001</v>
      </c>
      <c r="U5">
        <v>1103.5</v>
      </c>
      <c r="V5">
        <v>1100.8</v>
      </c>
      <c r="W5">
        <v>1068.0999999999999</v>
      </c>
      <c r="X5">
        <v>1067</v>
      </c>
      <c r="AH5">
        <v>0</v>
      </c>
      <c r="AK5" t="s">
        <v>605</v>
      </c>
      <c r="AM5" t="s">
        <v>605</v>
      </c>
      <c r="BH5">
        <v>0.59</v>
      </c>
      <c r="BI5">
        <v>1.91</v>
      </c>
      <c r="BN5">
        <v>1</v>
      </c>
      <c r="BO5" t="s">
        <v>1212</v>
      </c>
      <c r="BP5">
        <v>1151.93</v>
      </c>
      <c r="BQ5" s="769">
        <v>1139.08</v>
      </c>
      <c r="BR5" t="s">
        <v>605</v>
      </c>
      <c r="BS5" t="s">
        <v>1213</v>
      </c>
      <c r="BT5">
        <v>0</v>
      </c>
      <c r="BU5" t="s">
        <v>1213</v>
      </c>
      <c r="BV5">
        <v>0</v>
      </c>
      <c r="BW5" t="s">
        <v>1213</v>
      </c>
      <c r="BX5">
        <v>0</v>
      </c>
      <c r="BY5" t="s">
        <v>1213</v>
      </c>
      <c r="BZ5" t="s">
        <v>1229</v>
      </c>
      <c r="CA5" t="s">
        <v>1230</v>
      </c>
    </row>
    <row r="6" spans="1:79" x14ac:dyDescent="0.2">
      <c r="A6" t="s">
        <v>1200</v>
      </c>
      <c r="B6" t="s">
        <v>1231</v>
      </c>
      <c r="C6" t="s">
        <v>1112</v>
      </c>
      <c r="D6" t="s">
        <v>457</v>
      </c>
      <c r="E6" t="s">
        <v>1202</v>
      </c>
      <c r="F6" t="s">
        <v>1203</v>
      </c>
      <c r="G6" t="s">
        <v>1232</v>
      </c>
      <c r="H6" t="s">
        <v>1233</v>
      </c>
      <c r="I6" t="s">
        <v>1234</v>
      </c>
      <c r="J6" t="s">
        <v>1207</v>
      </c>
      <c r="K6" t="s">
        <v>1208</v>
      </c>
      <c r="N6" t="s">
        <v>1235</v>
      </c>
      <c r="O6" t="s">
        <v>272</v>
      </c>
      <c r="P6" t="s">
        <v>1210</v>
      </c>
      <c r="Q6">
        <v>1</v>
      </c>
      <c r="R6" t="s">
        <v>1211</v>
      </c>
      <c r="S6">
        <v>0</v>
      </c>
      <c r="T6">
        <v>-6.7</v>
      </c>
      <c r="U6">
        <v>-12.5</v>
      </c>
      <c r="V6">
        <v>-14.1</v>
      </c>
      <c r="W6">
        <v>-42.1</v>
      </c>
      <c r="X6">
        <v>-42.1</v>
      </c>
      <c r="AF6" t="s">
        <v>605</v>
      </c>
      <c r="AH6">
        <v>0</v>
      </c>
      <c r="AI6" t="s">
        <v>605</v>
      </c>
      <c r="AJ6" t="s">
        <v>605</v>
      </c>
      <c r="AK6" t="s">
        <v>605</v>
      </c>
      <c r="AL6" t="s">
        <v>605</v>
      </c>
      <c r="AM6" t="s">
        <v>605</v>
      </c>
      <c r="AN6">
        <v>0</v>
      </c>
      <c r="AO6">
        <v>0</v>
      </c>
      <c r="AP6">
        <v>0</v>
      </c>
      <c r="AQ6">
        <v>0</v>
      </c>
      <c r="AR6">
        <v>0</v>
      </c>
      <c r="AS6">
        <v>-6.7</v>
      </c>
      <c r="AT6">
        <v>-12.5</v>
      </c>
      <c r="AU6">
        <v>-14.1</v>
      </c>
      <c r="AV6">
        <v>-42.1</v>
      </c>
      <c r="AW6">
        <v>-42.1</v>
      </c>
      <c r="AX6">
        <v>-6.7</v>
      </c>
      <c r="AY6">
        <v>-12.5</v>
      </c>
      <c r="AZ6">
        <v>-14.1</v>
      </c>
      <c r="BA6">
        <v>-42.1</v>
      </c>
      <c r="BB6">
        <v>-42.1</v>
      </c>
      <c r="BC6">
        <v>-6.7</v>
      </c>
      <c r="BD6">
        <v>-15.5</v>
      </c>
      <c r="BE6">
        <v>-35.700000000000003</v>
      </c>
      <c r="BF6">
        <v>-42.1</v>
      </c>
      <c r="BG6">
        <v>-42.1</v>
      </c>
      <c r="BH6">
        <v>6.8000000000000005E-2</v>
      </c>
      <c r="BL6">
        <v>6.8000000000000005E-2</v>
      </c>
      <c r="BN6">
        <v>1</v>
      </c>
      <c r="BO6" t="s">
        <v>1212</v>
      </c>
      <c r="BP6">
        <v>0</v>
      </c>
      <c r="BQ6" s="769">
        <v>-6.7</v>
      </c>
      <c r="BR6" t="s">
        <v>605</v>
      </c>
      <c r="BS6" t="s">
        <v>1213</v>
      </c>
      <c r="BT6">
        <v>0</v>
      </c>
      <c r="BU6" t="s">
        <v>1213</v>
      </c>
      <c r="BV6">
        <v>0</v>
      </c>
      <c r="BW6" t="s">
        <v>1213</v>
      </c>
      <c r="BX6">
        <v>0</v>
      </c>
      <c r="BY6" t="s">
        <v>1213</v>
      </c>
      <c r="BZ6" t="s">
        <v>1236</v>
      </c>
    </row>
    <row r="7" spans="1:79" x14ac:dyDescent="0.2">
      <c r="A7" t="s">
        <v>1200</v>
      </c>
      <c r="B7" t="s">
        <v>1237</v>
      </c>
      <c r="C7" t="s">
        <v>1112</v>
      </c>
      <c r="D7" t="s">
        <v>457</v>
      </c>
      <c r="E7" t="s">
        <v>1202</v>
      </c>
      <c r="F7" t="s">
        <v>1203</v>
      </c>
      <c r="G7" t="s">
        <v>1238</v>
      </c>
      <c r="H7" t="s">
        <v>1239</v>
      </c>
      <c r="I7" t="s">
        <v>1240</v>
      </c>
      <c r="J7" t="s">
        <v>1241</v>
      </c>
      <c r="N7" t="s">
        <v>1235</v>
      </c>
      <c r="O7" t="s">
        <v>1242</v>
      </c>
      <c r="P7" t="s">
        <v>1242</v>
      </c>
      <c r="Q7" t="s">
        <v>1242</v>
      </c>
      <c r="S7" t="s">
        <v>1242</v>
      </c>
      <c r="T7" t="s">
        <v>1242</v>
      </c>
      <c r="U7" t="s">
        <v>1242</v>
      </c>
      <c r="V7" t="s">
        <v>1242</v>
      </c>
      <c r="W7" t="s">
        <v>1242</v>
      </c>
      <c r="X7" t="s">
        <v>1242</v>
      </c>
      <c r="AG7" t="s">
        <v>605</v>
      </c>
      <c r="AH7">
        <v>0</v>
      </c>
      <c r="BP7" t="s">
        <v>1213</v>
      </c>
      <c r="BQ7" s="770" t="s">
        <v>1213</v>
      </c>
      <c r="BR7" t="s">
        <v>1213</v>
      </c>
      <c r="BS7" t="s">
        <v>1213</v>
      </c>
      <c r="BT7">
        <v>0</v>
      </c>
      <c r="BU7" t="s">
        <v>1213</v>
      </c>
      <c r="BV7">
        <v>0</v>
      </c>
      <c r="BW7" t="s">
        <v>1213</v>
      </c>
      <c r="BX7">
        <v>0</v>
      </c>
      <c r="BY7" t="s">
        <v>1213</v>
      </c>
      <c r="BZ7" t="s">
        <v>1243</v>
      </c>
    </row>
    <row r="8" spans="1:79" x14ac:dyDescent="0.2">
      <c r="A8" t="s">
        <v>1200</v>
      </c>
      <c r="B8" t="s">
        <v>1244</v>
      </c>
      <c r="C8" t="s">
        <v>1112</v>
      </c>
      <c r="D8" t="s">
        <v>457</v>
      </c>
      <c r="E8" t="s">
        <v>1202</v>
      </c>
      <c r="F8" t="s">
        <v>1245</v>
      </c>
      <c r="G8" t="s">
        <v>1246</v>
      </c>
      <c r="H8" t="s">
        <v>1247</v>
      </c>
      <c r="I8" t="s">
        <v>1248</v>
      </c>
      <c r="J8" t="s">
        <v>1219</v>
      </c>
      <c r="K8" t="s">
        <v>1208</v>
      </c>
      <c r="M8" t="s">
        <v>606</v>
      </c>
      <c r="N8" t="s">
        <v>1249</v>
      </c>
      <c r="O8" t="s">
        <v>264</v>
      </c>
      <c r="P8" t="s">
        <v>1250</v>
      </c>
      <c r="Q8">
        <v>2</v>
      </c>
      <c r="R8" t="s">
        <v>1251</v>
      </c>
      <c r="S8">
        <v>99.95</v>
      </c>
      <c r="T8">
        <v>99.95</v>
      </c>
      <c r="U8">
        <v>99.95</v>
      </c>
      <c r="V8">
        <v>99.95</v>
      </c>
      <c r="W8">
        <v>99.95</v>
      </c>
      <c r="X8">
        <v>99.95</v>
      </c>
      <c r="Y8" t="s">
        <v>605</v>
      </c>
      <c r="AE8" t="s">
        <v>605</v>
      </c>
      <c r="AH8">
        <v>0</v>
      </c>
      <c r="AI8" t="s">
        <v>605</v>
      </c>
      <c r="AJ8" t="s">
        <v>605</v>
      </c>
      <c r="AK8" t="s">
        <v>605</v>
      </c>
      <c r="AL8" t="s">
        <v>605</v>
      </c>
      <c r="AM8" t="s">
        <v>605</v>
      </c>
      <c r="BH8">
        <v>0.72</v>
      </c>
      <c r="BN8">
        <v>1</v>
      </c>
      <c r="BO8" t="s">
        <v>1212</v>
      </c>
      <c r="BP8">
        <v>99.97</v>
      </c>
      <c r="BQ8" s="771">
        <v>99.99</v>
      </c>
      <c r="BR8" t="s">
        <v>605</v>
      </c>
      <c r="BS8" t="s">
        <v>1213</v>
      </c>
      <c r="BT8">
        <v>0</v>
      </c>
      <c r="BU8" t="s">
        <v>1213</v>
      </c>
      <c r="BV8">
        <v>0</v>
      </c>
      <c r="BW8" t="s">
        <v>1213</v>
      </c>
      <c r="BX8">
        <v>0</v>
      </c>
      <c r="BY8" t="s">
        <v>1171</v>
      </c>
      <c r="BZ8" t="s">
        <v>1252</v>
      </c>
      <c r="CA8" t="s">
        <v>1253</v>
      </c>
    </row>
    <row r="9" spans="1:79" x14ac:dyDescent="0.2">
      <c r="A9" t="s">
        <v>1200</v>
      </c>
      <c r="B9" t="s">
        <v>1254</v>
      </c>
      <c r="C9" t="s">
        <v>1112</v>
      </c>
      <c r="D9" t="s">
        <v>457</v>
      </c>
      <c r="E9" t="s">
        <v>1202</v>
      </c>
      <c r="F9" t="s">
        <v>1245</v>
      </c>
      <c r="G9" t="s">
        <v>1255</v>
      </c>
      <c r="H9" t="s">
        <v>1256</v>
      </c>
      <c r="I9" t="s">
        <v>1257</v>
      </c>
      <c r="J9" t="s">
        <v>1219</v>
      </c>
      <c r="K9" t="s">
        <v>1208</v>
      </c>
      <c r="N9" t="s">
        <v>1172</v>
      </c>
      <c r="O9" t="s">
        <v>272</v>
      </c>
      <c r="P9" t="s">
        <v>1258</v>
      </c>
      <c r="Q9">
        <v>2</v>
      </c>
      <c r="R9" t="s">
        <v>1211</v>
      </c>
      <c r="S9">
        <v>0.66</v>
      </c>
      <c r="T9">
        <v>0.66</v>
      </c>
      <c r="U9">
        <v>0.66</v>
      </c>
      <c r="V9">
        <v>0.66</v>
      </c>
      <c r="W9">
        <v>0.66</v>
      </c>
      <c r="X9">
        <v>0.66</v>
      </c>
      <c r="Z9" t="s">
        <v>605</v>
      </c>
      <c r="AE9" t="s">
        <v>605</v>
      </c>
      <c r="AH9">
        <v>0</v>
      </c>
      <c r="AI9" t="s">
        <v>605</v>
      </c>
      <c r="AJ9" t="s">
        <v>605</v>
      </c>
      <c r="AK9" t="s">
        <v>605</v>
      </c>
      <c r="AL9" t="s">
        <v>605</v>
      </c>
      <c r="AM9" t="s">
        <v>605</v>
      </c>
      <c r="AN9">
        <v>1.3</v>
      </c>
      <c r="AO9">
        <v>1.3</v>
      </c>
      <c r="AP9">
        <v>1.3</v>
      </c>
      <c r="AQ9">
        <v>1.3</v>
      </c>
      <c r="AR9">
        <v>1.3</v>
      </c>
      <c r="AS9">
        <v>0.66</v>
      </c>
      <c r="AT9">
        <v>0.66</v>
      </c>
      <c r="AU9">
        <v>0.66</v>
      </c>
      <c r="AV9">
        <v>0.66</v>
      </c>
      <c r="AW9">
        <v>0.66</v>
      </c>
      <c r="BH9">
        <v>0.438</v>
      </c>
      <c r="BN9">
        <v>1</v>
      </c>
      <c r="BO9" t="s">
        <v>1212</v>
      </c>
      <c r="BP9">
        <v>0.34</v>
      </c>
      <c r="BQ9" s="771">
        <v>0.31</v>
      </c>
      <c r="BR9" t="s">
        <v>605</v>
      </c>
      <c r="BS9" t="s">
        <v>1213</v>
      </c>
      <c r="BT9">
        <v>0</v>
      </c>
      <c r="BU9" t="s">
        <v>1213</v>
      </c>
      <c r="BV9">
        <v>0</v>
      </c>
      <c r="BW9" t="s">
        <v>1213</v>
      </c>
      <c r="BX9">
        <v>0</v>
      </c>
      <c r="BY9" t="s">
        <v>1172</v>
      </c>
      <c r="BZ9" t="s">
        <v>1259</v>
      </c>
    </row>
    <row r="10" spans="1:79" x14ac:dyDescent="0.2">
      <c r="A10" t="s">
        <v>1200</v>
      </c>
      <c r="B10" t="s">
        <v>1260</v>
      </c>
      <c r="C10" t="s">
        <v>1112</v>
      </c>
      <c r="D10" t="s">
        <v>457</v>
      </c>
      <c r="E10" t="s">
        <v>1202</v>
      </c>
      <c r="F10" t="s">
        <v>1261</v>
      </c>
      <c r="G10" t="s">
        <v>1262</v>
      </c>
      <c r="H10" t="s">
        <v>1263</v>
      </c>
      <c r="I10" t="s">
        <v>1264</v>
      </c>
      <c r="J10" t="s">
        <v>1207</v>
      </c>
      <c r="K10" t="s">
        <v>1208</v>
      </c>
      <c r="N10" t="s">
        <v>1265</v>
      </c>
      <c r="O10" t="s">
        <v>272</v>
      </c>
      <c r="P10" t="s">
        <v>1266</v>
      </c>
      <c r="Q10">
        <v>0</v>
      </c>
      <c r="R10" t="s">
        <v>1211</v>
      </c>
      <c r="S10">
        <v>320</v>
      </c>
      <c r="T10">
        <v>320</v>
      </c>
      <c r="U10">
        <v>320</v>
      </c>
      <c r="V10">
        <v>320</v>
      </c>
      <c r="W10">
        <v>320</v>
      </c>
      <c r="X10">
        <v>320</v>
      </c>
      <c r="AE10" t="s">
        <v>605</v>
      </c>
      <c r="AH10">
        <v>0</v>
      </c>
      <c r="AI10" t="s">
        <v>605</v>
      </c>
      <c r="AJ10" t="s">
        <v>605</v>
      </c>
      <c r="AK10" t="s">
        <v>605</v>
      </c>
      <c r="AL10" t="s">
        <v>605</v>
      </c>
      <c r="AM10" t="s">
        <v>605</v>
      </c>
      <c r="AN10">
        <v>775</v>
      </c>
      <c r="AO10">
        <v>775</v>
      </c>
      <c r="AP10">
        <v>775</v>
      </c>
      <c r="AQ10">
        <v>775</v>
      </c>
      <c r="AR10">
        <v>775</v>
      </c>
      <c r="AS10">
        <v>505</v>
      </c>
      <c r="AT10">
        <v>505</v>
      </c>
      <c r="AU10">
        <v>505</v>
      </c>
      <c r="AV10">
        <v>505</v>
      </c>
      <c r="AW10">
        <v>505</v>
      </c>
      <c r="AX10">
        <v>135</v>
      </c>
      <c r="AY10">
        <v>135</v>
      </c>
      <c r="AZ10">
        <v>135</v>
      </c>
      <c r="BA10">
        <v>135</v>
      </c>
      <c r="BB10">
        <v>135</v>
      </c>
      <c r="BC10">
        <v>0</v>
      </c>
      <c r="BD10">
        <v>0</v>
      </c>
      <c r="BE10">
        <v>0</v>
      </c>
      <c r="BF10">
        <v>0</v>
      </c>
      <c r="BG10">
        <v>0</v>
      </c>
      <c r="BH10">
        <v>6.0650000000000001E-3</v>
      </c>
      <c r="BL10">
        <v>1.093E-3</v>
      </c>
      <c r="BN10">
        <v>1</v>
      </c>
      <c r="BO10" t="s">
        <v>1212</v>
      </c>
      <c r="BP10">
        <v>1687</v>
      </c>
      <c r="BQ10" s="771">
        <v>1771</v>
      </c>
      <c r="BR10" t="s">
        <v>606</v>
      </c>
      <c r="BS10" t="s">
        <v>1213</v>
      </c>
      <c r="BT10">
        <v>0</v>
      </c>
      <c r="BU10" t="s">
        <v>1107</v>
      </c>
      <c r="BV10">
        <v>-1.6375500000000001</v>
      </c>
      <c r="BW10" t="s">
        <v>1107</v>
      </c>
      <c r="BX10">
        <v>-1.6375500000000001</v>
      </c>
      <c r="BY10" t="s">
        <v>1213</v>
      </c>
      <c r="BZ10" t="s">
        <v>1267</v>
      </c>
    </row>
    <row r="11" spans="1:79" x14ac:dyDescent="0.2">
      <c r="A11" t="s">
        <v>1200</v>
      </c>
      <c r="B11" t="s">
        <v>1268</v>
      </c>
      <c r="C11" t="s">
        <v>1112</v>
      </c>
      <c r="D11" t="s">
        <v>457</v>
      </c>
      <c r="E11" t="s">
        <v>1202</v>
      </c>
      <c r="F11" t="s">
        <v>1261</v>
      </c>
      <c r="G11" t="s">
        <v>1269</v>
      </c>
      <c r="H11" t="s">
        <v>1270</v>
      </c>
      <c r="I11" t="s">
        <v>1271</v>
      </c>
      <c r="J11" t="s">
        <v>1219</v>
      </c>
      <c r="K11" t="s">
        <v>1208</v>
      </c>
      <c r="N11" t="s">
        <v>1272</v>
      </c>
      <c r="O11" t="s">
        <v>272</v>
      </c>
      <c r="P11" t="s">
        <v>1273</v>
      </c>
      <c r="Q11">
        <v>0</v>
      </c>
      <c r="R11" t="s">
        <v>1211</v>
      </c>
      <c r="S11">
        <v>3100</v>
      </c>
      <c r="T11">
        <v>3100</v>
      </c>
      <c r="U11">
        <v>3100</v>
      </c>
      <c r="V11">
        <v>3100</v>
      </c>
      <c r="W11">
        <v>3100</v>
      </c>
      <c r="X11">
        <v>3100</v>
      </c>
      <c r="AE11" t="s">
        <v>605</v>
      </c>
      <c r="AH11">
        <v>0</v>
      </c>
      <c r="AI11" t="s">
        <v>605</v>
      </c>
      <c r="AJ11" t="s">
        <v>605</v>
      </c>
      <c r="AK11" t="s">
        <v>605</v>
      </c>
      <c r="AL11" t="s">
        <v>605</v>
      </c>
      <c r="AM11" t="s">
        <v>605</v>
      </c>
      <c r="AN11">
        <v>4350</v>
      </c>
      <c r="AO11">
        <v>4350</v>
      </c>
      <c r="AP11">
        <v>4350</v>
      </c>
      <c r="AQ11">
        <v>4350</v>
      </c>
      <c r="AR11">
        <v>4350</v>
      </c>
      <c r="AS11">
        <v>3500</v>
      </c>
      <c r="AT11">
        <v>3500</v>
      </c>
      <c r="AU11">
        <v>3500</v>
      </c>
      <c r="AV11">
        <v>3500</v>
      </c>
      <c r="AW11">
        <v>3500</v>
      </c>
      <c r="BH11">
        <v>2.6649999999999998E-3</v>
      </c>
      <c r="BN11">
        <v>1</v>
      </c>
      <c r="BO11" t="s">
        <v>1212</v>
      </c>
      <c r="BP11">
        <v>2414</v>
      </c>
      <c r="BQ11" s="772">
        <v>2201</v>
      </c>
      <c r="BR11" t="s">
        <v>605</v>
      </c>
      <c r="BS11" t="s">
        <v>1213</v>
      </c>
      <c r="BT11">
        <v>0</v>
      </c>
      <c r="BU11" t="s">
        <v>1213</v>
      </c>
      <c r="BV11">
        <v>0</v>
      </c>
      <c r="BW11" t="s">
        <v>1213</v>
      </c>
      <c r="BX11">
        <v>0</v>
      </c>
      <c r="BY11" t="s">
        <v>1213</v>
      </c>
      <c r="BZ11" t="s">
        <v>1274</v>
      </c>
    </row>
    <row r="12" spans="1:79" x14ac:dyDescent="0.2">
      <c r="A12" t="s">
        <v>1200</v>
      </c>
      <c r="B12" t="s">
        <v>1275</v>
      </c>
      <c r="C12" t="s">
        <v>1112</v>
      </c>
      <c r="D12" t="s">
        <v>457</v>
      </c>
      <c r="E12" t="s">
        <v>1202</v>
      </c>
      <c r="F12" t="s">
        <v>1261</v>
      </c>
      <c r="G12" t="s">
        <v>1276</v>
      </c>
      <c r="H12" t="s">
        <v>1277</v>
      </c>
      <c r="I12" t="s">
        <v>1278</v>
      </c>
      <c r="J12" t="s">
        <v>1241</v>
      </c>
      <c r="N12" t="s">
        <v>1265</v>
      </c>
      <c r="O12" t="s">
        <v>272</v>
      </c>
      <c r="P12" t="s">
        <v>1279</v>
      </c>
      <c r="Q12">
        <v>0</v>
      </c>
      <c r="R12" t="s">
        <v>1211</v>
      </c>
      <c r="S12">
        <v>110</v>
      </c>
      <c r="T12">
        <v>110</v>
      </c>
      <c r="U12">
        <v>110</v>
      </c>
      <c r="V12">
        <v>110</v>
      </c>
      <c r="W12">
        <v>110</v>
      </c>
      <c r="X12">
        <v>110</v>
      </c>
      <c r="AE12" t="s">
        <v>605</v>
      </c>
      <c r="AH12">
        <v>0</v>
      </c>
      <c r="BP12">
        <v>378</v>
      </c>
      <c r="BQ12" s="771">
        <v>400</v>
      </c>
      <c r="BR12" t="s">
        <v>606</v>
      </c>
      <c r="BS12" t="s">
        <v>1213</v>
      </c>
      <c r="BT12">
        <v>0</v>
      </c>
      <c r="BU12" t="s">
        <v>1213</v>
      </c>
      <c r="BV12">
        <v>0</v>
      </c>
      <c r="BW12" t="s">
        <v>1213</v>
      </c>
      <c r="BX12">
        <v>0</v>
      </c>
      <c r="BY12" t="s">
        <v>1213</v>
      </c>
      <c r="BZ12" t="s">
        <v>1280</v>
      </c>
      <c r="CA12" t="s">
        <v>1281</v>
      </c>
    </row>
    <row r="13" spans="1:79" x14ac:dyDescent="0.2">
      <c r="A13" t="s">
        <v>1200</v>
      </c>
      <c r="B13" t="s">
        <v>1282</v>
      </c>
      <c r="C13" t="s">
        <v>1112</v>
      </c>
      <c r="D13" t="s">
        <v>457</v>
      </c>
      <c r="E13" t="s">
        <v>1202</v>
      </c>
      <c r="F13" t="s">
        <v>1261</v>
      </c>
      <c r="G13" t="s">
        <v>1283</v>
      </c>
      <c r="H13" t="s">
        <v>1284</v>
      </c>
      <c r="I13" t="s">
        <v>1285</v>
      </c>
      <c r="J13" t="s">
        <v>1241</v>
      </c>
      <c r="N13" t="s">
        <v>1265</v>
      </c>
      <c r="O13" t="s">
        <v>272</v>
      </c>
      <c r="P13" t="s">
        <v>1279</v>
      </c>
      <c r="Q13">
        <v>0</v>
      </c>
      <c r="R13" t="s">
        <v>1211</v>
      </c>
      <c r="S13">
        <v>550</v>
      </c>
      <c r="T13">
        <v>550</v>
      </c>
      <c r="U13">
        <v>550</v>
      </c>
      <c r="V13">
        <v>550</v>
      </c>
      <c r="W13">
        <v>550</v>
      </c>
      <c r="X13">
        <v>550</v>
      </c>
      <c r="AE13" t="s">
        <v>605</v>
      </c>
      <c r="AH13">
        <v>0</v>
      </c>
      <c r="BP13">
        <v>495</v>
      </c>
      <c r="BQ13" s="771">
        <v>266</v>
      </c>
      <c r="BR13" t="s">
        <v>605</v>
      </c>
      <c r="BS13" t="s">
        <v>1213</v>
      </c>
      <c r="BT13">
        <v>0</v>
      </c>
      <c r="BU13" t="s">
        <v>1213</v>
      </c>
      <c r="BV13">
        <v>0</v>
      </c>
      <c r="BW13" t="s">
        <v>1213</v>
      </c>
      <c r="BX13">
        <v>0</v>
      </c>
      <c r="BY13" t="s">
        <v>1213</v>
      </c>
      <c r="BZ13" t="s">
        <v>1286</v>
      </c>
      <c r="CA13" t="s">
        <v>1281</v>
      </c>
    </row>
    <row r="14" spans="1:79" x14ac:dyDescent="0.2">
      <c r="A14" t="s">
        <v>1200</v>
      </c>
      <c r="B14" t="s">
        <v>1287</v>
      </c>
      <c r="C14" t="s">
        <v>1112</v>
      </c>
      <c r="D14" t="s">
        <v>1288</v>
      </c>
      <c r="E14" t="s">
        <v>1289</v>
      </c>
      <c r="F14" t="s">
        <v>1290</v>
      </c>
      <c r="G14" t="s">
        <v>1291</v>
      </c>
      <c r="H14" t="s">
        <v>1292</v>
      </c>
      <c r="I14" t="s">
        <v>1293</v>
      </c>
      <c r="J14" t="s">
        <v>1207</v>
      </c>
      <c r="K14" t="s">
        <v>1208</v>
      </c>
      <c r="M14" t="s">
        <v>606</v>
      </c>
      <c r="N14" t="s">
        <v>1294</v>
      </c>
      <c r="O14" t="s">
        <v>665</v>
      </c>
      <c r="P14" t="s">
        <v>1295</v>
      </c>
      <c r="Q14">
        <v>0</v>
      </c>
      <c r="S14" t="s">
        <v>1242</v>
      </c>
      <c r="T14" t="s">
        <v>1242</v>
      </c>
      <c r="U14" t="s">
        <v>1242</v>
      </c>
      <c r="V14" t="s">
        <v>1242</v>
      </c>
      <c r="W14" t="s">
        <v>1242</v>
      </c>
      <c r="X14" t="s">
        <v>1242</v>
      </c>
      <c r="AH14">
        <v>0</v>
      </c>
      <c r="AI14" t="s">
        <v>605</v>
      </c>
      <c r="AJ14" t="s">
        <v>605</v>
      </c>
      <c r="AK14" t="s">
        <v>605</v>
      </c>
      <c r="AL14" t="s">
        <v>605</v>
      </c>
      <c r="AM14" t="s">
        <v>605</v>
      </c>
      <c r="AN14" t="s">
        <v>1296</v>
      </c>
      <c r="AO14" t="s">
        <v>1296</v>
      </c>
      <c r="AP14" t="s">
        <v>1296</v>
      </c>
      <c r="AQ14" t="s">
        <v>1296</v>
      </c>
      <c r="AR14" t="s">
        <v>1296</v>
      </c>
      <c r="AS14" t="s">
        <v>1296</v>
      </c>
      <c r="AT14" t="s">
        <v>1296</v>
      </c>
      <c r="AU14" t="s">
        <v>1296</v>
      </c>
      <c r="AV14" t="s">
        <v>1296</v>
      </c>
      <c r="AW14" t="s">
        <v>1296</v>
      </c>
      <c r="AX14" t="s">
        <v>1296</v>
      </c>
      <c r="AY14" t="s">
        <v>1296</v>
      </c>
      <c r="AZ14" t="s">
        <v>1296</v>
      </c>
      <c r="BA14" t="s">
        <v>1296</v>
      </c>
      <c r="BB14" t="s">
        <v>1296</v>
      </c>
      <c r="BC14" t="s">
        <v>1296</v>
      </c>
      <c r="BD14" t="s">
        <v>1296</v>
      </c>
      <c r="BE14" t="s">
        <v>1296</v>
      </c>
      <c r="BF14" t="s">
        <v>1296</v>
      </c>
      <c r="BG14" t="s">
        <v>1296</v>
      </c>
      <c r="BH14" t="s">
        <v>1296</v>
      </c>
      <c r="BL14" t="s">
        <v>1296</v>
      </c>
      <c r="BN14">
        <v>1</v>
      </c>
      <c r="BO14" t="s">
        <v>1212</v>
      </c>
      <c r="BP14" t="s">
        <v>1213</v>
      </c>
      <c r="BQ14" s="770">
        <v>76.7</v>
      </c>
      <c r="BR14" t="s">
        <v>1213</v>
      </c>
      <c r="BS14" t="s">
        <v>1213</v>
      </c>
      <c r="BT14">
        <v>0</v>
      </c>
      <c r="BU14" t="s">
        <v>1213</v>
      </c>
      <c r="BV14">
        <v>0</v>
      </c>
      <c r="BW14" t="s">
        <v>1213</v>
      </c>
      <c r="BX14">
        <v>0</v>
      </c>
      <c r="BY14" t="s">
        <v>1213</v>
      </c>
      <c r="BZ14" t="s">
        <v>1297</v>
      </c>
      <c r="CA14" t="s">
        <v>1298</v>
      </c>
    </row>
    <row r="15" spans="1:79" x14ac:dyDescent="0.2">
      <c r="A15" t="s">
        <v>1200</v>
      </c>
      <c r="B15" t="s">
        <v>1299</v>
      </c>
      <c r="C15" t="s">
        <v>1112</v>
      </c>
      <c r="D15" t="s">
        <v>1288</v>
      </c>
      <c r="E15" t="s">
        <v>1289</v>
      </c>
      <c r="F15" t="s">
        <v>1290</v>
      </c>
      <c r="G15" t="s">
        <v>1300</v>
      </c>
      <c r="H15" t="s">
        <v>1301</v>
      </c>
      <c r="I15" t="s">
        <v>1302</v>
      </c>
      <c r="J15" t="s">
        <v>1241</v>
      </c>
      <c r="N15" t="s">
        <v>1303</v>
      </c>
      <c r="O15" t="s">
        <v>1242</v>
      </c>
      <c r="P15" t="s">
        <v>1242</v>
      </c>
      <c r="Q15" t="s">
        <v>1242</v>
      </c>
      <c r="S15" t="s">
        <v>1242</v>
      </c>
      <c r="T15" t="s">
        <v>1242</v>
      </c>
      <c r="U15" t="s">
        <v>1242</v>
      </c>
      <c r="V15" t="s">
        <v>1242</v>
      </c>
      <c r="W15" t="s">
        <v>1242</v>
      </c>
      <c r="X15" t="s">
        <v>1242</v>
      </c>
      <c r="AH15">
        <v>0</v>
      </c>
      <c r="BP15" t="s">
        <v>1213</v>
      </c>
      <c r="BQ15" s="770">
        <v>71.599999999999994</v>
      </c>
      <c r="BR15" t="s">
        <v>1213</v>
      </c>
      <c r="BS15" t="s">
        <v>1213</v>
      </c>
      <c r="BT15">
        <v>0</v>
      </c>
      <c r="BU15" t="s">
        <v>1213</v>
      </c>
      <c r="BV15">
        <v>0</v>
      </c>
      <c r="BW15" t="s">
        <v>1213</v>
      </c>
      <c r="BX15">
        <v>0</v>
      </c>
      <c r="BY15" t="s">
        <v>1213</v>
      </c>
      <c r="BZ15" t="s">
        <v>1304</v>
      </c>
    </row>
    <row r="16" spans="1:79" x14ac:dyDescent="0.2">
      <c r="A16" t="s">
        <v>1080</v>
      </c>
      <c r="B16" t="s">
        <v>1305</v>
      </c>
      <c r="C16" t="s">
        <v>1077</v>
      </c>
      <c r="D16" t="s">
        <v>457</v>
      </c>
      <c r="E16" t="s">
        <v>1202</v>
      </c>
      <c r="F16" t="s">
        <v>1306</v>
      </c>
      <c r="G16" t="s">
        <v>1216</v>
      </c>
      <c r="H16" t="s">
        <v>1307</v>
      </c>
      <c r="I16" t="s">
        <v>1308</v>
      </c>
      <c r="J16" t="s">
        <v>1207</v>
      </c>
      <c r="K16" t="s">
        <v>1208</v>
      </c>
      <c r="N16" t="s">
        <v>1265</v>
      </c>
      <c r="O16" t="s">
        <v>1309</v>
      </c>
      <c r="P16" t="s">
        <v>1310</v>
      </c>
      <c r="Q16">
        <v>2</v>
      </c>
      <c r="R16" t="s">
        <v>1211</v>
      </c>
      <c r="S16">
        <v>19.36</v>
      </c>
      <c r="T16">
        <v>16.899999999999999</v>
      </c>
      <c r="U16">
        <v>14.5</v>
      </c>
      <c r="V16">
        <v>12</v>
      </c>
      <c r="W16">
        <v>12</v>
      </c>
      <c r="X16">
        <v>12</v>
      </c>
      <c r="AA16" t="s">
        <v>605</v>
      </c>
      <c r="AE16" t="s">
        <v>605</v>
      </c>
      <c r="AH16">
        <v>0</v>
      </c>
      <c r="AI16" t="s">
        <v>605</v>
      </c>
      <c r="AJ16" t="s">
        <v>605</v>
      </c>
      <c r="AK16" t="s">
        <v>605</v>
      </c>
      <c r="AL16" t="s">
        <v>605</v>
      </c>
      <c r="AM16" t="s">
        <v>605</v>
      </c>
      <c r="AN16">
        <v>20.86</v>
      </c>
      <c r="AO16">
        <v>20.86</v>
      </c>
      <c r="AP16">
        <v>13.5</v>
      </c>
      <c r="AQ16">
        <v>13.5</v>
      </c>
      <c r="AR16">
        <v>13.5</v>
      </c>
      <c r="AS16">
        <v>19.36</v>
      </c>
      <c r="AT16">
        <v>19.36</v>
      </c>
      <c r="AU16">
        <v>12</v>
      </c>
      <c r="AV16">
        <v>12</v>
      </c>
      <c r="AW16">
        <v>12</v>
      </c>
      <c r="AX16">
        <v>12</v>
      </c>
      <c r="AY16">
        <v>12</v>
      </c>
      <c r="AZ16">
        <v>12</v>
      </c>
      <c r="BA16">
        <v>12</v>
      </c>
      <c r="BB16">
        <v>12</v>
      </c>
      <c r="BC16">
        <v>10</v>
      </c>
      <c r="BD16">
        <v>10</v>
      </c>
      <c r="BE16">
        <v>10</v>
      </c>
      <c r="BF16">
        <v>10</v>
      </c>
      <c r="BG16">
        <v>10</v>
      </c>
      <c r="BH16">
        <v>5.7080000000000002</v>
      </c>
      <c r="BL16">
        <v>2.8359999999999999</v>
      </c>
      <c r="BN16">
        <v>1</v>
      </c>
      <c r="BO16" t="s">
        <v>1212</v>
      </c>
      <c r="BP16">
        <v>19.167000000000002</v>
      </c>
      <c r="BQ16" s="773">
        <v>8.1999999999999993</v>
      </c>
      <c r="BR16" t="s">
        <v>605</v>
      </c>
      <c r="BS16" t="s">
        <v>1213</v>
      </c>
      <c r="BT16">
        <v>0</v>
      </c>
      <c r="BU16" t="s">
        <v>611</v>
      </c>
      <c r="BV16">
        <v>5.6719999999999997</v>
      </c>
      <c r="BW16" t="s">
        <v>610</v>
      </c>
      <c r="BX16">
        <v>0</v>
      </c>
      <c r="BY16" t="s">
        <v>1173</v>
      </c>
      <c r="BZ16" t="s">
        <v>1311</v>
      </c>
    </row>
    <row r="17" spans="1:79" x14ac:dyDescent="0.2">
      <c r="A17" t="s">
        <v>1080</v>
      </c>
      <c r="B17" t="s">
        <v>1312</v>
      </c>
      <c r="C17" t="s">
        <v>1077</v>
      </c>
      <c r="D17" t="s">
        <v>457</v>
      </c>
      <c r="E17" t="s">
        <v>1202</v>
      </c>
      <c r="F17" t="s">
        <v>1306</v>
      </c>
      <c r="G17" t="s">
        <v>1225</v>
      </c>
      <c r="H17" t="s">
        <v>1313</v>
      </c>
      <c r="I17" t="s">
        <v>1314</v>
      </c>
      <c r="J17" t="s">
        <v>1207</v>
      </c>
      <c r="K17" t="s">
        <v>1208</v>
      </c>
      <c r="M17" t="s">
        <v>606</v>
      </c>
      <c r="N17" t="s">
        <v>1315</v>
      </c>
      <c r="O17" t="s">
        <v>272</v>
      </c>
      <c r="P17" t="s">
        <v>1266</v>
      </c>
      <c r="Q17">
        <v>0</v>
      </c>
      <c r="R17" t="s">
        <v>1211</v>
      </c>
      <c r="S17">
        <v>517</v>
      </c>
      <c r="V17">
        <v>361</v>
      </c>
      <c r="X17">
        <v>257</v>
      </c>
      <c r="AE17" t="s">
        <v>605</v>
      </c>
      <c r="AH17">
        <v>0</v>
      </c>
      <c r="AK17" t="s">
        <v>605</v>
      </c>
      <c r="AM17" t="s">
        <v>605</v>
      </c>
      <c r="AP17">
        <v>441</v>
      </c>
      <c r="AR17">
        <v>337</v>
      </c>
      <c r="AU17">
        <v>366</v>
      </c>
      <c r="AW17">
        <v>262</v>
      </c>
      <c r="BB17">
        <v>230</v>
      </c>
      <c r="BG17">
        <v>150</v>
      </c>
      <c r="BH17">
        <v>0.03</v>
      </c>
      <c r="BL17">
        <v>1.4999999999999999E-2</v>
      </c>
      <c r="BN17">
        <v>1</v>
      </c>
      <c r="BO17" t="s">
        <v>1212</v>
      </c>
      <c r="BP17">
        <v>505</v>
      </c>
      <c r="BQ17" s="774">
        <v>462</v>
      </c>
      <c r="BR17" t="s">
        <v>1213</v>
      </c>
      <c r="BS17" t="s">
        <v>1213</v>
      </c>
      <c r="BT17">
        <v>0</v>
      </c>
      <c r="BU17" t="s">
        <v>1213</v>
      </c>
      <c r="BV17">
        <v>0</v>
      </c>
      <c r="BW17" t="s">
        <v>610</v>
      </c>
      <c r="BX17">
        <v>0</v>
      </c>
      <c r="BY17" t="s">
        <v>1213</v>
      </c>
      <c r="BZ17" t="s">
        <v>1316</v>
      </c>
    </row>
    <row r="18" spans="1:79" x14ac:dyDescent="0.2">
      <c r="A18" t="s">
        <v>1080</v>
      </c>
      <c r="B18" t="s">
        <v>1317</v>
      </c>
      <c r="C18" t="s">
        <v>1077</v>
      </c>
      <c r="D18" t="s">
        <v>457</v>
      </c>
      <c r="E18" t="s">
        <v>1202</v>
      </c>
      <c r="F18" t="s">
        <v>1306</v>
      </c>
      <c r="G18" t="s">
        <v>1232</v>
      </c>
      <c r="H18" t="s">
        <v>1318</v>
      </c>
      <c r="I18" t="s">
        <v>1319</v>
      </c>
      <c r="J18" t="s">
        <v>1207</v>
      </c>
      <c r="K18" t="s">
        <v>1208</v>
      </c>
      <c r="N18" t="s">
        <v>1172</v>
      </c>
      <c r="O18" t="s">
        <v>272</v>
      </c>
      <c r="P18" t="s">
        <v>1258</v>
      </c>
      <c r="Q18">
        <v>2</v>
      </c>
      <c r="R18" t="s">
        <v>1211</v>
      </c>
      <c r="S18">
        <v>1.51</v>
      </c>
      <c r="T18">
        <v>1.42</v>
      </c>
      <c r="U18">
        <v>1.32</v>
      </c>
      <c r="V18">
        <v>1.23</v>
      </c>
      <c r="W18">
        <v>1.23</v>
      </c>
      <c r="X18">
        <v>1.23</v>
      </c>
      <c r="Z18" t="s">
        <v>605</v>
      </c>
      <c r="AE18" t="s">
        <v>605</v>
      </c>
      <c r="AH18">
        <v>0</v>
      </c>
      <c r="AI18" t="s">
        <v>605</v>
      </c>
      <c r="AJ18" t="s">
        <v>605</v>
      </c>
      <c r="AK18" t="s">
        <v>605</v>
      </c>
      <c r="AL18" t="s">
        <v>605</v>
      </c>
      <c r="AM18" t="s">
        <v>605</v>
      </c>
      <c r="AN18">
        <v>2.74</v>
      </c>
      <c r="AO18">
        <v>2.74</v>
      </c>
      <c r="AP18">
        <v>2.46</v>
      </c>
      <c r="AQ18">
        <v>2.46</v>
      </c>
      <c r="AR18">
        <v>2.46</v>
      </c>
      <c r="AS18">
        <v>1.51</v>
      </c>
      <c r="AT18">
        <v>1.51</v>
      </c>
      <c r="AU18">
        <v>1.23</v>
      </c>
      <c r="AV18">
        <v>1.23</v>
      </c>
      <c r="AW18">
        <v>1.23</v>
      </c>
      <c r="AX18">
        <v>1.23</v>
      </c>
      <c r="AY18">
        <v>1.23</v>
      </c>
      <c r="AZ18">
        <v>1.23</v>
      </c>
      <c r="BA18">
        <v>1.23</v>
      </c>
      <c r="BB18">
        <v>1.23</v>
      </c>
      <c r="BC18">
        <v>0</v>
      </c>
      <c r="BD18">
        <v>0</v>
      </c>
      <c r="BE18">
        <v>0</v>
      </c>
      <c r="BF18">
        <v>0</v>
      </c>
      <c r="BG18">
        <v>0</v>
      </c>
      <c r="BH18">
        <v>1.5720000000000001</v>
      </c>
      <c r="BL18">
        <v>1.1779999999999999</v>
      </c>
      <c r="BN18">
        <v>1</v>
      </c>
      <c r="BO18" t="s">
        <v>1212</v>
      </c>
      <c r="BP18">
        <v>1.48</v>
      </c>
      <c r="BQ18" s="775">
        <v>1.38</v>
      </c>
      <c r="BR18" t="s">
        <v>605</v>
      </c>
      <c r="BS18" t="s">
        <v>1213</v>
      </c>
      <c r="BT18">
        <v>0</v>
      </c>
      <c r="BU18" t="s">
        <v>610</v>
      </c>
      <c r="BV18">
        <v>0</v>
      </c>
      <c r="BW18" t="s">
        <v>610</v>
      </c>
      <c r="BX18">
        <v>0</v>
      </c>
      <c r="BY18" t="s">
        <v>1172</v>
      </c>
      <c r="BZ18" t="s">
        <v>1320</v>
      </c>
    </row>
    <row r="19" spans="1:79" x14ac:dyDescent="0.2">
      <c r="A19" t="s">
        <v>1080</v>
      </c>
      <c r="B19" t="s">
        <v>1321</v>
      </c>
      <c r="C19" t="s">
        <v>1077</v>
      </c>
      <c r="D19" t="s">
        <v>457</v>
      </c>
      <c r="E19" t="s">
        <v>1202</v>
      </c>
      <c r="F19" t="s">
        <v>1322</v>
      </c>
      <c r="G19" t="s">
        <v>1246</v>
      </c>
      <c r="H19" t="s">
        <v>1323</v>
      </c>
      <c r="I19" t="s">
        <v>1324</v>
      </c>
      <c r="J19" t="s">
        <v>1207</v>
      </c>
      <c r="K19" t="s">
        <v>1208</v>
      </c>
      <c r="N19" t="s">
        <v>1303</v>
      </c>
      <c r="O19" t="s">
        <v>264</v>
      </c>
      <c r="P19" t="s">
        <v>1325</v>
      </c>
      <c r="Q19">
        <v>0</v>
      </c>
      <c r="R19" t="s">
        <v>1251</v>
      </c>
      <c r="S19">
        <v>0</v>
      </c>
      <c r="T19">
        <v>0</v>
      </c>
      <c r="U19">
        <v>0</v>
      </c>
      <c r="V19">
        <v>0</v>
      </c>
      <c r="W19">
        <v>0</v>
      </c>
      <c r="X19">
        <v>0</v>
      </c>
      <c r="AH19">
        <v>0</v>
      </c>
      <c r="AI19" t="s">
        <v>605</v>
      </c>
      <c r="AJ19" t="s">
        <v>605</v>
      </c>
      <c r="AK19" t="s">
        <v>605</v>
      </c>
      <c r="AL19" t="s">
        <v>605</v>
      </c>
      <c r="AM19" t="s">
        <v>605</v>
      </c>
      <c r="AN19">
        <v>-20</v>
      </c>
      <c r="AO19">
        <v>-20</v>
      </c>
      <c r="AP19">
        <v>-20</v>
      </c>
      <c r="AQ19">
        <v>-20</v>
      </c>
      <c r="AR19">
        <v>-20</v>
      </c>
      <c r="AS19">
        <v>0</v>
      </c>
      <c r="AT19">
        <v>0</v>
      </c>
      <c r="AU19">
        <v>0</v>
      </c>
      <c r="AV19">
        <v>0</v>
      </c>
      <c r="AW19">
        <v>0</v>
      </c>
      <c r="AX19">
        <v>0</v>
      </c>
      <c r="AY19">
        <v>0</v>
      </c>
      <c r="AZ19">
        <v>0</v>
      </c>
      <c r="BA19">
        <v>0</v>
      </c>
      <c r="BB19">
        <v>0</v>
      </c>
      <c r="BC19">
        <v>20</v>
      </c>
      <c r="BD19">
        <v>20</v>
      </c>
      <c r="BE19">
        <v>20</v>
      </c>
      <c r="BF19">
        <v>20</v>
      </c>
      <c r="BG19">
        <v>20</v>
      </c>
      <c r="BH19">
        <v>2.5000000000000001E-2</v>
      </c>
      <c r="BL19">
        <v>2.5000000000000001E-2</v>
      </c>
      <c r="BN19">
        <v>1</v>
      </c>
      <c r="BO19" t="s">
        <v>1212</v>
      </c>
      <c r="BP19">
        <v>1</v>
      </c>
      <c r="BQ19" s="774">
        <v>3</v>
      </c>
      <c r="BR19" t="s">
        <v>605</v>
      </c>
      <c r="BS19" t="s">
        <v>1213</v>
      </c>
      <c r="BT19">
        <v>0</v>
      </c>
      <c r="BU19" t="s">
        <v>611</v>
      </c>
      <c r="BV19">
        <v>7.4999999999999997E-2</v>
      </c>
      <c r="BW19" t="s">
        <v>610</v>
      </c>
      <c r="BX19">
        <v>0</v>
      </c>
      <c r="BY19" t="s">
        <v>1213</v>
      </c>
      <c r="BZ19" t="s">
        <v>1326</v>
      </c>
    </row>
    <row r="20" spans="1:79" x14ac:dyDescent="0.2">
      <c r="A20" t="s">
        <v>1080</v>
      </c>
      <c r="B20" t="s">
        <v>1327</v>
      </c>
      <c r="C20" t="s">
        <v>1077</v>
      </c>
      <c r="D20" t="s">
        <v>457</v>
      </c>
      <c r="E20" t="s">
        <v>1202</v>
      </c>
      <c r="F20" t="s">
        <v>1328</v>
      </c>
      <c r="G20" t="s">
        <v>1262</v>
      </c>
      <c r="H20" t="s">
        <v>1329</v>
      </c>
      <c r="I20" t="s">
        <v>1330</v>
      </c>
      <c r="J20" t="s">
        <v>1219</v>
      </c>
      <c r="K20" t="s">
        <v>1208</v>
      </c>
      <c r="N20" t="s">
        <v>1331</v>
      </c>
      <c r="O20" t="s">
        <v>264</v>
      </c>
      <c r="P20" t="s">
        <v>1332</v>
      </c>
      <c r="Q20">
        <v>1</v>
      </c>
      <c r="R20" t="s">
        <v>1211</v>
      </c>
      <c r="S20">
        <v>27.5</v>
      </c>
      <c r="X20">
        <v>24.7</v>
      </c>
      <c r="AE20" t="s">
        <v>605</v>
      </c>
      <c r="AH20">
        <v>0</v>
      </c>
      <c r="AM20" t="s">
        <v>605</v>
      </c>
      <c r="AR20">
        <v>27.5</v>
      </c>
      <c r="AW20">
        <v>24.7</v>
      </c>
      <c r="BH20">
        <v>8.6999999999999994E-2</v>
      </c>
      <c r="BN20">
        <v>5</v>
      </c>
      <c r="BO20" t="s">
        <v>1333</v>
      </c>
      <c r="BP20">
        <v>46.9</v>
      </c>
      <c r="BQ20" s="776">
        <v>46.3</v>
      </c>
      <c r="BR20" t="s">
        <v>1213</v>
      </c>
      <c r="BS20" t="s">
        <v>1213</v>
      </c>
      <c r="BT20">
        <v>0</v>
      </c>
      <c r="BU20" t="s">
        <v>1213</v>
      </c>
      <c r="BV20">
        <v>0</v>
      </c>
      <c r="BW20" t="s">
        <v>607</v>
      </c>
      <c r="BX20">
        <v>0</v>
      </c>
      <c r="BY20" t="s">
        <v>1213</v>
      </c>
      <c r="BZ20" t="s">
        <v>1334</v>
      </c>
    </row>
    <row r="21" spans="1:79" x14ac:dyDescent="0.2">
      <c r="A21" t="s">
        <v>1080</v>
      </c>
      <c r="B21" t="s">
        <v>1335</v>
      </c>
      <c r="C21" t="s">
        <v>1077</v>
      </c>
      <c r="D21" t="s">
        <v>457</v>
      </c>
      <c r="E21" t="s">
        <v>1202</v>
      </c>
      <c r="F21" t="s">
        <v>1328</v>
      </c>
      <c r="G21" t="s">
        <v>1269</v>
      </c>
      <c r="H21" t="s">
        <v>1336</v>
      </c>
      <c r="I21" t="s">
        <v>1337</v>
      </c>
      <c r="J21" t="s">
        <v>1241</v>
      </c>
      <c r="N21" t="s">
        <v>1338</v>
      </c>
      <c r="O21" t="s">
        <v>272</v>
      </c>
      <c r="P21" t="s">
        <v>1339</v>
      </c>
      <c r="Q21">
        <v>0</v>
      </c>
      <c r="R21" t="s">
        <v>1211</v>
      </c>
      <c r="S21">
        <v>1</v>
      </c>
      <c r="X21">
        <v>1</v>
      </c>
      <c r="AH21">
        <v>0</v>
      </c>
      <c r="BP21">
        <v>1</v>
      </c>
      <c r="BQ21" s="774">
        <v>1</v>
      </c>
      <c r="BR21" t="s">
        <v>1213</v>
      </c>
      <c r="BS21" t="s">
        <v>1213</v>
      </c>
      <c r="BT21">
        <v>0</v>
      </c>
      <c r="BU21" t="s">
        <v>1213</v>
      </c>
      <c r="BV21">
        <v>0</v>
      </c>
      <c r="BW21" t="s">
        <v>1213</v>
      </c>
      <c r="BX21">
        <v>0</v>
      </c>
      <c r="BY21" t="s">
        <v>1213</v>
      </c>
      <c r="BZ21" t="s">
        <v>1340</v>
      </c>
    </row>
    <row r="22" spans="1:79" x14ac:dyDescent="0.2">
      <c r="A22" t="s">
        <v>1080</v>
      </c>
      <c r="B22" t="s">
        <v>1341</v>
      </c>
      <c r="C22" t="s">
        <v>1077</v>
      </c>
      <c r="D22" t="s">
        <v>457</v>
      </c>
      <c r="E22" t="s">
        <v>1202</v>
      </c>
      <c r="F22" t="s">
        <v>1342</v>
      </c>
      <c r="G22" t="s">
        <v>1343</v>
      </c>
      <c r="H22" t="s">
        <v>1344</v>
      </c>
      <c r="I22" t="s">
        <v>1345</v>
      </c>
      <c r="J22" t="s">
        <v>1241</v>
      </c>
      <c r="N22" t="s">
        <v>1228</v>
      </c>
      <c r="O22" t="s">
        <v>665</v>
      </c>
      <c r="P22" t="s">
        <v>1346</v>
      </c>
      <c r="Q22">
        <v>0</v>
      </c>
      <c r="R22" t="s">
        <v>1251</v>
      </c>
      <c r="S22">
        <v>100</v>
      </c>
      <c r="X22">
        <v>100</v>
      </c>
      <c r="AH22">
        <v>0</v>
      </c>
      <c r="BP22">
        <v>100</v>
      </c>
      <c r="BQ22" s="774">
        <v>100</v>
      </c>
      <c r="BR22" t="s">
        <v>1213</v>
      </c>
      <c r="BS22" t="s">
        <v>1213</v>
      </c>
      <c r="BT22">
        <v>0</v>
      </c>
      <c r="BU22" t="s">
        <v>1213</v>
      </c>
      <c r="BV22">
        <v>0</v>
      </c>
      <c r="BW22" t="s">
        <v>1213</v>
      </c>
      <c r="BX22">
        <v>0</v>
      </c>
      <c r="BY22" t="s">
        <v>1213</v>
      </c>
      <c r="BZ22" t="s">
        <v>1347</v>
      </c>
    </row>
    <row r="23" spans="1:79" x14ac:dyDescent="0.2">
      <c r="A23" t="s">
        <v>1080</v>
      </c>
      <c r="B23" t="s">
        <v>1348</v>
      </c>
      <c r="C23" t="s">
        <v>1077</v>
      </c>
      <c r="D23" t="s">
        <v>457</v>
      </c>
      <c r="E23" t="s">
        <v>1202</v>
      </c>
      <c r="F23" t="s">
        <v>1342</v>
      </c>
      <c r="G23" t="s">
        <v>1349</v>
      </c>
      <c r="H23" t="s">
        <v>1350</v>
      </c>
      <c r="I23" t="s">
        <v>1351</v>
      </c>
      <c r="J23" t="s">
        <v>1241</v>
      </c>
      <c r="N23" t="s">
        <v>1228</v>
      </c>
      <c r="O23" t="s">
        <v>665</v>
      </c>
      <c r="P23" t="s">
        <v>1346</v>
      </c>
      <c r="Q23">
        <v>0</v>
      </c>
      <c r="R23" t="s">
        <v>1251</v>
      </c>
      <c r="S23">
        <v>100</v>
      </c>
      <c r="X23">
        <v>100</v>
      </c>
      <c r="AH23">
        <v>0</v>
      </c>
      <c r="BP23">
        <v>100</v>
      </c>
      <c r="BQ23" s="774">
        <v>100</v>
      </c>
      <c r="BR23" t="s">
        <v>1213</v>
      </c>
      <c r="BS23" t="s">
        <v>1213</v>
      </c>
      <c r="BT23">
        <v>0</v>
      </c>
      <c r="BU23" t="s">
        <v>1213</v>
      </c>
      <c r="BV23">
        <v>0</v>
      </c>
      <c r="BW23" t="s">
        <v>1213</v>
      </c>
      <c r="BX23">
        <v>0</v>
      </c>
      <c r="BY23" t="s">
        <v>1213</v>
      </c>
      <c r="BZ23" t="s">
        <v>1352</v>
      </c>
    </row>
    <row r="24" spans="1:79" x14ac:dyDescent="0.2">
      <c r="A24" t="s">
        <v>1080</v>
      </c>
      <c r="B24" t="s">
        <v>1353</v>
      </c>
      <c r="C24" t="s">
        <v>1077</v>
      </c>
      <c r="D24" t="s">
        <v>457</v>
      </c>
      <c r="E24" t="s">
        <v>1202</v>
      </c>
      <c r="F24" t="s">
        <v>1342</v>
      </c>
      <c r="G24" t="s">
        <v>1354</v>
      </c>
      <c r="H24" t="s">
        <v>1355</v>
      </c>
      <c r="I24" t="s">
        <v>1356</v>
      </c>
      <c r="J24" t="s">
        <v>1219</v>
      </c>
      <c r="K24" t="s">
        <v>1208</v>
      </c>
      <c r="N24" t="s">
        <v>1220</v>
      </c>
      <c r="O24" t="s">
        <v>272</v>
      </c>
      <c r="P24" t="s">
        <v>1357</v>
      </c>
      <c r="Q24">
        <v>0</v>
      </c>
      <c r="R24" t="s">
        <v>1251</v>
      </c>
      <c r="S24">
        <v>0</v>
      </c>
      <c r="X24">
        <v>7</v>
      </c>
      <c r="AH24">
        <v>0</v>
      </c>
      <c r="AM24" t="s">
        <v>605</v>
      </c>
      <c r="AR24">
        <v>0</v>
      </c>
      <c r="AW24">
        <v>7</v>
      </c>
      <c r="BH24">
        <v>0.222</v>
      </c>
      <c r="BN24">
        <v>5</v>
      </c>
      <c r="BO24" t="s">
        <v>1333</v>
      </c>
      <c r="BP24">
        <v>0</v>
      </c>
      <c r="BQ24" s="774">
        <v>-2</v>
      </c>
      <c r="BR24" t="s">
        <v>1213</v>
      </c>
      <c r="BS24" t="s">
        <v>1213</v>
      </c>
      <c r="BT24">
        <v>0</v>
      </c>
      <c r="BU24" t="s">
        <v>1213</v>
      </c>
      <c r="BV24">
        <v>0</v>
      </c>
      <c r="BW24" t="s">
        <v>607</v>
      </c>
      <c r="BX24">
        <v>0</v>
      </c>
      <c r="BY24" t="s">
        <v>1213</v>
      </c>
      <c r="BZ24" t="s">
        <v>1358</v>
      </c>
    </row>
    <row r="25" spans="1:79" x14ac:dyDescent="0.2">
      <c r="A25" t="s">
        <v>1080</v>
      </c>
      <c r="B25" t="s">
        <v>1359</v>
      </c>
      <c r="C25" t="s">
        <v>1077</v>
      </c>
      <c r="D25" t="s">
        <v>457</v>
      </c>
      <c r="E25" t="s">
        <v>1202</v>
      </c>
      <c r="F25" t="s">
        <v>1342</v>
      </c>
      <c r="G25" t="s">
        <v>1360</v>
      </c>
      <c r="H25" t="s">
        <v>1361</v>
      </c>
      <c r="I25" t="s">
        <v>1362</v>
      </c>
      <c r="J25" t="s">
        <v>1207</v>
      </c>
      <c r="K25" t="s">
        <v>1208</v>
      </c>
      <c r="L25" t="s">
        <v>605</v>
      </c>
      <c r="M25" t="s">
        <v>606</v>
      </c>
      <c r="N25" t="s">
        <v>1209</v>
      </c>
      <c r="O25" t="s">
        <v>272</v>
      </c>
      <c r="P25" t="s">
        <v>1210</v>
      </c>
      <c r="Q25">
        <v>0</v>
      </c>
      <c r="R25" t="s">
        <v>1211</v>
      </c>
      <c r="S25">
        <v>192</v>
      </c>
      <c r="T25">
        <v>192</v>
      </c>
      <c r="U25">
        <v>192</v>
      </c>
      <c r="V25">
        <v>192</v>
      </c>
      <c r="W25">
        <v>192</v>
      </c>
      <c r="X25">
        <v>192</v>
      </c>
      <c r="AE25" t="s">
        <v>605</v>
      </c>
      <c r="AH25">
        <v>0</v>
      </c>
      <c r="AI25" t="s">
        <v>605</v>
      </c>
      <c r="AJ25" t="s">
        <v>605</v>
      </c>
      <c r="AK25" t="s">
        <v>605</v>
      </c>
      <c r="AL25" t="s">
        <v>605</v>
      </c>
      <c r="AM25" t="s">
        <v>605</v>
      </c>
      <c r="AN25">
        <v>211</v>
      </c>
      <c r="AO25">
        <v>211</v>
      </c>
      <c r="AP25">
        <v>211</v>
      </c>
      <c r="AQ25">
        <v>211</v>
      </c>
      <c r="AR25">
        <v>211</v>
      </c>
      <c r="AS25">
        <v>192</v>
      </c>
      <c r="AT25">
        <v>192</v>
      </c>
      <c r="AU25">
        <v>192</v>
      </c>
      <c r="AV25">
        <v>192</v>
      </c>
      <c r="AW25">
        <v>192</v>
      </c>
      <c r="AX25">
        <v>192</v>
      </c>
      <c r="AY25">
        <v>192</v>
      </c>
      <c r="AZ25">
        <v>192</v>
      </c>
      <c r="BA25">
        <v>192</v>
      </c>
      <c r="BB25">
        <v>192</v>
      </c>
      <c r="BC25">
        <v>191</v>
      </c>
      <c r="BD25">
        <v>187</v>
      </c>
      <c r="BE25">
        <v>182</v>
      </c>
      <c r="BF25">
        <v>177</v>
      </c>
      <c r="BG25">
        <v>172</v>
      </c>
      <c r="BH25">
        <v>0.4</v>
      </c>
      <c r="BL25">
        <v>0.51500000000000001</v>
      </c>
      <c r="BM25">
        <v>0.51500000000000001</v>
      </c>
      <c r="BN25">
        <v>1</v>
      </c>
      <c r="BO25" t="s">
        <v>1212</v>
      </c>
      <c r="BP25">
        <v>191</v>
      </c>
      <c r="BQ25" s="774">
        <v>189</v>
      </c>
      <c r="BR25" t="s">
        <v>605</v>
      </c>
      <c r="BS25" t="s">
        <v>611</v>
      </c>
      <c r="BT25">
        <v>0.51500000000000001</v>
      </c>
      <c r="BU25" t="s">
        <v>1213</v>
      </c>
      <c r="BV25">
        <v>0</v>
      </c>
      <c r="BW25" t="s">
        <v>611</v>
      </c>
      <c r="BX25">
        <v>19.055</v>
      </c>
      <c r="BY25" t="s">
        <v>1213</v>
      </c>
      <c r="BZ25" t="s">
        <v>1363</v>
      </c>
      <c r="CA25" t="s">
        <v>1364</v>
      </c>
    </row>
    <row r="26" spans="1:79" x14ac:dyDescent="0.2">
      <c r="A26" t="s">
        <v>1080</v>
      </c>
      <c r="B26" t="s">
        <v>1365</v>
      </c>
      <c r="C26" t="s">
        <v>1077</v>
      </c>
      <c r="D26" t="s">
        <v>457</v>
      </c>
      <c r="E26" t="s">
        <v>1202</v>
      </c>
      <c r="F26" t="s">
        <v>1366</v>
      </c>
      <c r="G26" t="s">
        <v>1367</v>
      </c>
      <c r="H26" t="s">
        <v>1368</v>
      </c>
      <c r="I26" t="s">
        <v>1369</v>
      </c>
      <c r="J26" t="s">
        <v>1241</v>
      </c>
      <c r="N26" t="s">
        <v>1370</v>
      </c>
      <c r="O26" t="s">
        <v>264</v>
      </c>
      <c r="P26" t="s">
        <v>1371</v>
      </c>
      <c r="Q26">
        <v>0</v>
      </c>
      <c r="R26" t="s">
        <v>1251</v>
      </c>
      <c r="S26">
        <v>49</v>
      </c>
      <c r="X26">
        <v>50</v>
      </c>
      <c r="AF26" t="s">
        <v>605</v>
      </c>
      <c r="AH26">
        <v>0</v>
      </c>
      <c r="BP26">
        <v>49</v>
      </c>
      <c r="BQ26" s="774">
        <v>98.85</v>
      </c>
      <c r="BR26" t="s">
        <v>1213</v>
      </c>
      <c r="BS26" t="s">
        <v>1213</v>
      </c>
      <c r="BT26">
        <v>0</v>
      </c>
      <c r="BU26" t="s">
        <v>1213</v>
      </c>
      <c r="BV26">
        <v>0</v>
      </c>
      <c r="BW26" t="s">
        <v>1213</v>
      </c>
      <c r="BX26">
        <v>0</v>
      </c>
      <c r="BY26" t="s">
        <v>1213</v>
      </c>
      <c r="BZ26" t="s">
        <v>1372</v>
      </c>
    </row>
    <row r="27" spans="1:79" x14ac:dyDescent="0.2">
      <c r="A27" t="s">
        <v>1080</v>
      </c>
      <c r="B27" t="s">
        <v>1373</v>
      </c>
      <c r="C27" t="s">
        <v>1077</v>
      </c>
      <c r="D27" t="s">
        <v>457</v>
      </c>
      <c r="E27" t="s">
        <v>1202</v>
      </c>
      <c r="F27" t="s">
        <v>1366</v>
      </c>
      <c r="G27" t="s">
        <v>1374</v>
      </c>
      <c r="H27" t="s">
        <v>1375</v>
      </c>
      <c r="I27" t="s">
        <v>1376</v>
      </c>
      <c r="J27" t="s">
        <v>1219</v>
      </c>
      <c r="K27" t="s">
        <v>1208</v>
      </c>
      <c r="N27" t="s">
        <v>1377</v>
      </c>
      <c r="O27" t="s">
        <v>272</v>
      </c>
      <c r="P27" t="s">
        <v>1378</v>
      </c>
      <c r="Q27">
        <v>0</v>
      </c>
      <c r="R27" t="s">
        <v>1251</v>
      </c>
      <c r="S27">
        <v>0</v>
      </c>
      <c r="X27">
        <v>16</v>
      </c>
      <c r="AF27" t="s">
        <v>605</v>
      </c>
      <c r="AH27">
        <v>0</v>
      </c>
      <c r="AM27" t="s">
        <v>605</v>
      </c>
      <c r="AR27">
        <v>0</v>
      </c>
      <c r="AW27">
        <v>16</v>
      </c>
      <c r="BH27">
        <v>0.156</v>
      </c>
      <c r="BN27">
        <v>5</v>
      </c>
      <c r="BO27" t="s">
        <v>1333</v>
      </c>
      <c r="BP27">
        <v>0</v>
      </c>
      <c r="BQ27" s="774">
        <v>0</v>
      </c>
      <c r="BR27" t="s">
        <v>1213</v>
      </c>
      <c r="BS27" t="s">
        <v>1213</v>
      </c>
      <c r="BT27">
        <v>0</v>
      </c>
      <c r="BU27" t="s">
        <v>1213</v>
      </c>
      <c r="BV27">
        <v>0</v>
      </c>
      <c r="BW27" t="s">
        <v>607</v>
      </c>
      <c r="BX27">
        <v>0</v>
      </c>
      <c r="BY27" t="s">
        <v>1213</v>
      </c>
      <c r="BZ27" t="s">
        <v>1379</v>
      </c>
      <c r="CA27" t="s">
        <v>1380</v>
      </c>
    </row>
    <row r="28" spans="1:79" x14ac:dyDescent="0.2">
      <c r="A28" t="s">
        <v>1080</v>
      </c>
      <c r="B28" t="s">
        <v>1381</v>
      </c>
      <c r="C28" t="s">
        <v>1077</v>
      </c>
      <c r="D28" t="s">
        <v>457</v>
      </c>
      <c r="E28" t="s">
        <v>1202</v>
      </c>
      <c r="F28" t="s">
        <v>1382</v>
      </c>
      <c r="G28" t="s">
        <v>1383</v>
      </c>
      <c r="H28" t="s">
        <v>1384</v>
      </c>
      <c r="I28" t="s">
        <v>1385</v>
      </c>
      <c r="J28" t="s">
        <v>1241</v>
      </c>
      <c r="N28" t="s">
        <v>1386</v>
      </c>
      <c r="O28" t="s">
        <v>264</v>
      </c>
      <c r="P28" t="s">
        <v>1387</v>
      </c>
      <c r="Q28">
        <v>0</v>
      </c>
      <c r="R28" t="s">
        <v>1251</v>
      </c>
      <c r="S28">
        <v>0</v>
      </c>
      <c r="X28">
        <v>7</v>
      </c>
      <c r="AH28">
        <v>0</v>
      </c>
      <c r="BP28">
        <v>0</v>
      </c>
      <c r="BQ28" s="774">
        <v>5</v>
      </c>
      <c r="BR28" t="s">
        <v>1213</v>
      </c>
      <c r="BS28" t="s">
        <v>1213</v>
      </c>
      <c r="BT28">
        <v>0</v>
      </c>
      <c r="BU28" t="s">
        <v>1213</v>
      </c>
      <c r="BV28">
        <v>0</v>
      </c>
      <c r="BW28" t="s">
        <v>1213</v>
      </c>
      <c r="BX28">
        <v>0</v>
      </c>
      <c r="BY28" t="s">
        <v>1213</v>
      </c>
      <c r="BZ28" t="s">
        <v>1388</v>
      </c>
    </row>
    <row r="29" spans="1:79" x14ac:dyDescent="0.2">
      <c r="A29" t="s">
        <v>1080</v>
      </c>
      <c r="B29" t="s">
        <v>1389</v>
      </c>
      <c r="C29" t="s">
        <v>1077</v>
      </c>
      <c r="D29" t="s">
        <v>457</v>
      </c>
      <c r="E29" t="s">
        <v>1202</v>
      </c>
      <c r="F29" t="s">
        <v>1382</v>
      </c>
      <c r="G29" t="s">
        <v>1390</v>
      </c>
      <c r="H29" t="s">
        <v>1391</v>
      </c>
      <c r="I29" t="s">
        <v>1392</v>
      </c>
      <c r="J29" t="s">
        <v>1241</v>
      </c>
      <c r="N29" t="s">
        <v>1386</v>
      </c>
      <c r="O29" t="s">
        <v>264</v>
      </c>
      <c r="P29" t="s">
        <v>1393</v>
      </c>
      <c r="Q29">
        <v>0</v>
      </c>
      <c r="R29" t="s">
        <v>1251</v>
      </c>
      <c r="S29">
        <v>50</v>
      </c>
      <c r="X29">
        <v>60</v>
      </c>
      <c r="AH29">
        <v>0</v>
      </c>
      <c r="BP29">
        <v>54</v>
      </c>
      <c r="BQ29" s="774">
        <v>53</v>
      </c>
      <c r="BR29" t="s">
        <v>1213</v>
      </c>
      <c r="BS29" t="s">
        <v>1213</v>
      </c>
      <c r="BT29">
        <v>0</v>
      </c>
      <c r="BU29" t="s">
        <v>1213</v>
      </c>
      <c r="BV29">
        <v>0</v>
      </c>
      <c r="BW29" t="s">
        <v>1213</v>
      </c>
      <c r="BX29">
        <v>0</v>
      </c>
      <c r="BY29" t="s">
        <v>1213</v>
      </c>
      <c r="BZ29" t="s">
        <v>1394</v>
      </c>
    </row>
    <row r="30" spans="1:79" x14ac:dyDescent="0.2">
      <c r="A30" t="s">
        <v>1080</v>
      </c>
      <c r="B30" t="s">
        <v>1395</v>
      </c>
      <c r="C30" t="s">
        <v>1077</v>
      </c>
      <c r="D30" t="s">
        <v>457</v>
      </c>
      <c r="E30" t="s">
        <v>1202</v>
      </c>
      <c r="F30" t="s">
        <v>1396</v>
      </c>
      <c r="G30" t="s">
        <v>1397</v>
      </c>
      <c r="H30" t="s">
        <v>1398</v>
      </c>
      <c r="I30" t="s">
        <v>1399</v>
      </c>
      <c r="J30" t="s">
        <v>1241</v>
      </c>
      <c r="N30" t="s">
        <v>1400</v>
      </c>
      <c r="O30" t="s">
        <v>264</v>
      </c>
      <c r="P30" t="s">
        <v>1401</v>
      </c>
      <c r="Q30" t="s">
        <v>1212</v>
      </c>
      <c r="R30" t="s">
        <v>1251</v>
      </c>
      <c r="X30" t="s">
        <v>1402</v>
      </c>
      <c r="AH30">
        <v>0</v>
      </c>
      <c r="BP30" t="s">
        <v>1403</v>
      </c>
      <c r="BQ30" s="776">
        <v>56</v>
      </c>
      <c r="BR30" t="s">
        <v>1213</v>
      </c>
      <c r="BS30" t="s">
        <v>1213</v>
      </c>
      <c r="BT30">
        <v>0</v>
      </c>
      <c r="BU30" t="s">
        <v>1213</v>
      </c>
      <c r="BV30">
        <v>0</v>
      </c>
      <c r="BW30" t="s">
        <v>1213</v>
      </c>
      <c r="BX30">
        <v>0</v>
      </c>
      <c r="BY30" t="s">
        <v>1213</v>
      </c>
      <c r="BZ30" t="s">
        <v>1404</v>
      </c>
    </row>
    <row r="31" spans="1:79" x14ac:dyDescent="0.2">
      <c r="A31" t="s">
        <v>1080</v>
      </c>
      <c r="B31" t="s">
        <v>1405</v>
      </c>
      <c r="C31" t="s">
        <v>1077</v>
      </c>
      <c r="D31" t="s">
        <v>457</v>
      </c>
      <c r="E31" t="s">
        <v>1202</v>
      </c>
      <c r="F31" t="s">
        <v>1406</v>
      </c>
      <c r="G31" t="s">
        <v>1407</v>
      </c>
      <c r="H31" t="s">
        <v>1408</v>
      </c>
      <c r="I31" t="s">
        <v>1409</v>
      </c>
      <c r="J31" t="s">
        <v>1219</v>
      </c>
      <c r="K31" t="s">
        <v>1208</v>
      </c>
      <c r="M31" t="s">
        <v>606</v>
      </c>
      <c r="N31" t="s">
        <v>1272</v>
      </c>
      <c r="O31" t="s">
        <v>1410</v>
      </c>
      <c r="P31" t="s">
        <v>1411</v>
      </c>
      <c r="Q31" t="s">
        <v>1212</v>
      </c>
      <c r="S31" t="s">
        <v>612</v>
      </c>
      <c r="T31" t="s">
        <v>1412</v>
      </c>
      <c r="U31" t="s">
        <v>1412</v>
      </c>
      <c r="V31" t="s">
        <v>1412</v>
      </c>
      <c r="W31" t="s">
        <v>1412</v>
      </c>
      <c r="X31" t="s">
        <v>1412</v>
      </c>
      <c r="AE31" t="s">
        <v>605</v>
      </c>
      <c r="AH31">
        <v>4</v>
      </c>
      <c r="AI31" t="s">
        <v>605</v>
      </c>
      <c r="AJ31" t="s">
        <v>605</v>
      </c>
      <c r="AK31" t="s">
        <v>605</v>
      </c>
      <c r="AL31" t="s">
        <v>605</v>
      </c>
      <c r="AM31" t="s">
        <v>605</v>
      </c>
      <c r="BN31">
        <v>1</v>
      </c>
      <c r="BO31" t="s">
        <v>1212</v>
      </c>
      <c r="BP31" t="s">
        <v>612</v>
      </c>
      <c r="BQ31" s="776" t="s">
        <v>1412</v>
      </c>
      <c r="BR31" t="s">
        <v>605</v>
      </c>
      <c r="BS31" t="s">
        <v>1213</v>
      </c>
      <c r="BT31">
        <v>0</v>
      </c>
      <c r="BU31" t="s">
        <v>1213</v>
      </c>
      <c r="BV31">
        <v>0</v>
      </c>
      <c r="BW31" t="s">
        <v>1213</v>
      </c>
      <c r="BX31">
        <v>0</v>
      </c>
      <c r="BY31" t="s">
        <v>1213</v>
      </c>
      <c r="BZ31" t="s">
        <v>1413</v>
      </c>
      <c r="CA31" t="s">
        <v>1414</v>
      </c>
    </row>
    <row r="32" spans="1:79" x14ac:dyDescent="0.2">
      <c r="A32" t="s">
        <v>1080</v>
      </c>
      <c r="B32" t="s">
        <v>1415</v>
      </c>
      <c r="C32" t="s">
        <v>1077</v>
      </c>
      <c r="D32" t="s">
        <v>457</v>
      </c>
      <c r="E32" t="s">
        <v>1202</v>
      </c>
      <c r="F32" t="s">
        <v>1406</v>
      </c>
      <c r="G32" t="s">
        <v>1416</v>
      </c>
      <c r="H32" t="s">
        <v>1417</v>
      </c>
      <c r="I32" t="s">
        <v>1418</v>
      </c>
      <c r="J32" t="s">
        <v>1219</v>
      </c>
      <c r="K32" t="s">
        <v>1208</v>
      </c>
      <c r="M32" t="s">
        <v>606</v>
      </c>
      <c r="N32" t="s">
        <v>1272</v>
      </c>
      <c r="O32" t="s">
        <v>1410</v>
      </c>
      <c r="P32" t="s">
        <v>1411</v>
      </c>
      <c r="Q32" t="s">
        <v>1212</v>
      </c>
      <c r="S32" t="s">
        <v>612</v>
      </c>
      <c r="T32" t="s">
        <v>1412</v>
      </c>
      <c r="U32" t="s">
        <v>1412</v>
      </c>
      <c r="V32" t="s">
        <v>1412</v>
      </c>
      <c r="W32" t="s">
        <v>1412</v>
      </c>
      <c r="X32" t="s">
        <v>1412</v>
      </c>
      <c r="AE32" t="s">
        <v>605</v>
      </c>
      <c r="AH32">
        <v>3</v>
      </c>
      <c r="AI32" t="s">
        <v>605</v>
      </c>
      <c r="AJ32" t="s">
        <v>605</v>
      </c>
      <c r="AK32" t="s">
        <v>605</v>
      </c>
      <c r="AL32" t="s">
        <v>605</v>
      </c>
      <c r="AM32" t="s">
        <v>605</v>
      </c>
      <c r="BN32">
        <v>1</v>
      </c>
      <c r="BO32" t="s">
        <v>1212</v>
      </c>
      <c r="BP32" t="s">
        <v>612</v>
      </c>
      <c r="BQ32" s="776" t="s">
        <v>1412</v>
      </c>
      <c r="BR32" t="s">
        <v>605</v>
      </c>
      <c r="BS32" t="s">
        <v>1213</v>
      </c>
      <c r="BT32">
        <v>0</v>
      </c>
      <c r="BU32" t="s">
        <v>1213</v>
      </c>
      <c r="BV32">
        <v>0</v>
      </c>
      <c r="BW32" t="s">
        <v>1213</v>
      </c>
      <c r="BX32">
        <v>0</v>
      </c>
      <c r="BY32" t="s">
        <v>1213</v>
      </c>
      <c r="BZ32" t="s">
        <v>1419</v>
      </c>
      <c r="CA32" t="s">
        <v>1420</v>
      </c>
    </row>
    <row r="33" spans="1:79" x14ac:dyDescent="0.2">
      <c r="A33" t="s">
        <v>1080</v>
      </c>
      <c r="B33" t="s">
        <v>1421</v>
      </c>
      <c r="C33" t="s">
        <v>1077</v>
      </c>
      <c r="D33" t="s">
        <v>457</v>
      </c>
      <c r="E33" t="s">
        <v>1202</v>
      </c>
      <c r="F33" t="s">
        <v>1422</v>
      </c>
      <c r="G33" t="s">
        <v>1423</v>
      </c>
      <c r="H33" t="s">
        <v>1424</v>
      </c>
      <c r="I33" t="s">
        <v>1425</v>
      </c>
      <c r="J33" t="s">
        <v>1219</v>
      </c>
      <c r="K33" t="s">
        <v>1208</v>
      </c>
      <c r="M33" t="s">
        <v>606</v>
      </c>
      <c r="N33" t="s">
        <v>1249</v>
      </c>
      <c r="O33" t="s">
        <v>264</v>
      </c>
      <c r="P33" t="s">
        <v>1250</v>
      </c>
      <c r="Q33">
        <v>2</v>
      </c>
      <c r="R33" t="s">
        <v>1251</v>
      </c>
      <c r="S33">
        <v>99.96</v>
      </c>
      <c r="T33">
        <v>99.96</v>
      </c>
      <c r="U33">
        <v>99.96</v>
      </c>
      <c r="V33">
        <v>100</v>
      </c>
      <c r="W33">
        <v>100</v>
      </c>
      <c r="X33">
        <v>100</v>
      </c>
      <c r="Y33" t="s">
        <v>605</v>
      </c>
      <c r="AE33" t="s">
        <v>605</v>
      </c>
      <c r="AH33">
        <v>0</v>
      </c>
      <c r="AK33" t="s">
        <v>605</v>
      </c>
      <c r="AL33" t="s">
        <v>605</v>
      </c>
      <c r="AM33" t="s">
        <v>605</v>
      </c>
      <c r="AP33">
        <v>99.89</v>
      </c>
      <c r="AQ33">
        <v>99.89</v>
      </c>
      <c r="AR33">
        <v>99.89</v>
      </c>
      <c r="AU33">
        <v>99.95</v>
      </c>
      <c r="AV33">
        <v>99.95</v>
      </c>
      <c r="AW33">
        <v>99.95</v>
      </c>
      <c r="BH33">
        <v>17.412500000000001</v>
      </c>
      <c r="BN33">
        <v>1</v>
      </c>
      <c r="BO33" t="s">
        <v>1212</v>
      </c>
      <c r="BP33">
        <v>99.95</v>
      </c>
      <c r="BQ33" s="775">
        <v>99.97</v>
      </c>
      <c r="BR33" t="s">
        <v>605</v>
      </c>
      <c r="BS33" t="s">
        <v>1213</v>
      </c>
      <c r="BT33">
        <v>0</v>
      </c>
      <c r="BU33" t="s">
        <v>1213</v>
      </c>
      <c r="BV33">
        <v>0</v>
      </c>
      <c r="BW33" t="s">
        <v>607</v>
      </c>
      <c r="BX33">
        <v>0</v>
      </c>
      <c r="BY33" t="s">
        <v>1171</v>
      </c>
      <c r="BZ33" t="s">
        <v>1426</v>
      </c>
    </row>
    <row r="34" spans="1:79" x14ac:dyDescent="0.2">
      <c r="A34" t="s">
        <v>1080</v>
      </c>
      <c r="B34" t="s">
        <v>1427</v>
      </c>
      <c r="C34" t="s">
        <v>1077</v>
      </c>
      <c r="D34" t="s">
        <v>458</v>
      </c>
      <c r="E34" t="s">
        <v>1428</v>
      </c>
      <c r="F34" t="s">
        <v>1306</v>
      </c>
      <c r="G34" t="s">
        <v>1429</v>
      </c>
      <c r="H34" t="s">
        <v>1430</v>
      </c>
      <c r="I34" t="s">
        <v>1431</v>
      </c>
      <c r="J34" t="s">
        <v>1207</v>
      </c>
      <c r="K34" t="s">
        <v>1208</v>
      </c>
      <c r="N34" t="s">
        <v>1432</v>
      </c>
      <c r="O34" t="s">
        <v>272</v>
      </c>
      <c r="P34" t="s">
        <v>1433</v>
      </c>
      <c r="Q34">
        <v>0</v>
      </c>
      <c r="R34" t="s">
        <v>1251</v>
      </c>
      <c r="S34">
        <v>0</v>
      </c>
      <c r="X34">
        <v>27</v>
      </c>
      <c r="AC34" t="s">
        <v>605</v>
      </c>
      <c r="AE34" t="s">
        <v>605</v>
      </c>
      <c r="AH34">
        <v>0</v>
      </c>
      <c r="AM34" t="s">
        <v>605</v>
      </c>
      <c r="AR34">
        <v>-24</v>
      </c>
      <c r="AW34">
        <v>24</v>
      </c>
      <c r="BB34">
        <v>30</v>
      </c>
      <c r="BG34">
        <v>78</v>
      </c>
      <c r="BH34">
        <v>4.2000000000000003E-2</v>
      </c>
      <c r="BL34">
        <v>3.5999999999999997E-2</v>
      </c>
      <c r="BN34">
        <v>5</v>
      </c>
      <c r="BO34" t="s">
        <v>1333</v>
      </c>
      <c r="BP34">
        <v>0</v>
      </c>
      <c r="BQ34" s="774">
        <v>61</v>
      </c>
      <c r="BR34" t="s">
        <v>1213</v>
      </c>
      <c r="BS34" t="s">
        <v>1213</v>
      </c>
      <c r="BT34">
        <v>0</v>
      </c>
      <c r="BU34" t="s">
        <v>1213</v>
      </c>
      <c r="BV34">
        <v>0</v>
      </c>
      <c r="BW34" t="s">
        <v>610</v>
      </c>
      <c r="BX34">
        <v>0</v>
      </c>
      <c r="BY34" t="s">
        <v>1175</v>
      </c>
      <c r="BZ34" t="s">
        <v>1434</v>
      </c>
    </row>
    <row r="35" spans="1:79" x14ac:dyDescent="0.2">
      <c r="A35" t="s">
        <v>1080</v>
      </c>
      <c r="B35" t="s">
        <v>1435</v>
      </c>
      <c r="C35" t="s">
        <v>1077</v>
      </c>
      <c r="D35" t="s">
        <v>458</v>
      </c>
      <c r="E35" t="s">
        <v>1428</v>
      </c>
      <c r="F35" t="s">
        <v>1306</v>
      </c>
      <c r="G35" t="s">
        <v>1436</v>
      </c>
      <c r="H35" t="s">
        <v>1437</v>
      </c>
      <c r="I35" t="s">
        <v>1438</v>
      </c>
      <c r="J35" t="s">
        <v>1219</v>
      </c>
      <c r="K35" t="s">
        <v>1208</v>
      </c>
      <c r="N35" t="s">
        <v>1432</v>
      </c>
      <c r="O35" t="s">
        <v>272</v>
      </c>
      <c r="P35" t="s">
        <v>1439</v>
      </c>
      <c r="Q35">
        <v>0</v>
      </c>
      <c r="R35" t="s">
        <v>1251</v>
      </c>
      <c r="S35">
        <v>0</v>
      </c>
      <c r="X35">
        <v>22</v>
      </c>
      <c r="AE35" t="s">
        <v>605</v>
      </c>
      <c r="AH35">
        <v>0</v>
      </c>
      <c r="AM35" t="s">
        <v>605</v>
      </c>
      <c r="AR35">
        <v>-66</v>
      </c>
      <c r="AW35">
        <v>21</v>
      </c>
      <c r="BH35">
        <v>2.3E-2</v>
      </c>
      <c r="BN35">
        <v>5</v>
      </c>
      <c r="BO35" t="s">
        <v>1333</v>
      </c>
      <c r="BP35">
        <v>0</v>
      </c>
      <c r="BQ35" s="774">
        <v>536</v>
      </c>
      <c r="BR35" t="s">
        <v>1213</v>
      </c>
      <c r="BS35" t="s">
        <v>1213</v>
      </c>
      <c r="BT35">
        <v>0</v>
      </c>
      <c r="BU35" t="s">
        <v>1213</v>
      </c>
      <c r="BV35">
        <v>0</v>
      </c>
      <c r="BW35" t="s">
        <v>607</v>
      </c>
      <c r="BX35">
        <v>0</v>
      </c>
      <c r="BY35" t="s">
        <v>1213</v>
      </c>
      <c r="BZ35" t="s">
        <v>1440</v>
      </c>
    </row>
    <row r="36" spans="1:79" x14ac:dyDescent="0.2">
      <c r="A36" t="s">
        <v>1080</v>
      </c>
      <c r="B36" t="s">
        <v>1441</v>
      </c>
      <c r="C36" t="s">
        <v>1077</v>
      </c>
      <c r="D36" t="s">
        <v>458</v>
      </c>
      <c r="E36" t="s">
        <v>1428</v>
      </c>
      <c r="F36" t="s">
        <v>1306</v>
      </c>
      <c r="G36" t="s">
        <v>1442</v>
      </c>
      <c r="H36" t="s">
        <v>1443</v>
      </c>
      <c r="I36" t="s">
        <v>1444</v>
      </c>
      <c r="J36" t="s">
        <v>1241</v>
      </c>
      <c r="N36" t="s">
        <v>1445</v>
      </c>
      <c r="O36" t="s">
        <v>264</v>
      </c>
      <c r="P36" t="s">
        <v>1446</v>
      </c>
      <c r="Q36">
        <v>0</v>
      </c>
      <c r="R36" t="s">
        <v>1251</v>
      </c>
      <c r="X36">
        <v>25</v>
      </c>
      <c r="AH36">
        <v>0</v>
      </c>
      <c r="BP36">
        <v>0</v>
      </c>
      <c r="BQ36" s="774">
        <v>4</v>
      </c>
      <c r="BR36" t="s">
        <v>1213</v>
      </c>
      <c r="BS36" t="s">
        <v>1213</v>
      </c>
      <c r="BT36">
        <v>0</v>
      </c>
      <c r="BU36" t="s">
        <v>1213</v>
      </c>
      <c r="BV36">
        <v>0</v>
      </c>
      <c r="BW36" t="s">
        <v>1213</v>
      </c>
      <c r="BX36">
        <v>0</v>
      </c>
      <c r="BY36" t="s">
        <v>1213</v>
      </c>
      <c r="BZ36" t="s">
        <v>1447</v>
      </c>
    </row>
    <row r="37" spans="1:79" x14ac:dyDescent="0.2">
      <c r="A37" t="s">
        <v>1080</v>
      </c>
      <c r="B37" t="s">
        <v>1448</v>
      </c>
      <c r="C37" t="s">
        <v>1077</v>
      </c>
      <c r="D37" t="s">
        <v>458</v>
      </c>
      <c r="E37" t="s">
        <v>1428</v>
      </c>
      <c r="F37" t="s">
        <v>1322</v>
      </c>
      <c r="G37" t="s">
        <v>1449</v>
      </c>
      <c r="H37" t="s">
        <v>1450</v>
      </c>
      <c r="I37" t="s">
        <v>1451</v>
      </c>
      <c r="J37" t="s">
        <v>1207</v>
      </c>
      <c r="K37" t="s">
        <v>1208</v>
      </c>
      <c r="N37" t="s">
        <v>1303</v>
      </c>
      <c r="O37" t="s">
        <v>264</v>
      </c>
      <c r="P37" t="s">
        <v>1325</v>
      </c>
      <c r="Q37">
        <v>0</v>
      </c>
      <c r="R37" t="s">
        <v>1251</v>
      </c>
      <c r="S37">
        <v>0</v>
      </c>
      <c r="T37">
        <v>0</v>
      </c>
      <c r="U37">
        <v>0</v>
      </c>
      <c r="V37">
        <v>0</v>
      </c>
      <c r="W37">
        <v>0</v>
      </c>
      <c r="X37">
        <v>0</v>
      </c>
      <c r="AH37">
        <v>0</v>
      </c>
      <c r="AI37" t="s">
        <v>605</v>
      </c>
      <c r="AJ37" t="s">
        <v>605</v>
      </c>
      <c r="AK37" t="s">
        <v>605</v>
      </c>
      <c r="AL37" t="s">
        <v>605</v>
      </c>
      <c r="AM37" t="s">
        <v>605</v>
      </c>
      <c r="AN37">
        <v>-20</v>
      </c>
      <c r="AO37">
        <v>-20</v>
      </c>
      <c r="AP37">
        <v>-20</v>
      </c>
      <c r="AQ37">
        <v>-20</v>
      </c>
      <c r="AR37">
        <v>-20</v>
      </c>
      <c r="AS37">
        <v>0</v>
      </c>
      <c r="AT37">
        <v>0</v>
      </c>
      <c r="AU37">
        <v>0</v>
      </c>
      <c r="AV37">
        <v>0</v>
      </c>
      <c r="AW37">
        <v>0</v>
      </c>
      <c r="AX37">
        <v>0</v>
      </c>
      <c r="AY37">
        <v>0</v>
      </c>
      <c r="AZ37">
        <v>0</v>
      </c>
      <c r="BA37">
        <v>0</v>
      </c>
      <c r="BB37">
        <v>0</v>
      </c>
      <c r="BC37">
        <v>20</v>
      </c>
      <c r="BD37">
        <v>20</v>
      </c>
      <c r="BE37">
        <v>20</v>
      </c>
      <c r="BF37">
        <v>20</v>
      </c>
      <c r="BG37">
        <v>20</v>
      </c>
      <c r="BH37">
        <v>2.5000000000000001E-2</v>
      </c>
      <c r="BL37">
        <v>2.5000000000000001E-2</v>
      </c>
      <c r="BN37">
        <v>1</v>
      </c>
      <c r="BO37" t="s">
        <v>1212</v>
      </c>
      <c r="BP37">
        <v>1</v>
      </c>
      <c r="BQ37" s="774">
        <v>4</v>
      </c>
      <c r="BR37" t="s">
        <v>605</v>
      </c>
      <c r="BS37" t="s">
        <v>1213</v>
      </c>
      <c r="BT37">
        <v>0</v>
      </c>
      <c r="BU37" t="s">
        <v>611</v>
      </c>
      <c r="BV37">
        <v>0.1</v>
      </c>
      <c r="BW37" t="s">
        <v>610</v>
      </c>
      <c r="BX37">
        <v>0</v>
      </c>
      <c r="BY37" t="s">
        <v>1213</v>
      </c>
      <c r="BZ37" t="s">
        <v>1452</v>
      </c>
    </row>
    <row r="38" spans="1:79" x14ac:dyDescent="0.2">
      <c r="A38" t="s">
        <v>1080</v>
      </c>
      <c r="B38" t="s">
        <v>1453</v>
      </c>
      <c r="C38" t="s">
        <v>1077</v>
      </c>
      <c r="D38" t="s">
        <v>458</v>
      </c>
      <c r="E38" t="s">
        <v>1428</v>
      </c>
      <c r="F38" t="s">
        <v>1366</v>
      </c>
      <c r="G38" t="s">
        <v>1454</v>
      </c>
      <c r="H38" t="s">
        <v>1455</v>
      </c>
      <c r="I38" t="s">
        <v>1456</v>
      </c>
      <c r="J38" t="s">
        <v>1207</v>
      </c>
      <c r="K38" t="s">
        <v>1208</v>
      </c>
      <c r="N38" t="s">
        <v>1377</v>
      </c>
      <c r="O38" t="s">
        <v>264</v>
      </c>
      <c r="P38" t="s">
        <v>1457</v>
      </c>
      <c r="Q38">
        <v>0</v>
      </c>
      <c r="R38" t="s">
        <v>1251</v>
      </c>
      <c r="S38">
        <v>58</v>
      </c>
      <c r="X38">
        <v>67</v>
      </c>
      <c r="AF38" t="s">
        <v>605</v>
      </c>
      <c r="AH38">
        <v>0</v>
      </c>
      <c r="AM38" t="s">
        <v>605</v>
      </c>
      <c r="AR38">
        <v>58</v>
      </c>
      <c r="AW38">
        <v>67</v>
      </c>
      <c r="BB38">
        <v>67</v>
      </c>
      <c r="BG38">
        <v>75</v>
      </c>
      <c r="BH38">
        <v>0.373</v>
      </c>
      <c r="BL38">
        <v>0.373</v>
      </c>
      <c r="BN38">
        <v>5</v>
      </c>
      <c r="BO38" t="s">
        <v>1333</v>
      </c>
      <c r="BP38">
        <v>71</v>
      </c>
      <c r="BQ38" s="774">
        <v>71</v>
      </c>
      <c r="BR38" t="s">
        <v>1213</v>
      </c>
      <c r="BS38" t="s">
        <v>1213</v>
      </c>
      <c r="BT38">
        <v>0</v>
      </c>
      <c r="BU38" t="s">
        <v>1213</v>
      </c>
      <c r="BV38">
        <v>0</v>
      </c>
      <c r="BW38" t="s">
        <v>610</v>
      </c>
      <c r="BX38">
        <v>0</v>
      </c>
      <c r="BY38" t="s">
        <v>1213</v>
      </c>
      <c r="BZ38" t="s">
        <v>1458</v>
      </c>
    </row>
    <row r="39" spans="1:79" x14ac:dyDescent="0.2">
      <c r="A39" t="s">
        <v>1080</v>
      </c>
      <c r="B39" t="s">
        <v>1459</v>
      </c>
      <c r="C39" t="s">
        <v>1077</v>
      </c>
      <c r="D39" t="s">
        <v>458</v>
      </c>
      <c r="E39" t="s">
        <v>1428</v>
      </c>
      <c r="F39" t="s">
        <v>1366</v>
      </c>
      <c r="G39" t="s">
        <v>1460</v>
      </c>
      <c r="H39" t="s">
        <v>1461</v>
      </c>
      <c r="I39" t="s">
        <v>1462</v>
      </c>
      <c r="J39" t="s">
        <v>1241</v>
      </c>
      <c r="N39" t="s">
        <v>1370</v>
      </c>
      <c r="O39" t="s">
        <v>264</v>
      </c>
      <c r="P39" t="s">
        <v>1371</v>
      </c>
      <c r="Q39">
        <v>0</v>
      </c>
      <c r="R39" t="s">
        <v>1251</v>
      </c>
      <c r="S39">
        <v>49</v>
      </c>
      <c r="X39">
        <v>50</v>
      </c>
      <c r="AF39" t="s">
        <v>605</v>
      </c>
      <c r="AH39">
        <v>0</v>
      </c>
      <c r="BP39">
        <v>49</v>
      </c>
      <c r="BQ39" s="774">
        <v>98.85</v>
      </c>
      <c r="BR39" t="s">
        <v>1213</v>
      </c>
      <c r="BS39" t="s">
        <v>1213</v>
      </c>
      <c r="BT39">
        <v>0</v>
      </c>
      <c r="BU39" t="s">
        <v>1213</v>
      </c>
      <c r="BV39">
        <v>0</v>
      </c>
      <c r="BW39" t="s">
        <v>1213</v>
      </c>
      <c r="BX39">
        <v>0</v>
      </c>
      <c r="BY39" t="s">
        <v>1213</v>
      </c>
      <c r="BZ39" t="s">
        <v>1463</v>
      </c>
    </row>
    <row r="40" spans="1:79" x14ac:dyDescent="0.2">
      <c r="A40" t="s">
        <v>1080</v>
      </c>
      <c r="B40" t="s">
        <v>1464</v>
      </c>
      <c r="C40" t="s">
        <v>1077</v>
      </c>
      <c r="D40" t="s">
        <v>458</v>
      </c>
      <c r="E40" t="s">
        <v>1428</v>
      </c>
      <c r="F40" t="s">
        <v>1366</v>
      </c>
      <c r="G40" t="s">
        <v>1465</v>
      </c>
      <c r="H40" t="s">
        <v>1466</v>
      </c>
      <c r="I40" t="s">
        <v>1467</v>
      </c>
      <c r="J40" t="s">
        <v>1207</v>
      </c>
      <c r="K40" t="s">
        <v>1208</v>
      </c>
      <c r="N40" t="s">
        <v>1468</v>
      </c>
      <c r="O40" t="s">
        <v>272</v>
      </c>
      <c r="P40" t="s">
        <v>1469</v>
      </c>
      <c r="Q40">
        <v>0</v>
      </c>
      <c r="R40" t="s">
        <v>1211</v>
      </c>
      <c r="S40">
        <v>408</v>
      </c>
      <c r="T40">
        <v>371</v>
      </c>
      <c r="U40">
        <v>335</v>
      </c>
      <c r="V40">
        <v>298</v>
      </c>
      <c r="W40">
        <v>298</v>
      </c>
      <c r="X40">
        <v>298</v>
      </c>
      <c r="AB40" t="s">
        <v>605</v>
      </c>
      <c r="AE40" t="s">
        <v>605</v>
      </c>
      <c r="AH40">
        <v>0</v>
      </c>
      <c r="AI40" t="s">
        <v>605</v>
      </c>
      <c r="AJ40" t="s">
        <v>605</v>
      </c>
      <c r="AK40" t="s">
        <v>605</v>
      </c>
      <c r="AL40" t="s">
        <v>605</v>
      </c>
      <c r="AM40" t="s">
        <v>605</v>
      </c>
      <c r="AN40">
        <v>505</v>
      </c>
      <c r="AO40">
        <v>505</v>
      </c>
      <c r="AP40">
        <v>505</v>
      </c>
      <c r="AQ40">
        <v>505</v>
      </c>
      <c r="AR40">
        <v>505</v>
      </c>
      <c r="AS40">
        <v>408</v>
      </c>
      <c r="AT40">
        <v>408</v>
      </c>
      <c r="AU40">
        <v>298</v>
      </c>
      <c r="AV40">
        <v>298</v>
      </c>
      <c r="AW40">
        <v>298</v>
      </c>
      <c r="AX40">
        <v>298</v>
      </c>
      <c r="AY40">
        <v>298</v>
      </c>
      <c r="AZ40">
        <v>298</v>
      </c>
      <c r="BA40">
        <v>298</v>
      </c>
      <c r="BB40">
        <v>298</v>
      </c>
      <c r="BC40">
        <v>140</v>
      </c>
      <c r="BD40">
        <v>140</v>
      </c>
      <c r="BE40">
        <v>140</v>
      </c>
      <c r="BF40">
        <v>140</v>
      </c>
      <c r="BG40">
        <v>140</v>
      </c>
      <c r="BH40">
        <v>2.8500000000000001E-2</v>
      </c>
      <c r="BL40">
        <v>2.8500000000000001E-2</v>
      </c>
      <c r="BN40">
        <v>1</v>
      </c>
      <c r="BO40" t="s">
        <v>1212</v>
      </c>
      <c r="BP40">
        <v>390</v>
      </c>
      <c r="BQ40" s="774">
        <v>144</v>
      </c>
      <c r="BR40" t="s">
        <v>605</v>
      </c>
      <c r="BS40" t="s">
        <v>1213</v>
      </c>
      <c r="BT40">
        <v>0</v>
      </c>
      <c r="BU40" t="s">
        <v>611</v>
      </c>
      <c r="BV40">
        <v>4.3890000000000002</v>
      </c>
      <c r="BW40" t="s">
        <v>610</v>
      </c>
      <c r="BX40">
        <v>0</v>
      </c>
      <c r="BY40" t="s">
        <v>1174</v>
      </c>
      <c r="BZ40" t="s">
        <v>1470</v>
      </c>
    </row>
    <row r="41" spans="1:79" x14ac:dyDescent="0.2">
      <c r="A41" t="s">
        <v>1080</v>
      </c>
      <c r="B41" t="s">
        <v>1471</v>
      </c>
      <c r="C41" t="s">
        <v>1077</v>
      </c>
      <c r="D41" t="s">
        <v>458</v>
      </c>
      <c r="E41" t="s">
        <v>1428</v>
      </c>
      <c r="F41" t="s">
        <v>1366</v>
      </c>
      <c r="G41" t="s">
        <v>1472</v>
      </c>
      <c r="H41" t="s">
        <v>1473</v>
      </c>
      <c r="I41" t="s">
        <v>1474</v>
      </c>
      <c r="J41" t="s">
        <v>1219</v>
      </c>
      <c r="K41" t="s">
        <v>1208</v>
      </c>
      <c r="N41" t="s">
        <v>1377</v>
      </c>
      <c r="O41" t="s">
        <v>272</v>
      </c>
      <c r="P41" t="s">
        <v>1378</v>
      </c>
      <c r="Q41">
        <v>0</v>
      </c>
      <c r="R41" t="s">
        <v>1251</v>
      </c>
      <c r="S41">
        <v>0</v>
      </c>
      <c r="X41">
        <v>76</v>
      </c>
      <c r="AF41" t="s">
        <v>605</v>
      </c>
      <c r="AH41">
        <v>0</v>
      </c>
      <c r="AM41" t="s">
        <v>605</v>
      </c>
      <c r="AR41">
        <v>0</v>
      </c>
      <c r="AW41">
        <v>76</v>
      </c>
      <c r="BH41">
        <v>0.62</v>
      </c>
      <c r="BN41">
        <v>1</v>
      </c>
      <c r="BO41" t="s">
        <v>1212</v>
      </c>
      <c r="BP41">
        <v>0</v>
      </c>
      <c r="BQ41" s="774">
        <v>0</v>
      </c>
      <c r="BR41" t="s">
        <v>1213</v>
      </c>
      <c r="BS41" t="s">
        <v>1213</v>
      </c>
      <c r="BT41">
        <v>0</v>
      </c>
      <c r="BU41" t="s">
        <v>1213</v>
      </c>
      <c r="BV41">
        <v>0</v>
      </c>
      <c r="BW41" t="s">
        <v>607</v>
      </c>
      <c r="BX41">
        <v>0</v>
      </c>
      <c r="BY41" t="s">
        <v>1213</v>
      </c>
      <c r="BZ41" t="s">
        <v>1475</v>
      </c>
    </row>
    <row r="42" spans="1:79" x14ac:dyDescent="0.2">
      <c r="A42" t="s">
        <v>1080</v>
      </c>
      <c r="B42" t="s">
        <v>1476</v>
      </c>
      <c r="C42" t="s">
        <v>1077</v>
      </c>
      <c r="D42" t="s">
        <v>458</v>
      </c>
      <c r="E42" t="s">
        <v>1428</v>
      </c>
      <c r="F42" t="s">
        <v>1382</v>
      </c>
      <c r="G42" t="s">
        <v>1477</v>
      </c>
      <c r="H42" t="s">
        <v>1478</v>
      </c>
      <c r="I42" t="s">
        <v>1479</v>
      </c>
      <c r="J42" t="s">
        <v>1241</v>
      </c>
      <c r="N42" t="s">
        <v>1386</v>
      </c>
      <c r="O42" t="s">
        <v>264</v>
      </c>
      <c r="P42" t="s">
        <v>1387</v>
      </c>
      <c r="Q42">
        <v>0</v>
      </c>
      <c r="R42" t="s">
        <v>1251</v>
      </c>
      <c r="S42">
        <v>0</v>
      </c>
      <c r="X42">
        <v>7</v>
      </c>
      <c r="AH42">
        <v>0</v>
      </c>
      <c r="BP42">
        <v>0</v>
      </c>
      <c r="BQ42" s="774">
        <v>5</v>
      </c>
      <c r="BR42" t="s">
        <v>1213</v>
      </c>
      <c r="BS42" t="s">
        <v>1213</v>
      </c>
      <c r="BT42">
        <v>0</v>
      </c>
      <c r="BU42" t="s">
        <v>1213</v>
      </c>
      <c r="BV42">
        <v>0</v>
      </c>
      <c r="BW42" t="s">
        <v>1213</v>
      </c>
      <c r="BX42">
        <v>0</v>
      </c>
      <c r="BY42" t="s">
        <v>1213</v>
      </c>
      <c r="BZ42" t="s">
        <v>1480</v>
      </c>
    </row>
    <row r="43" spans="1:79" x14ac:dyDescent="0.2">
      <c r="A43" t="s">
        <v>1080</v>
      </c>
      <c r="B43" t="s">
        <v>1481</v>
      </c>
      <c r="C43" t="s">
        <v>1077</v>
      </c>
      <c r="D43" t="s">
        <v>458</v>
      </c>
      <c r="E43" t="s">
        <v>1428</v>
      </c>
      <c r="F43" t="s">
        <v>1382</v>
      </c>
      <c r="G43" t="s">
        <v>1482</v>
      </c>
      <c r="H43" t="s">
        <v>1483</v>
      </c>
      <c r="I43" t="s">
        <v>1484</v>
      </c>
      <c r="J43" t="s">
        <v>1241</v>
      </c>
      <c r="N43" t="s">
        <v>1386</v>
      </c>
      <c r="O43" t="s">
        <v>264</v>
      </c>
      <c r="P43" t="s">
        <v>1393</v>
      </c>
      <c r="Q43">
        <v>0</v>
      </c>
      <c r="R43" t="s">
        <v>1251</v>
      </c>
      <c r="S43">
        <v>50</v>
      </c>
      <c r="X43">
        <v>60</v>
      </c>
      <c r="AH43">
        <v>0</v>
      </c>
      <c r="BP43">
        <v>54</v>
      </c>
      <c r="BQ43" s="774">
        <v>53</v>
      </c>
      <c r="BR43" t="s">
        <v>1213</v>
      </c>
      <c r="BS43" t="s">
        <v>1213</v>
      </c>
      <c r="BT43">
        <v>0</v>
      </c>
      <c r="BU43" t="s">
        <v>1213</v>
      </c>
      <c r="BV43">
        <v>0</v>
      </c>
      <c r="BW43" t="s">
        <v>1213</v>
      </c>
      <c r="BX43">
        <v>0</v>
      </c>
      <c r="BY43" t="s">
        <v>1213</v>
      </c>
      <c r="BZ43" t="s">
        <v>1485</v>
      </c>
    </row>
    <row r="44" spans="1:79" x14ac:dyDescent="0.2">
      <c r="A44" t="s">
        <v>1080</v>
      </c>
      <c r="B44" t="s">
        <v>1486</v>
      </c>
      <c r="C44" t="s">
        <v>1077</v>
      </c>
      <c r="D44" t="s">
        <v>458</v>
      </c>
      <c r="E44" t="s">
        <v>1428</v>
      </c>
      <c r="F44" t="s">
        <v>1396</v>
      </c>
      <c r="G44" t="s">
        <v>1487</v>
      </c>
      <c r="H44" t="s">
        <v>1488</v>
      </c>
      <c r="I44" t="s">
        <v>1489</v>
      </c>
      <c r="J44" t="s">
        <v>1241</v>
      </c>
      <c r="N44" t="s">
        <v>1400</v>
      </c>
      <c r="O44" t="s">
        <v>264</v>
      </c>
      <c r="P44" t="s">
        <v>1401</v>
      </c>
      <c r="Q44" t="s">
        <v>1212</v>
      </c>
      <c r="R44" t="s">
        <v>1251</v>
      </c>
      <c r="S44" t="s">
        <v>1242</v>
      </c>
      <c r="X44" t="s">
        <v>1402</v>
      </c>
      <c r="AH44">
        <v>0</v>
      </c>
      <c r="BP44" t="s">
        <v>1403</v>
      </c>
      <c r="BQ44" s="776">
        <v>56</v>
      </c>
      <c r="BR44" t="s">
        <v>1213</v>
      </c>
      <c r="BS44" t="s">
        <v>1213</v>
      </c>
      <c r="BT44">
        <v>0</v>
      </c>
      <c r="BU44" t="s">
        <v>1213</v>
      </c>
      <c r="BV44">
        <v>0</v>
      </c>
      <c r="BW44" t="s">
        <v>1213</v>
      </c>
      <c r="BX44">
        <v>0</v>
      </c>
      <c r="BY44" t="s">
        <v>1213</v>
      </c>
      <c r="BZ44" t="s">
        <v>1490</v>
      </c>
    </row>
    <row r="45" spans="1:79" x14ac:dyDescent="0.2">
      <c r="A45" t="s">
        <v>1080</v>
      </c>
      <c r="B45" t="s">
        <v>1491</v>
      </c>
      <c r="C45" t="s">
        <v>1077</v>
      </c>
      <c r="D45" t="s">
        <v>458</v>
      </c>
      <c r="E45" t="s">
        <v>1428</v>
      </c>
      <c r="F45" t="s">
        <v>1406</v>
      </c>
      <c r="G45" t="s">
        <v>1492</v>
      </c>
      <c r="H45" t="s">
        <v>1493</v>
      </c>
      <c r="I45" t="s">
        <v>1494</v>
      </c>
      <c r="J45" t="s">
        <v>1219</v>
      </c>
      <c r="K45" t="s">
        <v>1208</v>
      </c>
      <c r="M45" t="s">
        <v>606</v>
      </c>
      <c r="N45" t="s">
        <v>1495</v>
      </c>
      <c r="O45" t="s">
        <v>1410</v>
      </c>
      <c r="P45" t="s">
        <v>1411</v>
      </c>
      <c r="Q45" t="s">
        <v>1212</v>
      </c>
      <c r="S45" t="s">
        <v>612</v>
      </c>
      <c r="T45" t="s">
        <v>1412</v>
      </c>
      <c r="U45" t="s">
        <v>1412</v>
      </c>
      <c r="V45" t="s">
        <v>1412</v>
      </c>
      <c r="W45" t="s">
        <v>1412</v>
      </c>
      <c r="X45" t="s">
        <v>1412</v>
      </c>
      <c r="AE45" t="s">
        <v>605</v>
      </c>
      <c r="AH45">
        <v>4</v>
      </c>
      <c r="AI45" t="s">
        <v>605</v>
      </c>
      <c r="AJ45" t="s">
        <v>605</v>
      </c>
      <c r="AK45" t="s">
        <v>605</v>
      </c>
      <c r="AL45" t="s">
        <v>605</v>
      </c>
      <c r="AM45" t="s">
        <v>605</v>
      </c>
      <c r="BN45">
        <v>1</v>
      </c>
      <c r="BO45" t="s">
        <v>1212</v>
      </c>
      <c r="BP45" t="s">
        <v>612</v>
      </c>
      <c r="BQ45" s="776" t="s">
        <v>1412</v>
      </c>
      <c r="BR45" t="s">
        <v>605</v>
      </c>
      <c r="BS45" t="s">
        <v>1213</v>
      </c>
      <c r="BT45">
        <v>0</v>
      </c>
      <c r="BU45" t="s">
        <v>1213</v>
      </c>
      <c r="BV45">
        <v>0</v>
      </c>
      <c r="BW45" t="s">
        <v>1213</v>
      </c>
      <c r="BX45">
        <v>0</v>
      </c>
      <c r="BY45" t="s">
        <v>1213</v>
      </c>
      <c r="BZ45" t="s">
        <v>1496</v>
      </c>
      <c r="CA45" t="s">
        <v>1497</v>
      </c>
    </row>
    <row r="46" spans="1:79" x14ac:dyDescent="0.2">
      <c r="A46" t="s">
        <v>1080</v>
      </c>
      <c r="B46" t="s">
        <v>1498</v>
      </c>
      <c r="C46" t="s">
        <v>1077</v>
      </c>
      <c r="D46" t="s">
        <v>458</v>
      </c>
      <c r="E46" t="s">
        <v>1428</v>
      </c>
      <c r="F46" t="s">
        <v>1406</v>
      </c>
      <c r="G46" t="s">
        <v>1499</v>
      </c>
      <c r="H46" t="s">
        <v>1500</v>
      </c>
      <c r="I46" t="s">
        <v>1501</v>
      </c>
      <c r="J46" t="s">
        <v>1219</v>
      </c>
      <c r="K46" t="s">
        <v>1208</v>
      </c>
      <c r="M46" t="s">
        <v>606</v>
      </c>
      <c r="N46" t="s">
        <v>1495</v>
      </c>
      <c r="O46" t="s">
        <v>1410</v>
      </c>
      <c r="P46" t="s">
        <v>1411</v>
      </c>
      <c r="Q46" t="s">
        <v>1212</v>
      </c>
      <c r="S46" t="s">
        <v>612</v>
      </c>
      <c r="T46" t="s">
        <v>1412</v>
      </c>
      <c r="U46" t="s">
        <v>1412</v>
      </c>
      <c r="V46" t="s">
        <v>1412</v>
      </c>
      <c r="W46" t="s">
        <v>1412</v>
      </c>
      <c r="X46" t="s">
        <v>1412</v>
      </c>
      <c r="AE46" t="s">
        <v>605</v>
      </c>
      <c r="AH46">
        <v>2</v>
      </c>
      <c r="AI46" t="s">
        <v>605</v>
      </c>
      <c r="AJ46" t="s">
        <v>605</v>
      </c>
      <c r="AK46" t="s">
        <v>605</v>
      </c>
      <c r="AL46" t="s">
        <v>605</v>
      </c>
      <c r="AM46" t="s">
        <v>605</v>
      </c>
      <c r="BN46">
        <v>1</v>
      </c>
      <c r="BO46" t="s">
        <v>1212</v>
      </c>
      <c r="BP46" t="s">
        <v>612</v>
      </c>
      <c r="BQ46" s="776" t="s">
        <v>1412</v>
      </c>
      <c r="BR46" t="s">
        <v>605</v>
      </c>
      <c r="BS46" t="s">
        <v>1213</v>
      </c>
      <c r="BT46">
        <v>0</v>
      </c>
      <c r="BU46" t="s">
        <v>1213</v>
      </c>
      <c r="BV46">
        <v>0</v>
      </c>
      <c r="BW46" t="s">
        <v>1213</v>
      </c>
      <c r="BX46">
        <v>0</v>
      </c>
      <c r="BY46" t="s">
        <v>1213</v>
      </c>
      <c r="BZ46" t="s">
        <v>1502</v>
      </c>
      <c r="CA46" t="s">
        <v>1503</v>
      </c>
    </row>
    <row r="47" spans="1:79" ht="19.5" x14ac:dyDescent="0.2">
      <c r="A47" t="s">
        <v>1080</v>
      </c>
      <c r="B47" t="s">
        <v>1504</v>
      </c>
      <c r="C47" t="s">
        <v>1077</v>
      </c>
      <c r="D47" t="s">
        <v>1288</v>
      </c>
      <c r="E47" t="s">
        <v>1289</v>
      </c>
      <c r="F47" t="s">
        <v>1306</v>
      </c>
      <c r="G47" t="s">
        <v>1291</v>
      </c>
      <c r="H47" t="s">
        <v>1505</v>
      </c>
      <c r="I47" t="s">
        <v>1506</v>
      </c>
      <c r="J47" t="s">
        <v>1241</v>
      </c>
      <c r="N47" t="s">
        <v>1294</v>
      </c>
      <c r="O47" t="s">
        <v>1507</v>
      </c>
      <c r="P47" t="s">
        <v>1508</v>
      </c>
      <c r="Q47" t="s">
        <v>1212</v>
      </c>
      <c r="S47" t="s">
        <v>1509</v>
      </c>
      <c r="T47" t="s">
        <v>1509</v>
      </c>
      <c r="U47" t="s">
        <v>1509</v>
      </c>
      <c r="V47" t="s">
        <v>1509</v>
      </c>
      <c r="W47" t="s">
        <v>1509</v>
      </c>
      <c r="X47" t="s">
        <v>1509</v>
      </c>
      <c r="AH47">
        <v>0</v>
      </c>
      <c r="BP47" t="s">
        <v>952</v>
      </c>
      <c r="BQ47" s="777" t="s">
        <v>1510</v>
      </c>
      <c r="BR47" t="s">
        <v>605</v>
      </c>
      <c r="BS47" t="s">
        <v>1213</v>
      </c>
      <c r="BT47">
        <v>0</v>
      </c>
      <c r="BU47" t="s">
        <v>1213</v>
      </c>
      <c r="BV47">
        <v>0</v>
      </c>
      <c r="BW47" t="s">
        <v>1213</v>
      </c>
      <c r="BX47">
        <v>0</v>
      </c>
      <c r="BY47" t="s">
        <v>1213</v>
      </c>
      <c r="BZ47" t="s">
        <v>1511</v>
      </c>
    </row>
    <row r="48" spans="1:79" x14ac:dyDescent="0.2">
      <c r="A48" t="s">
        <v>1080</v>
      </c>
      <c r="B48" t="s">
        <v>1512</v>
      </c>
      <c r="C48" t="s">
        <v>1077</v>
      </c>
      <c r="D48" t="s">
        <v>1288</v>
      </c>
      <c r="E48" t="s">
        <v>1289</v>
      </c>
      <c r="F48" t="s">
        <v>1306</v>
      </c>
      <c r="G48" t="s">
        <v>1300</v>
      </c>
      <c r="H48" t="s">
        <v>1513</v>
      </c>
      <c r="I48" t="s">
        <v>1514</v>
      </c>
      <c r="J48" t="s">
        <v>1207</v>
      </c>
      <c r="K48" t="s">
        <v>1208</v>
      </c>
      <c r="M48" t="s">
        <v>606</v>
      </c>
      <c r="N48" t="s">
        <v>1294</v>
      </c>
      <c r="O48" t="s">
        <v>665</v>
      </c>
      <c r="P48" t="s">
        <v>1295</v>
      </c>
      <c r="Q48">
        <v>0</v>
      </c>
      <c r="R48" t="s">
        <v>1251</v>
      </c>
      <c r="S48">
        <v>85</v>
      </c>
      <c r="T48" t="s">
        <v>1296</v>
      </c>
      <c r="U48" t="s">
        <v>1296</v>
      </c>
      <c r="V48" t="s">
        <v>1296</v>
      </c>
      <c r="W48" t="s">
        <v>1296</v>
      </c>
      <c r="X48" t="s">
        <v>1296</v>
      </c>
      <c r="AH48">
        <v>0</v>
      </c>
      <c r="AI48" t="s">
        <v>605</v>
      </c>
      <c r="AJ48" t="s">
        <v>605</v>
      </c>
      <c r="AK48" t="s">
        <v>605</v>
      </c>
      <c r="AL48" t="s">
        <v>605</v>
      </c>
      <c r="AM48" t="s">
        <v>605</v>
      </c>
      <c r="AN48" t="s">
        <v>1296</v>
      </c>
      <c r="AO48" t="s">
        <v>1296</v>
      </c>
      <c r="AP48" t="s">
        <v>1296</v>
      </c>
      <c r="AQ48" t="s">
        <v>1296</v>
      </c>
      <c r="AR48" t="s">
        <v>1296</v>
      </c>
      <c r="AS48" t="s">
        <v>1296</v>
      </c>
      <c r="AT48" t="s">
        <v>1296</v>
      </c>
      <c r="AU48" t="s">
        <v>1296</v>
      </c>
      <c r="AV48" t="s">
        <v>1296</v>
      </c>
      <c r="AW48" t="s">
        <v>1296</v>
      </c>
      <c r="AX48" t="s">
        <v>1296</v>
      </c>
      <c r="AY48" t="s">
        <v>1296</v>
      </c>
      <c r="AZ48" t="s">
        <v>1296</v>
      </c>
      <c r="BA48" t="s">
        <v>1296</v>
      </c>
      <c r="BB48" t="s">
        <v>1296</v>
      </c>
      <c r="BC48" t="s">
        <v>1296</v>
      </c>
      <c r="BD48" t="s">
        <v>1296</v>
      </c>
      <c r="BE48" t="s">
        <v>1296</v>
      </c>
      <c r="BF48" t="s">
        <v>1296</v>
      </c>
      <c r="BG48" t="s">
        <v>1296</v>
      </c>
      <c r="BH48" t="s">
        <v>1296</v>
      </c>
      <c r="BL48" t="s">
        <v>1296</v>
      </c>
      <c r="BN48">
        <v>1</v>
      </c>
      <c r="BO48" t="s">
        <v>1212</v>
      </c>
      <c r="BP48" t="s">
        <v>952</v>
      </c>
      <c r="BQ48" s="776">
        <v>85</v>
      </c>
      <c r="BR48" t="s">
        <v>1213</v>
      </c>
      <c r="BS48" t="s">
        <v>1213</v>
      </c>
      <c r="BT48">
        <v>0</v>
      </c>
      <c r="BU48" t="s">
        <v>1213</v>
      </c>
      <c r="BV48">
        <v>0</v>
      </c>
      <c r="BW48" t="s">
        <v>610</v>
      </c>
      <c r="BX48">
        <v>0</v>
      </c>
      <c r="BY48" t="s">
        <v>1213</v>
      </c>
      <c r="BZ48" t="s">
        <v>1515</v>
      </c>
      <c r="CA48" t="s">
        <v>1298</v>
      </c>
    </row>
    <row r="49" spans="1:79" x14ac:dyDescent="0.2">
      <c r="A49" t="s">
        <v>1080</v>
      </c>
      <c r="B49" t="s">
        <v>1516</v>
      </c>
      <c r="C49" t="s">
        <v>1077</v>
      </c>
      <c r="D49" t="s">
        <v>1288</v>
      </c>
      <c r="E49" t="s">
        <v>1289</v>
      </c>
      <c r="F49" t="s">
        <v>1306</v>
      </c>
      <c r="G49" t="s">
        <v>1517</v>
      </c>
      <c r="H49" t="s">
        <v>1518</v>
      </c>
      <c r="I49" t="s">
        <v>1519</v>
      </c>
      <c r="J49" t="s">
        <v>1241</v>
      </c>
      <c r="N49" t="s">
        <v>1400</v>
      </c>
      <c r="O49" t="s">
        <v>1242</v>
      </c>
      <c r="P49" t="s">
        <v>1520</v>
      </c>
      <c r="Q49" t="s">
        <v>1242</v>
      </c>
      <c r="S49" t="s">
        <v>1242</v>
      </c>
      <c r="X49" t="s">
        <v>1521</v>
      </c>
      <c r="AH49">
        <v>0</v>
      </c>
      <c r="BP49" t="s">
        <v>1522</v>
      </c>
      <c r="BQ49" s="778" t="s">
        <v>1523</v>
      </c>
      <c r="BR49" t="s">
        <v>1213</v>
      </c>
      <c r="BS49" t="s">
        <v>1213</v>
      </c>
      <c r="BT49">
        <v>0</v>
      </c>
      <c r="BU49" t="s">
        <v>1213</v>
      </c>
      <c r="BV49">
        <v>0</v>
      </c>
      <c r="BW49" t="s">
        <v>1213</v>
      </c>
      <c r="BX49">
        <v>0</v>
      </c>
      <c r="BY49" t="s">
        <v>1213</v>
      </c>
      <c r="BZ49" t="s">
        <v>1524</v>
      </c>
    </row>
    <row r="50" spans="1:79" x14ac:dyDescent="0.2">
      <c r="A50" t="s">
        <v>1080</v>
      </c>
      <c r="B50" t="s">
        <v>1525</v>
      </c>
      <c r="C50" t="s">
        <v>1077</v>
      </c>
      <c r="D50" t="s">
        <v>1288</v>
      </c>
      <c r="E50" t="s">
        <v>1289</v>
      </c>
      <c r="F50" t="s">
        <v>1322</v>
      </c>
      <c r="G50" t="s">
        <v>1526</v>
      </c>
      <c r="H50" t="s">
        <v>1527</v>
      </c>
      <c r="I50" t="s">
        <v>1528</v>
      </c>
      <c r="J50" t="s">
        <v>1207</v>
      </c>
      <c r="K50" t="s">
        <v>1208</v>
      </c>
      <c r="N50" t="s">
        <v>1303</v>
      </c>
      <c r="O50" t="s">
        <v>264</v>
      </c>
      <c r="P50" t="s">
        <v>1325</v>
      </c>
      <c r="Q50">
        <v>0</v>
      </c>
      <c r="R50" t="s">
        <v>1251</v>
      </c>
      <c r="S50">
        <v>0</v>
      </c>
      <c r="T50">
        <v>0</v>
      </c>
      <c r="U50">
        <v>0</v>
      </c>
      <c r="V50">
        <v>0</v>
      </c>
      <c r="W50">
        <v>0</v>
      </c>
      <c r="X50">
        <v>0</v>
      </c>
      <c r="AH50">
        <v>0</v>
      </c>
      <c r="AI50" t="s">
        <v>605</v>
      </c>
      <c r="AJ50" t="s">
        <v>605</v>
      </c>
      <c r="AK50" t="s">
        <v>605</v>
      </c>
      <c r="AL50" t="s">
        <v>605</v>
      </c>
      <c r="AM50" t="s">
        <v>605</v>
      </c>
      <c r="AN50">
        <v>-20</v>
      </c>
      <c r="AO50">
        <v>-20</v>
      </c>
      <c r="AP50">
        <v>-20</v>
      </c>
      <c r="AQ50">
        <v>-20</v>
      </c>
      <c r="AR50">
        <v>-20</v>
      </c>
      <c r="AS50">
        <v>0</v>
      </c>
      <c r="AT50">
        <v>0</v>
      </c>
      <c r="AU50">
        <v>0</v>
      </c>
      <c r="AV50">
        <v>0</v>
      </c>
      <c r="AW50">
        <v>0</v>
      </c>
      <c r="AX50">
        <v>0</v>
      </c>
      <c r="AY50">
        <v>0</v>
      </c>
      <c r="AZ50">
        <v>0</v>
      </c>
      <c r="BA50">
        <v>0</v>
      </c>
      <c r="BB50">
        <v>0</v>
      </c>
      <c r="BC50">
        <v>20</v>
      </c>
      <c r="BD50">
        <v>20</v>
      </c>
      <c r="BE50">
        <v>20</v>
      </c>
      <c r="BF50">
        <v>20</v>
      </c>
      <c r="BG50">
        <v>20</v>
      </c>
      <c r="BH50">
        <v>2.5000000000000001E-2</v>
      </c>
      <c r="BL50">
        <v>2.5000000000000001E-2</v>
      </c>
      <c r="BN50">
        <v>1</v>
      </c>
      <c r="BO50" t="s">
        <v>1212</v>
      </c>
      <c r="BP50">
        <v>3</v>
      </c>
      <c r="BQ50" s="774">
        <v>5</v>
      </c>
      <c r="BR50" t="s">
        <v>605</v>
      </c>
      <c r="BS50" t="s">
        <v>1213</v>
      </c>
      <c r="BT50">
        <v>0</v>
      </c>
      <c r="BU50" t="s">
        <v>611</v>
      </c>
      <c r="BV50">
        <v>0.125</v>
      </c>
      <c r="BW50" t="s">
        <v>610</v>
      </c>
      <c r="BX50">
        <v>0</v>
      </c>
      <c r="BY50" t="s">
        <v>1213</v>
      </c>
      <c r="BZ50" t="s">
        <v>1529</v>
      </c>
    </row>
    <row r="51" spans="1:79" x14ac:dyDescent="0.2">
      <c r="A51" t="s">
        <v>1080</v>
      </c>
      <c r="B51" t="s">
        <v>1530</v>
      </c>
      <c r="C51" t="s">
        <v>1077</v>
      </c>
      <c r="D51" t="s">
        <v>1288</v>
      </c>
      <c r="E51" t="s">
        <v>1289</v>
      </c>
      <c r="F51" t="s">
        <v>1322</v>
      </c>
      <c r="G51" t="s">
        <v>1531</v>
      </c>
      <c r="H51" t="s">
        <v>1532</v>
      </c>
      <c r="I51" t="s">
        <v>1533</v>
      </c>
      <c r="J51" t="s">
        <v>1207</v>
      </c>
      <c r="K51" t="s">
        <v>1208</v>
      </c>
      <c r="N51" t="s">
        <v>1303</v>
      </c>
      <c r="O51" t="s">
        <v>264</v>
      </c>
      <c r="P51" t="s">
        <v>1325</v>
      </c>
      <c r="Q51">
        <v>0</v>
      </c>
      <c r="R51" t="s">
        <v>1251</v>
      </c>
      <c r="S51">
        <v>0</v>
      </c>
      <c r="T51">
        <v>0</v>
      </c>
      <c r="U51">
        <v>0</v>
      </c>
      <c r="V51">
        <v>0</v>
      </c>
      <c r="W51">
        <v>0</v>
      </c>
      <c r="X51">
        <v>0</v>
      </c>
      <c r="AH51">
        <v>0</v>
      </c>
      <c r="AI51" t="s">
        <v>605</v>
      </c>
      <c r="AJ51" t="s">
        <v>605</v>
      </c>
      <c r="AK51" t="s">
        <v>605</v>
      </c>
      <c r="AL51" t="s">
        <v>605</v>
      </c>
      <c r="AM51" t="s">
        <v>605</v>
      </c>
      <c r="AN51">
        <v>-20</v>
      </c>
      <c r="AO51">
        <v>-20</v>
      </c>
      <c r="AP51">
        <v>-20</v>
      </c>
      <c r="AQ51">
        <v>-20</v>
      </c>
      <c r="AR51">
        <v>-20</v>
      </c>
      <c r="AS51">
        <v>0</v>
      </c>
      <c r="AT51">
        <v>0</v>
      </c>
      <c r="AU51">
        <v>0</v>
      </c>
      <c r="AV51">
        <v>0</v>
      </c>
      <c r="AW51">
        <v>0</v>
      </c>
      <c r="AX51">
        <v>0</v>
      </c>
      <c r="AY51">
        <v>0</v>
      </c>
      <c r="AZ51">
        <v>0</v>
      </c>
      <c r="BA51">
        <v>0</v>
      </c>
      <c r="BB51">
        <v>0</v>
      </c>
      <c r="BC51">
        <v>20</v>
      </c>
      <c r="BD51">
        <v>20</v>
      </c>
      <c r="BE51">
        <v>20</v>
      </c>
      <c r="BF51">
        <v>20</v>
      </c>
      <c r="BG51">
        <v>20</v>
      </c>
      <c r="BH51">
        <v>2.5000000000000001E-2</v>
      </c>
      <c r="BL51">
        <v>2.5000000000000001E-2</v>
      </c>
      <c r="BN51">
        <v>1</v>
      </c>
      <c r="BO51" t="s">
        <v>1212</v>
      </c>
      <c r="BP51">
        <v>3</v>
      </c>
      <c r="BQ51" s="774">
        <v>6</v>
      </c>
      <c r="BR51" t="s">
        <v>605</v>
      </c>
      <c r="BS51" t="s">
        <v>1213</v>
      </c>
      <c r="BT51">
        <v>0</v>
      </c>
      <c r="BU51" t="s">
        <v>611</v>
      </c>
      <c r="BV51">
        <v>0.15</v>
      </c>
      <c r="BW51" t="s">
        <v>610</v>
      </c>
      <c r="BX51">
        <v>0</v>
      </c>
      <c r="BY51" t="s">
        <v>1213</v>
      </c>
      <c r="BZ51" t="s">
        <v>1534</v>
      </c>
    </row>
    <row r="52" spans="1:79" x14ac:dyDescent="0.2">
      <c r="A52" t="s">
        <v>1080</v>
      </c>
      <c r="B52" t="s">
        <v>1535</v>
      </c>
      <c r="C52" t="s">
        <v>1077</v>
      </c>
      <c r="D52" t="s">
        <v>1288</v>
      </c>
      <c r="E52" t="s">
        <v>1289</v>
      </c>
      <c r="F52" t="s">
        <v>1382</v>
      </c>
      <c r="G52" t="s">
        <v>1536</v>
      </c>
      <c r="H52" t="s">
        <v>1537</v>
      </c>
      <c r="I52" t="s">
        <v>1538</v>
      </c>
      <c r="J52" t="s">
        <v>1241</v>
      </c>
      <c r="N52" t="s">
        <v>1386</v>
      </c>
      <c r="O52" t="s">
        <v>264</v>
      </c>
      <c r="P52" t="s">
        <v>1387</v>
      </c>
      <c r="Q52">
        <v>0</v>
      </c>
      <c r="R52" t="s">
        <v>1251</v>
      </c>
      <c r="S52">
        <v>0</v>
      </c>
      <c r="X52">
        <v>7</v>
      </c>
      <c r="AH52">
        <v>0</v>
      </c>
      <c r="BP52">
        <v>0</v>
      </c>
      <c r="BQ52" s="774">
        <v>5</v>
      </c>
      <c r="BR52" t="s">
        <v>1213</v>
      </c>
      <c r="BS52" t="s">
        <v>1213</v>
      </c>
      <c r="BT52">
        <v>0</v>
      </c>
      <c r="BU52" t="s">
        <v>1213</v>
      </c>
      <c r="BV52">
        <v>0</v>
      </c>
      <c r="BW52" t="s">
        <v>1213</v>
      </c>
      <c r="BX52">
        <v>0</v>
      </c>
      <c r="BY52" t="s">
        <v>1213</v>
      </c>
      <c r="BZ52" t="s">
        <v>1539</v>
      </c>
    </row>
    <row r="53" spans="1:79" x14ac:dyDescent="0.2">
      <c r="A53" t="s">
        <v>1080</v>
      </c>
      <c r="B53" t="s">
        <v>1540</v>
      </c>
      <c r="C53" t="s">
        <v>1077</v>
      </c>
      <c r="D53" t="s">
        <v>1288</v>
      </c>
      <c r="E53" t="s">
        <v>1289</v>
      </c>
      <c r="F53" t="s">
        <v>1382</v>
      </c>
      <c r="G53" t="s">
        <v>1541</v>
      </c>
      <c r="H53" t="s">
        <v>1542</v>
      </c>
      <c r="I53" t="s">
        <v>1543</v>
      </c>
      <c r="J53" t="s">
        <v>1241</v>
      </c>
      <c r="N53" t="s">
        <v>1386</v>
      </c>
      <c r="O53" t="s">
        <v>264</v>
      </c>
      <c r="P53" t="s">
        <v>1393</v>
      </c>
      <c r="Q53">
        <v>0</v>
      </c>
      <c r="R53" t="s">
        <v>1251</v>
      </c>
      <c r="S53">
        <v>50</v>
      </c>
      <c r="X53">
        <v>60</v>
      </c>
      <c r="AH53">
        <v>0</v>
      </c>
      <c r="BP53">
        <v>54</v>
      </c>
      <c r="BQ53" s="774">
        <v>53</v>
      </c>
      <c r="BR53" t="s">
        <v>1213</v>
      </c>
      <c r="BS53" t="s">
        <v>1213</v>
      </c>
      <c r="BT53">
        <v>0</v>
      </c>
      <c r="BU53" t="s">
        <v>1213</v>
      </c>
      <c r="BV53">
        <v>0</v>
      </c>
      <c r="BW53" t="s">
        <v>1213</v>
      </c>
      <c r="BX53">
        <v>0</v>
      </c>
      <c r="BY53" t="s">
        <v>1213</v>
      </c>
      <c r="BZ53" t="s">
        <v>1544</v>
      </c>
    </row>
    <row r="54" spans="1:79" x14ac:dyDescent="0.2">
      <c r="A54" t="s">
        <v>1080</v>
      </c>
      <c r="B54" t="s">
        <v>1545</v>
      </c>
      <c r="C54" t="s">
        <v>1077</v>
      </c>
      <c r="D54" t="s">
        <v>1288</v>
      </c>
      <c r="E54" t="s">
        <v>1289</v>
      </c>
      <c r="F54" t="s">
        <v>1396</v>
      </c>
      <c r="G54" t="s">
        <v>1546</v>
      </c>
      <c r="H54" t="s">
        <v>1547</v>
      </c>
      <c r="I54" t="s">
        <v>1548</v>
      </c>
      <c r="J54" t="s">
        <v>1241</v>
      </c>
      <c r="N54" t="s">
        <v>1400</v>
      </c>
      <c r="O54" t="s">
        <v>264</v>
      </c>
      <c r="P54" t="s">
        <v>1401</v>
      </c>
      <c r="Q54" t="s">
        <v>1212</v>
      </c>
      <c r="R54" t="s">
        <v>1251</v>
      </c>
      <c r="S54" t="s">
        <v>1242</v>
      </c>
      <c r="T54" t="s">
        <v>1242</v>
      </c>
      <c r="U54" t="s">
        <v>1549</v>
      </c>
      <c r="V54" t="s">
        <v>1549</v>
      </c>
      <c r="W54" t="s">
        <v>1549</v>
      </c>
      <c r="X54" t="s">
        <v>1402</v>
      </c>
      <c r="AH54">
        <v>0</v>
      </c>
      <c r="BP54" t="s">
        <v>1403</v>
      </c>
      <c r="BQ54" s="776">
        <v>56</v>
      </c>
      <c r="BR54" t="s">
        <v>1213</v>
      </c>
      <c r="BS54" t="s">
        <v>1213</v>
      </c>
      <c r="BT54">
        <v>0</v>
      </c>
      <c r="BU54" t="s">
        <v>1213</v>
      </c>
      <c r="BV54">
        <v>0</v>
      </c>
      <c r="BW54" t="s">
        <v>1213</v>
      </c>
      <c r="BX54">
        <v>0</v>
      </c>
      <c r="BY54" t="s">
        <v>1213</v>
      </c>
      <c r="BZ54" t="s">
        <v>1550</v>
      </c>
    </row>
    <row r="55" spans="1:79" x14ac:dyDescent="0.2">
      <c r="A55" t="s">
        <v>1551</v>
      </c>
      <c r="B55" t="s">
        <v>1552</v>
      </c>
      <c r="C55" t="s">
        <v>1112</v>
      </c>
      <c r="D55" t="s">
        <v>457</v>
      </c>
      <c r="E55" t="s">
        <v>1202</v>
      </c>
      <c r="F55" t="s">
        <v>1553</v>
      </c>
      <c r="G55" t="s">
        <v>1554</v>
      </c>
      <c r="H55" t="s">
        <v>1555</v>
      </c>
      <c r="I55" t="s">
        <v>1556</v>
      </c>
      <c r="J55" t="s">
        <v>1207</v>
      </c>
      <c r="K55" t="s">
        <v>1208</v>
      </c>
      <c r="N55" t="s">
        <v>1265</v>
      </c>
      <c r="O55" t="s">
        <v>1309</v>
      </c>
      <c r="P55" t="s">
        <v>1310</v>
      </c>
      <c r="Q55">
        <v>2</v>
      </c>
      <c r="R55" t="s">
        <v>1211</v>
      </c>
      <c r="S55">
        <v>13.7</v>
      </c>
      <c r="T55">
        <v>13.4</v>
      </c>
      <c r="U55">
        <v>13.1</v>
      </c>
      <c r="V55">
        <v>12.8</v>
      </c>
      <c r="W55">
        <v>12.5</v>
      </c>
      <c r="X55">
        <v>12.2</v>
      </c>
      <c r="AA55" t="s">
        <v>605</v>
      </c>
      <c r="AE55" t="s">
        <v>605</v>
      </c>
      <c r="AH55">
        <v>0</v>
      </c>
      <c r="AI55" t="s">
        <v>605</v>
      </c>
      <c r="AJ55" t="s">
        <v>605</v>
      </c>
      <c r="AK55" t="s">
        <v>605</v>
      </c>
      <c r="AL55" t="s">
        <v>605</v>
      </c>
      <c r="AM55" t="s">
        <v>605</v>
      </c>
      <c r="AN55">
        <v>15.4</v>
      </c>
      <c r="AO55">
        <v>15.1</v>
      </c>
      <c r="AP55">
        <v>14.8</v>
      </c>
      <c r="AQ55">
        <v>14.5</v>
      </c>
      <c r="AR55">
        <v>14.2</v>
      </c>
      <c r="AS55">
        <v>14.4</v>
      </c>
      <c r="AT55">
        <v>14.1</v>
      </c>
      <c r="AU55">
        <v>13.8</v>
      </c>
      <c r="AV55">
        <v>13.5</v>
      </c>
      <c r="AW55">
        <v>13.2</v>
      </c>
      <c r="AX55">
        <v>10.199999999999999</v>
      </c>
      <c r="AY55">
        <v>10.199999999999999</v>
      </c>
      <c r="AZ55">
        <v>10.199999999999999</v>
      </c>
      <c r="BA55">
        <v>10.199999999999999</v>
      </c>
      <c r="BB55">
        <v>10.199999999999999</v>
      </c>
      <c r="BC55">
        <v>8.9</v>
      </c>
      <c r="BD55">
        <v>8.9</v>
      </c>
      <c r="BE55">
        <v>8.9</v>
      </c>
      <c r="BF55">
        <v>8.9</v>
      </c>
      <c r="BG55">
        <v>8.9</v>
      </c>
      <c r="BH55">
        <v>0.7389</v>
      </c>
      <c r="BL55">
        <v>0.50970000000000004</v>
      </c>
      <c r="BN55">
        <v>1</v>
      </c>
      <c r="BO55" t="s">
        <v>1212</v>
      </c>
      <c r="BP55">
        <v>152.4</v>
      </c>
      <c r="BQ55" s="775">
        <v>15.49</v>
      </c>
      <c r="BR55" t="s">
        <v>606</v>
      </c>
      <c r="BS55" t="s">
        <v>1213</v>
      </c>
      <c r="BT55">
        <v>0</v>
      </c>
      <c r="BU55" t="s">
        <v>1107</v>
      </c>
      <c r="BV55">
        <v>-0.7389</v>
      </c>
      <c r="BW55" t="s">
        <v>1107</v>
      </c>
      <c r="BX55">
        <v>-0.73899999999999999</v>
      </c>
      <c r="BY55" t="s">
        <v>1173</v>
      </c>
      <c r="BZ55" t="s">
        <v>1557</v>
      </c>
      <c r="CA55" t="s">
        <v>1558</v>
      </c>
    </row>
    <row r="56" spans="1:79" x14ac:dyDescent="0.2">
      <c r="A56" t="s">
        <v>1551</v>
      </c>
      <c r="B56" t="s">
        <v>1559</v>
      </c>
      <c r="C56" t="s">
        <v>1112</v>
      </c>
      <c r="D56" t="s">
        <v>457</v>
      </c>
      <c r="E56" t="s">
        <v>1202</v>
      </c>
      <c r="F56" t="s">
        <v>1553</v>
      </c>
      <c r="G56" t="s">
        <v>1560</v>
      </c>
      <c r="H56" t="s">
        <v>1561</v>
      </c>
      <c r="I56" t="s">
        <v>1562</v>
      </c>
      <c r="J56" t="s">
        <v>1219</v>
      </c>
      <c r="K56" t="s">
        <v>1563</v>
      </c>
      <c r="M56" t="s">
        <v>606</v>
      </c>
      <c r="N56" t="s">
        <v>1272</v>
      </c>
      <c r="O56" t="s">
        <v>1410</v>
      </c>
      <c r="P56" t="s">
        <v>1564</v>
      </c>
      <c r="Q56" t="s">
        <v>1212</v>
      </c>
      <c r="S56" t="s">
        <v>612</v>
      </c>
      <c r="T56" t="s">
        <v>612</v>
      </c>
      <c r="U56" t="s">
        <v>612</v>
      </c>
      <c r="V56" t="s">
        <v>612</v>
      </c>
      <c r="W56" t="s">
        <v>612</v>
      </c>
      <c r="X56" t="s">
        <v>612</v>
      </c>
      <c r="AE56" t="s">
        <v>605</v>
      </c>
      <c r="AH56">
        <v>2</v>
      </c>
      <c r="AI56" t="s">
        <v>605</v>
      </c>
      <c r="AJ56" t="s">
        <v>605</v>
      </c>
      <c r="AK56" t="s">
        <v>605</v>
      </c>
      <c r="AL56" t="s">
        <v>605</v>
      </c>
      <c r="AM56" t="s">
        <v>605</v>
      </c>
      <c r="AN56" t="s">
        <v>1565</v>
      </c>
      <c r="AO56" t="s">
        <v>1565</v>
      </c>
      <c r="AP56" t="s">
        <v>1565</v>
      </c>
      <c r="AQ56" t="s">
        <v>1565</v>
      </c>
      <c r="AR56" t="s">
        <v>1565</v>
      </c>
      <c r="AS56" t="s">
        <v>1566</v>
      </c>
      <c r="AT56" t="s">
        <v>1566</v>
      </c>
      <c r="AU56" t="s">
        <v>1566</v>
      </c>
      <c r="AV56" t="s">
        <v>1566</v>
      </c>
      <c r="AW56" t="s">
        <v>1566</v>
      </c>
      <c r="BH56">
        <v>2.0539999999999998</v>
      </c>
      <c r="BI56">
        <v>0.68500000000000005</v>
      </c>
      <c r="BN56">
        <v>1</v>
      </c>
      <c r="BO56" t="s">
        <v>1212</v>
      </c>
      <c r="BP56" t="s">
        <v>612</v>
      </c>
      <c r="BQ56" s="776" t="s">
        <v>612</v>
      </c>
      <c r="BR56" t="s">
        <v>605</v>
      </c>
      <c r="BS56" t="s">
        <v>1213</v>
      </c>
      <c r="BT56">
        <v>0</v>
      </c>
      <c r="BU56" t="s">
        <v>1213</v>
      </c>
      <c r="BV56">
        <v>0</v>
      </c>
      <c r="BW56" t="s">
        <v>1213</v>
      </c>
      <c r="BX56">
        <v>0</v>
      </c>
      <c r="BY56" t="s">
        <v>1213</v>
      </c>
      <c r="BZ56" t="s">
        <v>1567</v>
      </c>
    </row>
    <row r="57" spans="1:79" x14ac:dyDescent="0.2">
      <c r="A57" t="s">
        <v>1551</v>
      </c>
      <c r="B57" t="s">
        <v>1568</v>
      </c>
      <c r="C57" t="s">
        <v>1112</v>
      </c>
      <c r="D57" t="s">
        <v>457</v>
      </c>
      <c r="E57" t="s">
        <v>1202</v>
      </c>
      <c r="F57" t="s">
        <v>1553</v>
      </c>
      <c r="G57" t="s">
        <v>1569</v>
      </c>
      <c r="H57" t="s">
        <v>1570</v>
      </c>
      <c r="I57" t="s">
        <v>1571</v>
      </c>
      <c r="J57" t="s">
        <v>1219</v>
      </c>
      <c r="K57" t="s">
        <v>1563</v>
      </c>
      <c r="M57" t="s">
        <v>606</v>
      </c>
      <c r="N57" t="s">
        <v>1272</v>
      </c>
      <c r="O57" t="s">
        <v>1410</v>
      </c>
      <c r="P57" t="s">
        <v>1564</v>
      </c>
      <c r="Q57" t="s">
        <v>1212</v>
      </c>
      <c r="S57" t="s">
        <v>612</v>
      </c>
      <c r="T57" t="s">
        <v>612</v>
      </c>
      <c r="U57" t="s">
        <v>612</v>
      </c>
      <c r="V57" t="s">
        <v>612</v>
      </c>
      <c r="W57" t="s">
        <v>612</v>
      </c>
      <c r="X57" t="s">
        <v>612</v>
      </c>
      <c r="AE57" t="s">
        <v>605</v>
      </c>
      <c r="AH57">
        <v>2</v>
      </c>
      <c r="AI57" t="s">
        <v>605</v>
      </c>
      <c r="AJ57" t="s">
        <v>605</v>
      </c>
      <c r="AK57" t="s">
        <v>605</v>
      </c>
      <c r="AL57" t="s">
        <v>605</v>
      </c>
      <c r="AM57" t="s">
        <v>605</v>
      </c>
      <c r="AN57" t="s">
        <v>1565</v>
      </c>
      <c r="AO57" t="s">
        <v>1565</v>
      </c>
      <c r="AP57" t="s">
        <v>1565</v>
      </c>
      <c r="AQ57" t="s">
        <v>1565</v>
      </c>
      <c r="AR57" t="s">
        <v>1565</v>
      </c>
      <c r="AS57" t="s">
        <v>1566</v>
      </c>
      <c r="AT57" t="s">
        <v>1566</v>
      </c>
      <c r="AU57" t="s">
        <v>1566</v>
      </c>
      <c r="AV57" t="s">
        <v>1566</v>
      </c>
      <c r="AW57" t="s">
        <v>1566</v>
      </c>
      <c r="BH57">
        <v>2.1190000000000002</v>
      </c>
      <c r="BI57">
        <v>0.70599999999999996</v>
      </c>
      <c r="BN57">
        <v>1</v>
      </c>
      <c r="BO57" t="s">
        <v>1212</v>
      </c>
      <c r="BP57" t="s">
        <v>612</v>
      </c>
      <c r="BQ57" s="776" t="s">
        <v>612</v>
      </c>
      <c r="BR57" t="s">
        <v>605</v>
      </c>
      <c r="BS57" t="s">
        <v>1213</v>
      </c>
      <c r="BT57">
        <v>0</v>
      </c>
      <c r="BU57" t="s">
        <v>1213</v>
      </c>
      <c r="BV57">
        <v>0</v>
      </c>
      <c r="BW57" t="s">
        <v>1213</v>
      </c>
      <c r="BX57">
        <v>0</v>
      </c>
      <c r="BY57" t="s">
        <v>1213</v>
      </c>
      <c r="BZ57" t="s">
        <v>1572</v>
      </c>
    </row>
    <row r="58" spans="1:79" x14ac:dyDescent="0.2">
      <c r="A58" t="s">
        <v>1551</v>
      </c>
      <c r="B58" t="s">
        <v>1573</v>
      </c>
      <c r="C58" t="s">
        <v>1112</v>
      </c>
      <c r="D58" t="s">
        <v>457</v>
      </c>
      <c r="E58" t="s">
        <v>1202</v>
      </c>
      <c r="F58" t="s">
        <v>1574</v>
      </c>
      <c r="G58" t="s">
        <v>1575</v>
      </c>
      <c r="H58" t="s">
        <v>1576</v>
      </c>
      <c r="I58" t="s">
        <v>1577</v>
      </c>
      <c r="J58" t="s">
        <v>1207</v>
      </c>
      <c r="K58" t="s">
        <v>1208</v>
      </c>
      <c r="N58" t="s">
        <v>1331</v>
      </c>
      <c r="O58" t="s">
        <v>272</v>
      </c>
      <c r="P58" t="s">
        <v>1578</v>
      </c>
      <c r="Q58">
        <v>0</v>
      </c>
      <c r="R58" t="s">
        <v>1211</v>
      </c>
      <c r="S58">
        <v>288589</v>
      </c>
      <c r="T58">
        <v>288589</v>
      </c>
      <c r="U58">
        <v>288589</v>
      </c>
      <c r="V58">
        <v>9063</v>
      </c>
      <c r="W58">
        <v>9063</v>
      </c>
      <c r="X58">
        <v>9063</v>
      </c>
      <c r="AD58" t="s">
        <v>605</v>
      </c>
      <c r="AE58" t="s">
        <v>605</v>
      </c>
      <c r="AH58">
        <v>0</v>
      </c>
      <c r="AI58" t="s">
        <v>605</v>
      </c>
      <c r="AJ58" t="s">
        <v>605</v>
      </c>
      <c r="AK58" t="s">
        <v>605</v>
      </c>
      <c r="AL58" t="s">
        <v>605</v>
      </c>
      <c r="AM58" t="s">
        <v>605</v>
      </c>
      <c r="AN58">
        <v>308589</v>
      </c>
      <c r="AO58">
        <v>308589</v>
      </c>
      <c r="AP58">
        <v>69063</v>
      </c>
      <c r="AQ58">
        <v>69063</v>
      </c>
      <c r="AR58">
        <v>69063</v>
      </c>
      <c r="AS58">
        <v>288589</v>
      </c>
      <c r="AT58">
        <v>288589</v>
      </c>
      <c r="AU58">
        <v>9063</v>
      </c>
      <c r="AV58">
        <v>9063</v>
      </c>
      <c r="AW58">
        <v>9063</v>
      </c>
      <c r="AX58">
        <v>288589</v>
      </c>
      <c r="AY58">
        <v>288589</v>
      </c>
      <c r="AZ58">
        <v>9063</v>
      </c>
      <c r="BA58">
        <v>9063</v>
      </c>
      <c r="BB58">
        <v>9063</v>
      </c>
      <c r="BC58">
        <v>268589</v>
      </c>
      <c r="BD58">
        <v>268589</v>
      </c>
      <c r="BE58">
        <v>0</v>
      </c>
      <c r="BF58">
        <v>0</v>
      </c>
      <c r="BG58">
        <v>0</v>
      </c>
      <c r="BH58">
        <v>4.0599999999999998E-5</v>
      </c>
      <c r="BL58">
        <v>2.1209999999999999E-5</v>
      </c>
      <c r="BN58">
        <v>1</v>
      </c>
      <c r="BO58" t="s">
        <v>1212</v>
      </c>
      <c r="BP58">
        <v>288589</v>
      </c>
      <c r="BQ58" s="774">
        <v>288589</v>
      </c>
      <c r="BR58" t="s">
        <v>605</v>
      </c>
      <c r="BS58" t="s">
        <v>1213</v>
      </c>
      <c r="BT58">
        <v>0</v>
      </c>
      <c r="BU58" t="s">
        <v>1213</v>
      </c>
      <c r="BV58">
        <v>0</v>
      </c>
      <c r="BW58" t="s">
        <v>1213</v>
      </c>
      <c r="BX58">
        <v>0</v>
      </c>
      <c r="BY58" t="s">
        <v>1213</v>
      </c>
      <c r="BZ58" t="s">
        <v>1579</v>
      </c>
    </row>
    <row r="59" spans="1:79" x14ac:dyDescent="0.2">
      <c r="A59" t="s">
        <v>1551</v>
      </c>
      <c r="B59" t="s">
        <v>1580</v>
      </c>
      <c r="C59" t="s">
        <v>1112</v>
      </c>
      <c r="D59" t="s">
        <v>457</v>
      </c>
      <c r="E59" t="s">
        <v>1202</v>
      </c>
      <c r="F59" t="s">
        <v>1581</v>
      </c>
      <c r="G59" t="s">
        <v>1582</v>
      </c>
      <c r="H59" t="s">
        <v>1583</v>
      </c>
      <c r="I59" t="s">
        <v>1584</v>
      </c>
      <c r="J59" t="s">
        <v>1241</v>
      </c>
      <c r="N59" t="s">
        <v>1228</v>
      </c>
      <c r="O59" t="s">
        <v>665</v>
      </c>
      <c r="P59" t="s">
        <v>1346</v>
      </c>
      <c r="Q59">
        <v>0</v>
      </c>
      <c r="R59" t="s">
        <v>1251</v>
      </c>
      <c r="S59">
        <v>100</v>
      </c>
      <c r="T59">
        <v>100</v>
      </c>
      <c r="U59">
        <v>100</v>
      </c>
      <c r="V59">
        <v>100</v>
      </c>
      <c r="W59">
        <v>100</v>
      </c>
      <c r="X59">
        <v>100</v>
      </c>
      <c r="AH59">
        <v>0</v>
      </c>
      <c r="BP59">
        <v>100</v>
      </c>
      <c r="BQ59" s="774">
        <v>100</v>
      </c>
      <c r="BR59" t="s">
        <v>605</v>
      </c>
      <c r="BS59" t="s">
        <v>1213</v>
      </c>
      <c r="BT59">
        <v>0</v>
      </c>
      <c r="BU59" t="s">
        <v>1213</v>
      </c>
      <c r="BV59">
        <v>0</v>
      </c>
      <c r="BW59" t="s">
        <v>1213</v>
      </c>
      <c r="BX59">
        <v>0</v>
      </c>
      <c r="BY59" t="s">
        <v>1213</v>
      </c>
      <c r="BZ59" t="s">
        <v>1585</v>
      </c>
    </row>
    <row r="60" spans="1:79" x14ac:dyDescent="0.2">
      <c r="A60" t="s">
        <v>1551</v>
      </c>
      <c r="B60" t="s">
        <v>1586</v>
      </c>
      <c r="C60" t="s">
        <v>1112</v>
      </c>
      <c r="D60" t="s">
        <v>457</v>
      </c>
      <c r="E60" t="s">
        <v>1202</v>
      </c>
      <c r="F60" t="s">
        <v>1581</v>
      </c>
      <c r="G60" t="s">
        <v>1587</v>
      </c>
      <c r="H60" t="s">
        <v>1588</v>
      </c>
      <c r="I60" t="s">
        <v>1589</v>
      </c>
      <c r="J60" t="s">
        <v>1219</v>
      </c>
      <c r="K60" t="s">
        <v>1208</v>
      </c>
      <c r="N60" t="s">
        <v>1338</v>
      </c>
      <c r="O60" t="s">
        <v>272</v>
      </c>
      <c r="P60" t="s">
        <v>1590</v>
      </c>
      <c r="Q60">
        <v>1</v>
      </c>
      <c r="R60" t="s">
        <v>1211</v>
      </c>
      <c r="S60">
        <v>0</v>
      </c>
      <c r="T60">
        <v>10.199999999999999</v>
      </c>
      <c r="U60">
        <v>10.199999999999999</v>
      </c>
      <c r="V60">
        <v>10.199999999999999</v>
      </c>
      <c r="W60">
        <v>10.199999999999999</v>
      </c>
      <c r="X60">
        <v>10.199999999999999</v>
      </c>
      <c r="AH60">
        <v>0</v>
      </c>
      <c r="AI60" t="s">
        <v>605</v>
      </c>
      <c r="AJ60" t="s">
        <v>605</v>
      </c>
      <c r="AK60" t="s">
        <v>605</v>
      </c>
      <c r="AL60" t="s">
        <v>605</v>
      </c>
      <c r="AM60" t="s">
        <v>605</v>
      </c>
      <c r="AN60">
        <v>15.2</v>
      </c>
      <c r="AO60">
        <v>15.2</v>
      </c>
      <c r="AP60">
        <v>15.2</v>
      </c>
      <c r="AQ60">
        <v>15.2</v>
      </c>
      <c r="AR60">
        <v>15.2</v>
      </c>
      <c r="AS60">
        <v>10.199999999999999</v>
      </c>
      <c r="AT60">
        <v>10.199999999999999</v>
      </c>
      <c r="AU60">
        <v>10.199999999999999</v>
      </c>
      <c r="AV60">
        <v>10.199999999999999</v>
      </c>
      <c r="AW60">
        <v>10.199999999999999</v>
      </c>
      <c r="BH60">
        <v>4.2999999999999997E-2</v>
      </c>
      <c r="BN60">
        <v>1</v>
      </c>
      <c r="BO60" t="s">
        <v>1212</v>
      </c>
      <c r="BP60">
        <v>10.199999999999999</v>
      </c>
      <c r="BQ60" s="779">
        <v>1.54</v>
      </c>
      <c r="BR60" t="s">
        <v>605</v>
      </c>
      <c r="BS60" t="s">
        <v>1213</v>
      </c>
      <c r="BT60">
        <v>0</v>
      </c>
      <c r="BU60" t="s">
        <v>1213</v>
      </c>
      <c r="BV60">
        <v>0</v>
      </c>
      <c r="BW60" t="s">
        <v>1213</v>
      </c>
      <c r="BX60">
        <v>0</v>
      </c>
      <c r="BY60" t="s">
        <v>1213</v>
      </c>
      <c r="BZ60" t="s">
        <v>1591</v>
      </c>
      <c r="CA60" t="s">
        <v>1592</v>
      </c>
    </row>
    <row r="61" spans="1:79" x14ac:dyDescent="0.2">
      <c r="A61" t="s">
        <v>1551</v>
      </c>
      <c r="B61" t="s">
        <v>1593</v>
      </c>
      <c r="C61" t="s">
        <v>1112</v>
      </c>
      <c r="D61" t="s">
        <v>457</v>
      </c>
      <c r="E61" t="s">
        <v>1202</v>
      </c>
      <c r="F61" t="s">
        <v>1594</v>
      </c>
      <c r="G61" t="s">
        <v>1595</v>
      </c>
      <c r="H61" t="s">
        <v>1596</v>
      </c>
      <c r="I61" t="s">
        <v>1597</v>
      </c>
      <c r="J61" t="s">
        <v>1219</v>
      </c>
      <c r="K61" t="s">
        <v>1208</v>
      </c>
      <c r="N61" t="s">
        <v>1249</v>
      </c>
      <c r="O61" t="s">
        <v>264</v>
      </c>
      <c r="P61" t="s">
        <v>1250</v>
      </c>
      <c r="Q61">
        <v>2</v>
      </c>
      <c r="R61" t="s">
        <v>1251</v>
      </c>
      <c r="S61">
        <v>99.96</v>
      </c>
      <c r="T61">
        <v>99.96</v>
      </c>
      <c r="U61">
        <v>99.96</v>
      </c>
      <c r="V61">
        <v>100</v>
      </c>
      <c r="W61">
        <v>100</v>
      </c>
      <c r="X61">
        <v>100</v>
      </c>
      <c r="Y61" t="s">
        <v>605</v>
      </c>
      <c r="AE61" t="s">
        <v>605</v>
      </c>
      <c r="AH61">
        <v>0</v>
      </c>
      <c r="AI61" t="s">
        <v>605</v>
      </c>
      <c r="AJ61" t="s">
        <v>605</v>
      </c>
      <c r="AK61" t="s">
        <v>605</v>
      </c>
      <c r="AL61" t="s">
        <v>605</v>
      </c>
      <c r="AM61" t="s">
        <v>605</v>
      </c>
      <c r="AN61">
        <v>99.94</v>
      </c>
      <c r="AO61">
        <v>99.94</v>
      </c>
      <c r="AP61">
        <v>99.94</v>
      </c>
      <c r="AQ61">
        <v>99.94</v>
      </c>
      <c r="AR61">
        <v>99.94</v>
      </c>
      <c r="AS61">
        <v>99.95</v>
      </c>
      <c r="AT61">
        <v>99.95</v>
      </c>
      <c r="AU61">
        <v>99.95</v>
      </c>
      <c r="AV61">
        <v>99.95</v>
      </c>
      <c r="AW61">
        <v>99.95</v>
      </c>
      <c r="BH61">
        <v>0.28399999999999997</v>
      </c>
      <c r="BN61">
        <v>100</v>
      </c>
      <c r="BO61" t="s">
        <v>1598</v>
      </c>
      <c r="BP61">
        <v>99.92</v>
      </c>
      <c r="BQ61" s="775">
        <v>99.93</v>
      </c>
      <c r="BR61" t="s">
        <v>606</v>
      </c>
      <c r="BS61" t="s">
        <v>1213</v>
      </c>
      <c r="BT61">
        <v>0</v>
      </c>
      <c r="BU61" t="s">
        <v>1107</v>
      </c>
      <c r="BV61">
        <v>-0.28399999999999997</v>
      </c>
      <c r="BW61" t="s">
        <v>1107</v>
      </c>
      <c r="BX61">
        <v>-0.28399999999999997</v>
      </c>
      <c r="BY61" t="s">
        <v>1171</v>
      </c>
      <c r="BZ61" t="s">
        <v>1599</v>
      </c>
      <c r="CA61" t="s">
        <v>1600</v>
      </c>
    </row>
    <row r="62" spans="1:79" x14ac:dyDescent="0.2">
      <c r="A62" t="s">
        <v>1551</v>
      </c>
      <c r="B62" t="s">
        <v>1601</v>
      </c>
      <c r="C62" t="s">
        <v>1112</v>
      </c>
      <c r="D62" t="s">
        <v>457</v>
      </c>
      <c r="E62" t="s">
        <v>1202</v>
      </c>
      <c r="F62" t="s">
        <v>1602</v>
      </c>
      <c r="G62" t="s">
        <v>1603</v>
      </c>
      <c r="H62" t="s">
        <v>1604</v>
      </c>
      <c r="I62" t="s">
        <v>1605</v>
      </c>
      <c r="J62" t="s">
        <v>1207</v>
      </c>
      <c r="K62" t="s">
        <v>1208</v>
      </c>
      <c r="N62" t="s">
        <v>1172</v>
      </c>
      <c r="O62" t="s">
        <v>272</v>
      </c>
      <c r="P62" t="s">
        <v>1606</v>
      </c>
      <c r="Q62">
        <v>0</v>
      </c>
      <c r="R62" t="s">
        <v>1211</v>
      </c>
      <c r="S62">
        <v>2450</v>
      </c>
      <c r="T62">
        <v>2422</v>
      </c>
      <c r="U62">
        <v>2409</v>
      </c>
      <c r="V62">
        <v>2322</v>
      </c>
      <c r="W62">
        <v>2275</v>
      </c>
      <c r="X62">
        <v>2221</v>
      </c>
      <c r="Z62" t="s">
        <v>605</v>
      </c>
      <c r="AE62" t="s">
        <v>605</v>
      </c>
      <c r="AH62">
        <v>0</v>
      </c>
      <c r="AI62" t="s">
        <v>605</v>
      </c>
      <c r="AJ62" t="s">
        <v>605</v>
      </c>
      <c r="AK62" t="s">
        <v>605</v>
      </c>
      <c r="AL62" t="s">
        <v>605</v>
      </c>
      <c r="AM62" t="s">
        <v>605</v>
      </c>
      <c r="AN62">
        <v>2477</v>
      </c>
      <c r="AO62">
        <v>2464</v>
      </c>
      <c r="AP62">
        <v>2377</v>
      </c>
      <c r="AQ62">
        <v>2330</v>
      </c>
      <c r="AR62">
        <v>2276</v>
      </c>
      <c r="AS62">
        <v>2422</v>
      </c>
      <c r="AT62">
        <v>2409</v>
      </c>
      <c r="AU62">
        <v>2322</v>
      </c>
      <c r="AV62">
        <v>2275</v>
      </c>
      <c r="AW62">
        <v>2221</v>
      </c>
      <c r="AX62">
        <v>1439</v>
      </c>
      <c r="AY62">
        <v>1439</v>
      </c>
      <c r="AZ62">
        <v>1439</v>
      </c>
      <c r="BA62">
        <v>1439</v>
      </c>
      <c r="BB62">
        <v>1439</v>
      </c>
      <c r="BC62">
        <v>1276</v>
      </c>
      <c r="BD62">
        <v>1276</v>
      </c>
      <c r="BE62">
        <v>1276</v>
      </c>
      <c r="BF62">
        <v>1276</v>
      </c>
      <c r="BG62">
        <v>1276</v>
      </c>
      <c r="BH62">
        <v>5.8950000000000001E-3</v>
      </c>
      <c r="BL62">
        <v>1.23E-3</v>
      </c>
      <c r="BN62">
        <v>1</v>
      </c>
      <c r="BO62" t="s">
        <v>1212</v>
      </c>
      <c r="BP62">
        <v>2576</v>
      </c>
      <c r="BQ62" s="774">
        <v>2329</v>
      </c>
      <c r="BR62" t="s">
        <v>605</v>
      </c>
      <c r="BS62" t="s">
        <v>1213</v>
      </c>
      <c r="BT62">
        <v>0</v>
      </c>
      <c r="BU62" t="s">
        <v>610</v>
      </c>
      <c r="BV62">
        <v>0</v>
      </c>
      <c r="BW62" t="s">
        <v>610</v>
      </c>
      <c r="BX62">
        <v>0</v>
      </c>
      <c r="BY62" t="s">
        <v>1172</v>
      </c>
      <c r="BZ62" t="s">
        <v>1607</v>
      </c>
      <c r="CA62" t="s">
        <v>1600</v>
      </c>
    </row>
    <row r="63" spans="1:79" x14ac:dyDescent="0.2">
      <c r="A63" t="s">
        <v>1551</v>
      </c>
      <c r="B63" t="s">
        <v>1608</v>
      </c>
      <c r="C63" t="s">
        <v>1112</v>
      </c>
      <c r="D63" t="s">
        <v>457</v>
      </c>
      <c r="E63" t="s">
        <v>1202</v>
      </c>
      <c r="F63" t="s">
        <v>1609</v>
      </c>
      <c r="G63" t="s">
        <v>1610</v>
      </c>
      <c r="H63" t="s">
        <v>1611</v>
      </c>
      <c r="I63" t="s">
        <v>1612</v>
      </c>
      <c r="J63" t="s">
        <v>1207</v>
      </c>
      <c r="K63" t="s">
        <v>1208</v>
      </c>
      <c r="N63" t="s">
        <v>1209</v>
      </c>
      <c r="O63" t="s">
        <v>272</v>
      </c>
      <c r="P63" t="s">
        <v>1210</v>
      </c>
      <c r="Q63">
        <v>0</v>
      </c>
      <c r="R63" t="s">
        <v>1211</v>
      </c>
      <c r="S63">
        <v>48</v>
      </c>
      <c r="T63">
        <v>48</v>
      </c>
      <c r="U63">
        <v>47</v>
      </c>
      <c r="V63">
        <v>45</v>
      </c>
      <c r="W63">
        <v>44</v>
      </c>
      <c r="X63">
        <v>43</v>
      </c>
      <c r="AE63" t="s">
        <v>605</v>
      </c>
      <c r="AH63">
        <v>0</v>
      </c>
      <c r="AI63" t="s">
        <v>605</v>
      </c>
      <c r="AJ63" t="s">
        <v>605</v>
      </c>
      <c r="AK63" t="s">
        <v>605</v>
      </c>
      <c r="AL63" t="s">
        <v>605</v>
      </c>
      <c r="AM63" t="s">
        <v>605</v>
      </c>
      <c r="AN63">
        <v>50</v>
      </c>
      <c r="AO63">
        <v>49</v>
      </c>
      <c r="AP63">
        <v>47</v>
      </c>
      <c r="AQ63">
        <v>46</v>
      </c>
      <c r="AR63">
        <v>45</v>
      </c>
      <c r="AS63">
        <v>48</v>
      </c>
      <c r="AT63">
        <v>47</v>
      </c>
      <c r="AU63">
        <v>45</v>
      </c>
      <c r="AV63">
        <v>44</v>
      </c>
      <c r="AW63">
        <v>43</v>
      </c>
      <c r="AX63">
        <v>44</v>
      </c>
      <c r="AY63">
        <v>44</v>
      </c>
      <c r="AZ63">
        <v>44</v>
      </c>
      <c r="BA63">
        <v>44</v>
      </c>
      <c r="BB63">
        <v>43</v>
      </c>
      <c r="BC63">
        <v>42</v>
      </c>
      <c r="BD63">
        <v>42</v>
      </c>
      <c r="BE63">
        <v>42</v>
      </c>
      <c r="BF63">
        <v>42</v>
      </c>
      <c r="BG63">
        <v>41</v>
      </c>
      <c r="BH63">
        <v>0.90200000000000002</v>
      </c>
      <c r="BL63">
        <v>0.48599999999999999</v>
      </c>
      <c r="BN63">
        <v>1</v>
      </c>
      <c r="BO63" t="s">
        <v>1212</v>
      </c>
      <c r="BP63">
        <v>45.1</v>
      </c>
      <c r="BQ63" s="774">
        <v>44.2</v>
      </c>
      <c r="BR63" t="s">
        <v>605</v>
      </c>
      <c r="BS63" t="s">
        <v>1213</v>
      </c>
      <c r="BT63">
        <v>0</v>
      </c>
      <c r="BU63" t="s">
        <v>610</v>
      </c>
      <c r="BV63">
        <v>0</v>
      </c>
      <c r="BW63" t="s">
        <v>610</v>
      </c>
      <c r="BX63">
        <v>0</v>
      </c>
      <c r="BY63" t="s">
        <v>1213</v>
      </c>
      <c r="BZ63" t="s">
        <v>1613</v>
      </c>
    </row>
    <row r="64" spans="1:79" x14ac:dyDescent="0.2">
      <c r="A64" t="s">
        <v>1551</v>
      </c>
      <c r="B64" t="s">
        <v>1614</v>
      </c>
      <c r="C64" t="s">
        <v>1112</v>
      </c>
      <c r="D64" t="s">
        <v>457</v>
      </c>
      <c r="E64" t="s">
        <v>1202</v>
      </c>
      <c r="F64" t="s">
        <v>1615</v>
      </c>
      <c r="G64" t="s">
        <v>1616</v>
      </c>
      <c r="H64" t="s">
        <v>1617</v>
      </c>
      <c r="I64" t="s">
        <v>1618</v>
      </c>
      <c r="J64" t="s">
        <v>1207</v>
      </c>
      <c r="K64" t="s">
        <v>1208</v>
      </c>
      <c r="N64" t="s">
        <v>1619</v>
      </c>
      <c r="O64" t="s">
        <v>264</v>
      </c>
      <c r="P64" t="s">
        <v>1620</v>
      </c>
      <c r="Q64">
        <v>1</v>
      </c>
      <c r="R64" t="s">
        <v>1251</v>
      </c>
      <c r="S64">
        <v>45.6</v>
      </c>
      <c r="T64">
        <v>50.4</v>
      </c>
      <c r="U64">
        <v>54.8</v>
      </c>
      <c r="V64">
        <v>58.8</v>
      </c>
      <c r="W64">
        <v>62.5</v>
      </c>
      <c r="X64">
        <v>65.900000000000006</v>
      </c>
      <c r="AH64">
        <v>0</v>
      </c>
      <c r="AI64" t="s">
        <v>605</v>
      </c>
      <c r="AJ64" t="s">
        <v>605</v>
      </c>
      <c r="AK64" t="s">
        <v>605</v>
      </c>
      <c r="AL64" t="s">
        <v>605</v>
      </c>
      <c r="AM64" t="s">
        <v>605</v>
      </c>
      <c r="AN64">
        <v>46.4</v>
      </c>
      <c r="AO64">
        <v>50.8</v>
      </c>
      <c r="AP64">
        <v>54.8</v>
      </c>
      <c r="AQ64">
        <v>58.5</v>
      </c>
      <c r="AR64">
        <v>61.9</v>
      </c>
      <c r="AS64">
        <v>50.4</v>
      </c>
      <c r="AT64">
        <v>54.8</v>
      </c>
      <c r="AU64">
        <v>58.8</v>
      </c>
      <c r="AV64">
        <v>62.5</v>
      </c>
      <c r="AW64">
        <v>65.900000000000006</v>
      </c>
      <c r="AX64">
        <v>50.4</v>
      </c>
      <c r="AY64">
        <v>54.8</v>
      </c>
      <c r="AZ64">
        <v>58.8</v>
      </c>
      <c r="BA64">
        <v>62.5</v>
      </c>
      <c r="BB64">
        <v>65.900000000000006</v>
      </c>
      <c r="BC64">
        <v>54.4</v>
      </c>
      <c r="BD64">
        <v>58.8</v>
      </c>
      <c r="BE64">
        <v>62.8</v>
      </c>
      <c r="BF64">
        <v>66.5</v>
      </c>
      <c r="BG64">
        <v>69.900000000000006</v>
      </c>
      <c r="BH64">
        <v>3.7999999999999999E-2</v>
      </c>
      <c r="BL64">
        <v>3.5999999999999997E-2</v>
      </c>
      <c r="BN64">
        <v>1</v>
      </c>
      <c r="BO64" t="s">
        <v>1212</v>
      </c>
      <c r="BP64">
        <v>45.8</v>
      </c>
      <c r="BQ64" s="779">
        <v>47.3</v>
      </c>
      <c r="BR64" t="s">
        <v>606</v>
      </c>
      <c r="BS64" t="s">
        <v>1213</v>
      </c>
      <c r="BT64">
        <v>0</v>
      </c>
      <c r="BU64" t="s">
        <v>1107</v>
      </c>
      <c r="BV64">
        <v>-0.1178</v>
      </c>
      <c r="BW64" t="s">
        <v>1107</v>
      </c>
      <c r="BX64">
        <v>-0.58599999999999997</v>
      </c>
      <c r="BY64" t="s">
        <v>1213</v>
      </c>
      <c r="BZ64" t="s">
        <v>1621</v>
      </c>
    </row>
    <row r="65" spans="1:79" x14ac:dyDescent="0.2">
      <c r="A65" t="s">
        <v>1551</v>
      </c>
      <c r="B65" t="s">
        <v>1622</v>
      </c>
      <c r="C65" t="s">
        <v>1112</v>
      </c>
      <c r="D65" t="s">
        <v>457</v>
      </c>
      <c r="E65" t="s">
        <v>1202</v>
      </c>
      <c r="F65" t="s">
        <v>1623</v>
      </c>
      <c r="G65" t="s">
        <v>1624</v>
      </c>
      <c r="H65" t="s">
        <v>1625</v>
      </c>
      <c r="I65" t="s">
        <v>1626</v>
      </c>
      <c r="J65" t="s">
        <v>1241</v>
      </c>
      <c r="N65" t="s">
        <v>1386</v>
      </c>
      <c r="O65" t="s">
        <v>272</v>
      </c>
      <c r="P65" t="s">
        <v>1627</v>
      </c>
      <c r="Q65">
        <v>0</v>
      </c>
      <c r="R65" t="s">
        <v>1211</v>
      </c>
      <c r="S65">
        <v>40</v>
      </c>
      <c r="T65">
        <v>32</v>
      </c>
      <c r="U65">
        <v>25</v>
      </c>
      <c r="V65">
        <v>23</v>
      </c>
      <c r="W65">
        <v>22</v>
      </c>
      <c r="X65">
        <v>20</v>
      </c>
      <c r="AH65">
        <v>0</v>
      </c>
      <c r="BP65">
        <v>38.5</v>
      </c>
      <c r="BQ65" s="774">
        <v>35.26</v>
      </c>
      <c r="BR65" t="s">
        <v>606</v>
      </c>
      <c r="BS65" t="s">
        <v>1213</v>
      </c>
      <c r="BT65">
        <v>0</v>
      </c>
      <c r="BU65" t="s">
        <v>1213</v>
      </c>
      <c r="BV65">
        <v>0</v>
      </c>
      <c r="BW65" t="s">
        <v>1213</v>
      </c>
      <c r="BX65">
        <v>0</v>
      </c>
      <c r="BY65" t="s">
        <v>1213</v>
      </c>
      <c r="BZ65" t="s">
        <v>1628</v>
      </c>
    </row>
    <row r="66" spans="1:79" ht="25.5" x14ac:dyDescent="0.2">
      <c r="A66" t="s">
        <v>1551</v>
      </c>
      <c r="B66" t="s">
        <v>1629</v>
      </c>
      <c r="C66" t="s">
        <v>1112</v>
      </c>
      <c r="D66" t="s">
        <v>457</v>
      </c>
      <c r="E66" t="s">
        <v>1202</v>
      </c>
      <c r="F66" t="s">
        <v>1623</v>
      </c>
      <c r="G66" t="s">
        <v>1630</v>
      </c>
      <c r="H66" t="s">
        <v>1631</v>
      </c>
      <c r="I66" t="s">
        <v>1632</v>
      </c>
      <c r="J66" t="s">
        <v>1241</v>
      </c>
      <c r="N66" t="s">
        <v>1235</v>
      </c>
      <c r="O66" t="s">
        <v>1507</v>
      </c>
      <c r="P66" t="s">
        <v>1633</v>
      </c>
      <c r="Q66" t="s">
        <v>1212</v>
      </c>
      <c r="S66" t="s">
        <v>1565</v>
      </c>
      <c r="T66" t="s">
        <v>1565</v>
      </c>
      <c r="U66" t="s">
        <v>1565</v>
      </c>
      <c r="V66" t="s">
        <v>1566</v>
      </c>
      <c r="W66" t="s">
        <v>1566</v>
      </c>
      <c r="X66" t="s">
        <v>612</v>
      </c>
      <c r="AF66" t="s">
        <v>605</v>
      </c>
      <c r="AH66">
        <v>0</v>
      </c>
      <c r="BP66" t="s">
        <v>1565</v>
      </c>
      <c r="BQ66" s="776" t="s">
        <v>1565</v>
      </c>
      <c r="BR66" t="s">
        <v>605</v>
      </c>
      <c r="BS66" t="s">
        <v>1213</v>
      </c>
      <c r="BT66">
        <v>0</v>
      </c>
      <c r="BU66" t="s">
        <v>1213</v>
      </c>
      <c r="BV66">
        <v>0</v>
      </c>
      <c r="BW66" t="s">
        <v>1213</v>
      </c>
      <c r="BX66">
        <v>0</v>
      </c>
      <c r="BY66" t="s">
        <v>1213</v>
      </c>
      <c r="BZ66" t="s">
        <v>1634</v>
      </c>
    </row>
    <row r="67" spans="1:79" x14ac:dyDescent="0.2">
      <c r="A67" t="s">
        <v>1551</v>
      </c>
      <c r="B67" t="s">
        <v>1635</v>
      </c>
      <c r="C67" t="s">
        <v>1112</v>
      </c>
      <c r="D67" t="s">
        <v>457</v>
      </c>
      <c r="E67" t="s">
        <v>1202</v>
      </c>
      <c r="F67" t="s">
        <v>1623</v>
      </c>
      <c r="G67" t="s">
        <v>1636</v>
      </c>
      <c r="H67" t="s">
        <v>1637</v>
      </c>
      <c r="I67" t="s">
        <v>1638</v>
      </c>
      <c r="J67" t="s">
        <v>1241</v>
      </c>
      <c r="N67" t="s">
        <v>1370</v>
      </c>
      <c r="O67" t="s">
        <v>1242</v>
      </c>
      <c r="P67" t="s">
        <v>1639</v>
      </c>
      <c r="Q67" t="s">
        <v>1242</v>
      </c>
      <c r="S67" t="s">
        <v>1640</v>
      </c>
      <c r="T67" t="s">
        <v>1641</v>
      </c>
      <c r="U67" t="s">
        <v>1641</v>
      </c>
      <c r="V67" t="s">
        <v>1641</v>
      </c>
      <c r="W67" t="s">
        <v>1641</v>
      </c>
      <c r="X67" t="s">
        <v>1641</v>
      </c>
      <c r="AF67" t="s">
        <v>605</v>
      </c>
      <c r="AH67">
        <v>0</v>
      </c>
      <c r="BP67">
        <v>17596</v>
      </c>
      <c r="BQ67" s="780" t="s">
        <v>1642</v>
      </c>
      <c r="BR67" t="s">
        <v>605</v>
      </c>
      <c r="BS67" t="s">
        <v>1213</v>
      </c>
      <c r="BT67">
        <v>0</v>
      </c>
      <c r="BU67" t="s">
        <v>1213</v>
      </c>
      <c r="BV67">
        <v>0</v>
      </c>
      <c r="BW67" t="s">
        <v>1213</v>
      </c>
      <c r="BX67">
        <v>0</v>
      </c>
      <c r="BY67" t="s">
        <v>1213</v>
      </c>
      <c r="BZ67" t="s">
        <v>1643</v>
      </c>
    </row>
    <row r="68" spans="1:79" x14ac:dyDescent="0.2">
      <c r="A68" t="s">
        <v>1551</v>
      </c>
      <c r="B68" t="s">
        <v>1644</v>
      </c>
      <c r="C68" t="s">
        <v>1112</v>
      </c>
      <c r="D68" t="s">
        <v>457</v>
      </c>
      <c r="E68" t="s">
        <v>1202</v>
      </c>
      <c r="F68" t="s">
        <v>1623</v>
      </c>
      <c r="G68" t="s">
        <v>1645</v>
      </c>
      <c r="H68" t="s">
        <v>1646</v>
      </c>
      <c r="I68" t="s">
        <v>1647</v>
      </c>
      <c r="J68" t="s">
        <v>1241</v>
      </c>
      <c r="N68" t="s">
        <v>1648</v>
      </c>
      <c r="O68" t="s">
        <v>264</v>
      </c>
      <c r="P68" t="s">
        <v>1649</v>
      </c>
      <c r="Q68">
        <v>0</v>
      </c>
      <c r="R68" t="s">
        <v>1251</v>
      </c>
      <c r="S68">
        <v>97</v>
      </c>
      <c r="T68">
        <v>100</v>
      </c>
      <c r="U68">
        <v>100</v>
      </c>
      <c r="V68">
        <v>100</v>
      </c>
      <c r="W68">
        <v>100</v>
      </c>
      <c r="X68">
        <v>100</v>
      </c>
      <c r="AH68">
        <v>0</v>
      </c>
      <c r="BP68">
        <v>99</v>
      </c>
      <c r="BQ68" s="774">
        <v>96.1</v>
      </c>
      <c r="BR68" t="s">
        <v>606</v>
      </c>
      <c r="BS68" t="s">
        <v>1213</v>
      </c>
      <c r="BT68">
        <v>0</v>
      </c>
      <c r="BU68" t="s">
        <v>1213</v>
      </c>
      <c r="BV68">
        <v>0</v>
      </c>
      <c r="BW68" t="s">
        <v>1213</v>
      </c>
      <c r="BX68">
        <v>0</v>
      </c>
      <c r="BY68" t="s">
        <v>1213</v>
      </c>
      <c r="BZ68" t="s">
        <v>1650</v>
      </c>
    </row>
    <row r="69" spans="1:79" x14ac:dyDescent="0.2">
      <c r="A69" t="s">
        <v>1551</v>
      </c>
      <c r="B69" t="s">
        <v>1651</v>
      </c>
      <c r="C69" t="s">
        <v>1112</v>
      </c>
      <c r="D69" t="s">
        <v>1288</v>
      </c>
      <c r="E69" t="s">
        <v>1289</v>
      </c>
      <c r="F69" t="s">
        <v>1615</v>
      </c>
      <c r="G69" t="s">
        <v>1652</v>
      </c>
      <c r="H69" t="s">
        <v>1653</v>
      </c>
      <c r="I69" t="s">
        <v>1654</v>
      </c>
      <c r="J69" t="s">
        <v>1241</v>
      </c>
      <c r="N69" t="s">
        <v>1220</v>
      </c>
      <c r="O69" t="s">
        <v>272</v>
      </c>
      <c r="P69" t="s">
        <v>1655</v>
      </c>
      <c r="Q69">
        <v>1</v>
      </c>
      <c r="R69" t="s">
        <v>1211</v>
      </c>
      <c r="S69">
        <v>145.6</v>
      </c>
      <c r="T69">
        <v>145.4</v>
      </c>
      <c r="U69">
        <v>144.5</v>
      </c>
      <c r="V69">
        <v>143.6</v>
      </c>
      <c r="W69">
        <v>142.80000000000001</v>
      </c>
      <c r="X69">
        <v>142</v>
      </c>
      <c r="AH69">
        <v>0</v>
      </c>
      <c r="BP69">
        <v>143</v>
      </c>
      <c r="BQ69" s="779">
        <v>141.1</v>
      </c>
      <c r="BR69" t="s">
        <v>605</v>
      </c>
      <c r="BS69" t="s">
        <v>1213</v>
      </c>
      <c r="BT69">
        <v>0</v>
      </c>
      <c r="BU69" t="s">
        <v>1213</v>
      </c>
      <c r="BV69">
        <v>0</v>
      </c>
      <c r="BW69" t="s">
        <v>1213</v>
      </c>
      <c r="BX69">
        <v>0</v>
      </c>
      <c r="BY69" t="s">
        <v>1213</v>
      </c>
      <c r="BZ69" t="s">
        <v>1656</v>
      </c>
    </row>
    <row r="70" spans="1:79" x14ac:dyDescent="0.2">
      <c r="A70" t="s">
        <v>1551</v>
      </c>
      <c r="B70" t="s">
        <v>1657</v>
      </c>
      <c r="C70" t="s">
        <v>1112</v>
      </c>
      <c r="D70" t="s">
        <v>1288</v>
      </c>
      <c r="E70" t="s">
        <v>1289</v>
      </c>
      <c r="F70" t="s">
        <v>1658</v>
      </c>
      <c r="G70" t="s">
        <v>1659</v>
      </c>
      <c r="H70" t="s">
        <v>1660</v>
      </c>
      <c r="I70" t="s">
        <v>1661</v>
      </c>
      <c r="J70" t="s">
        <v>1241</v>
      </c>
      <c r="N70" t="s">
        <v>1303</v>
      </c>
      <c r="O70" t="s">
        <v>264</v>
      </c>
      <c r="P70" t="s">
        <v>1662</v>
      </c>
      <c r="Q70">
        <v>1</v>
      </c>
      <c r="R70" t="s">
        <v>1211</v>
      </c>
      <c r="S70">
        <v>2.1</v>
      </c>
      <c r="T70">
        <v>2</v>
      </c>
      <c r="U70">
        <v>2</v>
      </c>
      <c r="V70">
        <v>1.9</v>
      </c>
      <c r="W70">
        <v>1.9</v>
      </c>
      <c r="X70">
        <v>1.8</v>
      </c>
      <c r="AH70">
        <v>0</v>
      </c>
      <c r="BP70">
        <v>2.5</v>
      </c>
      <c r="BQ70" s="779">
        <v>0.37</v>
      </c>
      <c r="BR70" t="s">
        <v>605</v>
      </c>
      <c r="BS70" t="s">
        <v>1213</v>
      </c>
      <c r="BT70">
        <v>0</v>
      </c>
      <c r="BU70" t="s">
        <v>1213</v>
      </c>
      <c r="BV70">
        <v>0</v>
      </c>
      <c r="BW70" t="s">
        <v>1213</v>
      </c>
      <c r="BX70">
        <v>0</v>
      </c>
      <c r="BY70" t="s">
        <v>1213</v>
      </c>
      <c r="BZ70" t="s">
        <v>1663</v>
      </c>
    </row>
    <row r="71" spans="1:79" x14ac:dyDescent="0.2">
      <c r="A71" t="s">
        <v>1551</v>
      </c>
      <c r="B71" t="s">
        <v>1664</v>
      </c>
      <c r="C71" t="s">
        <v>1112</v>
      </c>
      <c r="D71" t="s">
        <v>1288</v>
      </c>
      <c r="E71" t="s">
        <v>1289</v>
      </c>
      <c r="F71" t="s">
        <v>1306</v>
      </c>
      <c r="G71" t="s">
        <v>1665</v>
      </c>
      <c r="H71" t="s">
        <v>1666</v>
      </c>
      <c r="I71" t="s">
        <v>1667</v>
      </c>
      <c r="J71" t="s">
        <v>1207</v>
      </c>
      <c r="K71" t="s">
        <v>1208</v>
      </c>
      <c r="M71" t="s">
        <v>606</v>
      </c>
      <c r="N71" t="s">
        <v>1294</v>
      </c>
      <c r="O71" t="s">
        <v>1507</v>
      </c>
      <c r="P71" t="s">
        <v>1668</v>
      </c>
      <c r="Q71" t="s">
        <v>1212</v>
      </c>
      <c r="R71" t="s">
        <v>1251</v>
      </c>
      <c r="S71">
        <v>85.3</v>
      </c>
      <c r="T71" t="s">
        <v>1669</v>
      </c>
      <c r="U71" t="s">
        <v>1669</v>
      </c>
      <c r="V71" t="s">
        <v>1669</v>
      </c>
      <c r="W71" t="s">
        <v>1669</v>
      </c>
      <c r="X71" t="s">
        <v>1669</v>
      </c>
      <c r="AH71">
        <v>0</v>
      </c>
      <c r="AI71" t="s">
        <v>605</v>
      </c>
      <c r="AJ71" t="s">
        <v>605</v>
      </c>
      <c r="AK71" t="s">
        <v>605</v>
      </c>
      <c r="AL71" t="s">
        <v>605</v>
      </c>
      <c r="AM71" t="s">
        <v>605</v>
      </c>
      <c r="AN71" t="s">
        <v>1296</v>
      </c>
      <c r="AO71" t="s">
        <v>1296</v>
      </c>
      <c r="AP71" t="s">
        <v>1296</v>
      </c>
      <c r="AQ71" t="s">
        <v>1296</v>
      </c>
      <c r="AR71" t="s">
        <v>1296</v>
      </c>
      <c r="AS71" t="s">
        <v>1296</v>
      </c>
      <c r="AT71" t="s">
        <v>1296</v>
      </c>
      <c r="AU71" t="s">
        <v>1296</v>
      </c>
      <c r="AV71" t="s">
        <v>1296</v>
      </c>
      <c r="AW71" t="s">
        <v>1296</v>
      </c>
      <c r="AX71" t="s">
        <v>1296</v>
      </c>
      <c r="AY71" t="s">
        <v>1296</v>
      </c>
      <c r="AZ71" t="s">
        <v>1296</v>
      </c>
      <c r="BA71" t="s">
        <v>1296</v>
      </c>
      <c r="BB71" t="s">
        <v>1296</v>
      </c>
      <c r="BC71" t="s">
        <v>1296</v>
      </c>
      <c r="BD71" t="s">
        <v>1296</v>
      </c>
      <c r="BE71" t="s">
        <v>1296</v>
      </c>
      <c r="BF71" t="s">
        <v>1296</v>
      </c>
      <c r="BG71" t="s">
        <v>1296</v>
      </c>
      <c r="BH71" t="s">
        <v>1296</v>
      </c>
      <c r="BL71" t="s">
        <v>1296</v>
      </c>
      <c r="BN71">
        <v>1</v>
      </c>
      <c r="BO71" t="s">
        <v>1212</v>
      </c>
      <c r="BP71">
        <v>80</v>
      </c>
      <c r="BQ71" s="778">
        <v>85.1</v>
      </c>
      <c r="BR71" t="s">
        <v>605</v>
      </c>
      <c r="BS71" t="s">
        <v>1213</v>
      </c>
      <c r="BT71">
        <v>0</v>
      </c>
      <c r="BU71" t="s">
        <v>1213</v>
      </c>
      <c r="BV71">
        <v>0</v>
      </c>
      <c r="BW71" t="s">
        <v>1213</v>
      </c>
      <c r="BX71">
        <v>0</v>
      </c>
      <c r="BY71" t="s">
        <v>1213</v>
      </c>
      <c r="BZ71" t="s">
        <v>1670</v>
      </c>
      <c r="CA71" t="s">
        <v>1298</v>
      </c>
    </row>
    <row r="72" spans="1:79" x14ac:dyDescent="0.2">
      <c r="A72" t="s">
        <v>1551</v>
      </c>
      <c r="B72" t="s">
        <v>1671</v>
      </c>
      <c r="C72" t="s">
        <v>1112</v>
      </c>
      <c r="D72" t="s">
        <v>1288</v>
      </c>
      <c r="E72" t="s">
        <v>1289</v>
      </c>
      <c r="F72" t="s">
        <v>1306</v>
      </c>
      <c r="G72" t="s">
        <v>1672</v>
      </c>
      <c r="H72" t="s">
        <v>1673</v>
      </c>
      <c r="I72" t="s">
        <v>1674</v>
      </c>
      <c r="J72" t="s">
        <v>1241</v>
      </c>
      <c r="N72" t="s">
        <v>1400</v>
      </c>
      <c r="O72" t="s">
        <v>264</v>
      </c>
      <c r="P72" t="s">
        <v>1401</v>
      </c>
      <c r="Q72">
        <v>0</v>
      </c>
      <c r="R72" t="s">
        <v>1251</v>
      </c>
      <c r="S72">
        <v>93</v>
      </c>
      <c r="T72">
        <v>93</v>
      </c>
      <c r="U72">
        <v>93</v>
      </c>
      <c r="V72">
        <v>93</v>
      </c>
      <c r="W72">
        <v>93</v>
      </c>
      <c r="X72" t="s">
        <v>1675</v>
      </c>
      <c r="AH72">
        <v>0</v>
      </c>
      <c r="BP72">
        <v>69</v>
      </c>
      <c r="BQ72" s="774">
        <v>83</v>
      </c>
      <c r="BR72" t="s">
        <v>606</v>
      </c>
      <c r="BS72" t="s">
        <v>1213</v>
      </c>
      <c r="BT72">
        <v>0</v>
      </c>
      <c r="BU72" t="s">
        <v>1213</v>
      </c>
      <c r="BV72">
        <v>0</v>
      </c>
      <c r="BW72" t="s">
        <v>1213</v>
      </c>
      <c r="BX72">
        <v>0</v>
      </c>
      <c r="BY72" t="s">
        <v>1213</v>
      </c>
      <c r="BZ72" t="s">
        <v>1676</v>
      </c>
    </row>
    <row r="73" spans="1:79" x14ac:dyDescent="0.2">
      <c r="A73" t="s">
        <v>1551</v>
      </c>
      <c r="B73" t="s">
        <v>1677</v>
      </c>
      <c r="C73" t="s">
        <v>1112</v>
      </c>
      <c r="D73" t="s">
        <v>1288</v>
      </c>
      <c r="E73" t="s">
        <v>1289</v>
      </c>
      <c r="F73" t="s">
        <v>1306</v>
      </c>
      <c r="G73" t="s">
        <v>1678</v>
      </c>
      <c r="H73" t="s">
        <v>1679</v>
      </c>
      <c r="I73" t="s">
        <v>1680</v>
      </c>
      <c r="J73" t="s">
        <v>1241</v>
      </c>
      <c r="N73" t="s">
        <v>1303</v>
      </c>
      <c r="O73" t="s">
        <v>264</v>
      </c>
      <c r="P73" t="s">
        <v>1401</v>
      </c>
      <c r="Q73">
        <v>0</v>
      </c>
      <c r="R73" t="s">
        <v>1251</v>
      </c>
      <c r="S73">
        <v>70</v>
      </c>
      <c r="T73">
        <v>71</v>
      </c>
      <c r="U73">
        <v>71</v>
      </c>
      <c r="V73">
        <v>72</v>
      </c>
      <c r="W73">
        <v>72</v>
      </c>
      <c r="X73">
        <v>72</v>
      </c>
      <c r="AH73">
        <v>0</v>
      </c>
      <c r="BP73">
        <v>73</v>
      </c>
      <c r="BQ73" s="774">
        <v>78</v>
      </c>
      <c r="BR73" t="s">
        <v>605</v>
      </c>
      <c r="BS73" t="s">
        <v>1213</v>
      </c>
      <c r="BT73">
        <v>0</v>
      </c>
      <c r="BU73" t="s">
        <v>1213</v>
      </c>
      <c r="BV73">
        <v>0</v>
      </c>
      <c r="BW73" t="s">
        <v>1213</v>
      </c>
      <c r="BX73">
        <v>0</v>
      </c>
      <c r="BY73" t="s">
        <v>1213</v>
      </c>
      <c r="BZ73" t="s">
        <v>1681</v>
      </c>
    </row>
    <row r="74" spans="1:79" x14ac:dyDescent="0.2">
      <c r="A74" t="s">
        <v>1551</v>
      </c>
      <c r="B74" t="s">
        <v>1682</v>
      </c>
      <c r="C74" t="s">
        <v>1112</v>
      </c>
      <c r="D74" t="s">
        <v>1288</v>
      </c>
      <c r="E74" t="s">
        <v>1289</v>
      </c>
      <c r="F74" t="s">
        <v>1683</v>
      </c>
      <c r="G74" t="s">
        <v>1684</v>
      </c>
      <c r="H74" t="s">
        <v>1685</v>
      </c>
      <c r="I74" t="s">
        <v>1686</v>
      </c>
      <c r="J74" t="s">
        <v>1241</v>
      </c>
      <c r="N74" t="s">
        <v>1400</v>
      </c>
      <c r="O74" t="s">
        <v>264</v>
      </c>
      <c r="P74" t="s">
        <v>1401</v>
      </c>
      <c r="Q74">
        <v>1</v>
      </c>
      <c r="R74" t="s">
        <v>1251</v>
      </c>
      <c r="S74">
        <v>96.2</v>
      </c>
      <c r="T74">
        <v>96.3</v>
      </c>
      <c r="U74">
        <v>96.4</v>
      </c>
      <c r="V74">
        <v>96.5</v>
      </c>
      <c r="W74" t="s">
        <v>1687</v>
      </c>
      <c r="X74" t="s">
        <v>1687</v>
      </c>
      <c r="AH74">
        <v>0</v>
      </c>
      <c r="BP74">
        <v>95.2</v>
      </c>
      <c r="BQ74" s="779">
        <v>93.1</v>
      </c>
      <c r="BR74" t="s">
        <v>606</v>
      </c>
      <c r="BS74" t="s">
        <v>1213</v>
      </c>
      <c r="BT74">
        <v>0</v>
      </c>
      <c r="BU74" t="s">
        <v>1213</v>
      </c>
      <c r="BV74">
        <v>0</v>
      </c>
      <c r="BW74" t="s">
        <v>1213</v>
      </c>
      <c r="BX74">
        <v>0</v>
      </c>
      <c r="BY74" t="s">
        <v>1213</v>
      </c>
      <c r="BZ74" t="s">
        <v>1688</v>
      </c>
    </row>
    <row r="75" spans="1:79" x14ac:dyDescent="0.2">
      <c r="A75" t="s">
        <v>1551</v>
      </c>
      <c r="B75" t="s">
        <v>1689</v>
      </c>
      <c r="C75" t="s">
        <v>1112</v>
      </c>
      <c r="D75" t="s">
        <v>1288</v>
      </c>
      <c r="E75" t="s">
        <v>1289</v>
      </c>
      <c r="F75" t="s">
        <v>1690</v>
      </c>
      <c r="G75" t="s">
        <v>1691</v>
      </c>
      <c r="H75" t="s">
        <v>1692</v>
      </c>
      <c r="I75" t="s">
        <v>1693</v>
      </c>
      <c r="J75" t="s">
        <v>1241</v>
      </c>
      <c r="N75" t="s">
        <v>1303</v>
      </c>
      <c r="O75" t="s">
        <v>272</v>
      </c>
      <c r="P75" t="s">
        <v>1606</v>
      </c>
      <c r="Q75">
        <v>0</v>
      </c>
      <c r="R75" t="s">
        <v>1211</v>
      </c>
      <c r="S75">
        <v>2570</v>
      </c>
      <c r="T75">
        <v>2480</v>
      </c>
      <c r="U75">
        <v>2395</v>
      </c>
      <c r="V75">
        <v>2315</v>
      </c>
      <c r="W75">
        <v>2240</v>
      </c>
      <c r="X75">
        <v>2170</v>
      </c>
      <c r="AH75">
        <v>0</v>
      </c>
      <c r="BP75">
        <v>2612</v>
      </c>
      <c r="BQ75" s="774">
        <v>2301</v>
      </c>
      <c r="BR75" t="s">
        <v>605</v>
      </c>
      <c r="BS75" t="s">
        <v>1213</v>
      </c>
      <c r="BT75">
        <v>0</v>
      </c>
      <c r="BU75" t="s">
        <v>1213</v>
      </c>
      <c r="BV75">
        <v>0</v>
      </c>
      <c r="BW75" t="s">
        <v>1213</v>
      </c>
      <c r="BX75">
        <v>0</v>
      </c>
      <c r="BY75" t="s">
        <v>1213</v>
      </c>
      <c r="BZ75" t="s">
        <v>1694</v>
      </c>
    </row>
    <row r="76" spans="1:79" x14ac:dyDescent="0.2">
      <c r="A76" t="s">
        <v>1695</v>
      </c>
      <c r="B76" t="s">
        <v>1696</v>
      </c>
      <c r="C76" t="s">
        <v>1112</v>
      </c>
      <c r="D76" t="s">
        <v>457</v>
      </c>
      <c r="E76" t="s">
        <v>1202</v>
      </c>
      <c r="F76" t="s">
        <v>1697</v>
      </c>
      <c r="G76" t="s">
        <v>1554</v>
      </c>
      <c r="H76" t="s">
        <v>1698</v>
      </c>
      <c r="I76" t="s">
        <v>1699</v>
      </c>
      <c r="J76" t="s">
        <v>1207</v>
      </c>
      <c r="K76" t="s">
        <v>1208</v>
      </c>
      <c r="N76" t="s">
        <v>1172</v>
      </c>
      <c r="O76" t="s">
        <v>272</v>
      </c>
      <c r="P76" t="s">
        <v>1258</v>
      </c>
      <c r="Q76">
        <v>2</v>
      </c>
      <c r="R76" t="s">
        <v>1211</v>
      </c>
      <c r="S76">
        <v>3.69</v>
      </c>
      <c r="T76">
        <v>2.8</v>
      </c>
      <c r="U76">
        <v>1.9</v>
      </c>
      <c r="V76">
        <v>1.01</v>
      </c>
      <c r="W76">
        <v>1.01</v>
      </c>
      <c r="X76">
        <v>1.01</v>
      </c>
      <c r="Z76" t="s">
        <v>605</v>
      </c>
      <c r="AE76" t="s">
        <v>605</v>
      </c>
      <c r="AH76">
        <v>0</v>
      </c>
      <c r="AI76" t="s">
        <v>605</v>
      </c>
      <c r="AJ76" t="s">
        <v>605</v>
      </c>
      <c r="AK76" t="s">
        <v>605</v>
      </c>
      <c r="AL76" t="s">
        <v>605</v>
      </c>
      <c r="AM76" t="s">
        <v>605</v>
      </c>
      <c r="AN76">
        <v>4.9400000000000004</v>
      </c>
      <c r="AO76">
        <v>4.9400000000000004</v>
      </c>
      <c r="AP76">
        <v>4.9400000000000004</v>
      </c>
      <c r="AQ76">
        <v>4.9400000000000004</v>
      </c>
      <c r="AR76">
        <v>4.9400000000000004</v>
      </c>
      <c r="AS76">
        <v>3.69</v>
      </c>
      <c r="AT76">
        <v>3.69</v>
      </c>
      <c r="AU76">
        <v>1.01</v>
      </c>
      <c r="AV76">
        <v>1.01</v>
      </c>
      <c r="AW76">
        <v>1.01</v>
      </c>
      <c r="AX76">
        <v>1.01</v>
      </c>
      <c r="AY76">
        <v>1.01</v>
      </c>
      <c r="AZ76">
        <v>1.01</v>
      </c>
      <c r="BA76">
        <v>1.01</v>
      </c>
      <c r="BB76">
        <v>1.01</v>
      </c>
      <c r="BC76">
        <v>0</v>
      </c>
      <c r="BD76">
        <v>0</v>
      </c>
      <c r="BE76">
        <v>0</v>
      </c>
      <c r="BF76">
        <v>0</v>
      </c>
      <c r="BG76">
        <v>0</v>
      </c>
      <c r="BH76">
        <v>3.0585999999999999E-2</v>
      </c>
      <c r="BL76">
        <v>2.4934000000000001E-2</v>
      </c>
      <c r="BN76">
        <v>1</v>
      </c>
      <c r="BO76" t="s">
        <v>1212</v>
      </c>
      <c r="BP76">
        <v>2.2799999999999998</v>
      </c>
      <c r="BQ76" s="773">
        <v>1.32</v>
      </c>
      <c r="BR76" t="s">
        <v>605</v>
      </c>
      <c r="BS76" t="s">
        <v>1213</v>
      </c>
      <c r="BT76">
        <v>0</v>
      </c>
      <c r="BU76" t="s">
        <v>610</v>
      </c>
      <c r="BV76">
        <v>0</v>
      </c>
      <c r="BW76" t="s">
        <v>611</v>
      </c>
      <c r="BX76">
        <v>2.3189000000000001E-2</v>
      </c>
      <c r="BY76" t="s">
        <v>1172</v>
      </c>
      <c r="BZ76" t="s">
        <v>1700</v>
      </c>
    </row>
    <row r="77" spans="1:79" x14ac:dyDescent="0.2">
      <c r="A77" t="s">
        <v>1695</v>
      </c>
      <c r="B77" t="s">
        <v>1701</v>
      </c>
      <c r="C77" t="s">
        <v>1112</v>
      </c>
      <c r="D77" t="s">
        <v>457</v>
      </c>
      <c r="E77" t="s">
        <v>1202</v>
      </c>
      <c r="F77" t="s">
        <v>1697</v>
      </c>
      <c r="G77" t="s">
        <v>1560</v>
      </c>
      <c r="H77" t="s">
        <v>1702</v>
      </c>
      <c r="I77" t="s">
        <v>1703</v>
      </c>
      <c r="J77" t="s">
        <v>1219</v>
      </c>
      <c r="K77" t="s">
        <v>1208</v>
      </c>
      <c r="N77" t="s">
        <v>1249</v>
      </c>
      <c r="O77" t="s">
        <v>264</v>
      </c>
      <c r="P77" t="s">
        <v>1250</v>
      </c>
      <c r="Q77">
        <v>2</v>
      </c>
      <c r="R77" t="s">
        <v>1251</v>
      </c>
      <c r="S77">
        <v>99.96</v>
      </c>
      <c r="T77">
        <v>100</v>
      </c>
      <c r="U77">
        <v>100</v>
      </c>
      <c r="V77">
        <v>100</v>
      </c>
      <c r="W77">
        <v>100</v>
      </c>
      <c r="X77">
        <v>100</v>
      </c>
      <c r="Y77" t="s">
        <v>605</v>
      </c>
      <c r="AE77" t="s">
        <v>605</v>
      </c>
      <c r="AH77">
        <v>0</v>
      </c>
      <c r="AI77" t="s">
        <v>605</v>
      </c>
      <c r="AJ77" t="s">
        <v>605</v>
      </c>
      <c r="AK77" t="s">
        <v>605</v>
      </c>
      <c r="AL77" t="s">
        <v>605</v>
      </c>
      <c r="AM77" t="s">
        <v>605</v>
      </c>
      <c r="AN77">
        <v>99.92</v>
      </c>
      <c r="AO77">
        <v>99.92</v>
      </c>
      <c r="AP77">
        <v>99.94</v>
      </c>
      <c r="AQ77">
        <v>99.94</v>
      </c>
      <c r="AR77">
        <v>99.94</v>
      </c>
      <c r="AS77">
        <v>99.93</v>
      </c>
      <c r="AT77">
        <v>99.93</v>
      </c>
      <c r="AU77">
        <v>99.95</v>
      </c>
      <c r="AV77">
        <v>99.95</v>
      </c>
      <c r="AW77">
        <v>99.95</v>
      </c>
      <c r="BH77">
        <v>4.7399999999999998E-2</v>
      </c>
      <c r="BN77">
        <v>1</v>
      </c>
      <c r="BO77" t="s">
        <v>1212</v>
      </c>
      <c r="BP77">
        <v>99.88</v>
      </c>
      <c r="BQ77" s="773">
        <v>99.95</v>
      </c>
      <c r="BR77" t="s">
        <v>606</v>
      </c>
      <c r="BS77" t="s">
        <v>1213</v>
      </c>
      <c r="BT77">
        <v>0</v>
      </c>
      <c r="BU77" t="s">
        <v>607</v>
      </c>
      <c r="BV77">
        <v>0</v>
      </c>
      <c r="BW77" t="s">
        <v>607</v>
      </c>
      <c r="BX77">
        <v>0</v>
      </c>
      <c r="BY77" t="s">
        <v>1171</v>
      </c>
      <c r="BZ77" t="s">
        <v>1704</v>
      </c>
    </row>
    <row r="78" spans="1:79" x14ac:dyDescent="0.2">
      <c r="A78" t="s">
        <v>1695</v>
      </c>
      <c r="B78" t="s">
        <v>1705</v>
      </c>
      <c r="C78" t="s">
        <v>1112</v>
      </c>
      <c r="D78" t="s">
        <v>457</v>
      </c>
      <c r="E78" t="s">
        <v>1202</v>
      </c>
      <c r="F78" t="s">
        <v>1697</v>
      </c>
      <c r="G78" t="s">
        <v>1569</v>
      </c>
      <c r="H78" t="s">
        <v>1706</v>
      </c>
      <c r="I78" t="s">
        <v>1707</v>
      </c>
      <c r="J78" t="s">
        <v>1219</v>
      </c>
      <c r="K78" t="s">
        <v>1563</v>
      </c>
      <c r="M78" t="s">
        <v>606</v>
      </c>
      <c r="N78" t="s">
        <v>1249</v>
      </c>
      <c r="O78" t="s">
        <v>1507</v>
      </c>
      <c r="P78" t="s">
        <v>1708</v>
      </c>
      <c r="Q78" t="s">
        <v>1212</v>
      </c>
      <c r="V78" t="s">
        <v>1709</v>
      </c>
      <c r="AD78" t="s">
        <v>605</v>
      </c>
      <c r="AE78" t="s">
        <v>605</v>
      </c>
      <c r="AH78">
        <v>0</v>
      </c>
      <c r="AK78" t="s">
        <v>605</v>
      </c>
      <c r="AL78" t="s">
        <v>605</v>
      </c>
      <c r="AM78" t="s">
        <v>605</v>
      </c>
      <c r="BH78">
        <v>0.51</v>
      </c>
      <c r="BI78">
        <v>19</v>
      </c>
      <c r="BN78">
        <v>1</v>
      </c>
      <c r="BO78" t="s">
        <v>1212</v>
      </c>
      <c r="BP78" t="s">
        <v>1710</v>
      </c>
      <c r="BQ78" s="771" t="s">
        <v>1711</v>
      </c>
      <c r="BR78" t="s">
        <v>1213</v>
      </c>
      <c r="BS78" t="s">
        <v>1213</v>
      </c>
      <c r="BT78">
        <v>0</v>
      </c>
      <c r="BU78" t="s">
        <v>1213</v>
      </c>
      <c r="BV78">
        <v>0</v>
      </c>
      <c r="BW78" t="s">
        <v>1213</v>
      </c>
      <c r="BX78">
        <v>0</v>
      </c>
      <c r="BY78" t="s">
        <v>1213</v>
      </c>
      <c r="BZ78" t="s">
        <v>1712</v>
      </c>
      <c r="CA78" t="s">
        <v>1713</v>
      </c>
    </row>
    <row r="79" spans="1:79" x14ac:dyDescent="0.2">
      <c r="A79" t="s">
        <v>1695</v>
      </c>
      <c r="B79" t="s">
        <v>1714</v>
      </c>
      <c r="C79" t="s">
        <v>1112</v>
      </c>
      <c r="D79" t="s">
        <v>457</v>
      </c>
      <c r="E79" t="s">
        <v>1202</v>
      </c>
      <c r="F79" t="s">
        <v>1697</v>
      </c>
      <c r="G79" t="s">
        <v>1715</v>
      </c>
      <c r="H79" t="s">
        <v>1716</v>
      </c>
      <c r="I79" t="s">
        <v>1717</v>
      </c>
      <c r="J79" t="s">
        <v>1219</v>
      </c>
      <c r="K79" t="s">
        <v>1563</v>
      </c>
      <c r="M79" t="s">
        <v>606</v>
      </c>
      <c r="N79" t="s">
        <v>1249</v>
      </c>
      <c r="O79" t="s">
        <v>1507</v>
      </c>
      <c r="P79" t="s">
        <v>1718</v>
      </c>
      <c r="Q79" t="s">
        <v>1212</v>
      </c>
      <c r="W79" t="s">
        <v>1719</v>
      </c>
      <c r="X79" t="s">
        <v>1720</v>
      </c>
      <c r="AD79" t="s">
        <v>605</v>
      </c>
      <c r="AE79" t="s">
        <v>605</v>
      </c>
      <c r="AH79">
        <v>0</v>
      </c>
      <c r="AL79" t="s">
        <v>605</v>
      </c>
      <c r="AM79" t="s">
        <v>605</v>
      </c>
      <c r="BH79">
        <v>1</v>
      </c>
      <c r="BI79">
        <v>1</v>
      </c>
      <c r="BJ79">
        <v>5.5</v>
      </c>
      <c r="BK79">
        <v>1.5</v>
      </c>
      <c r="BN79">
        <v>1</v>
      </c>
      <c r="BO79" t="s">
        <v>1212</v>
      </c>
      <c r="BP79" t="s">
        <v>1710</v>
      </c>
      <c r="BQ79" s="771" t="s">
        <v>1711</v>
      </c>
      <c r="BR79" t="s">
        <v>1213</v>
      </c>
      <c r="BS79" t="s">
        <v>1213</v>
      </c>
      <c r="BT79">
        <v>0</v>
      </c>
      <c r="BU79" t="s">
        <v>1213</v>
      </c>
      <c r="BV79">
        <v>0</v>
      </c>
      <c r="BW79" t="s">
        <v>1213</v>
      </c>
      <c r="BX79">
        <v>0</v>
      </c>
      <c r="BY79" t="s">
        <v>1213</v>
      </c>
      <c r="BZ79" t="s">
        <v>1721</v>
      </c>
      <c r="CA79" t="s">
        <v>1722</v>
      </c>
    </row>
    <row r="80" spans="1:79" x14ac:dyDescent="0.2">
      <c r="A80" t="s">
        <v>1695</v>
      </c>
      <c r="B80" t="s">
        <v>1723</v>
      </c>
      <c r="C80" t="s">
        <v>1112</v>
      </c>
      <c r="D80" t="s">
        <v>457</v>
      </c>
      <c r="E80" t="s">
        <v>1202</v>
      </c>
      <c r="F80" t="s">
        <v>1724</v>
      </c>
      <c r="G80" t="s">
        <v>1575</v>
      </c>
      <c r="H80" t="s">
        <v>1725</v>
      </c>
      <c r="I80" t="s">
        <v>1726</v>
      </c>
      <c r="J80" t="s">
        <v>1207</v>
      </c>
      <c r="K80" t="s">
        <v>1208</v>
      </c>
      <c r="N80" t="s">
        <v>1265</v>
      </c>
      <c r="O80" t="s">
        <v>1309</v>
      </c>
      <c r="P80" t="s">
        <v>1727</v>
      </c>
      <c r="Q80">
        <v>2</v>
      </c>
      <c r="R80" t="s">
        <v>1211</v>
      </c>
      <c r="S80">
        <v>0.33</v>
      </c>
      <c r="T80">
        <v>0.28999999999999998</v>
      </c>
      <c r="U80">
        <v>0.24</v>
      </c>
      <c r="V80">
        <v>0.2</v>
      </c>
      <c r="W80">
        <v>0.2</v>
      </c>
      <c r="X80">
        <v>0.2</v>
      </c>
      <c r="AA80" t="s">
        <v>605</v>
      </c>
      <c r="AE80" t="s">
        <v>605</v>
      </c>
      <c r="AH80">
        <v>0</v>
      </c>
      <c r="AI80" t="s">
        <v>605</v>
      </c>
      <c r="AJ80" t="s">
        <v>605</v>
      </c>
      <c r="AK80" t="s">
        <v>605</v>
      </c>
      <c r="AL80" t="s">
        <v>605</v>
      </c>
      <c r="AM80" t="s">
        <v>605</v>
      </c>
      <c r="AN80">
        <v>0.53</v>
      </c>
      <c r="AO80">
        <v>0.53</v>
      </c>
      <c r="AP80">
        <v>0.4</v>
      </c>
      <c r="AQ80">
        <v>0.4</v>
      </c>
      <c r="AR80">
        <v>0.4</v>
      </c>
      <c r="AS80">
        <v>0.33</v>
      </c>
      <c r="AT80">
        <v>0.33</v>
      </c>
      <c r="AU80">
        <v>0.2</v>
      </c>
      <c r="AV80">
        <v>0.2</v>
      </c>
      <c r="AW80">
        <v>0.2</v>
      </c>
      <c r="AX80">
        <v>0.2</v>
      </c>
      <c r="AY80">
        <v>0.2</v>
      </c>
      <c r="AZ80">
        <v>0.2</v>
      </c>
      <c r="BA80">
        <v>0.2</v>
      </c>
      <c r="BB80">
        <v>0.2</v>
      </c>
      <c r="BC80">
        <v>0.1</v>
      </c>
      <c r="BD80">
        <v>0.1</v>
      </c>
      <c r="BE80">
        <v>0.1</v>
      </c>
      <c r="BF80">
        <v>0.1</v>
      </c>
      <c r="BG80">
        <v>0.1</v>
      </c>
      <c r="BH80">
        <v>4.1783599999999999E-3</v>
      </c>
      <c r="BL80">
        <v>2.0870400000000001E-3</v>
      </c>
      <c r="BN80">
        <v>100</v>
      </c>
      <c r="BO80" t="s">
        <v>1728</v>
      </c>
      <c r="BP80">
        <v>0.17</v>
      </c>
      <c r="BQ80" s="773">
        <v>8.6999999999999994E-2</v>
      </c>
      <c r="BR80" t="s">
        <v>605</v>
      </c>
      <c r="BS80" t="s">
        <v>1213</v>
      </c>
      <c r="BT80">
        <v>0</v>
      </c>
      <c r="BU80" t="s">
        <v>611</v>
      </c>
      <c r="BV80">
        <v>2.0870400000000001E-2</v>
      </c>
      <c r="BW80" t="s">
        <v>1213</v>
      </c>
      <c r="BX80">
        <v>0</v>
      </c>
      <c r="BY80" t="s">
        <v>1173</v>
      </c>
      <c r="BZ80" t="s">
        <v>1729</v>
      </c>
    </row>
    <row r="81" spans="1:79" x14ac:dyDescent="0.2">
      <c r="A81" t="s">
        <v>1695</v>
      </c>
      <c r="B81" t="s">
        <v>1730</v>
      </c>
      <c r="C81" t="s">
        <v>1112</v>
      </c>
      <c r="D81" t="s">
        <v>457</v>
      </c>
      <c r="E81" t="s">
        <v>1202</v>
      </c>
      <c r="F81" t="s">
        <v>1724</v>
      </c>
      <c r="G81" t="s">
        <v>1731</v>
      </c>
      <c r="H81" t="s">
        <v>1732</v>
      </c>
      <c r="I81" t="s">
        <v>1733</v>
      </c>
      <c r="J81" t="s">
        <v>1207</v>
      </c>
      <c r="K81" t="s">
        <v>1208</v>
      </c>
      <c r="N81" t="s">
        <v>1209</v>
      </c>
      <c r="O81" t="s">
        <v>272</v>
      </c>
      <c r="P81" t="s">
        <v>1734</v>
      </c>
      <c r="Q81">
        <v>1</v>
      </c>
      <c r="R81" t="s">
        <v>1211</v>
      </c>
      <c r="S81">
        <v>90.8</v>
      </c>
      <c r="T81">
        <v>90.8</v>
      </c>
      <c r="U81">
        <v>90.8</v>
      </c>
      <c r="V81">
        <v>90.8</v>
      </c>
      <c r="W81">
        <v>90.8</v>
      </c>
      <c r="X81">
        <v>90.8</v>
      </c>
      <c r="AE81" t="s">
        <v>605</v>
      </c>
      <c r="AH81">
        <v>0</v>
      </c>
      <c r="AI81" t="s">
        <v>605</v>
      </c>
      <c r="AJ81" t="s">
        <v>605</v>
      </c>
      <c r="AK81" t="s">
        <v>605</v>
      </c>
      <c r="AL81" t="s">
        <v>605</v>
      </c>
      <c r="AM81" t="s">
        <v>605</v>
      </c>
      <c r="AN81">
        <v>121.6</v>
      </c>
      <c r="AO81">
        <v>121.6</v>
      </c>
      <c r="AP81">
        <v>121.6</v>
      </c>
      <c r="AQ81">
        <v>121.6</v>
      </c>
      <c r="AR81">
        <v>121.6</v>
      </c>
      <c r="AS81">
        <v>90.8</v>
      </c>
      <c r="AT81">
        <v>90.8</v>
      </c>
      <c r="AU81">
        <v>90.8</v>
      </c>
      <c r="AV81">
        <v>90.8</v>
      </c>
      <c r="AW81">
        <v>90.8</v>
      </c>
      <c r="AX81">
        <v>76.099999999999994</v>
      </c>
      <c r="AY81">
        <v>76.099999999999994</v>
      </c>
      <c r="AZ81">
        <v>76.099999999999994</v>
      </c>
      <c r="BA81">
        <v>76.099999999999994</v>
      </c>
      <c r="BB81">
        <v>76.099999999999994</v>
      </c>
      <c r="BC81">
        <v>60</v>
      </c>
      <c r="BD81">
        <v>60</v>
      </c>
      <c r="BE81">
        <v>60</v>
      </c>
      <c r="BF81">
        <v>60</v>
      </c>
      <c r="BG81">
        <v>60</v>
      </c>
      <c r="BH81">
        <v>5.1504300000000001E-3</v>
      </c>
      <c r="BL81">
        <v>1.9763799999999998E-3</v>
      </c>
      <c r="BN81">
        <v>1</v>
      </c>
      <c r="BO81" t="s">
        <v>1212</v>
      </c>
      <c r="BP81">
        <v>77.89</v>
      </c>
      <c r="BQ81" s="769">
        <v>78.400000000000006</v>
      </c>
      <c r="BR81" t="s">
        <v>605</v>
      </c>
      <c r="BS81" t="s">
        <v>1213</v>
      </c>
      <c r="BT81">
        <v>0</v>
      </c>
      <c r="BU81" t="s">
        <v>610</v>
      </c>
      <c r="BV81">
        <v>0</v>
      </c>
      <c r="BW81" t="s">
        <v>610</v>
      </c>
      <c r="BX81">
        <v>0</v>
      </c>
      <c r="BY81" t="s">
        <v>1213</v>
      </c>
      <c r="BZ81" t="s">
        <v>1735</v>
      </c>
    </row>
    <row r="82" spans="1:79" x14ac:dyDescent="0.2">
      <c r="A82" t="s">
        <v>1695</v>
      </c>
      <c r="B82" t="s">
        <v>1736</v>
      </c>
      <c r="C82" t="s">
        <v>1112</v>
      </c>
      <c r="D82" t="s">
        <v>457</v>
      </c>
      <c r="E82" t="s">
        <v>1202</v>
      </c>
      <c r="F82" t="s">
        <v>1724</v>
      </c>
      <c r="G82" t="s">
        <v>1737</v>
      </c>
      <c r="H82" t="s">
        <v>1738</v>
      </c>
      <c r="I82" t="s">
        <v>1739</v>
      </c>
      <c r="J82" t="s">
        <v>1241</v>
      </c>
      <c r="N82" t="s">
        <v>1228</v>
      </c>
      <c r="O82" t="s">
        <v>665</v>
      </c>
      <c r="P82" t="s">
        <v>1346</v>
      </c>
      <c r="Q82">
        <v>0</v>
      </c>
      <c r="R82" t="s">
        <v>1251</v>
      </c>
      <c r="S82">
        <v>100</v>
      </c>
      <c r="T82">
        <v>100</v>
      </c>
      <c r="U82">
        <v>100</v>
      </c>
      <c r="V82">
        <v>100</v>
      </c>
      <c r="W82">
        <v>100</v>
      </c>
      <c r="X82">
        <v>100</v>
      </c>
      <c r="AH82">
        <v>0</v>
      </c>
      <c r="BP82">
        <v>100</v>
      </c>
      <c r="BQ82" s="772">
        <v>100</v>
      </c>
      <c r="BR82" t="s">
        <v>605</v>
      </c>
      <c r="BS82" t="s">
        <v>1213</v>
      </c>
      <c r="BT82">
        <v>0</v>
      </c>
      <c r="BU82" t="s">
        <v>1213</v>
      </c>
      <c r="BV82">
        <v>0</v>
      </c>
      <c r="BW82" t="s">
        <v>1213</v>
      </c>
      <c r="BX82">
        <v>0</v>
      </c>
      <c r="BY82" t="s">
        <v>1213</v>
      </c>
      <c r="BZ82" t="s">
        <v>1740</v>
      </c>
    </row>
    <row r="83" spans="1:79" x14ac:dyDescent="0.2">
      <c r="A83" t="s">
        <v>1695</v>
      </c>
      <c r="B83" t="s">
        <v>1741</v>
      </c>
      <c r="C83" t="s">
        <v>1112</v>
      </c>
      <c r="D83" t="s">
        <v>457</v>
      </c>
      <c r="E83" t="s">
        <v>1202</v>
      </c>
      <c r="F83" t="s">
        <v>1724</v>
      </c>
      <c r="G83" t="s">
        <v>1742</v>
      </c>
      <c r="H83" t="s">
        <v>1743</v>
      </c>
      <c r="I83" t="s">
        <v>1744</v>
      </c>
      <c r="J83" t="s">
        <v>1207</v>
      </c>
      <c r="K83" t="s">
        <v>1208</v>
      </c>
      <c r="N83" t="s">
        <v>1272</v>
      </c>
      <c r="O83" t="s">
        <v>272</v>
      </c>
      <c r="P83" t="s">
        <v>1273</v>
      </c>
      <c r="Q83">
        <v>0</v>
      </c>
      <c r="R83" t="s">
        <v>1211</v>
      </c>
      <c r="S83">
        <v>211</v>
      </c>
      <c r="T83">
        <v>246</v>
      </c>
      <c r="U83">
        <v>234</v>
      </c>
      <c r="V83">
        <v>222</v>
      </c>
      <c r="W83">
        <v>222</v>
      </c>
      <c r="X83">
        <v>222</v>
      </c>
      <c r="AE83" t="s">
        <v>605</v>
      </c>
      <c r="AH83">
        <v>0</v>
      </c>
      <c r="AI83" t="s">
        <v>605</v>
      </c>
      <c r="AJ83" t="s">
        <v>605</v>
      </c>
      <c r="AK83" t="s">
        <v>605</v>
      </c>
      <c r="AL83" t="s">
        <v>605</v>
      </c>
      <c r="AM83" t="s">
        <v>605</v>
      </c>
      <c r="AN83">
        <v>538</v>
      </c>
      <c r="AO83">
        <v>526</v>
      </c>
      <c r="AP83">
        <v>514</v>
      </c>
      <c r="AQ83">
        <v>514</v>
      </c>
      <c r="AR83">
        <v>514</v>
      </c>
      <c r="AS83">
        <v>316</v>
      </c>
      <c r="AT83">
        <v>304</v>
      </c>
      <c r="AU83">
        <v>292</v>
      </c>
      <c r="AV83">
        <v>292</v>
      </c>
      <c r="AW83">
        <v>292</v>
      </c>
      <c r="AX83">
        <v>176</v>
      </c>
      <c r="AY83">
        <v>164</v>
      </c>
      <c r="AZ83">
        <v>152</v>
      </c>
      <c r="BA83">
        <v>152</v>
      </c>
      <c r="BB83">
        <v>152</v>
      </c>
      <c r="BC83">
        <v>154</v>
      </c>
      <c r="BD83">
        <v>142</v>
      </c>
      <c r="BE83">
        <v>130</v>
      </c>
      <c r="BF83">
        <v>130</v>
      </c>
      <c r="BG83">
        <v>130</v>
      </c>
      <c r="BH83">
        <v>1.3013600000000001E-3</v>
      </c>
      <c r="BL83">
        <v>6.5068000000000005E-4</v>
      </c>
      <c r="BN83">
        <v>1</v>
      </c>
      <c r="BO83" t="s">
        <v>1212</v>
      </c>
      <c r="BP83">
        <v>247</v>
      </c>
      <c r="BQ83" s="772">
        <v>169</v>
      </c>
      <c r="BR83" t="s">
        <v>605</v>
      </c>
      <c r="BS83" t="s">
        <v>1213</v>
      </c>
      <c r="BT83">
        <v>0</v>
      </c>
      <c r="BU83" t="s">
        <v>611</v>
      </c>
      <c r="BV83">
        <v>4.5547599999999997E-3</v>
      </c>
      <c r="BW83" t="s">
        <v>1213</v>
      </c>
      <c r="BX83">
        <v>0</v>
      </c>
      <c r="BY83" t="s">
        <v>1213</v>
      </c>
      <c r="BZ83" t="s">
        <v>1745</v>
      </c>
    </row>
    <row r="84" spans="1:79" x14ac:dyDescent="0.2">
      <c r="A84" t="s">
        <v>1695</v>
      </c>
      <c r="B84" t="s">
        <v>1746</v>
      </c>
      <c r="C84" t="s">
        <v>1112</v>
      </c>
      <c r="D84" t="s">
        <v>457</v>
      </c>
      <c r="E84" t="s">
        <v>1202</v>
      </c>
      <c r="F84" t="s">
        <v>1747</v>
      </c>
      <c r="G84" t="s">
        <v>1582</v>
      </c>
      <c r="H84" t="s">
        <v>1748</v>
      </c>
      <c r="I84" t="s">
        <v>1749</v>
      </c>
      <c r="J84" t="s">
        <v>1241</v>
      </c>
      <c r="N84" t="s">
        <v>1386</v>
      </c>
      <c r="O84" t="s">
        <v>272</v>
      </c>
      <c r="P84" t="s">
        <v>1750</v>
      </c>
      <c r="Q84">
        <v>0</v>
      </c>
      <c r="R84" t="s">
        <v>1211</v>
      </c>
      <c r="S84">
        <v>9889</v>
      </c>
      <c r="T84">
        <v>9783</v>
      </c>
      <c r="U84">
        <v>9762</v>
      </c>
      <c r="V84">
        <v>9752</v>
      </c>
      <c r="W84">
        <v>9740</v>
      </c>
      <c r="X84">
        <v>9727</v>
      </c>
      <c r="AH84">
        <v>0</v>
      </c>
      <c r="BP84">
        <v>9389</v>
      </c>
      <c r="BQ84" s="772">
        <v>9219</v>
      </c>
      <c r="BR84" t="s">
        <v>605</v>
      </c>
      <c r="BS84" t="s">
        <v>1213</v>
      </c>
      <c r="BT84">
        <v>0</v>
      </c>
      <c r="BU84" t="s">
        <v>1213</v>
      </c>
      <c r="BV84">
        <v>0</v>
      </c>
      <c r="BW84" t="s">
        <v>1213</v>
      </c>
      <c r="BX84">
        <v>0</v>
      </c>
      <c r="BY84" t="s">
        <v>1213</v>
      </c>
      <c r="BZ84" t="s">
        <v>1751</v>
      </c>
    </row>
    <row r="85" spans="1:79" x14ac:dyDescent="0.2">
      <c r="A85" t="s">
        <v>1695</v>
      </c>
      <c r="B85" t="s">
        <v>1752</v>
      </c>
      <c r="C85" t="s">
        <v>1112</v>
      </c>
      <c r="D85" t="s">
        <v>457</v>
      </c>
      <c r="E85" t="s">
        <v>1202</v>
      </c>
      <c r="F85" t="s">
        <v>1753</v>
      </c>
      <c r="G85" t="s">
        <v>1595</v>
      </c>
      <c r="H85" t="s">
        <v>1754</v>
      </c>
      <c r="I85" t="s">
        <v>1755</v>
      </c>
      <c r="J85" t="s">
        <v>1241</v>
      </c>
      <c r="N85" t="s">
        <v>1400</v>
      </c>
      <c r="O85" t="s">
        <v>264</v>
      </c>
      <c r="P85" t="s">
        <v>1401</v>
      </c>
      <c r="Q85" t="s">
        <v>1212</v>
      </c>
      <c r="R85" t="s">
        <v>1251</v>
      </c>
      <c r="T85">
        <v>80</v>
      </c>
      <c r="U85" t="s">
        <v>1402</v>
      </c>
      <c r="V85" t="s">
        <v>1402</v>
      </c>
      <c r="W85" t="s">
        <v>1402</v>
      </c>
      <c r="X85" t="s">
        <v>1402</v>
      </c>
      <c r="AH85">
        <v>0</v>
      </c>
      <c r="BP85" t="s">
        <v>1710</v>
      </c>
      <c r="BQ85" s="771">
        <v>80</v>
      </c>
      <c r="BR85" t="s">
        <v>605</v>
      </c>
      <c r="BS85" t="s">
        <v>1213</v>
      </c>
      <c r="BT85">
        <v>0</v>
      </c>
      <c r="BU85" t="s">
        <v>1213</v>
      </c>
      <c r="BV85">
        <v>0</v>
      </c>
      <c r="BW85" t="s">
        <v>1213</v>
      </c>
      <c r="BX85">
        <v>0</v>
      </c>
      <c r="BY85" t="s">
        <v>1213</v>
      </c>
      <c r="BZ85" t="s">
        <v>1756</v>
      </c>
    </row>
    <row r="86" spans="1:79" x14ac:dyDescent="0.2">
      <c r="A86" t="s">
        <v>1695</v>
      </c>
      <c r="B86" t="s">
        <v>1757</v>
      </c>
      <c r="C86" t="s">
        <v>1112</v>
      </c>
      <c r="D86" t="s">
        <v>1758</v>
      </c>
      <c r="E86" t="s">
        <v>1759</v>
      </c>
      <c r="F86" t="s">
        <v>1760</v>
      </c>
      <c r="G86" t="s">
        <v>1610</v>
      </c>
      <c r="H86" t="s">
        <v>1761</v>
      </c>
      <c r="I86" t="s">
        <v>1762</v>
      </c>
      <c r="J86" t="s">
        <v>1207</v>
      </c>
      <c r="K86" t="s">
        <v>1208</v>
      </c>
      <c r="M86" t="s">
        <v>606</v>
      </c>
      <c r="N86" t="s">
        <v>1294</v>
      </c>
      <c r="O86" t="s">
        <v>665</v>
      </c>
      <c r="P86" t="s">
        <v>1295</v>
      </c>
      <c r="Q86">
        <v>1</v>
      </c>
      <c r="R86" t="s">
        <v>1251</v>
      </c>
      <c r="S86">
        <v>80</v>
      </c>
      <c r="T86">
        <v>80</v>
      </c>
      <c r="U86">
        <v>80</v>
      </c>
      <c r="V86">
        <v>80</v>
      </c>
      <c r="W86">
        <v>80</v>
      </c>
      <c r="X86">
        <v>80</v>
      </c>
      <c r="AH86">
        <v>0</v>
      </c>
      <c r="AI86" t="s">
        <v>605</v>
      </c>
      <c r="AJ86" t="s">
        <v>605</v>
      </c>
      <c r="AK86" t="s">
        <v>605</v>
      </c>
      <c r="AL86" t="s">
        <v>605</v>
      </c>
      <c r="AM86" t="s">
        <v>605</v>
      </c>
      <c r="AN86" t="s">
        <v>1296</v>
      </c>
      <c r="AO86" t="s">
        <v>1296</v>
      </c>
      <c r="AP86" t="s">
        <v>1296</v>
      </c>
      <c r="AQ86" t="s">
        <v>1296</v>
      </c>
      <c r="AR86" t="s">
        <v>1296</v>
      </c>
      <c r="AS86" t="s">
        <v>1296</v>
      </c>
      <c r="AT86" t="s">
        <v>1296</v>
      </c>
      <c r="AU86" t="s">
        <v>1296</v>
      </c>
      <c r="AV86" t="s">
        <v>1296</v>
      </c>
      <c r="AW86" t="s">
        <v>1296</v>
      </c>
      <c r="AX86" t="s">
        <v>1296</v>
      </c>
      <c r="AY86" t="s">
        <v>1296</v>
      </c>
      <c r="AZ86" t="s">
        <v>1296</v>
      </c>
      <c r="BA86" t="s">
        <v>1296</v>
      </c>
      <c r="BB86" t="s">
        <v>1296</v>
      </c>
      <c r="BC86" t="s">
        <v>1296</v>
      </c>
      <c r="BD86" t="s">
        <v>1296</v>
      </c>
      <c r="BE86" t="s">
        <v>1296</v>
      </c>
      <c r="BF86" t="s">
        <v>1296</v>
      </c>
      <c r="BG86" t="s">
        <v>1296</v>
      </c>
      <c r="BH86" t="s">
        <v>1296</v>
      </c>
      <c r="BL86" t="s">
        <v>1296</v>
      </c>
      <c r="BN86">
        <v>1</v>
      </c>
      <c r="BO86" t="s">
        <v>1212</v>
      </c>
      <c r="BP86" t="s">
        <v>1710</v>
      </c>
      <c r="BQ86" s="769">
        <v>88.51</v>
      </c>
      <c r="BR86" t="s">
        <v>605</v>
      </c>
      <c r="BS86" t="s">
        <v>1213</v>
      </c>
      <c r="BT86">
        <v>0</v>
      </c>
      <c r="BU86" t="s">
        <v>1213</v>
      </c>
      <c r="BV86">
        <v>0</v>
      </c>
      <c r="BW86" t="s">
        <v>1213</v>
      </c>
      <c r="BX86">
        <v>0</v>
      </c>
      <c r="BY86" t="s">
        <v>1213</v>
      </c>
      <c r="BZ86" t="s">
        <v>1763</v>
      </c>
      <c r="CA86" t="s">
        <v>1298</v>
      </c>
    </row>
    <row r="87" spans="1:79" x14ac:dyDescent="0.2">
      <c r="A87" t="s">
        <v>1695</v>
      </c>
      <c r="B87" t="s">
        <v>1764</v>
      </c>
      <c r="C87" t="s">
        <v>1112</v>
      </c>
      <c r="D87" t="s">
        <v>1288</v>
      </c>
      <c r="E87" t="s">
        <v>1289</v>
      </c>
      <c r="F87" t="s">
        <v>1765</v>
      </c>
      <c r="G87" t="s">
        <v>1603</v>
      </c>
      <c r="H87" t="s">
        <v>1766</v>
      </c>
      <c r="I87" t="s">
        <v>1767</v>
      </c>
      <c r="J87" t="s">
        <v>1241</v>
      </c>
      <c r="N87" t="s">
        <v>1220</v>
      </c>
      <c r="O87" t="s">
        <v>272</v>
      </c>
      <c r="P87" t="s">
        <v>1768</v>
      </c>
      <c r="Q87">
        <v>2</v>
      </c>
      <c r="R87" t="s">
        <v>1211</v>
      </c>
      <c r="S87">
        <v>132.38999999999999</v>
      </c>
      <c r="T87">
        <v>131.44</v>
      </c>
      <c r="U87">
        <v>130.44999999999999</v>
      </c>
      <c r="V87">
        <v>129.44</v>
      </c>
      <c r="W87">
        <v>128.37</v>
      </c>
      <c r="X87">
        <v>127.28</v>
      </c>
      <c r="AH87">
        <v>0</v>
      </c>
      <c r="BP87">
        <v>129.53</v>
      </c>
      <c r="BQ87" s="773">
        <v>134.87</v>
      </c>
      <c r="BR87" t="s">
        <v>606</v>
      </c>
      <c r="BS87" t="s">
        <v>1213</v>
      </c>
      <c r="BT87">
        <v>0</v>
      </c>
      <c r="BU87" t="s">
        <v>1213</v>
      </c>
      <c r="BV87">
        <v>0</v>
      </c>
      <c r="BW87" t="s">
        <v>1213</v>
      </c>
      <c r="BX87">
        <v>0</v>
      </c>
      <c r="BY87" t="s">
        <v>1213</v>
      </c>
      <c r="BZ87" t="s">
        <v>1769</v>
      </c>
    </row>
    <row r="88" spans="1:79" x14ac:dyDescent="0.2">
      <c r="A88" t="s">
        <v>1695</v>
      </c>
      <c r="B88" t="s">
        <v>1770</v>
      </c>
      <c r="C88" t="s">
        <v>1112</v>
      </c>
      <c r="D88" t="s">
        <v>1288</v>
      </c>
      <c r="E88" t="s">
        <v>1289</v>
      </c>
      <c r="F88" t="s">
        <v>1765</v>
      </c>
      <c r="G88" t="s">
        <v>1771</v>
      </c>
      <c r="H88" t="s">
        <v>1772</v>
      </c>
      <c r="I88" t="s">
        <v>1773</v>
      </c>
      <c r="J88" t="s">
        <v>1207</v>
      </c>
      <c r="K88" t="s">
        <v>1208</v>
      </c>
      <c r="M88" t="s">
        <v>606</v>
      </c>
      <c r="N88" t="s">
        <v>1294</v>
      </c>
      <c r="O88" t="s">
        <v>665</v>
      </c>
      <c r="P88" t="s">
        <v>1295</v>
      </c>
      <c r="Q88">
        <v>1</v>
      </c>
      <c r="R88" t="s">
        <v>1251</v>
      </c>
      <c r="S88">
        <v>80</v>
      </c>
      <c r="T88">
        <v>80</v>
      </c>
      <c r="U88">
        <v>80</v>
      </c>
      <c r="V88">
        <v>80</v>
      </c>
      <c r="W88">
        <v>80</v>
      </c>
      <c r="X88">
        <v>80</v>
      </c>
      <c r="AH88">
        <v>0</v>
      </c>
      <c r="AI88" t="s">
        <v>605</v>
      </c>
      <c r="AJ88" t="s">
        <v>605</v>
      </c>
      <c r="AK88" t="s">
        <v>605</v>
      </c>
      <c r="AL88" t="s">
        <v>605</v>
      </c>
      <c r="AM88" t="s">
        <v>605</v>
      </c>
      <c r="AN88" t="s">
        <v>1296</v>
      </c>
      <c r="AO88" t="s">
        <v>1296</v>
      </c>
      <c r="AP88" t="s">
        <v>1296</v>
      </c>
      <c r="AQ88" t="s">
        <v>1296</v>
      </c>
      <c r="AR88" t="s">
        <v>1296</v>
      </c>
      <c r="AS88" t="s">
        <v>1296</v>
      </c>
      <c r="AT88" t="s">
        <v>1296</v>
      </c>
      <c r="AU88" t="s">
        <v>1296</v>
      </c>
      <c r="AV88" t="s">
        <v>1296</v>
      </c>
      <c r="AW88" t="s">
        <v>1296</v>
      </c>
      <c r="AX88" t="s">
        <v>1296</v>
      </c>
      <c r="AY88" t="s">
        <v>1296</v>
      </c>
      <c r="AZ88" t="s">
        <v>1296</v>
      </c>
      <c r="BA88" t="s">
        <v>1296</v>
      </c>
      <c r="BB88" t="s">
        <v>1296</v>
      </c>
      <c r="BC88" t="s">
        <v>1296</v>
      </c>
      <c r="BD88" t="s">
        <v>1296</v>
      </c>
      <c r="BE88" t="s">
        <v>1296</v>
      </c>
      <c r="BF88" t="s">
        <v>1296</v>
      </c>
      <c r="BG88" t="s">
        <v>1296</v>
      </c>
      <c r="BH88" t="s">
        <v>1296</v>
      </c>
      <c r="BL88" t="s">
        <v>1296</v>
      </c>
      <c r="BN88">
        <v>1</v>
      </c>
      <c r="BO88" t="s">
        <v>1212</v>
      </c>
      <c r="BP88">
        <v>77.900000000000006</v>
      </c>
      <c r="BQ88" s="769">
        <v>83.42</v>
      </c>
      <c r="BR88" t="s">
        <v>605</v>
      </c>
      <c r="BS88" t="s">
        <v>1213</v>
      </c>
      <c r="BT88">
        <v>0</v>
      </c>
      <c r="BU88" t="s">
        <v>1213</v>
      </c>
      <c r="BV88">
        <v>0</v>
      </c>
      <c r="BW88" t="s">
        <v>1213</v>
      </c>
      <c r="BX88">
        <v>0</v>
      </c>
      <c r="BY88" t="s">
        <v>1213</v>
      </c>
      <c r="BZ88" t="s">
        <v>1774</v>
      </c>
      <c r="CA88" t="s">
        <v>1298</v>
      </c>
    </row>
    <row r="89" spans="1:79" x14ac:dyDescent="0.2">
      <c r="A89" t="s">
        <v>1087</v>
      </c>
      <c r="B89" t="s">
        <v>1775</v>
      </c>
      <c r="C89" t="s">
        <v>1077</v>
      </c>
      <c r="D89" t="s">
        <v>457</v>
      </c>
      <c r="E89" t="s">
        <v>1202</v>
      </c>
      <c r="F89" t="s">
        <v>1776</v>
      </c>
      <c r="G89" t="s">
        <v>1204</v>
      </c>
      <c r="H89" t="s">
        <v>1777</v>
      </c>
      <c r="I89" t="s">
        <v>1778</v>
      </c>
      <c r="J89" t="s">
        <v>1241</v>
      </c>
      <c r="N89" t="s">
        <v>1272</v>
      </c>
      <c r="O89" t="s">
        <v>1710</v>
      </c>
      <c r="P89" t="s">
        <v>1779</v>
      </c>
      <c r="Q89" t="s">
        <v>1212</v>
      </c>
      <c r="S89" t="s">
        <v>1710</v>
      </c>
      <c r="T89" t="s">
        <v>1710</v>
      </c>
      <c r="U89" t="s">
        <v>1710</v>
      </c>
      <c r="V89" t="s">
        <v>1710</v>
      </c>
      <c r="W89" t="s">
        <v>1710</v>
      </c>
      <c r="X89" t="s">
        <v>1710</v>
      </c>
      <c r="AE89" t="s">
        <v>605</v>
      </c>
      <c r="AH89">
        <v>0</v>
      </c>
      <c r="BP89" t="s">
        <v>952</v>
      </c>
      <c r="BQ89" s="771" t="s">
        <v>952</v>
      </c>
      <c r="BR89" t="s">
        <v>1213</v>
      </c>
      <c r="BS89" t="s">
        <v>1213</v>
      </c>
      <c r="BT89">
        <v>0</v>
      </c>
      <c r="BU89" t="s">
        <v>1213</v>
      </c>
      <c r="BV89">
        <v>0</v>
      </c>
      <c r="BW89" t="s">
        <v>1213</v>
      </c>
      <c r="BX89">
        <v>0</v>
      </c>
      <c r="BY89" t="s">
        <v>1213</v>
      </c>
      <c r="BZ89" t="s">
        <v>1780</v>
      </c>
      <c r="CA89" t="s">
        <v>1781</v>
      </c>
    </row>
    <row r="90" spans="1:79" x14ac:dyDescent="0.2">
      <c r="A90" t="s">
        <v>1087</v>
      </c>
      <c r="B90" t="s">
        <v>1782</v>
      </c>
      <c r="C90" t="s">
        <v>1077</v>
      </c>
      <c r="D90" t="s">
        <v>457</v>
      </c>
      <c r="E90" t="s">
        <v>1202</v>
      </c>
      <c r="F90" t="s">
        <v>1783</v>
      </c>
      <c r="G90" t="s">
        <v>1246</v>
      </c>
      <c r="H90" t="s">
        <v>1784</v>
      </c>
      <c r="I90" t="s">
        <v>1785</v>
      </c>
      <c r="J90" t="s">
        <v>1207</v>
      </c>
      <c r="K90" t="s">
        <v>1563</v>
      </c>
      <c r="N90" t="s">
        <v>1172</v>
      </c>
      <c r="O90" t="s">
        <v>272</v>
      </c>
      <c r="P90" t="s">
        <v>1786</v>
      </c>
      <c r="Q90">
        <v>0</v>
      </c>
      <c r="R90" t="s">
        <v>1211</v>
      </c>
      <c r="S90">
        <v>1402</v>
      </c>
      <c r="T90">
        <v>1236</v>
      </c>
      <c r="U90">
        <v>1069</v>
      </c>
      <c r="V90">
        <v>903</v>
      </c>
      <c r="W90">
        <v>903</v>
      </c>
      <c r="X90">
        <v>903</v>
      </c>
      <c r="Z90" t="s">
        <v>605</v>
      </c>
      <c r="AE90" t="s">
        <v>605</v>
      </c>
      <c r="AH90">
        <v>0</v>
      </c>
      <c r="AI90" t="s">
        <v>605</v>
      </c>
      <c r="AJ90" t="s">
        <v>605</v>
      </c>
      <c r="AK90" t="s">
        <v>605</v>
      </c>
      <c r="AL90" t="s">
        <v>605</v>
      </c>
      <c r="AM90" t="s">
        <v>605</v>
      </c>
      <c r="AN90" t="s">
        <v>1787</v>
      </c>
      <c r="AO90" t="s">
        <v>1787</v>
      </c>
      <c r="AP90" t="s">
        <v>1788</v>
      </c>
      <c r="AQ90" t="s">
        <v>1788</v>
      </c>
      <c r="AR90" t="s">
        <v>1788</v>
      </c>
      <c r="AS90" t="s">
        <v>1789</v>
      </c>
      <c r="AT90" t="s">
        <v>1789</v>
      </c>
      <c r="AU90" t="s">
        <v>1790</v>
      </c>
      <c r="AV90" t="s">
        <v>1790</v>
      </c>
      <c r="AW90" t="s">
        <v>1790</v>
      </c>
      <c r="AX90" t="s">
        <v>1791</v>
      </c>
      <c r="AY90" t="s">
        <v>1791</v>
      </c>
      <c r="AZ90" t="s">
        <v>1791</v>
      </c>
      <c r="BA90" t="s">
        <v>1791</v>
      </c>
      <c r="BB90" t="s">
        <v>1791</v>
      </c>
      <c r="BC90" t="s">
        <v>1792</v>
      </c>
      <c r="BD90" t="s">
        <v>1793</v>
      </c>
      <c r="BE90" t="s">
        <v>1792</v>
      </c>
      <c r="BF90" t="s">
        <v>1792</v>
      </c>
      <c r="BG90" t="s">
        <v>1792</v>
      </c>
      <c r="BH90">
        <v>2.3E-2</v>
      </c>
      <c r="BL90">
        <v>1.0999999999999999E-2</v>
      </c>
      <c r="BN90">
        <v>1</v>
      </c>
      <c r="BO90" t="s">
        <v>1212</v>
      </c>
      <c r="BP90">
        <v>1405</v>
      </c>
      <c r="BQ90" s="772">
        <v>1225</v>
      </c>
      <c r="BR90" t="s">
        <v>605</v>
      </c>
      <c r="BS90" t="s">
        <v>1213</v>
      </c>
      <c r="BT90">
        <v>0</v>
      </c>
      <c r="BU90" t="s">
        <v>610</v>
      </c>
      <c r="BV90">
        <v>0</v>
      </c>
      <c r="BW90" t="s">
        <v>1213</v>
      </c>
      <c r="BX90">
        <v>0</v>
      </c>
      <c r="BY90" t="s">
        <v>1172</v>
      </c>
      <c r="BZ90" t="s">
        <v>1794</v>
      </c>
    </row>
    <row r="91" spans="1:79" x14ac:dyDescent="0.2">
      <c r="A91" t="s">
        <v>1087</v>
      </c>
      <c r="B91" t="s">
        <v>1795</v>
      </c>
      <c r="C91" t="s">
        <v>1077</v>
      </c>
      <c r="D91" t="s">
        <v>457</v>
      </c>
      <c r="E91" t="s">
        <v>1202</v>
      </c>
      <c r="F91" t="s">
        <v>1783</v>
      </c>
      <c r="G91" t="s">
        <v>1255</v>
      </c>
      <c r="H91" t="s">
        <v>1796</v>
      </c>
      <c r="I91" t="s">
        <v>1797</v>
      </c>
      <c r="J91" t="s">
        <v>1219</v>
      </c>
      <c r="K91" t="s">
        <v>1563</v>
      </c>
      <c r="M91" t="s">
        <v>606</v>
      </c>
      <c r="N91" t="s">
        <v>1249</v>
      </c>
      <c r="O91" t="s">
        <v>264</v>
      </c>
      <c r="P91" t="s">
        <v>1250</v>
      </c>
      <c r="Q91">
        <v>2</v>
      </c>
      <c r="R91" t="s">
        <v>1251</v>
      </c>
      <c r="S91">
        <v>99.94</v>
      </c>
      <c r="T91" t="s">
        <v>1798</v>
      </c>
      <c r="U91" t="s">
        <v>1798</v>
      </c>
      <c r="V91">
        <v>100</v>
      </c>
      <c r="W91">
        <v>100</v>
      </c>
      <c r="X91">
        <v>100</v>
      </c>
      <c r="Y91" t="s">
        <v>605</v>
      </c>
      <c r="AE91" t="s">
        <v>605</v>
      </c>
      <c r="AH91">
        <v>0</v>
      </c>
      <c r="AK91" t="s">
        <v>605</v>
      </c>
      <c r="AL91" t="s">
        <v>605</v>
      </c>
      <c r="AM91" t="s">
        <v>605</v>
      </c>
      <c r="AN91" t="s">
        <v>1799</v>
      </c>
      <c r="AO91" t="s">
        <v>1799</v>
      </c>
      <c r="AP91" t="s">
        <v>1800</v>
      </c>
      <c r="AQ91" t="s">
        <v>1801</v>
      </c>
      <c r="AR91" t="s">
        <v>1802</v>
      </c>
      <c r="AS91" t="s">
        <v>1803</v>
      </c>
      <c r="AT91" t="s">
        <v>1803</v>
      </c>
      <c r="AU91" t="s">
        <v>1804</v>
      </c>
      <c r="AV91" t="s">
        <v>1805</v>
      </c>
      <c r="AW91" t="s">
        <v>1806</v>
      </c>
      <c r="BH91">
        <v>3.98475</v>
      </c>
      <c r="BI91">
        <v>3.98475</v>
      </c>
      <c r="BN91">
        <v>1</v>
      </c>
      <c r="BO91" t="s">
        <v>1212</v>
      </c>
      <c r="BP91">
        <v>99.93</v>
      </c>
      <c r="BQ91" s="773">
        <v>99.936999999999998</v>
      </c>
      <c r="BR91" t="s">
        <v>1213</v>
      </c>
      <c r="BS91" t="s">
        <v>1213</v>
      </c>
      <c r="BT91">
        <v>0</v>
      </c>
      <c r="BU91" t="s">
        <v>1213</v>
      </c>
      <c r="BV91">
        <v>0</v>
      </c>
      <c r="BW91" t="s">
        <v>1213</v>
      </c>
      <c r="BX91">
        <v>0</v>
      </c>
      <c r="BY91" t="s">
        <v>1171</v>
      </c>
      <c r="BZ91" t="s">
        <v>1807</v>
      </c>
      <c r="CA91" t="s">
        <v>1808</v>
      </c>
    </row>
    <row r="92" spans="1:79" x14ac:dyDescent="0.2">
      <c r="A92" t="s">
        <v>1087</v>
      </c>
      <c r="B92" t="s">
        <v>1809</v>
      </c>
      <c r="C92" t="s">
        <v>1077</v>
      </c>
      <c r="D92" t="s">
        <v>457</v>
      </c>
      <c r="E92" t="s">
        <v>1202</v>
      </c>
      <c r="F92" t="s">
        <v>1783</v>
      </c>
      <c r="G92" t="s">
        <v>1810</v>
      </c>
      <c r="H92" t="s">
        <v>1811</v>
      </c>
      <c r="I92" t="s">
        <v>1812</v>
      </c>
      <c r="J92" t="s">
        <v>1207</v>
      </c>
      <c r="K92" t="s">
        <v>1563</v>
      </c>
      <c r="M92" t="s">
        <v>606</v>
      </c>
      <c r="N92" t="s">
        <v>1172</v>
      </c>
      <c r="O92" t="s">
        <v>272</v>
      </c>
      <c r="P92" t="s">
        <v>1786</v>
      </c>
      <c r="Q92">
        <v>0</v>
      </c>
      <c r="R92" t="s">
        <v>1211</v>
      </c>
      <c r="S92">
        <v>4600</v>
      </c>
      <c r="T92">
        <v>4054</v>
      </c>
      <c r="U92">
        <v>3508</v>
      </c>
      <c r="V92">
        <v>2962</v>
      </c>
      <c r="W92">
        <v>2962</v>
      </c>
      <c r="X92">
        <v>2962</v>
      </c>
      <c r="Z92" t="s">
        <v>605</v>
      </c>
      <c r="AE92" t="s">
        <v>605</v>
      </c>
      <c r="AH92">
        <v>0</v>
      </c>
      <c r="AK92" t="s">
        <v>605</v>
      </c>
      <c r="AL92" t="s">
        <v>605</v>
      </c>
      <c r="AM92" t="s">
        <v>605</v>
      </c>
      <c r="AN92" t="s">
        <v>1813</v>
      </c>
      <c r="AO92" t="s">
        <v>1813</v>
      </c>
      <c r="AP92" t="s">
        <v>1814</v>
      </c>
      <c r="AQ92" t="s">
        <v>1815</v>
      </c>
      <c r="AR92" t="s">
        <v>1816</v>
      </c>
      <c r="AS92" t="s">
        <v>1817</v>
      </c>
      <c r="AT92" t="s">
        <v>1817</v>
      </c>
      <c r="AU92" t="s">
        <v>1818</v>
      </c>
      <c r="AV92" t="s">
        <v>1819</v>
      </c>
      <c r="AW92" t="s">
        <v>1820</v>
      </c>
      <c r="AX92" t="s">
        <v>1821</v>
      </c>
      <c r="AY92" t="s">
        <v>1821</v>
      </c>
      <c r="AZ92" t="s">
        <v>1821</v>
      </c>
      <c r="BA92" t="s">
        <v>1821</v>
      </c>
      <c r="BB92" t="s">
        <v>1821</v>
      </c>
      <c r="BC92" t="s">
        <v>1822</v>
      </c>
      <c r="BD92" t="s">
        <v>1822</v>
      </c>
      <c r="BE92" t="s">
        <v>1822</v>
      </c>
      <c r="BF92" t="s">
        <v>1822</v>
      </c>
      <c r="BG92" t="s">
        <v>1822</v>
      </c>
      <c r="BH92">
        <v>3.98475</v>
      </c>
      <c r="BI92">
        <v>3.98475</v>
      </c>
      <c r="BL92">
        <v>2E-3</v>
      </c>
      <c r="BN92">
        <v>1</v>
      </c>
      <c r="BO92" t="s">
        <v>1212</v>
      </c>
      <c r="BP92">
        <v>4292</v>
      </c>
      <c r="BQ92" s="772">
        <v>3762</v>
      </c>
      <c r="BR92" t="s">
        <v>1213</v>
      </c>
      <c r="BS92" t="s">
        <v>1213</v>
      </c>
      <c r="BT92">
        <v>0</v>
      </c>
      <c r="BU92" t="s">
        <v>1213</v>
      </c>
      <c r="BV92">
        <v>0</v>
      </c>
      <c r="BW92" t="s">
        <v>611</v>
      </c>
      <c r="BX92">
        <v>0.23400000000000001</v>
      </c>
      <c r="BY92" t="s">
        <v>1172</v>
      </c>
      <c r="BZ92" t="s">
        <v>1823</v>
      </c>
      <c r="CA92" t="s">
        <v>1808</v>
      </c>
    </row>
    <row r="93" spans="1:79" x14ac:dyDescent="0.2">
      <c r="A93" t="s">
        <v>1087</v>
      </c>
      <c r="B93" t="s">
        <v>1824</v>
      </c>
      <c r="C93" t="s">
        <v>1077</v>
      </c>
      <c r="D93" t="s">
        <v>457</v>
      </c>
      <c r="E93" t="s">
        <v>1202</v>
      </c>
      <c r="F93" t="s">
        <v>1825</v>
      </c>
      <c r="G93" t="s">
        <v>1262</v>
      </c>
      <c r="H93" t="s">
        <v>1826</v>
      </c>
      <c r="I93" t="s">
        <v>1827</v>
      </c>
      <c r="J93" t="s">
        <v>1207</v>
      </c>
      <c r="K93" t="s">
        <v>1563</v>
      </c>
      <c r="M93" t="s">
        <v>606</v>
      </c>
      <c r="N93" t="s">
        <v>1265</v>
      </c>
      <c r="O93" t="s">
        <v>1309</v>
      </c>
      <c r="P93" t="s">
        <v>1828</v>
      </c>
      <c r="Q93" t="s">
        <v>1829</v>
      </c>
      <c r="R93" t="s">
        <v>1211</v>
      </c>
      <c r="S93">
        <v>0.3034722222222222</v>
      </c>
      <c r="T93">
        <v>0.28472222222222221</v>
      </c>
      <c r="U93">
        <v>0.26597222222222222</v>
      </c>
      <c r="V93">
        <v>0.24722222222222223</v>
      </c>
      <c r="W93">
        <v>0.22847222222222222</v>
      </c>
      <c r="X93">
        <v>0.20833333333333334</v>
      </c>
      <c r="AA93" t="s">
        <v>605</v>
      </c>
      <c r="AE93" t="s">
        <v>605</v>
      </c>
      <c r="AH93">
        <v>0</v>
      </c>
      <c r="AI93" t="s">
        <v>605</v>
      </c>
      <c r="AJ93" t="s">
        <v>605</v>
      </c>
      <c r="AK93" t="s">
        <v>605</v>
      </c>
      <c r="AL93" t="s">
        <v>605</v>
      </c>
      <c r="AM93" t="s">
        <v>605</v>
      </c>
      <c r="AN93" t="s">
        <v>1830</v>
      </c>
      <c r="AO93" t="s">
        <v>1831</v>
      </c>
      <c r="AP93" t="s">
        <v>1832</v>
      </c>
      <c r="AQ93" t="s">
        <v>1833</v>
      </c>
      <c r="AR93" t="s">
        <v>1834</v>
      </c>
      <c r="AS93" t="s">
        <v>1835</v>
      </c>
      <c r="AT93" t="s">
        <v>1836</v>
      </c>
      <c r="AU93" t="s">
        <v>1837</v>
      </c>
      <c r="AV93" t="s">
        <v>1838</v>
      </c>
      <c r="AW93" t="s">
        <v>1839</v>
      </c>
      <c r="AX93" t="s">
        <v>1840</v>
      </c>
      <c r="AY93" t="s">
        <v>1841</v>
      </c>
      <c r="AZ93" t="s">
        <v>1842</v>
      </c>
      <c r="BA93" t="s">
        <v>1843</v>
      </c>
      <c r="BB93" t="s">
        <v>1844</v>
      </c>
      <c r="BC93" t="s">
        <v>1845</v>
      </c>
      <c r="BD93" t="s">
        <v>1845</v>
      </c>
      <c r="BE93" t="s">
        <v>1845</v>
      </c>
      <c r="BF93" t="s">
        <v>1845</v>
      </c>
      <c r="BG93" t="s">
        <v>1845</v>
      </c>
      <c r="BH93">
        <v>0.15</v>
      </c>
      <c r="BL93">
        <v>1.7999999999999999E-2</v>
      </c>
      <c r="BN93">
        <v>1</v>
      </c>
      <c r="BO93" t="s">
        <v>1212</v>
      </c>
      <c r="BP93">
        <v>0.16388888888888889</v>
      </c>
      <c r="BQ93" s="781">
        <v>0.1388888888888889</v>
      </c>
      <c r="BR93" t="s">
        <v>605</v>
      </c>
      <c r="BS93" t="s">
        <v>1213</v>
      </c>
      <c r="BT93">
        <v>0</v>
      </c>
      <c r="BU93" t="s">
        <v>611</v>
      </c>
      <c r="BV93">
        <v>3.78</v>
      </c>
      <c r="BW93" t="s">
        <v>611</v>
      </c>
      <c r="BX93">
        <v>9.7919999999999998</v>
      </c>
      <c r="BY93" t="s">
        <v>1173</v>
      </c>
      <c r="BZ93" t="s">
        <v>1846</v>
      </c>
    </row>
    <row r="94" spans="1:79" x14ac:dyDescent="0.2">
      <c r="A94" t="s">
        <v>1087</v>
      </c>
      <c r="B94" t="s">
        <v>1847</v>
      </c>
      <c r="C94" t="s">
        <v>1077</v>
      </c>
      <c r="D94" t="s">
        <v>457</v>
      </c>
      <c r="E94" t="s">
        <v>1202</v>
      </c>
      <c r="F94" t="s">
        <v>1825</v>
      </c>
      <c r="G94" t="s">
        <v>1269</v>
      </c>
      <c r="H94" t="s">
        <v>1848</v>
      </c>
      <c r="I94" t="s">
        <v>1849</v>
      </c>
      <c r="J94" t="s">
        <v>1207</v>
      </c>
      <c r="K94" t="s">
        <v>1563</v>
      </c>
      <c r="M94" t="s">
        <v>606</v>
      </c>
      <c r="N94" t="s">
        <v>1315</v>
      </c>
      <c r="O94" t="s">
        <v>272</v>
      </c>
      <c r="P94" t="s">
        <v>1266</v>
      </c>
      <c r="Q94">
        <v>0</v>
      </c>
      <c r="R94" t="s">
        <v>1211</v>
      </c>
      <c r="S94">
        <v>257</v>
      </c>
      <c r="T94">
        <v>216</v>
      </c>
      <c r="U94">
        <v>216</v>
      </c>
      <c r="V94">
        <v>216</v>
      </c>
      <c r="W94">
        <v>216</v>
      </c>
      <c r="X94">
        <v>216</v>
      </c>
      <c r="AE94" t="s">
        <v>605</v>
      </c>
      <c r="AH94">
        <v>0</v>
      </c>
      <c r="AK94" t="s">
        <v>605</v>
      </c>
      <c r="AL94" t="s">
        <v>605</v>
      </c>
      <c r="AM94" t="s">
        <v>605</v>
      </c>
      <c r="AN94" t="s">
        <v>1850</v>
      </c>
      <c r="AO94" t="s">
        <v>1850</v>
      </c>
      <c r="AP94" t="s">
        <v>1850</v>
      </c>
      <c r="AQ94" t="s">
        <v>1850</v>
      </c>
      <c r="AR94" t="s">
        <v>1850</v>
      </c>
      <c r="AS94" t="s">
        <v>1851</v>
      </c>
      <c r="AT94" t="s">
        <v>1851</v>
      </c>
      <c r="AU94" t="s">
        <v>1851</v>
      </c>
      <c r="AV94" t="s">
        <v>1851</v>
      </c>
      <c r="AW94" t="s">
        <v>1851</v>
      </c>
      <c r="AX94" t="s">
        <v>1852</v>
      </c>
      <c r="AY94" t="s">
        <v>1852</v>
      </c>
      <c r="AZ94" t="s">
        <v>1852</v>
      </c>
      <c r="BA94" t="s">
        <v>1852</v>
      </c>
      <c r="BB94" t="s">
        <v>1852</v>
      </c>
      <c r="BC94">
        <v>0</v>
      </c>
      <c r="BD94">
        <v>0</v>
      </c>
      <c r="BE94">
        <v>0</v>
      </c>
      <c r="BF94">
        <v>0</v>
      </c>
      <c r="BG94">
        <v>0</v>
      </c>
      <c r="BH94">
        <v>3.98475</v>
      </c>
      <c r="BI94">
        <v>3.98475</v>
      </c>
      <c r="BL94">
        <v>1E-3</v>
      </c>
      <c r="BN94">
        <v>1</v>
      </c>
      <c r="BO94" t="s">
        <v>1212</v>
      </c>
      <c r="BP94">
        <v>254</v>
      </c>
      <c r="BQ94" s="772">
        <v>238</v>
      </c>
      <c r="BR94" t="s">
        <v>1213</v>
      </c>
      <c r="BS94" t="s">
        <v>1213</v>
      </c>
      <c r="BT94">
        <v>0</v>
      </c>
      <c r="BU94" t="s">
        <v>1213</v>
      </c>
      <c r="BV94">
        <v>0</v>
      </c>
      <c r="BW94" t="s">
        <v>1213</v>
      </c>
      <c r="BX94">
        <v>0</v>
      </c>
      <c r="BY94" t="s">
        <v>1213</v>
      </c>
      <c r="BZ94" t="s">
        <v>1853</v>
      </c>
      <c r="CA94" t="s">
        <v>1808</v>
      </c>
    </row>
    <row r="95" spans="1:79" x14ac:dyDescent="0.2">
      <c r="A95" t="s">
        <v>1087</v>
      </c>
      <c r="B95" t="s">
        <v>1854</v>
      </c>
      <c r="C95" t="s">
        <v>1077</v>
      </c>
      <c r="D95" t="s">
        <v>457</v>
      </c>
      <c r="E95" t="s">
        <v>1202</v>
      </c>
      <c r="F95" t="s">
        <v>1825</v>
      </c>
      <c r="G95" t="s">
        <v>1276</v>
      </c>
      <c r="H95" t="s">
        <v>1855</v>
      </c>
      <c r="I95" t="s">
        <v>1856</v>
      </c>
      <c r="J95" t="s">
        <v>1219</v>
      </c>
      <c r="K95" t="s">
        <v>1563</v>
      </c>
      <c r="M95" t="s">
        <v>606</v>
      </c>
      <c r="N95" t="s">
        <v>1272</v>
      </c>
      <c r="O95" t="s">
        <v>272</v>
      </c>
      <c r="P95" t="s">
        <v>1273</v>
      </c>
      <c r="Q95">
        <v>0</v>
      </c>
      <c r="R95" t="s">
        <v>1211</v>
      </c>
      <c r="S95">
        <v>4586</v>
      </c>
      <c r="T95">
        <v>4586</v>
      </c>
      <c r="U95">
        <v>4586</v>
      </c>
      <c r="V95">
        <v>4586</v>
      </c>
      <c r="W95">
        <v>4586</v>
      </c>
      <c r="X95">
        <v>4586</v>
      </c>
      <c r="AE95" t="s">
        <v>605</v>
      </c>
      <c r="AH95">
        <v>0</v>
      </c>
      <c r="AK95" t="s">
        <v>605</v>
      </c>
      <c r="AL95" t="s">
        <v>605</v>
      </c>
      <c r="AM95" t="s">
        <v>605</v>
      </c>
      <c r="AN95" t="s">
        <v>1857</v>
      </c>
      <c r="AO95" t="s">
        <v>1857</v>
      </c>
      <c r="AP95" t="s">
        <v>1857</v>
      </c>
      <c r="AQ95" t="s">
        <v>1857</v>
      </c>
      <c r="AR95" t="s">
        <v>1857</v>
      </c>
      <c r="AS95" t="s">
        <v>1858</v>
      </c>
      <c r="AT95" t="s">
        <v>1858</v>
      </c>
      <c r="AU95" t="s">
        <v>1858</v>
      </c>
      <c r="AV95" t="s">
        <v>1858</v>
      </c>
      <c r="AW95" t="s">
        <v>1858</v>
      </c>
      <c r="BH95">
        <v>3.98475</v>
      </c>
      <c r="BI95">
        <v>3.98475</v>
      </c>
      <c r="BN95">
        <v>1</v>
      </c>
      <c r="BO95" t="s">
        <v>1212</v>
      </c>
      <c r="BP95">
        <v>3964</v>
      </c>
      <c r="BQ95" s="772">
        <v>3916</v>
      </c>
      <c r="BR95" t="s">
        <v>1213</v>
      </c>
      <c r="BS95" t="s">
        <v>1213</v>
      </c>
      <c r="BT95">
        <v>0</v>
      </c>
      <c r="BU95" t="s">
        <v>1213</v>
      </c>
      <c r="BV95">
        <v>0</v>
      </c>
      <c r="BW95" t="s">
        <v>1213</v>
      </c>
      <c r="BX95">
        <v>0</v>
      </c>
      <c r="BY95" t="s">
        <v>1213</v>
      </c>
      <c r="BZ95" t="s">
        <v>1859</v>
      </c>
      <c r="CA95" t="s">
        <v>1808</v>
      </c>
    </row>
    <row r="96" spans="1:79" x14ac:dyDescent="0.2">
      <c r="A96" t="s">
        <v>1087</v>
      </c>
      <c r="B96" t="s">
        <v>1860</v>
      </c>
      <c r="C96" t="s">
        <v>1077</v>
      </c>
      <c r="D96" t="s">
        <v>457</v>
      </c>
      <c r="E96" t="s">
        <v>1202</v>
      </c>
      <c r="F96" t="s">
        <v>1825</v>
      </c>
      <c r="G96" t="s">
        <v>1283</v>
      </c>
      <c r="H96" t="s">
        <v>1861</v>
      </c>
      <c r="I96" t="s">
        <v>1862</v>
      </c>
      <c r="J96" t="s">
        <v>1207</v>
      </c>
      <c r="K96" t="s">
        <v>1563</v>
      </c>
      <c r="N96" t="s">
        <v>1209</v>
      </c>
      <c r="O96" t="s">
        <v>272</v>
      </c>
      <c r="P96" t="s">
        <v>1210</v>
      </c>
      <c r="Q96">
        <v>0</v>
      </c>
      <c r="R96" t="s">
        <v>1211</v>
      </c>
      <c r="S96">
        <v>141</v>
      </c>
      <c r="T96">
        <v>139</v>
      </c>
      <c r="U96">
        <v>137</v>
      </c>
      <c r="V96">
        <v>137</v>
      </c>
      <c r="W96">
        <v>137</v>
      </c>
      <c r="X96">
        <v>137</v>
      </c>
      <c r="AE96" t="s">
        <v>605</v>
      </c>
      <c r="AH96">
        <v>0</v>
      </c>
      <c r="AI96" t="s">
        <v>605</v>
      </c>
      <c r="AJ96" t="s">
        <v>605</v>
      </c>
      <c r="AK96" t="s">
        <v>605</v>
      </c>
      <c r="AL96" t="s">
        <v>605</v>
      </c>
      <c r="AM96" t="s">
        <v>605</v>
      </c>
      <c r="AN96" t="s">
        <v>1863</v>
      </c>
      <c r="AO96" t="s">
        <v>1864</v>
      </c>
      <c r="AP96" t="s">
        <v>1864</v>
      </c>
      <c r="AQ96" t="s">
        <v>1864</v>
      </c>
      <c r="AR96" t="s">
        <v>1864</v>
      </c>
      <c r="AS96" t="s">
        <v>1865</v>
      </c>
      <c r="AT96" t="s">
        <v>1866</v>
      </c>
      <c r="AU96" t="s">
        <v>1866</v>
      </c>
      <c r="AV96" t="s">
        <v>1866</v>
      </c>
      <c r="AW96" t="s">
        <v>1866</v>
      </c>
      <c r="AX96" t="s">
        <v>1867</v>
      </c>
      <c r="AY96" t="s">
        <v>1867</v>
      </c>
      <c r="AZ96" t="s">
        <v>1867</v>
      </c>
      <c r="BA96" t="s">
        <v>1867</v>
      </c>
      <c r="BB96" t="s">
        <v>1867</v>
      </c>
      <c r="BC96" t="s">
        <v>1868</v>
      </c>
      <c r="BD96" t="s">
        <v>1868</v>
      </c>
      <c r="BE96" t="s">
        <v>1868</v>
      </c>
      <c r="BF96" t="s">
        <v>1868</v>
      </c>
      <c r="BG96" t="s">
        <v>1868</v>
      </c>
      <c r="BH96">
        <v>0.115</v>
      </c>
      <c r="BL96">
        <v>0.115</v>
      </c>
      <c r="BN96">
        <v>1</v>
      </c>
      <c r="BO96" t="s">
        <v>1212</v>
      </c>
      <c r="BP96">
        <v>136.77000000000001</v>
      </c>
      <c r="BQ96" s="772">
        <v>134.66</v>
      </c>
      <c r="BR96" t="s">
        <v>605</v>
      </c>
      <c r="BS96" t="s">
        <v>1213</v>
      </c>
      <c r="BT96">
        <v>0</v>
      </c>
      <c r="BU96" t="s">
        <v>610</v>
      </c>
      <c r="BV96">
        <v>0</v>
      </c>
      <c r="BW96" t="s">
        <v>1213</v>
      </c>
      <c r="BX96">
        <v>0</v>
      </c>
      <c r="BY96" t="s">
        <v>1213</v>
      </c>
      <c r="BZ96" t="s">
        <v>1869</v>
      </c>
    </row>
    <row r="97" spans="1:79" x14ac:dyDescent="0.2">
      <c r="A97" t="s">
        <v>1087</v>
      </c>
      <c r="B97" t="s">
        <v>1870</v>
      </c>
      <c r="C97" t="s">
        <v>1077</v>
      </c>
      <c r="D97" t="s">
        <v>457</v>
      </c>
      <c r="E97" t="s">
        <v>1202</v>
      </c>
      <c r="F97" t="s">
        <v>1825</v>
      </c>
      <c r="G97" t="s">
        <v>1871</v>
      </c>
      <c r="H97" t="s">
        <v>1872</v>
      </c>
      <c r="I97" t="s">
        <v>1873</v>
      </c>
      <c r="J97" t="s">
        <v>1207</v>
      </c>
      <c r="K97" t="s">
        <v>1563</v>
      </c>
      <c r="N97" t="s">
        <v>1209</v>
      </c>
      <c r="O97" t="s">
        <v>272</v>
      </c>
      <c r="P97" t="s">
        <v>1210</v>
      </c>
      <c r="Q97">
        <v>0</v>
      </c>
      <c r="R97" t="s">
        <v>1211</v>
      </c>
      <c r="S97">
        <v>66</v>
      </c>
      <c r="T97">
        <v>66</v>
      </c>
      <c r="U97">
        <v>66</v>
      </c>
      <c r="V97">
        <v>66</v>
      </c>
      <c r="W97">
        <v>66</v>
      </c>
      <c r="X97">
        <v>66</v>
      </c>
      <c r="AE97" t="s">
        <v>605</v>
      </c>
      <c r="AH97">
        <v>0</v>
      </c>
      <c r="AI97" t="s">
        <v>605</v>
      </c>
      <c r="AJ97" t="s">
        <v>605</v>
      </c>
      <c r="AK97" t="s">
        <v>605</v>
      </c>
      <c r="AL97" t="s">
        <v>605</v>
      </c>
      <c r="AM97" t="s">
        <v>605</v>
      </c>
      <c r="AN97" t="s">
        <v>1874</v>
      </c>
      <c r="AO97" t="s">
        <v>1874</v>
      </c>
      <c r="AP97" t="s">
        <v>1874</v>
      </c>
      <c r="AQ97" t="s">
        <v>1874</v>
      </c>
      <c r="AR97" t="s">
        <v>1874</v>
      </c>
      <c r="AS97" t="s">
        <v>1875</v>
      </c>
      <c r="AT97" t="s">
        <v>1875</v>
      </c>
      <c r="AU97" t="s">
        <v>1875</v>
      </c>
      <c r="AV97" t="s">
        <v>1875</v>
      </c>
      <c r="AW97" t="s">
        <v>1875</v>
      </c>
      <c r="AX97" t="s">
        <v>1876</v>
      </c>
      <c r="AY97" t="s">
        <v>1876</v>
      </c>
      <c r="AZ97" t="s">
        <v>1876</v>
      </c>
      <c r="BA97" t="s">
        <v>1876</v>
      </c>
      <c r="BB97" t="s">
        <v>1876</v>
      </c>
      <c r="BC97" t="s">
        <v>1877</v>
      </c>
      <c r="BD97" t="s">
        <v>1877</v>
      </c>
      <c r="BE97" t="s">
        <v>1877</v>
      </c>
      <c r="BF97" t="s">
        <v>1877</v>
      </c>
      <c r="BG97" t="s">
        <v>1877</v>
      </c>
      <c r="BH97">
        <v>0.115</v>
      </c>
      <c r="BL97">
        <v>0.115</v>
      </c>
      <c r="BN97">
        <v>1</v>
      </c>
      <c r="BO97" t="s">
        <v>1212</v>
      </c>
      <c r="BP97">
        <v>60.86</v>
      </c>
      <c r="BQ97" s="772">
        <v>62.42</v>
      </c>
      <c r="BR97" t="s">
        <v>605</v>
      </c>
      <c r="BS97" t="s">
        <v>1213</v>
      </c>
      <c r="BT97">
        <v>0</v>
      </c>
      <c r="BU97" t="s">
        <v>610</v>
      </c>
      <c r="BV97">
        <v>0</v>
      </c>
      <c r="BW97" t="s">
        <v>1213</v>
      </c>
      <c r="BX97">
        <v>0</v>
      </c>
      <c r="BY97" t="s">
        <v>1213</v>
      </c>
      <c r="BZ97" t="s">
        <v>1878</v>
      </c>
    </row>
    <row r="98" spans="1:79" x14ac:dyDescent="0.2">
      <c r="A98" t="s">
        <v>1087</v>
      </c>
      <c r="B98" t="s">
        <v>1879</v>
      </c>
      <c r="C98" t="s">
        <v>1077</v>
      </c>
      <c r="D98" t="s">
        <v>457</v>
      </c>
      <c r="E98" t="s">
        <v>1202</v>
      </c>
      <c r="F98" t="s">
        <v>1880</v>
      </c>
      <c r="G98" t="s">
        <v>1343</v>
      </c>
      <c r="H98" t="s">
        <v>1881</v>
      </c>
      <c r="I98" t="s">
        <v>1882</v>
      </c>
      <c r="J98" t="s">
        <v>1241</v>
      </c>
      <c r="N98" t="s">
        <v>1400</v>
      </c>
      <c r="O98" t="s">
        <v>665</v>
      </c>
      <c r="P98" t="s">
        <v>1883</v>
      </c>
      <c r="Q98">
        <v>1</v>
      </c>
      <c r="R98" t="s">
        <v>1251</v>
      </c>
      <c r="S98">
        <v>8.1999999999999993</v>
      </c>
      <c r="T98">
        <v>8.1999999999999993</v>
      </c>
      <c r="U98">
        <v>8.1999999999999993</v>
      </c>
      <c r="V98">
        <v>8.1999999999999993</v>
      </c>
      <c r="W98">
        <v>8.1999999999999993</v>
      </c>
      <c r="X98">
        <v>8.1999999999999993</v>
      </c>
      <c r="AH98">
        <v>0</v>
      </c>
      <c r="BP98">
        <v>8.3000000000000007</v>
      </c>
      <c r="BQ98" s="769">
        <v>8.5</v>
      </c>
      <c r="BR98" t="s">
        <v>605</v>
      </c>
      <c r="BS98" t="s">
        <v>1213</v>
      </c>
      <c r="BT98">
        <v>0</v>
      </c>
      <c r="BU98" t="s">
        <v>1213</v>
      </c>
      <c r="BV98">
        <v>0</v>
      </c>
      <c r="BW98" t="s">
        <v>1213</v>
      </c>
      <c r="BX98">
        <v>0</v>
      </c>
      <c r="BY98" t="s">
        <v>1213</v>
      </c>
      <c r="BZ98" t="s">
        <v>1884</v>
      </c>
    </row>
    <row r="99" spans="1:79" x14ac:dyDescent="0.2">
      <c r="A99" t="s">
        <v>1087</v>
      </c>
      <c r="B99" t="s">
        <v>1885</v>
      </c>
      <c r="C99" t="s">
        <v>1077</v>
      </c>
      <c r="D99" t="s">
        <v>457</v>
      </c>
      <c r="E99" t="s">
        <v>1202</v>
      </c>
      <c r="F99" t="s">
        <v>1880</v>
      </c>
      <c r="G99" t="s">
        <v>1349</v>
      </c>
      <c r="H99" t="s">
        <v>1886</v>
      </c>
      <c r="I99" t="s">
        <v>1887</v>
      </c>
      <c r="J99" t="s">
        <v>1207</v>
      </c>
      <c r="K99" t="s">
        <v>1208</v>
      </c>
      <c r="M99" t="s">
        <v>606</v>
      </c>
      <c r="N99" t="s">
        <v>1294</v>
      </c>
      <c r="O99" t="s">
        <v>665</v>
      </c>
      <c r="P99" t="s">
        <v>1295</v>
      </c>
      <c r="Q99">
        <v>1</v>
      </c>
      <c r="R99" t="s">
        <v>1251</v>
      </c>
      <c r="S99">
        <v>89.4</v>
      </c>
      <c r="T99">
        <v>90</v>
      </c>
      <c r="U99">
        <v>90</v>
      </c>
      <c r="V99">
        <v>90</v>
      </c>
      <c r="W99">
        <v>90</v>
      </c>
      <c r="X99">
        <v>90</v>
      </c>
      <c r="AH99">
        <v>0</v>
      </c>
      <c r="AI99" t="s">
        <v>605</v>
      </c>
      <c r="AJ99" t="s">
        <v>605</v>
      </c>
      <c r="AK99" t="s">
        <v>605</v>
      </c>
      <c r="AL99" t="s">
        <v>605</v>
      </c>
      <c r="AM99" t="s">
        <v>605</v>
      </c>
      <c r="AN99" t="s">
        <v>1296</v>
      </c>
      <c r="AO99" t="s">
        <v>1296</v>
      </c>
      <c r="AP99" t="s">
        <v>1296</v>
      </c>
      <c r="AQ99" t="s">
        <v>1296</v>
      </c>
      <c r="AR99" t="s">
        <v>1296</v>
      </c>
      <c r="AS99" t="s">
        <v>1296</v>
      </c>
      <c r="AT99" t="s">
        <v>1296</v>
      </c>
      <c r="AU99" t="s">
        <v>1296</v>
      </c>
      <c r="AV99" t="s">
        <v>1296</v>
      </c>
      <c r="AW99" t="s">
        <v>1296</v>
      </c>
      <c r="AX99" t="s">
        <v>1296</v>
      </c>
      <c r="AY99" t="s">
        <v>1296</v>
      </c>
      <c r="AZ99" t="s">
        <v>1296</v>
      </c>
      <c r="BA99" t="s">
        <v>1296</v>
      </c>
      <c r="BB99" t="s">
        <v>1296</v>
      </c>
      <c r="BC99" t="s">
        <v>1296</v>
      </c>
      <c r="BD99" t="s">
        <v>1296</v>
      </c>
      <c r="BE99" t="s">
        <v>1296</v>
      </c>
      <c r="BF99" t="s">
        <v>1296</v>
      </c>
      <c r="BG99" t="s">
        <v>1296</v>
      </c>
      <c r="BH99" t="s">
        <v>1296</v>
      </c>
      <c r="BL99" t="s">
        <v>1296</v>
      </c>
      <c r="BN99">
        <v>1</v>
      </c>
      <c r="BO99" t="s">
        <v>1212</v>
      </c>
      <c r="BP99">
        <v>83.72</v>
      </c>
      <c r="BQ99" s="769">
        <v>83.64</v>
      </c>
      <c r="BR99" t="s">
        <v>606</v>
      </c>
      <c r="BS99" t="s">
        <v>1213</v>
      </c>
      <c r="BT99">
        <v>0</v>
      </c>
      <c r="BU99" t="s">
        <v>1213</v>
      </c>
      <c r="BV99">
        <v>0</v>
      </c>
      <c r="BW99" t="s">
        <v>1213</v>
      </c>
      <c r="BX99">
        <v>0</v>
      </c>
      <c r="BY99" t="s">
        <v>1213</v>
      </c>
      <c r="BZ99" t="s">
        <v>1888</v>
      </c>
      <c r="CA99" t="s">
        <v>1298</v>
      </c>
    </row>
    <row r="100" spans="1:79" x14ac:dyDescent="0.2">
      <c r="A100" t="s">
        <v>1087</v>
      </c>
      <c r="B100" t="s">
        <v>1889</v>
      </c>
      <c r="C100" t="s">
        <v>1077</v>
      </c>
      <c r="D100" t="s">
        <v>457</v>
      </c>
      <c r="E100" t="s">
        <v>1202</v>
      </c>
      <c r="F100" t="s">
        <v>1880</v>
      </c>
      <c r="G100" t="s">
        <v>1354</v>
      </c>
      <c r="H100" t="s">
        <v>1890</v>
      </c>
      <c r="I100" t="s">
        <v>1891</v>
      </c>
      <c r="J100" t="s">
        <v>1241</v>
      </c>
      <c r="N100" t="s">
        <v>1400</v>
      </c>
      <c r="O100" t="s">
        <v>264</v>
      </c>
      <c r="P100" t="s">
        <v>1401</v>
      </c>
      <c r="Q100">
        <v>0</v>
      </c>
      <c r="R100" t="s">
        <v>1251</v>
      </c>
      <c r="S100">
        <v>32</v>
      </c>
      <c r="T100">
        <v>32</v>
      </c>
      <c r="U100">
        <v>32</v>
      </c>
      <c r="V100">
        <v>32</v>
      </c>
      <c r="W100">
        <v>32</v>
      </c>
      <c r="X100">
        <v>32</v>
      </c>
      <c r="AH100">
        <v>0</v>
      </c>
      <c r="BP100">
        <v>42</v>
      </c>
      <c r="BQ100" s="772">
        <v>49</v>
      </c>
      <c r="BR100" t="s">
        <v>605</v>
      </c>
      <c r="BS100" t="s">
        <v>1213</v>
      </c>
      <c r="BT100">
        <v>0</v>
      </c>
      <c r="BU100" t="s">
        <v>1213</v>
      </c>
      <c r="BV100">
        <v>0</v>
      </c>
      <c r="BW100" t="s">
        <v>1213</v>
      </c>
      <c r="BX100">
        <v>0</v>
      </c>
      <c r="BY100" t="s">
        <v>1213</v>
      </c>
      <c r="BZ100" t="s">
        <v>1892</v>
      </c>
    </row>
    <row r="101" spans="1:79" x14ac:dyDescent="0.2">
      <c r="A101" t="s">
        <v>1087</v>
      </c>
      <c r="B101" t="s">
        <v>1893</v>
      </c>
      <c r="C101" t="s">
        <v>1077</v>
      </c>
      <c r="D101" t="s">
        <v>457</v>
      </c>
      <c r="E101" t="s">
        <v>1202</v>
      </c>
      <c r="F101" t="s">
        <v>1894</v>
      </c>
      <c r="G101" t="s">
        <v>1367</v>
      </c>
      <c r="H101" t="s">
        <v>1895</v>
      </c>
      <c r="I101" t="s">
        <v>1896</v>
      </c>
      <c r="J101" t="s">
        <v>1241</v>
      </c>
      <c r="N101" t="s">
        <v>1400</v>
      </c>
      <c r="O101" t="s">
        <v>264</v>
      </c>
      <c r="P101" t="s">
        <v>1401</v>
      </c>
      <c r="Q101" t="s">
        <v>1242</v>
      </c>
      <c r="R101" t="s">
        <v>1251</v>
      </c>
      <c r="S101" t="s">
        <v>1897</v>
      </c>
      <c r="T101" t="s">
        <v>1898</v>
      </c>
      <c r="U101" t="s">
        <v>1898</v>
      </c>
      <c r="V101" t="s">
        <v>1898</v>
      </c>
      <c r="W101" t="s">
        <v>1898</v>
      </c>
      <c r="X101" t="s">
        <v>1898</v>
      </c>
      <c r="AH101">
        <v>0</v>
      </c>
      <c r="BP101">
        <v>91</v>
      </c>
      <c r="BQ101" s="771">
        <v>94</v>
      </c>
      <c r="BR101" t="s">
        <v>1213</v>
      </c>
      <c r="BS101" t="s">
        <v>1213</v>
      </c>
      <c r="BT101">
        <v>0</v>
      </c>
      <c r="BU101" t="s">
        <v>1213</v>
      </c>
      <c r="BV101">
        <v>0</v>
      </c>
      <c r="BW101" t="s">
        <v>1213</v>
      </c>
      <c r="BX101">
        <v>0</v>
      </c>
      <c r="BY101" t="s">
        <v>1213</v>
      </c>
      <c r="BZ101" t="s">
        <v>1899</v>
      </c>
    </row>
    <row r="102" spans="1:79" x14ac:dyDescent="0.2">
      <c r="A102" t="s">
        <v>1087</v>
      </c>
      <c r="B102" t="s">
        <v>1900</v>
      </c>
      <c r="C102" t="s">
        <v>1077</v>
      </c>
      <c r="D102" t="s">
        <v>457</v>
      </c>
      <c r="E102" t="s">
        <v>1202</v>
      </c>
      <c r="F102" t="s">
        <v>1901</v>
      </c>
      <c r="G102" t="s">
        <v>1383</v>
      </c>
      <c r="H102" t="s">
        <v>1902</v>
      </c>
      <c r="I102" t="s">
        <v>1903</v>
      </c>
      <c r="J102" t="s">
        <v>1241</v>
      </c>
      <c r="N102" t="s">
        <v>1386</v>
      </c>
      <c r="O102" t="s">
        <v>272</v>
      </c>
      <c r="P102" t="s">
        <v>1904</v>
      </c>
      <c r="Q102">
        <v>0</v>
      </c>
      <c r="R102" t="s">
        <v>1211</v>
      </c>
      <c r="S102">
        <v>206</v>
      </c>
      <c r="T102">
        <v>194</v>
      </c>
      <c r="U102">
        <v>183</v>
      </c>
      <c r="V102">
        <v>172</v>
      </c>
      <c r="W102">
        <v>161</v>
      </c>
      <c r="X102">
        <v>150</v>
      </c>
      <c r="AH102">
        <v>0</v>
      </c>
      <c r="BP102">
        <v>213.6</v>
      </c>
      <c r="BQ102" s="772">
        <v>225.2</v>
      </c>
      <c r="BR102" t="s">
        <v>606</v>
      </c>
      <c r="BS102" t="s">
        <v>1213</v>
      </c>
      <c r="BT102">
        <v>0</v>
      </c>
      <c r="BU102" t="s">
        <v>1213</v>
      </c>
      <c r="BV102">
        <v>0</v>
      </c>
      <c r="BW102" t="s">
        <v>1213</v>
      </c>
      <c r="BX102">
        <v>0</v>
      </c>
      <c r="BY102" t="s">
        <v>1213</v>
      </c>
      <c r="BZ102" t="s">
        <v>1905</v>
      </c>
    </row>
    <row r="103" spans="1:79" ht="25.5" x14ac:dyDescent="0.2">
      <c r="A103" t="s">
        <v>1087</v>
      </c>
      <c r="B103" t="s">
        <v>1906</v>
      </c>
      <c r="C103" t="s">
        <v>1077</v>
      </c>
      <c r="D103" t="s">
        <v>457</v>
      </c>
      <c r="E103" t="s">
        <v>1202</v>
      </c>
      <c r="F103" t="s">
        <v>1901</v>
      </c>
      <c r="G103" t="s">
        <v>1390</v>
      </c>
      <c r="H103" t="s">
        <v>1907</v>
      </c>
      <c r="I103" t="s">
        <v>1908</v>
      </c>
      <c r="J103" t="s">
        <v>1241</v>
      </c>
      <c r="N103" t="s">
        <v>1377</v>
      </c>
      <c r="O103" t="s">
        <v>1507</v>
      </c>
      <c r="P103" t="s">
        <v>1909</v>
      </c>
      <c r="Q103" t="s">
        <v>1212</v>
      </c>
      <c r="S103" t="s">
        <v>1897</v>
      </c>
      <c r="T103" t="s">
        <v>1910</v>
      </c>
      <c r="U103" t="s">
        <v>1910</v>
      </c>
      <c r="V103" t="s">
        <v>1910</v>
      </c>
      <c r="W103" t="s">
        <v>1910</v>
      </c>
      <c r="X103" t="s">
        <v>1910</v>
      </c>
      <c r="AH103">
        <v>0</v>
      </c>
      <c r="BP103" t="s">
        <v>952</v>
      </c>
      <c r="BQ103" s="771" t="s">
        <v>1911</v>
      </c>
      <c r="BR103" t="s">
        <v>605</v>
      </c>
      <c r="BS103" t="s">
        <v>1213</v>
      </c>
      <c r="BT103">
        <v>0</v>
      </c>
      <c r="BU103" t="s">
        <v>1213</v>
      </c>
      <c r="BV103">
        <v>0</v>
      </c>
      <c r="BW103" t="s">
        <v>1213</v>
      </c>
      <c r="BX103">
        <v>0</v>
      </c>
      <c r="BY103" t="s">
        <v>1213</v>
      </c>
      <c r="BZ103" t="s">
        <v>1912</v>
      </c>
    </row>
    <row r="104" spans="1:79" x14ac:dyDescent="0.2">
      <c r="A104" t="s">
        <v>1087</v>
      </c>
      <c r="B104" t="s">
        <v>1913</v>
      </c>
      <c r="C104" t="s">
        <v>1077</v>
      </c>
      <c r="D104" t="s">
        <v>458</v>
      </c>
      <c r="E104" t="s">
        <v>1428</v>
      </c>
      <c r="F104" t="s">
        <v>1776</v>
      </c>
      <c r="G104" t="s">
        <v>1914</v>
      </c>
      <c r="H104" t="s">
        <v>1915</v>
      </c>
      <c r="I104" t="s">
        <v>1916</v>
      </c>
      <c r="J104" t="s">
        <v>1241</v>
      </c>
      <c r="N104" t="s">
        <v>1495</v>
      </c>
      <c r="O104" t="s">
        <v>1710</v>
      </c>
      <c r="P104" t="s">
        <v>1779</v>
      </c>
      <c r="Q104" t="s">
        <v>1212</v>
      </c>
      <c r="S104" t="s">
        <v>1710</v>
      </c>
      <c r="T104" t="s">
        <v>1710</v>
      </c>
      <c r="U104" t="s">
        <v>1710</v>
      </c>
      <c r="V104" t="s">
        <v>1710</v>
      </c>
      <c r="W104" t="s">
        <v>1710</v>
      </c>
      <c r="X104" t="s">
        <v>1710</v>
      </c>
      <c r="AE104" t="s">
        <v>605</v>
      </c>
      <c r="AH104">
        <v>0</v>
      </c>
      <c r="BP104" t="s">
        <v>952</v>
      </c>
      <c r="BQ104" s="771" t="s">
        <v>952</v>
      </c>
      <c r="BR104" t="s">
        <v>1213</v>
      </c>
      <c r="BS104" t="s">
        <v>1213</v>
      </c>
      <c r="BT104">
        <v>0</v>
      </c>
      <c r="BU104" t="s">
        <v>1213</v>
      </c>
      <c r="BV104">
        <v>0</v>
      </c>
      <c r="BW104" t="s">
        <v>1213</v>
      </c>
      <c r="BX104">
        <v>0</v>
      </c>
      <c r="BY104" t="s">
        <v>1213</v>
      </c>
      <c r="BZ104" t="s">
        <v>1917</v>
      </c>
      <c r="CA104" t="s">
        <v>1918</v>
      </c>
    </row>
    <row r="105" spans="1:79" x14ac:dyDescent="0.2">
      <c r="A105" t="s">
        <v>1087</v>
      </c>
      <c r="B105" t="s">
        <v>1919</v>
      </c>
      <c r="C105" t="s">
        <v>1077</v>
      </c>
      <c r="D105" t="s">
        <v>458</v>
      </c>
      <c r="E105" t="s">
        <v>1428</v>
      </c>
      <c r="F105" t="s">
        <v>1920</v>
      </c>
      <c r="G105" t="s">
        <v>1449</v>
      </c>
      <c r="H105" t="s">
        <v>1921</v>
      </c>
      <c r="I105" t="s">
        <v>1922</v>
      </c>
      <c r="J105" t="s">
        <v>1207</v>
      </c>
      <c r="K105" t="s">
        <v>1563</v>
      </c>
      <c r="N105" t="s">
        <v>1432</v>
      </c>
      <c r="O105" t="s">
        <v>272</v>
      </c>
      <c r="P105" t="s">
        <v>1923</v>
      </c>
      <c r="Q105">
        <v>0</v>
      </c>
      <c r="R105" t="s">
        <v>1211</v>
      </c>
      <c r="S105">
        <v>1318</v>
      </c>
      <c r="T105">
        <v>1318</v>
      </c>
      <c r="U105">
        <v>1318</v>
      </c>
      <c r="V105">
        <v>1318</v>
      </c>
      <c r="W105">
        <v>1318</v>
      </c>
      <c r="X105">
        <v>1318</v>
      </c>
      <c r="AE105" t="s">
        <v>605</v>
      </c>
      <c r="AH105">
        <v>0</v>
      </c>
      <c r="AI105" t="s">
        <v>605</v>
      </c>
      <c r="AJ105" t="s">
        <v>605</v>
      </c>
      <c r="AK105" t="s">
        <v>605</v>
      </c>
      <c r="AL105" t="s">
        <v>605</v>
      </c>
      <c r="AM105" t="s">
        <v>605</v>
      </c>
      <c r="AN105" t="s">
        <v>1924</v>
      </c>
      <c r="AO105" t="s">
        <v>1924</v>
      </c>
      <c r="AP105" t="s">
        <v>1924</v>
      </c>
      <c r="AQ105" t="s">
        <v>1924</v>
      </c>
      <c r="AR105" t="s">
        <v>1924</v>
      </c>
      <c r="AS105" t="s">
        <v>1925</v>
      </c>
      <c r="AT105" t="s">
        <v>1925</v>
      </c>
      <c r="AU105" t="s">
        <v>1925</v>
      </c>
      <c r="AV105" t="s">
        <v>1925</v>
      </c>
      <c r="AW105" t="s">
        <v>1925</v>
      </c>
      <c r="AX105" t="s">
        <v>1926</v>
      </c>
      <c r="AY105" t="s">
        <v>1926</v>
      </c>
      <c r="AZ105" t="s">
        <v>1926</v>
      </c>
      <c r="BA105" t="s">
        <v>1926</v>
      </c>
      <c r="BB105" t="s">
        <v>1926</v>
      </c>
      <c r="BC105" t="s">
        <v>1927</v>
      </c>
      <c r="BD105" t="s">
        <v>1927</v>
      </c>
      <c r="BE105" t="s">
        <v>1927</v>
      </c>
      <c r="BF105" t="s">
        <v>1927</v>
      </c>
      <c r="BG105" t="s">
        <v>1927</v>
      </c>
      <c r="BH105">
        <v>3.0000000000000001E-3</v>
      </c>
      <c r="BL105">
        <v>2E-3</v>
      </c>
      <c r="BN105">
        <v>1</v>
      </c>
      <c r="BO105" t="s">
        <v>1212</v>
      </c>
      <c r="BP105">
        <v>1170</v>
      </c>
      <c r="BQ105" s="772">
        <v>1061</v>
      </c>
      <c r="BR105" t="s">
        <v>605</v>
      </c>
      <c r="BS105" t="s">
        <v>1213</v>
      </c>
      <c r="BT105">
        <v>0</v>
      </c>
      <c r="BU105" t="s">
        <v>611</v>
      </c>
      <c r="BV105">
        <v>0.156</v>
      </c>
      <c r="BW105" t="s">
        <v>611</v>
      </c>
      <c r="BX105">
        <v>0.156</v>
      </c>
      <c r="BY105" t="s">
        <v>1213</v>
      </c>
      <c r="BZ105" t="s">
        <v>1928</v>
      </c>
    </row>
    <row r="106" spans="1:79" x14ac:dyDescent="0.2">
      <c r="A106" t="s">
        <v>1087</v>
      </c>
      <c r="B106" t="s">
        <v>1929</v>
      </c>
      <c r="C106" t="s">
        <v>1077</v>
      </c>
      <c r="D106" t="s">
        <v>458</v>
      </c>
      <c r="E106" t="s">
        <v>1428</v>
      </c>
      <c r="F106" t="s">
        <v>1920</v>
      </c>
      <c r="G106" t="s">
        <v>1930</v>
      </c>
      <c r="H106" t="s">
        <v>1931</v>
      </c>
      <c r="I106" t="s">
        <v>1932</v>
      </c>
      <c r="J106" t="s">
        <v>1207</v>
      </c>
      <c r="K106" t="s">
        <v>1563</v>
      </c>
      <c r="N106" t="s">
        <v>1432</v>
      </c>
      <c r="O106" t="s">
        <v>272</v>
      </c>
      <c r="P106" t="s">
        <v>1933</v>
      </c>
      <c r="Q106">
        <v>0</v>
      </c>
      <c r="R106" t="s">
        <v>1211</v>
      </c>
      <c r="S106">
        <v>300</v>
      </c>
      <c r="T106">
        <v>262</v>
      </c>
      <c r="U106">
        <v>224</v>
      </c>
      <c r="V106">
        <v>186</v>
      </c>
      <c r="W106">
        <v>186</v>
      </c>
      <c r="X106">
        <v>186</v>
      </c>
      <c r="AC106" t="s">
        <v>605</v>
      </c>
      <c r="AE106" t="s">
        <v>605</v>
      </c>
      <c r="AH106">
        <v>0</v>
      </c>
      <c r="AI106" t="s">
        <v>605</v>
      </c>
      <c r="AJ106" t="s">
        <v>605</v>
      </c>
      <c r="AK106" t="s">
        <v>605</v>
      </c>
      <c r="AL106" t="s">
        <v>605</v>
      </c>
      <c r="AM106" t="s">
        <v>605</v>
      </c>
      <c r="AN106">
        <v>383</v>
      </c>
      <c r="AO106">
        <v>383</v>
      </c>
      <c r="AP106">
        <v>269</v>
      </c>
      <c r="AQ106">
        <v>269</v>
      </c>
      <c r="AR106">
        <v>269</v>
      </c>
      <c r="AS106">
        <v>300</v>
      </c>
      <c r="AT106">
        <v>300</v>
      </c>
      <c r="AU106">
        <v>186</v>
      </c>
      <c r="AV106">
        <v>186</v>
      </c>
      <c r="AW106">
        <v>186</v>
      </c>
      <c r="AX106">
        <v>186</v>
      </c>
      <c r="AY106">
        <v>186</v>
      </c>
      <c r="AZ106">
        <v>186</v>
      </c>
      <c r="BA106">
        <v>186</v>
      </c>
      <c r="BB106">
        <v>186</v>
      </c>
      <c r="BC106">
        <v>89</v>
      </c>
      <c r="BD106">
        <v>89</v>
      </c>
      <c r="BE106">
        <v>89</v>
      </c>
      <c r="BF106">
        <v>89</v>
      </c>
      <c r="BG106">
        <v>89</v>
      </c>
      <c r="BH106">
        <v>1.7000000000000001E-2</v>
      </c>
      <c r="BL106">
        <v>1.2999999999999999E-2</v>
      </c>
      <c r="BN106">
        <v>1</v>
      </c>
      <c r="BO106" t="s">
        <v>1212</v>
      </c>
      <c r="BP106">
        <v>228</v>
      </c>
      <c r="BQ106" s="772">
        <v>143</v>
      </c>
      <c r="BR106" t="s">
        <v>605</v>
      </c>
      <c r="BS106" t="s">
        <v>1213</v>
      </c>
      <c r="BT106">
        <v>0</v>
      </c>
      <c r="BU106" t="s">
        <v>611</v>
      </c>
      <c r="BV106">
        <v>0.55900000000000005</v>
      </c>
      <c r="BW106" t="s">
        <v>611</v>
      </c>
      <c r="BX106">
        <v>1.9630000000000001</v>
      </c>
      <c r="BY106" t="s">
        <v>1175</v>
      </c>
      <c r="BZ106" t="s">
        <v>1934</v>
      </c>
    </row>
    <row r="107" spans="1:79" x14ac:dyDescent="0.2">
      <c r="A107" t="s">
        <v>1087</v>
      </c>
      <c r="B107" t="s">
        <v>1935</v>
      </c>
      <c r="C107" t="s">
        <v>1077</v>
      </c>
      <c r="D107" t="s">
        <v>458</v>
      </c>
      <c r="E107" t="s">
        <v>1428</v>
      </c>
      <c r="F107" t="s">
        <v>1920</v>
      </c>
      <c r="G107" t="s">
        <v>1936</v>
      </c>
      <c r="H107" t="s">
        <v>1937</v>
      </c>
      <c r="I107" t="s">
        <v>1938</v>
      </c>
      <c r="J107" t="s">
        <v>1207</v>
      </c>
      <c r="K107" t="s">
        <v>1563</v>
      </c>
      <c r="M107" t="s">
        <v>606</v>
      </c>
      <c r="N107" t="s">
        <v>1432</v>
      </c>
      <c r="O107" t="s">
        <v>272</v>
      </c>
      <c r="P107" t="s">
        <v>1923</v>
      </c>
      <c r="Q107">
        <v>0</v>
      </c>
      <c r="R107" t="s">
        <v>1211</v>
      </c>
      <c r="S107">
        <v>496</v>
      </c>
      <c r="T107">
        <v>496</v>
      </c>
      <c r="U107">
        <v>496</v>
      </c>
      <c r="V107">
        <v>496</v>
      </c>
      <c r="W107">
        <v>496</v>
      </c>
      <c r="X107">
        <v>496</v>
      </c>
      <c r="AE107" t="s">
        <v>605</v>
      </c>
      <c r="AH107">
        <v>0</v>
      </c>
      <c r="AK107" t="s">
        <v>605</v>
      </c>
      <c r="AL107" t="s">
        <v>605</v>
      </c>
      <c r="AM107" t="s">
        <v>605</v>
      </c>
      <c r="AN107" t="s">
        <v>1939</v>
      </c>
      <c r="AO107" t="s">
        <v>1939</v>
      </c>
      <c r="AP107" t="s">
        <v>1939</v>
      </c>
      <c r="AQ107" t="s">
        <v>1939</v>
      </c>
      <c r="AR107" t="s">
        <v>1939</v>
      </c>
      <c r="AS107" t="s">
        <v>1940</v>
      </c>
      <c r="AT107" t="s">
        <v>1940</v>
      </c>
      <c r="AU107" t="s">
        <v>1940</v>
      </c>
      <c r="AV107" t="s">
        <v>1940</v>
      </c>
      <c r="AW107" t="s">
        <v>1940</v>
      </c>
      <c r="AX107" t="s">
        <v>1941</v>
      </c>
      <c r="AY107" t="s">
        <v>1941</v>
      </c>
      <c r="AZ107" t="s">
        <v>1941</v>
      </c>
      <c r="BA107" t="s">
        <v>1941</v>
      </c>
      <c r="BB107" t="s">
        <v>1941</v>
      </c>
      <c r="BC107" t="s">
        <v>1942</v>
      </c>
      <c r="BD107" t="s">
        <v>1942</v>
      </c>
      <c r="BE107" t="s">
        <v>1942</v>
      </c>
      <c r="BF107" t="s">
        <v>1942</v>
      </c>
      <c r="BG107" t="s">
        <v>1942</v>
      </c>
      <c r="BH107">
        <v>2.2286250000000001</v>
      </c>
      <c r="BI107">
        <v>2.2286250000000001</v>
      </c>
      <c r="BL107">
        <v>1.2999999999999999E-2</v>
      </c>
      <c r="BN107">
        <v>1</v>
      </c>
      <c r="BO107" t="s">
        <v>1212</v>
      </c>
      <c r="BP107">
        <v>555</v>
      </c>
      <c r="BQ107" s="772">
        <v>184</v>
      </c>
      <c r="BR107" t="s">
        <v>1213</v>
      </c>
      <c r="BS107" t="s">
        <v>1213</v>
      </c>
      <c r="BT107">
        <v>0</v>
      </c>
      <c r="BU107" t="s">
        <v>1213</v>
      </c>
      <c r="BV107">
        <v>0</v>
      </c>
      <c r="BW107" t="s">
        <v>611</v>
      </c>
      <c r="BX107">
        <v>3.7829999999999999</v>
      </c>
      <c r="BY107" t="s">
        <v>1213</v>
      </c>
      <c r="BZ107" t="s">
        <v>1943</v>
      </c>
      <c r="CA107" t="s">
        <v>1944</v>
      </c>
    </row>
    <row r="108" spans="1:79" x14ac:dyDescent="0.2">
      <c r="A108" t="s">
        <v>1087</v>
      </c>
      <c r="B108" t="s">
        <v>1945</v>
      </c>
      <c r="C108" t="s">
        <v>1077</v>
      </c>
      <c r="D108" t="s">
        <v>458</v>
      </c>
      <c r="E108" t="s">
        <v>1428</v>
      </c>
      <c r="F108" t="s">
        <v>1920</v>
      </c>
      <c r="G108" t="s">
        <v>1946</v>
      </c>
      <c r="H108" t="s">
        <v>1947</v>
      </c>
      <c r="I108" t="s">
        <v>1948</v>
      </c>
      <c r="J108" t="s">
        <v>1219</v>
      </c>
      <c r="K108" t="s">
        <v>1563</v>
      </c>
      <c r="M108" t="s">
        <v>606</v>
      </c>
      <c r="N108" t="s">
        <v>1432</v>
      </c>
      <c r="O108" t="s">
        <v>272</v>
      </c>
      <c r="P108" t="s">
        <v>1949</v>
      </c>
      <c r="Q108">
        <v>0</v>
      </c>
      <c r="R108" t="s">
        <v>1211</v>
      </c>
      <c r="S108">
        <v>58</v>
      </c>
      <c r="T108">
        <v>58</v>
      </c>
      <c r="U108">
        <v>58</v>
      </c>
      <c r="V108">
        <v>58</v>
      </c>
      <c r="W108">
        <v>58</v>
      </c>
      <c r="X108">
        <v>58</v>
      </c>
      <c r="AE108" t="s">
        <v>605</v>
      </c>
      <c r="AH108">
        <v>0</v>
      </c>
      <c r="AK108" t="s">
        <v>605</v>
      </c>
      <c r="AL108" t="s">
        <v>605</v>
      </c>
      <c r="AM108" t="s">
        <v>605</v>
      </c>
      <c r="AN108" t="s">
        <v>1950</v>
      </c>
      <c r="AO108" t="s">
        <v>1950</v>
      </c>
      <c r="AP108" t="s">
        <v>1950</v>
      </c>
      <c r="AQ108" t="s">
        <v>1950</v>
      </c>
      <c r="AR108" t="s">
        <v>1950</v>
      </c>
      <c r="AS108" t="s">
        <v>1951</v>
      </c>
      <c r="AT108" t="s">
        <v>1951</v>
      </c>
      <c r="AU108" t="s">
        <v>1951</v>
      </c>
      <c r="AV108" t="s">
        <v>1951</v>
      </c>
      <c r="AW108" t="s">
        <v>1951</v>
      </c>
      <c r="BH108">
        <v>2.2286250000000001</v>
      </c>
      <c r="BI108">
        <v>2.2286250000000001</v>
      </c>
      <c r="BN108">
        <v>1</v>
      </c>
      <c r="BO108" t="s">
        <v>1212</v>
      </c>
      <c r="BP108">
        <v>49</v>
      </c>
      <c r="BQ108" s="772">
        <v>48</v>
      </c>
      <c r="BR108" t="s">
        <v>1213</v>
      </c>
      <c r="BS108" t="s">
        <v>1213</v>
      </c>
      <c r="BT108">
        <v>0</v>
      </c>
      <c r="BU108" t="s">
        <v>1213</v>
      </c>
      <c r="BV108">
        <v>0</v>
      </c>
      <c r="BW108" t="s">
        <v>1213</v>
      </c>
      <c r="BX108">
        <v>0</v>
      </c>
      <c r="BY108" t="s">
        <v>1213</v>
      </c>
      <c r="BZ108" t="s">
        <v>1952</v>
      </c>
      <c r="CA108" t="s">
        <v>1944</v>
      </c>
    </row>
    <row r="109" spans="1:79" x14ac:dyDescent="0.2">
      <c r="A109" t="s">
        <v>1087</v>
      </c>
      <c r="B109" t="s">
        <v>1953</v>
      </c>
      <c r="C109" t="s">
        <v>1077</v>
      </c>
      <c r="D109" t="s">
        <v>458</v>
      </c>
      <c r="E109" t="s">
        <v>1428</v>
      </c>
      <c r="F109" t="s">
        <v>1920</v>
      </c>
      <c r="G109" t="s">
        <v>1954</v>
      </c>
      <c r="H109" t="s">
        <v>1955</v>
      </c>
      <c r="I109" t="s">
        <v>1956</v>
      </c>
      <c r="J109" t="s">
        <v>1207</v>
      </c>
      <c r="K109" t="s">
        <v>1563</v>
      </c>
      <c r="N109" t="s">
        <v>1432</v>
      </c>
      <c r="O109" t="s">
        <v>272</v>
      </c>
      <c r="P109" t="s">
        <v>1923</v>
      </c>
      <c r="Q109">
        <v>0</v>
      </c>
      <c r="R109" t="s">
        <v>1211</v>
      </c>
      <c r="S109">
        <v>228</v>
      </c>
      <c r="T109">
        <v>228</v>
      </c>
      <c r="U109">
        <v>228</v>
      </c>
      <c r="V109">
        <v>228</v>
      </c>
      <c r="W109">
        <v>228</v>
      </c>
      <c r="X109">
        <v>228</v>
      </c>
      <c r="AC109" t="s">
        <v>605</v>
      </c>
      <c r="AE109" t="s">
        <v>605</v>
      </c>
      <c r="AH109">
        <v>0</v>
      </c>
      <c r="AI109" t="s">
        <v>605</v>
      </c>
      <c r="AJ109" t="s">
        <v>605</v>
      </c>
      <c r="AK109" t="s">
        <v>605</v>
      </c>
      <c r="AL109" t="s">
        <v>605</v>
      </c>
      <c r="AM109" t="s">
        <v>605</v>
      </c>
      <c r="AN109" t="s">
        <v>1957</v>
      </c>
      <c r="AO109" t="s">
        <v>1957</v>
      </c>
      <c r="AP109" t="s">
        <v>1957</v>
      </c>
      <c r="AQ109" t="s">
        <v>1957</v>
      </c>
      <c r="AR109" t="s">
        <v>1957</v>
      </c>
      <c r="AS109" t="s">
        <v>1958</v>
      </c>
      <c r="AT109" t="s">
        <v>1958</v>
      </c>
      <c r="AU109" t="s">
        <v>1958</v>
      </c>
      <c r="AV109" t="s">
        <v>1958</v>
      </c>
      <c r="AW109" t="s">
        <v>1958</v>
      </c>
      <c r="AX109" t="s">
        <v>1959</v>
      </c>
      <c r="AY109" t="s">
        <v>1959</v>
      </c>
      <c r="AZ109" t="s">
        <v>1959</v>
      </c>
      <c r="BA109" t="s">
        <v>1959</v>
      </c>
      <c r="BB109" t="s">
        <v>1959</v>
      </c>
      <c r="BC109" t="s">
        <v>1960</v>
      </c>
      <c r="BD109" t="s">
        <v>1960</v>
      </c>
      <c r="BE109" t="s">
        <v>1960</v>
      </c>
      <c r="BF109" t="s">
        <v>1960</v>
      </c>
      <c r="BG109" t="s">
        <v>1960</v>
      </c>
      <c r="BH109">
        <v>1.7000000000000001E-2</v>
      </c>
      <c r="BL109">
        <v>1.2999999999999999E-2</v>
      </c>
      <c r="BN109">
        <v>1</v>
      </c>
      <c r="BO109" t="s">
        <v>1212</v>
      </c>
      <c r="BP109">
        <v>188</v>
      </c>
      <c r="BQ109" s="772">
        <v>219</v>
      </c>
      <c r="BR109" t="s">
        <v>605</v>
      </c>
      <c r="BS109" t="s">
        <v>1213</v>
      </c>
      <c r="BT109">
        <v>0</v>
      </c>
      <c r="BU109" t="s">
        <v>610</v>
      </c>
      <c r="BV109">
        <v>0</v>
      </c>
      <c r="BW109" t="s">
        <v>1213</v>
      </c>
      <c r="BX109">
        <v>0</v>
      </c>
      <c r="BY109" t="s">
        <v>1175</v>
      </c>
      <c r="BZ109" t="s">
        <v>1961</v>
      </c>
    </row>
    <row r="110" spans="1:79" x14ac:dyDescent="0.2">
      <c r="A110" t="s">
        <v>1087</v>
      </c>
      <c r="B110" t="s">
        <v>1962</v>
      </c>
      <c r="C110" t="s">
        <v>1077</v>
      </c>
      <c r="D110" t="s">
        <v>458</v>
      </c>
      <c r="E110" t="s">
        <v>1428</v>
      </c>
      <c r="F110" t="s">
        <v>1920</v>
      </c>
      <c r="G110" t="s">
        <v>1963</v>
      </c>
      <c r="H110" t="s">
        <v>1964</v>
      </c>
      <c r="I110" t="s">
        <v>1965</v>
      </c>
      <c r="J110" t="s">
        <v>1207</v>
      </c>
      <c r="K110" t="s">
        <v>1563</v>
      </c>
      <c r="N110" t="s">
        <v>1432</v>
      </c>
      <c r="O110" t="s">
        <v>272</v>
      </c>
      <c r="P110" t="s">
        <v>1923</v>
      </c>
      <c r="Q110">
        <v>0</v>
      </c>
      <c r="R110" t="s">
        <v>1211</v>
      </c>
      <c r="S110">
        <v>2931</v>
      </c>
      <c r="T110">
        <v>2931</v>
      </c>
      <c r="U110">
        <v>2931</v>
      </c>
      <c r="V110">
        <v>2931</v>
      </c>
      <c r="W110">
        <v>2931</v>
      </c>
      <c r="X110">
        <v>2931</v>
      </c>
      <c r="AE110" t="s">
        <v>605</v>
      </c>
      <c r="AH110">
        <v>0</v>
      </c>
      <c r="AI110" t="s">
        <v>605</v>
      </c>
      <c r="AJ110" t="s">
        <v>605</v>
      </c>
      <c r="AK110" t="s">
        <v>605</v>
      </c>
      <c r="AL110" t="s">
        <v>605</v>
      </c>
      <c r="AM110" t="s">
        <v>605</v>
      </c>
      <c r="AN110" t="s">
        <v>1966</v>
      </c>
      <c r="AO110" t="s">
        <v>1966</v>
      </c>
      <c r="AP110" t="s">
        <v>1966</v>
      </c>
      <c r="AQ110" t="s">
        <v>1966</v>
      </c>
      <c r="AR110" t="s">
        <v>1966</v>
      </c>
      <c r="AS110" t="s">
        <v>1967</v>
      </c>
      <c r="AT110" t="s">
        <v>1967</v>
      </c>
      <c r="AU110" t="s">
        <v>1967</v>
      </c>
      <c r="AV110" t="s">
        <v>1967</v>
      </c>
      <c r="AW110" t="s">
        <v>1967</v>
      </c>
      <c r="AX110" t="s">
        <v>1968</v>
      </c>
      <c r="AY110" t="s">
        <v>1968</v>
      </c>
      <c r="AZ110" t="s">
        <v>1968</v>
      </c>
      <c r="BA110" t="s">
        <v>1968</v>
      </c>
      <c r="BB110" t="s">
        <v>1968</v>
      </c>
      <c r="BC110" t="s">
        <v>1969</v>
      </c>
      <c r="BD110" t="s">
        <v>1969</v>
      </c>
      <c r="BE110" t="s">
        <v>1969</v>
      </c>
      <c r="BF110" t="s">
        <v>1969</v>
      </c>
      <c r="BG110" t="s">
        <v>1969</v>
      </c>
      <c r="BH110">
        <v>3.0000000000000001E-3</v>
      </c>
      <c r="BL110">
        <v>2E-3</v>
      </c>
      <c r="BN110">
        <v>1</v>
      </c>
      <c r="BO110" t="s">
        <v>1212</v>
      </c>
      <c r="BP110">
        <v>2479</v>
      </c>
      <c r="BQ110" s="772">
        <v>2506</v>
      </c>
      <c r="BR110" t="s">
        <v>605</v>
      </c>
      <c r="BS110" t="s">
        <v>1213</v>
      </c>
      <c r="BT110">
        <v>0</v>
      </c>
      <c r="BU110" t="s">
        <v>610</v>
      </c>
      <c r="BV110">
        <v>0</v>
      </c>
      <c r="BW110" t="s">
        <v>1213</v>
      </c>
      <c r="BX110">
        <v>0</v>
      </c>
      <c r="BY110" t="s">
        <v>1213</v>
      </c>
      <c r="BZ110" t="s">
        <v>1970</v>
      </c>
    </row>
    <row r="111" spans="1:79" x14ac:dyDescent="0.2">
      <c r="A111" t="s">
        <v>1087</v>
      </c>
      <c r="B111" t="s">
        <v>1971</v>
      </c>
      <c r="C111" t="s">
        <v>1077</v>
      </c>
      <c r="D111" t="s">
        <v>458</v>
      </c>
      <c r="E111" t="s">
        <v>1428</v>
      </c>
      <c r="F111" t="s">
        <v>1920</v>
      </c>
      <c r="G111" t="s">
        <v>1972</v>
      </c>
      <c r="H111" t="s">
        <v>1973</v>
      </c>
      <c r="I111" t="s">
        <v>1974</v>
      </c>
      <c r="J111" t="s">
        <v>1241</v>
      </c>
      <c r="N111" t="s">
        <v>1432</v>
      </c>
      <c r="O111" t="s">
        <v>272</v>
      </c>
      <c r="P111" t="s">
        <v>1975</v>
      </c>
      <c r="Q111">
        <v>0</v>
      </c>
      <c r="R111" t="s">
        <v>1211</v>
      </c>
      <c r="S111">
        <v>84</v>
      </c>
      <c r="T111">
        <v>84</v>
      </c>
      <c r="U111">
        <v>84</v>
      </c>
      <c r="V111">
        <v>84</v>
      </c>
      <c r="W111">
        <v>84</v>
      </c>
      <c r="X111">
        <v>84</v>
      </c>
      <c r="AE111" t="s">
        <v>605</v>
      </c>
      <c r="AH111">
        <v>0</v>
      </c>
      <c r="BP111">
        <v>74</v>
      </c>
      <c r="BQ111" s="772">
        <v>58</v>
      </c>
      <c r="BR111" t="s">
        <v>605</v>
      </c>
      <c r="BS111" t="s">
        <v>1213</v>
      </c>
      <c r="BT111">
        <v>0</v>
      </c>
      <c r="BU111" t="s">
        <v>1213</v>
      </c>
      <c r="BV111">
        <v>0</v>
      </c>
      <c r="BW111" t="s">
        <v>1213</v>
      </c>
      <c r="BX111">
        <v>0</v>
      </c>
      <c r="BY111" t="s">
        <v>1213</v>
      </c>
      <c r="BZ111" t="s">
        <v>1976</v>
      </c>
    </row>
    <row r="112" spans="1:79" x14ac:dyDescent="0.2">
      <c r="A112" t="s">
        <v>1087</v>
      </c>
      <c r="B112" t="s">
        <v>1977</v>
      </c>
      <c r="C112" t="s">
        <v>1077</v>
      </c>
      <c r="D112" t="s">
        <v>458</v>
      </c>
      <c r="E112" t="s">
        <v>1428</v>
      </c>
      <c r="F112" t="s">
        <v>1978</v>
      </c>
      <c r="G112" t="s">
        <v>1454</v>
      </c>
      <c r="H112" t="s">
        <v>1979</v>
      </c>
      <c r="I112" t="s">
        <v>1980</v>
      </c>
      <c r="J112" t="s">
        <v>1219</v>
      </c>
      <c r="K112" t="s">
        <v>1563</v>
      </c>
      <c r="M112" t="s">
        <v>606</v>
      </c>
      <c r="N112" t="s">
        <v>1377</v>
      </c>
      <c r="O112" t="s">
        <v>272</v>
      </c>
      <c r="P112" t="s">
        <v>1981</v>
      </c>
      <c r="Q112">
        <v>0</v>
      </c>
      <c r="R112" t="s">
        <v>1211</v>
      </c>
      <c r="S112">
        <v>0</v>
      </c>
      <c r="T112">
        <v>0</v>
      </c>
      <c r="U112">
        <v>0</v>
      </c>
      <c r="V112">
        <v>0</v>
      </c>
      <c r="W112">
        <v>0</v>
      </c>
      <c r="X112">
        <v>0</v>
      </c>
      <c r="AE112" t="s">
        <v>605</v>
      </c>
      <c r="AH112">
        <v>0</v>
      </c>
      <c r="AK112" t="s">
        <v>605</v>
      </c>
      <c r="AL112" t="s">
        <v>605</v>
      </c>
      <c r="AM112" t="s">
        <v>605</v>
      </c>
      <c r="AN112" t="s">
        <v>1982</v>
      </c>
      <c r="AO112" t="s">
        <v>1982</v>
      </c>
      <c r="AP112" t="s">
        <v>1982</v>
      </c>
      <c r="AQ112" t="s">
        <v>1982</v>
      </c>
      <c r="AR112" t="s">
        <v>1982</v>
      </c>
      <c r="AS112" t="s">
        <v>1983</v>
      </c>
      <c r="AT112" t="s">
        <v>1983</v>
      </c>
      <c r="AU112" t="s">
        <v>1983</v>
      </c>
      <c r="AV112" t="s">
        <v>1983</v>
      </c>
      <c r="AW112" t="s">
        <v>1983</v>
      </c>
      <c r="BH112">
        <v>2.2286250000000001</v>
      </c>
      <c r="BI112">
        <v>2.2286250000000001</v>
      </c>
      <c r="BN112">
        <v>1</v>
      </c>
      <c r="BO112" t="s">
        <v>1212</v>
      </c>
      <c r="BP112">
        <v>1</v>
      </c>
      <c r="BQ112" s="772">
        <v>1</v>
      </c>
      <c r="BR112" t="s">
        <v>1213</v>
      </c>
      <c r="BS112" t="s">
        <v>1213</v>
      </c>
      <c r="BT112">
        <v>0</v>
      </c>
      <c r="BU112" t="s">
        <v>1213</v>
      </c>
      <c r="BV112">
        <v>0</v>
      </c>
      <c r="BW112" t="s">
        <v>1213</v>
      </c>
      <c r="BX112">
        <v>0</v>
      </c>
      <c r="BY112" t="s">
        <v>1213</v>
      </c>
      <c r="BZ112" t="s">
        <v>1984</v>
      </c>
      <c r="CA112" t="s">
        <v>1944</v>
      </c>
    </row>
    <row r="113" spans="1:79" x14ac:dyDescent="0.2">
      <c r="A113" t="s">
        <v>1087</v>
      </c>
      <c r="B113" t="s">
        <v>1985</v>
      </c>
      <c r="C113" t="s">
        <v>1077</v>
      </c>
      <c r="D113" t="s">
        <v>458</v>
      </c>
      <c r="E113" t="s">
        <v>1428</v>
      </c>
      <c r="F113" t="s">
        <v>1978</v>
      </c>
      <c r="G113" t="s">
        <v>1460</v>
      </c>
      <c r="H113" t="s">
        <v>1986</v>
      </c>
      <c r="I113" t="s">
        <v>1987</v>
      </c>
      <c r="J113" t="s">
        <v>1207</v>
      </c>
      <c r="K113" t="s">
        <v>1563</v>
      </c>
      <c r="M113" t="s">
        <v>606</v>
      </c>
      <c r="N113" t="s">
        <v>1468</v>
      </c>
      <c r="O113" t="s">
        <v>272</v>
      </c>
      <c r="P113" t="s">
        <v>1469</v>
      </c>
      <c r="Q113">
        <v>0</v>
      </c>
      <c r="R113" t="s">
        <v>1211</v>
      </c>
      <c r="S113">
        <v>115</v>
      </c>
      <c r="T113">
        <v>115</v>
      </c>
      <c r="U113">
        <v>115</v>
      </c>
      <c r="V113">
        <v>115</v>
      </c>
      <c r="W113">
        <v>115</v>
      </c>
      <c r="X113">
        <v>115</v>
      </c>
      <c r="AB113" t="s">
        <v>605</v>
      </c>
      <c r="AE113" t="s">
        <v>605</v>
      </c>
      <c r="AH113">
        <v>0</v>
      </c>
      <c r="AK113" t="s">
        <v>605</v>
      </c>
      <c r="AL113" t="s">
        <v>605</v>
      </c>
      <c r="AM113" t="s">
        <v>605</v>
      </c>
      <c r="AN113" t="s">
        <v>1988</v>
      </c>
      <c r="AO113" t="s">
        <v>1988</v>
      </c>
      <c r="AP113" t="s">
        <v>1989</v>
      </c>
      <c r="AQ113" t="s">
        <v>1990</v>
      </c>
      <c r="AR113" t="s">
        <v>1864</v>
      </c>
      <c r="AS113" t="s">
        <v>1991</v>
      </c>
      <c r="AT113" t="s">
        <v>1991</v>
      </c>
      <c r="AU113" t="s">
        <v>1992</v>
      </c>
      <c r="AV113" t="s">
        <v>1993</v>
      </c>
      <c r="AW113" t="s">
        <v>1994</v>
      </c>
      <c r="AX113" t="s">
        <v>1995</v>
      </c>
      <c r="AY113" t="s">
        <v>1995</v>
      </c>
      <c r="AZ113" t="s">
        <v>1995</v>
      </c>
      <c r="BA113" t="s">
        <v>1995</v>
      </c>
      <c r="BB113" t="s">
        <v>1995</v>
      </c>
      <c r="BC113" t="s">
        <v>1996</v>
      </c>
      <c r="BD113" t="s">
        <v>1996</v>
      </c>
      <c r="BE113" t="s">
        <v>1996</v>
      </c>
      <c r="BF113" t="s">
        <v>1996</v>
      </c>
      <c r="BG113" t="s">
        <v>1996</v>
      </c>
      <c r="BH113">
        <v>2.2286250000000001</v>
      </c>
      <c r="BI113">
        <v>2.2286250000000001</v>
      </c>
      <c r="BL113">
        <v>1.6E-2</v>
      </c>
      <c r="BN113">
        <v>1</v>
      </c>
      <c r="BO113" t="s">
        <v>1212</v>
      </c>
      <c r="BP113">
        <v>136</v>
      </c>
      <c r="BQ113" s="772">
        <v>124</v>
      </c>
      <c r="BR113" t="s">
        <v>1213</v>
      </c>
      <c r="BS113" t="s">
        <v>1213</v>
      </c>
      <c r="BT113">
        <v>0</v>
      </c>
      <c r="BU113" t="s">
        <v>1213</v>
      </c>
      <c r="BV113">
        <v>0</v>
      </c>
      <c r="BW113" t="s">
        <v>1213</v>
      </c>
      <c r="BX113">
        <v>0</v>
      </c>
      <c r="BY113" t="s">
        <v>1174</v>
      </c>
      <c r="BZ113" t="s">
        <v>1997</v>
      </c>
      <c r="CA113" t="s">
        <v>1944</v>
      </c>
    </row>
    <row r="114" spans="1:79" x14ac:dyDescent="0.2">
      <c r="A114" t="s">
        <v>1087</v>
      </c>
      <c r="B114" t="s">
        <v>1998</v>
      </c>
      <c r="C114" t="s">
        <v>1077</v>
      </c>
      <c r="D114" t="s">
        <v>458</v>
      </c>
      <c r="E114" t="s">
        <v>1428</v>
      </c>
      <c r="F114" t="s">
        <v>1978</v>
      </c>
      <c r="G114" t="s">
        <v>1465</v>
      </c>
      <c r="H114" t="s">
        <v>1999</v>
      </c>
      <c r="I114" t="s">
        <v>2000</v>
      </c>
      <c r="J114" t="s">
        <v>1219</v>
      </c>
      <c r="K114" t="s">
        <v>1563</v>
      </c>
      <c r="N114" t="s">
        <v>1377</v>
      </c>
      <c r="O114" t="s">
        <v>272</v>
      </c>
      <c r="P114" t="s">
        <v>2001</v>
      </c>
      <c r="Q114">
        <v>0</v>
      </c>
      <c r="R114" t="s">
        <v>1251</v>
      </c>
      <c r="S114">
        <v>32</v>
      </c>
      <c r="T114">
        <v>32</v>
      </c>
      <c r="U114">
        <v>32</v>
      </c>
      <c r="V114">
        <v>32</v>
      </c>
      <c r="W114">
        <v>34</v>
      </c>
      <c r="X114">
        <v>34</v>
      </c>
      <c r="AF114" t="s">
        <v>605</v>
      </c>
      <c r="AH114">
        <v>0</v>
      </c>
      <c r="AI114" t="s">
        <v>605</v>
      </c>
      <c r="AJ114" t="s">
        <v>605</v>
      </c>
      <c r="AK114" t="s">
        <v>605</v>
      </c>
      <c r="AL114" t="s">
        <v>605</v>
      </c>
      <c r="AM114" t="s">
        <v>605</v>
      </c>
      <c r="AN114">
        <v>31</v>
      </c>
      <c r="AO114">
        <v>31</v>
      </c>
      <c r="AP114">
        <v>31</v>
      </c>
      <c r="AQ114">
        <v>31</v>
      </c>
      <c r="AR114">
        <v>31</v>
      </c>
      <c r="AS114" t="s">
        <v>2002</v>
      </c>
      <c r="AT114" t="s">
        <v>2002</v>
      </c>
      <c r="AU114" t="s">
        <v>2002</v>
      </c>
      <c r="AV114" t="s">
        <v>2003</v>
      </c>
      <c r="AW114" t="s">
        <v>2004</v>
      </c>
      <c r="BH114">
        <v>0.113</v>
      </c>
      <c r="BN114">
        <v>1</v>
      </c>
      <c r="BO114" t="s">
        <v>1212</v>
      </c>
      <c r="BP114">
        <v>33</v>
      </c>
      <c r="BQ114" s="772">
        <v>33</v>
      </c>
      <c r="BR114" t="s">
        <v>605</v>
      </c>
      <c r="BS114" t="s">
        <v>1213</v>
      </c>
      <c r="BT114">
        <v>0</v>
      </c>
      <c r="BU114" t="s">
        <v>1213</v>
      </c>
      <c r="BV114">
        <v>0</v>
      </c>
      <c r="BW114" t="s">
        <v>1213</v>
      </c>
      <c r="BX114">
        <v>0</v>
      </c>
      <c r="BY114" t="s">
        <v>1213</v>
      </c>
      <c r="BZ114" t="s">
        <v>2005</v>
      </c>
    </row>
    <row r="115" spans="1:79" x14ac:dyDescent="0.2">
      <c r="A115" t="s">
        <v>1087</v>
      </c>
      <c r="B115" t="s">
        <v>2006</v>
      </c>
      <c r="C115" t="s">
        <v>1077</v>
      </c>
      <c r="D115" t="s">
        <v>458</v>
      </c>
      <c r="E115" t="s">
        <v>1428</v>
      </c>
      <c r="F115" t="s">
        <v>1978</v>
      </c>
      <c r="G115" t="s">
        <v>1472</v>
      </c>
      <c r="H115" t="s">
        <v>2007</v>
      </c>
      <c r="I115" t="s">
        <v>2008</v>
      </c>
      <c r="J115" t="s">
        <v>1219</v>
      </c>
      <c r="K115" t="s">
        <v>1563</v>
      </c>
      <c r="M115" t="s">
        <v>606</v>
      </c>
      <c r="N115" t="s">
        <v>1377</v>
      </c>
      <c r="O115" t="s">
        <v>1507</v>
      </c>
      <c r="P115" t="s">
        <v>2009</v>
      </c>
      <c r="Q115" t="s">
        <v>1212</v>
      </c>
      <c r="S115" t="s">
        <v>2010</v>
      </c>
      <c r="T115" t="s">
        <v>2010</v>
      </c>
      <c r="U115" t="s">
        <v>2010</v>
      </c>
      <c r="V115" t="s">
        <v>2011</v>
      </c>
      <c r="W115" t="s">
        <v>2011</v>
      </c>
      <c r="X115" t="s">
        <v>2011</v>
      </c>
      <c r="AD115" t="s">
        <v>605</v>
      </c>
      <c r="AF115" t="s">
        <v>605</v>
      </c>
      <c r="AH115">
        <v>0</v>
      </c>
      <c r="AL115" t="s">
        <v>605</v>
      </c>
      <c r="AM115" t="s">
        <v>605</v>
      </c>
      <c r="AN115" t="s">
        <v>2010</v>
      </c>
      <c r="AO115" t="s">
        <v>2010</v>
      </c>
      <c r="AP115" t="s">
        <v>2010</v>
      </c>
      <c r="AQ115" t="s">
        <v>2010</v>
      </c>
      <c r="AR115" t="s">
        <v>2010</v>
      </c>
      <c r="AS115" t="s">
        <v>2010</v>
      </c>
      <c r="AT115" t="s">
        <v>2010</v>
      </c>
      <c r="AU115" t="s">
        <v>2010</v>
      </c>
      <c r="AV115" t="s">
        <v>2010</v>
      </c>
      <c r="AW115" t="s">
        <v>2010</v>
      </c>
      <c r="BH115">
        <v>0.2</v>
      </c>
      <c r="BI115">
        <v>4</v>
      </c>
      <c r="BN115">
        <v>1</v>
      </c>
      <c r="BO115" t="s">
        <v>1212</v>
      </c>
      <c r="BP115" t="s">
        <v>952</v>
      </c>
      <c r="BQ115" s="771" t="s">
        <v>952</v>
      </c>
      <c r="BR115" t="s">
        <v>1213</v>
      </c>
      <c r="BS115" t="s">
        <v>1213</v>
      </c>
      <c r="BT115">
        <v>0</v>
      </c>
      <c r="BU115" t="s">
        <v>1213</v>
      </c>
      <c r="BV115">
        <v>0</v>
      </c>
      <c r="BW115" t="s">
        <v>1213</v>
      </c>
      <c r="BX115">
        <v>0</v>
      </c>
      <c r="BY115" t="s">
        <v>1213</v>
      </c>
      <c r="BZ115" t="s">
        <v>2012</v>
      </c>
      <c r="CA115" t="s">
        <v>2013</v>
      </c>
    </row>
    <row r="116" spans="1:79" x14ac:dyDescent="0.2">
      <c r="A116" t="s">
        <v>1087</v>
      </c>
      <c r="B116" t="s">
        <v>2014</v>
      </c>
      <c r="C116" t="s">
        <v>1077</v>
      </c>
      <c r="D116" t="s">
        <v>458</v>
      </c>
      <c r="E116" t="s">
        <v>1428</v>
      </c>
      <c r="F116" t="s">
        <v>1880</v>
      </c>
      <c r="G116" t="s">
        <v>1477</v>
      </c>
      <c r="H116" t="s">
        <v>2015</v>
      </c>
      <c r="I116" t="s">
        <v>2016</v>
      </c>
      <c r="J116" t="s">
        <v>1241</v>
      </c>
      <c r="N116" t="s">
        <v>1400</v>
      </c>
      <c r="O116" t="s">
        <v>665</v>
      </c>
      <c r="P116" t="s">
        <v>2017</v>
      </c>
      <c r="Q116">
        <v>1</v>
      </c>
      <c r="R116" t="s">
        <v>1251</v>
      </c>
      <c r="S116">
        <v>8.1999999999999993</v>
      </c>
      <c r="T116">
        <v>8.1999999999999993</v>
      </c>
      <c r="U116">
        <v>8.1999999999999993</v>
      </c>
      <c r="V116">
        <v>8.1999999999999993</v>
      </c>
      <c r="W116">
        <v>8.1999999999999993</v>
      </c>
      <c r="X116">
        <v>8.1999999999999993</v>
      </c>
      <c r="AH116">
        <v>0</v>
      </c>
      <c r="BP116">
        <v>8.3000000000000007</v>
      </c>
      <c r="BQ116" s="769">
        <v>8.5</v>
      </c>
      <c r="BR116" t="s">
        <v>605</v>
      </c>
      <c r="BS116" t="s">
        <v>1213</v>
      </c>
      <c r="BT116">
        <v>0</v>
      </c>
      <c r="BU116" t="s">
        <v>1213</v>
      </c>
      <c r="BV116">
        <v>0</v>
      </c>
      <c r="BW116" t="s">
        <v>1213</v>
      </c>
      <c r="BX116">
        <v>0</v>
      </c>
      <c r="BY116" t="s">
        <v>1213</v>
      </c>
      <c r="BZ116" t="s">
        <v>2018</v>
      </c>
    </row>
    <row r="117" spans="1:79" x14ac:dyDescent="0.2">
      <c r="A117" t="s">
        <v>1087</v>
      </c>
      <c r="B117" t="s">
        <v>2019</v>
      </c>
      <c r="C117" t="s">
        <v>1077</v>
      </c>
      <c r="D117" t="s">
        <v>458</v>
      </c>
      <c r="E117" t="s">
        <v>1428</v>
      </c>
      <c r="F117" t="s">
        <v>1880</v>
      </c>
      <c r="G117" t="s">
        <v>1482</v>
      </c>
      <c r="H117" t="s">
        <v>2020</v>
      </c>
      <c r="I117" t="s">
        <v>2021</v>
      </c>
      <c r="J117" t="s">
        <v>1207</v>
      </c>
      <c r="K117" t="s">
        <v>1208</v>
      </c>
      <c r="M117" t="s">
        <v>606</v>
      </c>
      <c r="N117" t="s">
        <v>1294</v>
      </c>
      <c r="O117" t="s">
        <v>665</v>
      </c>
      <c r="P117" t="s">
        <v>1295</v>
      </c>
      <c r="Q117">
        <v>1</v>
      </c>
      <c r="R117" t="s">
        <v>1251</v>
      </c>
      <c r="S117">
        <v>89.4</v>
      </c>
      <c r="T117">
        <v>90</v>
      </c>
      <c r="U117">
        <v>90</v>
      </c>
      <c r="V117">
        <v>90</v>
      </c>
      <c r="W117">
        <v>90</v>
      </c>
      <c r="X117">
        <v>90</v>
      </c>
      <c r="AH117">
        <v>0</v>
      </c>
      <c r="AI117" t="s">
        <v>605</v>
      </c>
      <c r="AJ117" t="s">
        <v>605</v>
      </c>
      <c r="AK117" t="s">
        <v>605</v>
      </c>
      <c r="AL117" t="s">
        <v>605</v>
      </c>
      <c r="AM117" t="s">
        <v>605</v>
      </c>
      <c r="AN117" t="s">
        <v>1296</v>
      </c>
      <c r="AO117" t="s">
        <v>1296</v>
      </c>
      <c r="AP117" t="s">
        <v>1296</v>
      </c>
      <c r="AQ117" t="s">
        <v>1296</v>
      </c>
      <c r="AR117" t="s">
        <v>1296</v>
      </c>
      <c r="AS117" t="s">
        <v>1296</v>
      </c>
      <c r="AT117" t="s">
        <v>1296</v>
      </c>
      <c r="AU117" t="s">
        <v>1296</v>
      </c>
      <c r="AV117" t="s">
        <v>1296</v>
      </c>
      <c r="AW117" t="s">
        <v>1296</v>
      </c>
      <c r="AX117" t="s">
        <v>1296</v>
      </c>
      <c r="AY117" t="s">
        <v>1296</v>
      </c>
      <c r="AZ117" t="s">
        <v>1296</v>
      </c>
      <c r="BA117" t="s">
        <v>1296</v>
      </c>
      <c r="BB117" t="s">
        <v>1296</v>
      </c>
      <c r="BC117" t="s">
        <v>1296</v>
      </c>
      <c r="BD117" t="s">
        <v>1296</v>
      </c>
      <c r="BE117" t="s">
        <v>1296</v>
      </c>
      <c r="BF117" t="s">
        <v>1296</v>
      </c>
      <c r="BG117" t="s">
        <v>1296</v>
      </c>
      <c r="BH117" t="s">
        <v>1296</v>
      </c>
      <c r="BL117" t="s">
        <v>1296</v>
      </c>
      <c r="BN117">
        <v>1</v>
      </c>
      <c r="BO117" t="s">
        <v>1212</v>
      </c>
      <c r="BP117">
        <v>83.72</v>
      </c>
      <c r="BQ117" s="769">
        <v>83.64</v>
      </c>
      <c r="BR117" t="s">
        <v>606</v>
      </c>
      <c r="BS117" t="s">
        <v>1213</v>
      </c>
      <c r="BT117">
        <v>0</v>
      </c>
      <c r="BU117" t="s">
        <v>1213</v>
      </c>
      <c r="BV117">
        <v>0</v>
      </c>
      <c r="BW117" t="s">
        <v>1213</v>
      </c>
      <c r="BX117">
        <v>0</v>
      </c>
      <c r="BY117" t="s">
        <v>1213</v>
      </c>
      <c r="BZ117" t="s">
        <v>2022</v>
      </c>
      <c r="CA117" t="s">
        <v>1298</v>
      </c>
    </row>
    <row r="118" spans="1:79" x14ac:dyDescent="0.2">
      <c r="A118" t="s">
        <v>1087</v>
      </c>
      <c r="B118" t="s">
        <v>2023</v>
      </c>
      <c r="C118" t="s">
        <v>1077</v>
      </c>
      <c r="D118" t="s">
        <v>458</v>
      </c>
      <c r="E118" t="s">
        <v>1428</v>
      </c>
      <c r="F118" t="s">
        <v>1880</v>
      </c>
      <c r="G118" t="s">
        <v>2024</v>
      </c>
      <c r="H118" t="s">
        <v>2025</v>
      </c>
      <c r="I118" t="s">
        <v>2026</v>
      </c>
      <c r="J118" t="s">
        <v>1241</v>
      </c>
      <c r="N118" t="s">
        <v>1400</v>
      </c>
      <c r="O118" t="s">
        <v>264</v>
      </c>
      <c r="P118" t="s">
        <v>1401</v>
      </c>
      <c r="Q118">
        <v>0</v>
      </c>
      <c r="R118" t="s">
        <v>1251</v>
      </c>
      <c r="S118">
        <v>32</v>
      </c>
      <c r="T118">
        <v>32</v>
      </c>
      <c r="U118">
        <v>32</v>
      </c>
      <c r="V118">
        <v>32</v>
      </c>
      <c r="W118">
        <v>32</v>
      </c>
      <c r="X118">
        <v>32</v>
      </c>
      <c r="AH118">
        <v>0</v>
      </c>
      <c r="BP118">
        <v>42</v>
      </c>
      <c r="BQ118" s="772">
        <v>49</v>
      </c>
      <c r="BR118" t="s">
        <v>605</v>
      </c>
      <c r="BS118" t="s">
        <v>1213</v>
      </c>
      <c r="BT118">
        <v>0</v>
      </c>
      <c r="BU118" t="s">
        <v>1213</v>
      </c>
      <c r="BV118">
        <v>0</v>
      </c>
      <c r="BW118" t="s">
        <v>1213</v>
      </c>
      <c r="BX118">
        <v>0</v>
      </c>
      <c r="BY118" t="s">
        <v>1213</v>
      </c>
      <c r="BZ118" t="s">
        <v>2027</v>
      </c>
      <c r="CA118" t="s">
        <v>2028</v>
      </c>
    </row>
    <row r="119" spans="1:79" x14ac:dyDescent="0.2">
      <c r="A119" t="s">
        <v>1087</v>
      </c>
      <c r="B119" t="s">
        <v>2029</v>
      </c>
      <c r="C119" t="s">
        <v>1077</v>
      </c>
      <c r="D119" t="s">
        <v>458</v>
      </c>
      <c r="E119" t="s">
        <v>1428</v>
      </c>
      <c r="F119" t="s">
        <v>1894</v>
      </c>
      <c r="G119" t="s">
        <v>1487</v>
      </c>
      <c r="H119" t="s">
        <v>2030</v>
      </c>
      <c r="I119" t="s">
        <v>2031</v>
      </c>
      <c r="J119" t="s">
        <v>1241</v>
      </c>
      <c r="N119" t="s">
        <v>1400</v>
      </c>
      <c r="O119" t="s">
        <v>264</v>
      </c>
      <c r="P119" t="s">
        <v>1401</v>
      </c>
      <c r="Q119" t="s">
        <v>1242</v>
      </c>
      <c r="R119" t="s">
        <v>1251</v>
      </c>
      <c r="S119" t="s">
        <v>1897</v>
      </c>
      <c r="T119" t="s">
        <v>1898</v>
      </c>
      <c r="U119" t="s">
        <v>1898</v>
      </c>
      <c r="V119" t="s">
        <v>1898</v>
      </c>
      <c r="W119" t="s">
        <v>1898</v>
      </c>
      <c r="X119" t="s">
        <v>1898</v>
      </c>
      <c r="AH119">
        <v>0</v>
      </c>
      <c r="BP119">
        <v>91</v>
      </c>
      <c r="BQ119" s="771">
        <v>94</v>
      </c>
      <c r="BR119" t="s">
        <v>1213</v>
      </c>
      <c r="BS119" t="s">
        <v>1213</v>
      </c>
      <c r="BT119">
        <v>0</v>
      </c>
      <c r="BU119" t="s">
        <v>1213</v>
      </c>
      <c r="BV119">
        <v>0</v>
      </c>
      <c r="BW119" t="s">
        <v>1213</v>
      </c>
      <c r="BX119">
        <v>0</v>
      </c>
      <c r="BY119" t="s">
        <v>1213</v>
      </c>
      <c r="BZ119" t="s">
        <v>2032</v>
      </c>
    </row>
    <row r="120" spans="1:79" x14ac:dyDescent="0.2">
      <c r="A120" t="s">
        <v>1087</v>
      </c>
      <c r="B120" t="s">
        <v>2033</v>
      </c>
      <c r="C120" t="s">
        <v>1077</v>
      </c>
      <c r="D120" t="s">
        <v>458</v>
      </c>
      <c r="E120" t="s">
        <v>1428</v>
      </c>
      <c r="F120" t="s">
        <v>2034</v>
      </c>
      <c r="G120" t="s">
        <v>1492</v>
      </c>
      <c r="H120" t="s">
        <v>2035</v>
      </c>
      <c r="I120" t="s">
        <v>2036</v>
      </c>
      <c r="J120" t="s">
        <v>1241</v>
      </c>
      <c r="N120" t="s">
        <v>1386</v>
      </c>
      <c r="O120" t="s">
        <v>272</v>
      </c>
      <c r="P120" t="s">
        <v>1904</v>
      </c>
      <c r="Q120">
        <v>0</v>
      </c>
      <c r="R120" t="s">
        <v>1211</v>
      </c>
      <c r="S120">
        <v>206</v>
      </c>
      <c r="T120">
        <v>194</v>
      </c>
      <c r="U120">
        <v>183</v>
      </c>
      <c r="V120">
        <v>172</v>
      </c>
      <c r="W120">
        <v>161</v>
      </c>
      <c r="X120">
        <v>150</v>
      </c>
      <c r="AH120">
        <v>0</v>
      </c>
      <c r="BP120">
        <v>213.6</v>
      </c>
      <c r="BQ120" s="772">
        <v>225.2</v>
      </c>
      <c r="BR120" t="s">
        <v>606</v>
      </c>
      <c r="BS120" t="s">
        <v>1213</v>
      </c>
      <c r="BT120">
        <v>0</v>
      </c>
      <c r="BU120" t="s">
        <v>1213</v>
      </c>
      <c r="BV120">
        <v>0</v>
      </c>
      <c r="BW120" t="s">
        <v>1213</v>
      </c>
      <c r="BX120">
        <v>0</v>
      </c>
      <c r="BY120" t="s">
        <v>1213</v>
      </c>
      <c r="BZ120" t="s">
        <v>2037</v>
      </c>
    </row>
    <row r="121" spans="1:79" ht="25.5" x14ac:dyDescent="0.2">
      <c r="A121" t="s">
        <v>1087</v>
      </c>
      <c r="B121" t="s">
        <v>2038</v>
      </c>
      <c r="C121" t="s">
        <v>1077</v>
      </c>
      <c r="D121" t="s">
        <v>458</v>
      </c>
      <c r="E121" t="s">
        <v>1428</v>
      </c>
      <c r="F121" t="s">
        <v>2034</v>
      </c>
      <c r="G121" t="s">
        <v>1499</v>
      </c>
      <c r="H121" t="s">
        <v>2039</v>
      </c>
      <c r="I121" t="s">
        <v>2040</v>
      </c>
      <c r="J121" t="s">
        <v>1241</v>
      </c>
      <c r="N121" t="s">
        <v>1377</v>
      </c>
      <c r="O121" t="s">
        <v>1507</v>
      </c>
      <c r="P121" t="s">
        <v>1909</v>
      </c>
      <c r="Q121" t="s">
        <v>1212</v>
      </c>
      <c r="S121" t="s">
        <v>1897</v>
      </c>
      <c r="T121" t="s">
        <v>1910</v>
      </c>
      <c r="U121" t="s">
        <v>1910</v>
      </c>
      <c r="V121" t="s">
        <v>1910</v>
      </c>
      <c r="W121" t="s">
        <v>1910</v>
      </c>
      <c r="X121" t="s">
        <v>1910</v>
      </c>
      <c r="AH121">
        <v>0</v>
      </c>
      <c r="BP121" t="s">
        <v>952</v>
      </c>
      <c r="BQ121" s="771" t="s">
        <v>2041</v>
      </c>
      <c r="BR121" t="s">
        <v>605</v>
      </c>
      <c r="BS121" t="s">
        <v>1213</v>
      </c>
      <c r="BT121">
        <v>0</v>
      </c>
      <c r="BU121" t="s">
        <v>1213</v>
      </c>
      <c r="BV121">
        <v>0</v>
      </c>
      <c r="BW121" t="s">
        <v>1213</v>
      </c>
      <c r="BX121">
        <v>0</v>
      </c>
      <c r="BY121" t="s">
        <v>1213</v>
      </c>
      <c r="BZ121" t="s">
        <v>2042</v>
      </c>
    </row>
    <row r="122" spans="1:79" x14ac:dyDescent="0.2">
      <c r="A122" t="s">
        <v>1087</v>
      </c>
      <c r="B122" t="s">
        <v>2043</v>
      </c>
      <c r="C122" t="s">
        <v>1077</v>
      </c>
      <c r="D122" t="s">
        <v>1288</v>
      </c>
      <c r="E122" t="s">
        <v>1289</v>
      </c>
      <c r="F122" t="s">
        <v>1880</v>
      </c>
      <c r="G122" t="s">
        <v>1526</v>
      </c>
      <c r="H122" t="s">
        <v>2044</v>
      </c>
      <c r="I122" t="s">
        <v>2045</v>
      </c>
      <c r="J122" t="s">
        <v>1241</v>
      </c>
      <c r="N122" t="s">
        <v>1400</v>
      </c>
      <c r="O122" t="s">
        <v>665</v>
      </c>
      <c r="P122" t="s">
        <v>2017</v>
      </c>
      <c r="Q122">
        <v>1</v>
      </c>
      <c r="R122" t="s">
        <v>1251</v>
      </c>
      <c r="S122">
        <v>8.1999999999999993</v>
      </c>
      <c r="T122">
        <v>8.1999999999999993</v>
      </c>
      <c r="U122">
        <v>8.1999999999999993</v>
      </c>
      <c r="V122">
        <v>8.1999999999999993</v>
      </c>
      <c r="W122">
        <v>8.1999999999999993</v>
      </c>
      <c r="X122">
        <v>8.1999999999999993</v>
      </c>
      <c r="AH122">
        <v>0</v>
      </c>
      <c r="BP122">
        <v>8.3000000000000007</v>
      </c>
      <c r="BQ122" s="769">
        <v>8.5</v>
      </c>
      <c r="BR122" t="s">
        <v>605</v>
      </c>
      <c r="BS122" t="s">
        <v>1213</v>
      </c>
      <c r="BT122">
        <v>0</v>
      </c>
      <c r="BU122" t="s">
        <v>1213</v>
      </c>
      <c r="BV122">
        <v>0</v>
      </c>
      <c r="BW122" t="s">
        <v>1213</v>
      </c>
      <c r="BX122">
        <v>0</v>
      </c>
      <c r="BY122" t="s">
        <v>1213</v>
      </c>
      <c r="BZ122" t="s">
        <v>2046</v>
      </c>
    </row>
    <row r="123" spans="1:79" x14ac:dyDescent="0.2">
      <c r="A123" t="s">
        <v>1087</v>
      </c>
      <c r="B123" t="s">
        <v>2047</v>
      </c>
      <c r="C123" t="s">
        <v>1077</v>
      </c>
      <c r="D123" t="s">
        <v>1288</v>
      </c>
      <c r="E123" t="s">
        <v>1289</v>
      </c>
      <c r="F123" t="s">
        <v>1880</v>
      </c>
      <c r="G123" t="s">
        <v>1531</v>
      </c>
      <c r="H123" t="s">
        <v>2048</v>
      </c>
      <c r="I123" t="s">
        <v>2049</v>
      </c>
      <c r="J123" t="s">
        <v>1207</v>
      </c>
      <c r="K123" t="s">
        <v>1208</v>
      </c>
      <c r="M123" t="s">
        <v>606</v>
      </c>
      <c r="N123" t="s">
        <v>1294</v>
      </c>
      <c r="O123" t="s">
        <v>665</v>
      </c>
      <c r="P123" t="s">
        <v>1295</v>
      </c>
      <c r="Q123">
        <v>1</v>
      </c>
      <c r="R123" t="s">
        <v>1251</v>
      </c>
      <c r="S123">
        <v>89.4</v>
      </c>
      <c r="T123">
        <v>90</v>
      </c>
      <c r="U123">
        <v>90</v>
      </c>
      <c r="V123">
        <v>90</v>
      </c>
      <c r="W123">
        <v>90</v>
      </c>
      <c r="X123">
        <v>90</v>
      </c>
      <c r="AH123">
        <v>0</v>
      </c>
      <c r="AI123" t="s">
        <v>605</v>
      </c>
      <c r="AJ123" t="s">
        <v>605</v>
      </c>
      <c r="AK123" t="s">
        <v>605</v>
      </c>
      <c r="AL123" t="s">
        <v>605</v>
      </c>
      <c r="AM123" t="s">
        <v>605</v>
      </c>
      <c r="AN123" t="s">
        <v>1296</v>
      </c>
      <c r="AO123" t="s">
        <v>1296</v>
      </c>
      <c r="AP123" t="s">
        <v>1296</v>
      </c>
      <c r="AQ123" t="s">
        <v>1296</v>
      </c>
      <c r="AR123" t="s">
        <v>1296</v>
      </c>
      <c r="AS123" t="s">
        <v>1296</v>
      </c>
      <c r="AT123" t="s">
        <v>1296</v>
      </c>
      <c r="AU123" t="s">
        <v>1296</v>
      </c>
      <c r="AV123" t="s">
        <v>1296</v>
      </c>
      <c r="AW123" t="s">
        <v>1296</v>
      </c>
      <c r="AX123" t="s">
        <v>1296</v>
      </c>
      <c r="AY123" t="s">
        <v>1296</v>
      </c>
      <c r="AZ123" t="s">
        <v>1296</v>
      </c>
      <c r="BA123" t="s">
        <v>1296</v>
      </c>
      <c r="BB123" t="s">
        <v>1296</v>
      </c>
      <c r="BC123" t="s">
        <v>1296</v>
      </c>
      <c r="BD123" t="s">
        <v>1296</v>
      </c>
      <c r="BE123" t="s">
        <v>1296</v>
      </c>
      <c r="BF123" t="s">
        <v>1296</v>
      </c>
      <c r="BG123" t="s">
        <v>1296</v>
      </c>
      <c r="BH123" t="s">
        <v>1296</v>
      </c>
      <c r="BL123" t="s">
        <v>1296</v>
      </c>
      <c r="BN123">
        <v>1</v>
      </c>
      <c r="BO123" t="s">
        <v>1212</v>
      </c>
      <c r="BP123">
        <v>83.72</v>
      </c>
      <c r="BQ123" s="769">
        <v>83.64</v>
      </c>
      <c r="BR123" t="s">
        <v>606</v>
      </c>
      <c r="BS123" t="s">
        <v>1213</v>
      </c>
      <c r="BT123">
        <v>0</v>
      </c>
      <c r="BU123" t="s">
        <v>1213</v>
      </c>
      <c r="BV123">
        <v>0</v>
      </c>
      <c r="BW123" t="s">
        <v>1213</v>
      </c>
      <c r="BX123">
        <v>0</v>
      </c>
      <c r="BY123" t="s">
        <v>1213</v>
      </c>
      <c r="BZ123" t="s">
        <v>2050</v>
      </c>
      <c r="CA123" t="s">
        <v>1298</v>
      </c>
    </row>
    <row r="124" spans="1:79" x14ac:dyDescent="0.2">
      <c r="A124" t="s">
        <v>1087</v>
      </c>
      <c r="B124" t="s">
        <v>2051</v>
      </c>
      <c r="C124" t="s">
        <v>1077</v>
      </c>
      <c r="D124" t="s">
        <v>1288</v>
      </c>
      <c r="E124" t="s">
        <v>1289</v>
      </c>
      <c r="F124" t="s">
        <v>1880</v>
      </c>
      <c r="G124" t="s">
        <v>2052</v>
      </c>
      <c r="H124" t="s">
        <v>2053</v>
      </c>
      <c r="I124" t="s">
        <v>2054</v>
      </c>
      <c r="J124" t="s">
        <v>1241</v>
      </c>
      <c r="N124" t="s">
        <v>1400</v>
      </c>
      <c r="O124" t="s">
        <v>264</v>
      </c>
      <c r="P124" t="s">
        <v>1401</v>
      </c>
      <c r="Q124">
        <v>0</v>
      </c>
      <c r="R124" t="s">
        <v>1251</v>
      </c>
      <c r="S124">
        <v>32</v>
      </c>
      <c r="T124">
        <v>32</v>
      </c>
      <c r="U124">
        <v>32</v>
      </c>
      <c r="V124">
        <v>32</v>
      </c>
      <c r="W124">
        <v>32</v>
      </c>
      <c r="X124">
        <v>32</v>
      </c>
      <c r="AH124">
        <v>0</v>
      </c>
      <c r="BP124">
        <v>42</v>
      </c>
      <c r="BQ124" s="772">
        <v>49</v>
      </c>
      <c r="BR124" t="s">
        <v>605</v>
      </c>
      <c r="BS124" t="s">
        <v>1213</v>
      </c>
      <c r="BT124">
        <v>0</v>
      </c>
      <c r="BU124" t="s">
        <v>1213</v>
      </c>
      <c r="BV124">
        <v>0</v>
      </c>
      <c r="BW124" t="s">
        <v>1213</v>
      </c>
      <c r="BX124">
        <v>0</v>
      </c>
      <c r="BY124" t="s">
        <v>1213</v>
      </c>
      <c r="BZ124" t="s">
        <v>2055</v>
      </c>
    </row>
    <row r="125" spans="1:79" x14ac:dyDescent="0.2">
      <c r="A125" t="s">
        <v>1087</v>
      </c>
      <c r="B125" t="s">
        <v>2056</v>
      </c>
      <c r="C125" t="s">
        <v>1077</v>
      </c>
      <c r="D125" t="s">
        <v>1288</v>
      </c>
      <c r="E125" t="s">
        <v>1289</v>
      </c>
      <c r="F125" t="s">
        <v>2057</v>
      </c>
      <c r="G125" t="s">
        <v>1536</v>
      </c>
      <c r="H125" t="s">
        <v>2058</v>
      </c>
      <c r="I125" t="s">
        <v>2059</v>
      </c>
      <c r="J125" t="s">
        <v>1241</v>
      </c>
      <c r="N125" t="s">
        <v>1303</v>
      </c>
      <c r="O125" t="s">
        <v>665</v>
      </c>
      <c r="P125" t="s">
        <v>2017</v>
      </c>
      <c r="Q125">
        <v>1</v>
      </c>
      <c r="R125" t="s">
        <v>1251</v>
      </c>
      <c r="S125">
        <v>7.9</v>
      </c>
      <c r="T125">
        <v>7.9</v>
      </c>
      <c r="U125">
        <v>7.9</v>
      </c>
      <c r="V125">
        <v>7.9</v>
      </c>
      <c r="W125">
        <v>7.9</v>
      </c>
      <c r="X125">
        <v>7.9</v>
      </c>
      <c r="AH125">
        <v>0</v>
      </c>
      <c r="BP125">
        <v>8.1</v>
      </c>
      <c r="BQ125" s="769">
        <v>8.1999999999999993</v>
      </c>
      <c r="BR125" t="s">
        <v>605</v>
      </c>
      <c r="BS125" t="s">
        <v>1213</v>
      </c>
      <c r="BT125">
        <v>0</v>
      </c>
      <c r="BU125" t="s">
        <v>1213</v>
      </c>
      <c r="BV125">
        <v>0</v>
      </c>
      <c r="BW125" t="s">
        <v>1213</v>
      </c>
      <c r="BX125">
        <v>0</v>
      </c>
      <c r="BY125" t="s">
        <v>1213</v>
      </c>
      <c r="BZ125" t="s">
        <v>2060</v>
      </c>
    </row>
    <row r="126" spans="1:79" x14ac:dyDescent="0.2">
      <c r="A126" t="s">
        <v>1087</v>
      </c>
      <c r="B126" t="s">
        <v>2061</v>
      </c>
      <c r="C126" t="s">
        <v>1077</v>
      </c>
      <c r="D126" t="s">
        <v>1288</v>
      </c>
      <c r="E126" t="s">
        <v>1289</v>
      </c>
      <c r="F126" t="s">
        <v>2057</v>
      </c>
      <c r="G126" t="s">
        <v>1541</v>
      </c>
      <c r="H126" t="s">
        <v>2062</v>
      </c>
      <c r="I126" t="s">
        <v>2063</v>
      </c>
      <c r="J126" t="s">
        <v>1241</v>
      </c>
      <c r="N126" t="s">
        <v>1303</v>
      </c>
      <c r="O126" t="s">
        <v>264</v>
      </c>
      <c r="P126" t="s">
        <v>1401</v>
      </c>
      <c r="Q126">
        <v>0</v>
      </c>
      <c r="R126" t="s">
        <v>1251</v>
      </c>
      <c r="S126">
        <v>83</v>
      </c>
      <c r="T126">
        <v>83</v>
      </c>
      <c r="U126">
        <v>83</v>
      </c>
      <c r="V126">
        <v>83</v>
      </c>
      <c r="W126">
        <v>83</v>
      </c>
      <c r="X126">
        <v>83</v>
      </c>
      <c r="AH126">
        <v>0</v>
      </c>
      <c r="BP126">
        <v>78</v>
      </c>
      <c r="BQ126" s="772">
        <v>77</v>
      </c>
      <c r="BR126" t="s">
        <v>606</v>
      </c>
      <c r="BS126" t="s">
        <v>1213</v>
      </c>
      <c r="BT126">
        <v>0</v>
      </c>
      <c r="BU126" t="s">
        <v>1213</v>
      </c>
      <c r="BV126">
        <v>0</v>
      </c>
      <c r="BW126" t="s">
        <v>1213</v>
      </c>
      <c r="BX126">
        <v>0</v>
      </c>
      <c r="BY126" t="s">
        <v>1213</v>
      </c>
      <c r="BZ126" t="s">
        <v>2064</v>
      </c>
    </row>
    <row r="127" spans="1:79" x14ac:dyDescent="0.2">
      <c r="A127" t="s">
        <v>1087</v>
      </c>
      <c r="B127" t="s">
        <v>2065</v>
      </c>
      <c r="C127" t="s">
        <v>1077</v>
      </c>
      <c r="D127" t="s">
        <v>1288</v>
      </c>
      <c r="E127" t="s">
        <v>1289</v>
      </c>
      <c r="F127" t="s">
        <v>2057</v>
      </c>
      <c r="G127" t="s">
        <v>2066</v>
      </c>
      <c r="H127" t="s">
        <v>2067</v>
      </c>
      <c r="I127" t="s">
        <v>2068</v>
      </c>
      <c r="J127" t="s">
        <v>1241</v>
      </c>
      <c r="N127" t="s">
        <v>1303</v>
      </c>
      <c r="O127" t="s">
        <v>264</v>
      </c>
      <c r="P127" t="s">
        <v>1401</v>
      </c>
      <c r="Q127">
        <v>0</v>
      </c>
      <c r="R127" t="s">
        <v>1251</v>
      </c>
      <c r="S127">
        <v>84</v>
      </c>
      <c r="T127">
        <v>84</v>
      </c>
      <c r="U127">
        <v>84</v>
      </c>
      <c r="V127">
        <v>84</v>
      </c>
      <c r="W127">
        <v>84</v>
      </c>
      <c r="X127">
        <v>84</v>
      </c>
      <c r="AH127">
        <v>0</v>
      </c>
      <c r="BP127">
        <v>81</v>
      </c>
      <c r="BQ127" s="772">
        <v>79</v>
      </c>
      <c r="BR127" t="s">
        <v>606</v>
      </c>
      <c r="BS127" t="s">
        <v>1213</v>
      </c>
      <c r="BT127">
        <v>0</v>
      </c>
      <c r="BU127" t="s">
        <v>1213</v>
      </c>
      <c r="BV127">
        <v>0</v>
      </c>
      <c r="BW127" t="s">
        <v>1213</v>
      </c>
      <c r="BX127">
        <v>0</v>
      </c>
      <c r="BY127" t="s">
        <v>1213</v>
      </c>
      <c r="BZ127" t="s">
        <v>2069</v>
      </c>
    </row>
    <row r="128" spans="1:79" x14ac:dyDescent="0.2">
      <c r="A128" t="s">
        <v>1087</v>
      </c>
      <c r="B128" t="s">
        <v>2070</v>
      </c>
      <c r="C128" t="s">
        <v>1077</v>
      </c>
      <c r="D128" t="s">
        <v>1288</v>
      </c>
      <c r="E128" t="s">
        <v>1289</v>
      </c>
      <c r="F128" t="s">
        <v>2057</v>
      </c>
      <c r="G128" t="s">
        <v>2071</v>
      </c>
      <c r="H128" t="s">
        <v>2072</v>
      </c>
      <c r="I128" t="s">
        <v>2073</v>
      </c>
      <c r="J128" t="s">
        <v>1241</v>
      </c>
      <c r="N128" t="s">
        <v>1303</v>
      </c>
      <c r="O128" t="s">
        <v>264</v>
      </c>
      <c r="P128" t="s">
        <v>1401</v>
      </c>
      <c r="Q128">
        <v>0</v>
      </c>
      <c r="R128" t="s">
        <v>1251</v>
      </c>
      <c r="S128">
        <v>73</v>
      </c>
      <c r="T128">
        <v>73</v>
      </c>
      <c r="U128">
        <v>73</v>
      </c>
      <c r="V128">
        <v>73</v>
      </c>
      <c r="W128">
        <v>73</v>
      </c>
      <c r="X128">
        <v>73</v>
      </c>
      <c r="AH128">
        <v>0</v>
      </c>
      <c r="BP128">
        <v>73</v>
      </c>
      <c r="BQ128" s="772">
        <v>70</v>
      </c>
      <c r="BR128" t="s">
        <v>606</v>
      </c>
      <c r="BS128" t="s">
        <v>1213</v>
      </c>
      <c r="BT128">
        <v>0</v>
      </c>
      <c r="BU128" t="s">
        <v>1213</v>
      </c>
      <c r="BV128">
        <v>0</v>
      </c>
      <c r="BW128" t="s">
        <v>1213</v>
      </c>
      <c r="BX128">
        <v>0</v>
      </c>
      <c r="BY128" t="s">
        <v>1213</v>
      </c>
      <c r="BZ128" t="s">
        <v>2074</v>
      </c>
    </row>
    <row r="129" spans="1:79" x14ac:dyDescent="0.2">
      <c r="A129" t="s">
        <v>1087</v>
      </c>
      <c r="B129" t="s">
        <v>2075</v>
      </c>
      <c r="C129" t="s">
        <v>1077</v>
      </c>
      <c r="D129" t="s">
        <v>1288</v>
      </c>
      <c r="E129" t="s">
        <v>1289</v>
      </c>
      <c r="F129" t="s">
        <v>1894</v>
      </c>
      <c r="G129" t="s">
        <v>1546</v>
      </c>
      <c r="H129" t="s">
        <v>2076</v>
      </c>
      <c r="I129" t="s">
        <v>2077</v>
      </c>
      <c r="J129" t="s">
        <v>1241</v>
      </c>
      <c r="N129" t="s">
        <v>1400</v>
      </c>
      <c r="O129" t="s">
        <v>264</v>
      </c>
      <c r="P129" t="s">
        <v>1401</v>
      </c>
      <c r="Q129" t="s">
        <v>1242</v>
      </c>
      <c r="R129" t="s">
        <v>1251</v>
      </c>
      <c r="S129" t="s">
        <v>1897</v>
      </c>
      <c r="T129" t="s">
        <v>1898</v>
      </c>
      <c r="U129" t="s">
        <v>1898</v>
      </c>
      <c r="V129" t="s">
        <v>1898</v>
      </c>
      <c r="W129" t="s">
        <v>1898</v>
      </c>
      <c r="X129" t="s">
        <v>1898</v>
      </c>
      <c r="AH129">
        <v>0</v>
      </c>
      <c r="BP129">
        <v>91</v>
      </c>
      <c r="BQ129" s="771">
        <v>94</v>
      </c>
      <c r="BR129" t="s">
        <v>1213</v>
      </c>
      <c r="BS129" t="s">
        <v>1213</v>
      </c>
      <c r="BT129">
        <v>0</v>
      </c>
      <c r="BU129" t="s">
        <v>1213</v>
      </c>
      <c r="BV129">
        <v>0</v>
      </c>
      <c r="BW129" t="s">
        <v>1213</v>
      </c>
      <c r="BX129">
        <v>0</v>
      </c>
      <c r="BY129" t="s">
        <v>1213</v>
      </c>
      <c r="BZ129" t="s">
        <v>2078</v>
      </c>
    </row>
    <row r="130" spans="1:79" x14ac:dyDescent="0.2">
      <c r="A130" t="s">
        <v>1087</v>
      </c>
      <c r="B130" t="s">
        <v>2079</v>
      </c>
      <c r="C130" t="s">
        <v>1077</v>
      </c>
      <c r="D130" t="s">
        <v>1288</v>
      </c>
      <c r="E130" t="s">
        <v>1289</v>
      </c>
      <c r="F130" t="s">
        <v>2034</v>
      </c>
      <c r="G130" t="s">
        <v>2080</v>
      </c>
      <c r="H130" t="s">
        <v>2081</v>
      </c>
      <c r="I130" t="s">
        <v>2082</v>
      </c>
      <c r="J130" t="s">
        <v>1241</v>
      </c>
      <c r="N130" t="s">
        <v>1386</v>
      </c>
      <c r="O130" t="s">
        <v>272</v>
      </c>
      <c r="P130" t="s">
        <v>1904</v>
      </c>
      <c r="Q130">
        <v>0</v>
      </c>
      <c r="R130" t="s">
        <v>1211</v>
      </c>
      <c r="S130">
        <v>206</v>
      </c>
      <c r="T130">
        <v>194</v>
      </c>
      <c r="U130">
        <v>183</v>
      </c>
      <c r="V130">
        <v>172</v>
      </c>
      <c r="W130">
        <v>161</v>
      </c>
      <c r="X130">
        <v>150</v>
      </c>
      <c r="AH130">
        <v>0</v>
      </c>
      <c r="BP130">
        <v>213.6</v>
      </c>
      <c r="BQ130" s="772">
        <v>225.2</v>
      </c>
      <c r="BR130" t="s">
        <v>606</v>
      </c>
      <c r="BS130" t="s">
        <v>1213</v>
      </c>
      <c r="BT130">
        <v>0</v>
      </c>
      <c r="BU130" t="s">
        <v>1213</v>
      </c>
      <c r="BV130">
        <v>0</v>
      </c>
      <c r="BW130" t="s">
        <v>1213</v>
      </c>
      <c r="BX130">
        <v>0</v>
      </c>
      <c r="BY130" t="s">
        <v>1213</v>
      </c>
      <c r="BZ130" t="s">
        <v>2083</v>
      </c>
    </row>
    <row r="131" spans="1:79" ht="25.5" x14ac:dyDescent="0.2">
      <c r="A131" t="s">
        <v>1087</v>
      </c>
      <c r="B131" t="s">
        <v>2084</v>
      </c>
      <c r="C131" t="s">
        <v>1077</v>
      </c>
      <c r="D131" t="s">
        <v>1288</v>
      </c>
      <c r="E131" t="s">
        <v>1289</v>
      </c>
      <c r="F131" t="s">
        <v>2034</v>
      </c>
      <c r="G131" t="s">
        <v>2085</v>
      </c>
      <c r="H131" t="s">
        <v>2086</v>
      </c>
      <c r="I131" t="s">
        <v>2087</v>
      </c>
      <c r="J131" t="s">
        <v>1241</v>
      </c>
      <c r="N131" t="s">
        <v>1377</v>
      </c>
      <c r="O131" t="s">
        <v>1507</v>
      </c>
      <c r="P131" t="s">
        <v>1909</v>
      </c>
      <c r="Q131" t="s">
        <v>1212</v>
      </c>
      <c r="S131" t="s">
        <v>1897</v>
      </c>
      <c r="T131" t="s">
        <v>1910</v>
      </c>
      <c r="U131" t="s">
        <v>1910</v>
      </c>
      <c r="V131" t="s">
        <v>1910</v>
      </c>
      <c r="W131" t="s">
        <v>1910</v>
      </c>
      <c r="X131" t="s">
        <v>1910</v>
      </c>
      <c r="AH131">
        <v>0</v>
      </c>
      <c r="BP131" t="s">
        <v>952</v>
      </c>
      <c r="BQ131" s="771" t="s">
        <v>1911</v>
      </c>
      <c r="BR131" t="s">
        <v>605</v>
      </c>
      <c r="BS131" t="s">
        <v>1213</v>
      </c>
      <c r="BT131">
        <v>0</v>
      </c>
      <c r="BU131" t="s">
        <v>1213</v>
      </c>
      <c r="BV131">
        <v>0</v>
      </c>
      <c r="BW131" t="s">
        <v>1213</v>
      </c>
      <c r="BX131">
        <v>0</v>
      </c>
      <c r="BY131" t="s">
        <v>1213</v>
      </c>
      <c r="BZ131" t="s">
        <v>2088</v>
      </c>
    </row>
    <row r="132" spans="1:79" x14ac:dyDescent="0.2">
      <c r="A132" t="s">
        <v>1087</v>
      </c>
      <c r="B132" t="s">
        <v>2089</v>
      </c>
      <c r="C132" t="s">
        <v>1077</v>
      </c>
      <c r="D132" t="s">
        <v>1288</v>
      </c>
      <c r="E132" t="s">
        <v>1289</v>
      </c>
      <c r="F132" t="s">
        <v>2090</v>
      </c>
      <c r="G132" t="s">
        <v>2091</v>
      </c>
      <c r="H132" t="s">
        <v>2092</v>
      </c>
      <c r="I132" t="s">
        <v>2093</v>
      </c>
      <c r="J132" t="s">
        <v>1219</v>
      </c>
      <c r="K132" t="s">
        <v>1208</v>
      </c>
      <c r="M132" t="s">
        <v>606</v>
      </c>
      <c r="N132" t="s">
        <v>1303</v>
      </c>
      <c r="O132" t="s">
        <v>86</v>
      </c>
      <c r="P132" t="s">
        <v>2094</v>
      </c>
      <c r="Q132">
        <v>3</v>
      </c>
      <c r="S132">
        <v>0</v>
      </c>
      <c r="T132" t="s">
        <v>1710</v>
      </c>
      <c r="U132" t="s">
        <v>1710</v>
      </c>
      <c r="V132" t="s">
        <v>1710</v>
      </c>
      <c r="W132" t="s">
        <v>1710</v>
      </c>
      <c r="X132">
        <v>5.4930000000000003</v>
      </c>
      <c r="AD132" t="s">
        <v>605</v>
      </c>
      <c r="AH132">
        <v>0</v>
      </c>
      <c r="AK132" t="s">
        <v>605</v>
      </c>
      <c r="AL132" t="s">
        <v>605</v>
      </c>
      <c r="AM132" t="s">
        <v>605</v>
      </c>
      <c r="AN132" t="s">
        <v>1710</v>
      </c>
      <c r="AO132" t="s">
        <v>1710</v>
      </c>
      <c r="AP132" t="s">
        <v>2010</v>
      </c>
      <c r="AQ132" t="s">
        <v>2010</v>
      </c>
      <c r="AR132" t="s">
        <v>2010</v>
      </c>
      <c r="AS132" t="s">
        <v>1710</v>
      </c>
      <c r="AT132" t="s">
        <v>1710</v>
      </c>
      <c r="AU132" t="s">
        <v>2010</v>
      </c>
      <c r="AV132" t="s">
        <v>2010</v>
      </c>
      <c r="AW132" t="s">
        <v>2010</v>
      </c>
      <c r="BH132" t="s">
        <v>2095</v>
      </c>
      <c r="BI132">
        <v>1.25</v>
      </c>
      <c r="BN132">
        <v>1</v>
      </c>
      <c r="BO132" t="s">
        <v>1212</v>
      </c>
      <c r="BP132" t="s">
        <v>952</v>
      </c>
      <c r="BQ132" s="771" t="s">
        <v>952</v>
      </c>
      <c r="BR132" t="s">
        <v>1213</v>
      </c>
      <c r="BS132" t="s">
        <v>1213</v>
      </c>
      <c r="BT132">
        <v>0</v>
      </c>
      <c r="BU132" t="s">
        <v>1213</v>
      </c>
      <c r="BV132">
        <v>0</v>
      </c>
      <c r="BW132" t="s">
        <v>1213</v>
      </c>
      <c r="BX132">
        <v>0</v>
      </c>
      <c r="BY132" t="s">
        <v>1213</v>
      </c>
      <c r="BZ132" t="s">
        <v>2096</v>
      </c>
      <c r="CA132" t="s">
        <v>2097</v>
      </c>
    </row>
    <row r="133" spans="1:79" x14ac:dyDescent="0.2">
      <c r="A133" t="s">
        <v>2098</v>
      </c>
      <c r="B133" t="s">
        <v>2099</v>
      </c>
      <c r="C133" t="s">
        <v>1112</v>
      </c>
      <c r="D133" t="s">
        <v>457</v>
      </c>
      <c r="E133" t="s">
        <v>1202</v>
      </c>
      <c r="F133" t="s">
        <v>2100</v>
      </c>
      <c r="G133" t="s">
        <v>1554</v>
      </c>
      <c r="H133" t="s">
        <v>2101</v>
      </c>
      <c r="I133" t="s">
        <v>2102</v>
      </c>
      <c r="J133" t="s">
        <v>1207</v>
      </c>
      <c r="K133" t="s">
        <v>1208</v>
      </c>
      <c r="N133" t="s">
        <v>1272</v>
      </c>
      <c r="O133" t="s">
        <v>272</v>
      </c>
      <c r="P133" t="s">
        <v>1273</v>
      </c>
      <c r="Q133">
        <v>0</v>
      </c>
      <c r="R133" t="s">
        <v>1211</v>
      </c>
      <c r="S133">
        <v>342</v>
      </c>
      <c r="T133">
        <v>342</v>
      </c>
      <c r="U133">
        <v>342</v>
      </c>
      <c r="V133">
        <v>342</v>
      </c>
      <c r="W133">
        <v>342</v>
      </c>
      <c r="X133">
        <v>342</v>
      </c>
      <c r="AE133" t="s">
        <v>605</v>
      </c>
      <c r="AH133">
        <v>0</v>
      </c>
      <c r="AM133" t="s">
        <v>605</v>
      </c>
      <c r="AN133">
        <v>600</v>
      </c>
      <c r="AO133">
        <v>600</v>
      </c>
      <c r="AP133">
        <v>600</v>
      </c>
      <c r="AQ133">
        <v>600</v>
      </c>
      <c r="AR133">
        <v>600</v>
      </c>
      <c r="AS133">
        <v>435</v>
      </c>
      <c r="AT133">
        <v>435</v>
      </c>
      <c r="AU133">
        <v>435</v>
      </c>
      <c r="AV133">
        <v>435</v>
      </c>
      <c r="AW133">
        <v>435</v>
      </c>
      <c r="AX133">
        <v>250</v>
      </c>
      <c r="AY133">
        <v>250</v>
      </c>
      <c r="AZ133">
        <v>250</v>
      </c>
      <c r="BA133">
        <v>250</v>
      </c>
      <c r="BB133">
        <v>250</v>
      </c>
      <c r="BC133">
        <v>100</v>
      </c>
      <c r="BD133">
        <v>100</v>
      </c>
      <c r="BE133">
        <v>100</v>
      </c>
      <c r="BF133">
        <v>100</v>
      </c>
      <c r="BG133">
        <v>100</v>
      </c>
      <c r="BH133">
        <v>4.457E-3</v>
      </c>
      <c r="BL133">
        <v>1.642E-3</v>
      </c>
      <c r="BN133">
        <v>1</v>
      </c>
      <c r="BO133" t="s">
        <v>1212</v>
      </c>
      <c r="BP133">
        <v>294</v>
      </c>
      <c r="BQ133" s="772">
        <v>219</v>
      </c>
      <c r="BR133" t="s">
        <v>605</v>
      </c>
      <c r="BS133" t="s">
        <v>1213</v>
      </c>
      <c r="BT133">
        <v>0</v>
      </c>
      <c r="BU133" t="s">
        <v>1213</v>
      </c>
      <c r="BV133">
        <v>0</v>
      </c>
      <c r="BW133" t="s">
        <v>1213</v>
      </c>
      <c r="BX133">
        <v>0</v>
      </c>
      <c r="BY133" t="s">
        <v>1213</v>
      </c>
      <c r="BZ133" t="s">
        <v>2103</v>
      </c>
    </row>
    <row r="134" spans="1:79" x14ac:dyDescent="0.2">
      <c r="A134" t="s">
        <v>2098</v>
      </c>
      <c r="B134" t="s">
        <v>2104</v>
      </c>
      <c r="C134" t="s">
        <v>1112</v>
      </c>
      <c r="D134" t="s">
        <v>457</v>
      </c>
      <c r="E134" t="s">
        <v>1202</v>
      </c>
      <c r="F134" t="s">
        <v>2100</v>
      </c>
      <c r="G134" t="s">
        <v>1560</v>
      </c>
      <c r="H134" t="s">
        <v>2105</v>
      </c>
      <c r="I134" t="s">
        <v>2106</v>
      </c>
      <c r="J134" t="s">
        <v>1219</v>
      </c>
      <c r="K134" t="s">
        <v>1208</v>
      </c>
      <c r="N134" t="s">
        <v>1249</v>
      </c>
      <c r="O134" t="s">
        <v>264</v>
      </c>
      <c r="P134" t="s">
        <v>1250</v>
      </c>
      <c r="Q134">
        <v>2</v>
      </c>
      <c r="R134" t="s">
        <v>1251</v>
      </c>
      <c r="S134">
        <v>99.98</v>
      </c>
      <c r="T134">
        <v>99.98</v>
      </c>
      <c r="U134">
        <v>99.98</v>
      </c>
      <c r="V134">
        <v>100</v>
      </c>
      <c r="W134">
        <v>100</v>
      </c>
      <c r="X134">
        <v>100</v>
      </c>
      <c r="Y134" t="s">
        <v>605</v>
      </c>
      <c r="AE134" t="s">
        <v>605</v>
      </c>
      <c r="AH134">
        <v>0</v>
      </c>
      <c r="AI134" t="s">
        <v>605</v>
      </c>
      <c r="AJ134" t="s">
        <v>605</v>
      </c>
      <c r="AK134" t="s">
        <v>605</v>
      </c>
      <c r="AL134" t="s">
        <v>605</v>
      </c>
      <c r="AM134" t="s">
        <v>605</v>
      </c>
      <c r="AN134">
        <v>0</v>
      </c>
      <c r="AO134">
        <v>0</v>
      </c>
      <c r="AP134">
        <v>0</v>
      </c>
      <c r="AQ134">
        <v>0</v>
      </c>
      <c r="AR134">
        <v>0</v>
      </c>
      <c r="AS134">
        <v>99.95</v>
      </c>
      <c r="AT134">
        <v>99.95</v>
      </c>
      <c r="AU134">
        <v>99.95</v>
      </c>
      <c r="AV134">
        <v>99.95</v>
      </c>
      <c r="AW134">
        <v>99.95</v>
      </c>
      <c r="BH134">
        <v>0.31941999999999998</v>
      </c>
      <c r="BN134">
        <v>100</v>
      </c>
      <c r="BO134" t="s">
        <v>1212</v>
      </c>
      <c r="BP134">
        <v>99.97</v>
      </c>
      <c r="BQ134" s="773">
        <v>99.94</v>
      </c>
      <c r="BR134" t="s">
        <v>606</v>
      </c>
      <c r="BS134" t="s">
        <v>1213</v>
      </c>
      <c r="BT134">
        <v>0</v>
      </c>
      <c r="BU134" t="s">
        <v>1107</v>
      </c>
      <c r="BV134">
        <v>-0.31941999999999998</v>
      </c>
      <c r="BW134" t="s">
        <v>1107</v>
      </c>
      <c r="BX134">
        <v>-0.31941999999999998</v>
      </c>
      <c r="BY134" t="s">
        <v>1171</v>
      </c>
      <c r="BZ134" t="s">
        <v>2107</v>
      </c>
    </row>
    <row r="135" spans="1:79" x14ac:dyDescent="0.2">
      <c r="A135" t="s">
        <v>2098</v>
      </c>
      <c r="B135" t="s">
        <v>2108</v>
      </c>
      <c r="C135" t="s">
        <v>1112</v>
      </c>
      <c r="D135" t="s">
        <v>457</v>
      </c>
      <c r="E135" t="s">
        <v>1202</v>
      </c>
      <c r="F135" t="s">
        <v>2100</v>
      </c>
      <c r="G135" t="s">
        <v>1569</v>
      </c>
      <c r="H135" t="s">
        <v>2109</v>
      </c>
      <c r="I135" t="s">
        <v>2110</v>
      </c>
      <c r="J135" t="s">
        <v>1207</v>
      </c>
      <c r="K135" t="s">
        <v>1208</v>
      </c>
      <c r="N135" t="s">
        <v>1172</v>
      </c>
      <c r="O135" t="s">
        <v>272</v>
      </c>
      <c r="P135" t="s">
        <v>2111</v>
      </c>
      <c r="Q135">
        <v>3</v>
      </c>
      <c r="R135" t="s">
        <v>1211</v>
      </c>
      <c r="S135">
        <v>0.434</v>
      </c>
      <c r="T135">
        <v>0.42899999999999999</v>
      </c>
      <c r="U135">
        <v>0.42499999999999999</v>
      </c>
      <c r="V135">
        <v>0.42099999999999999</v>
      </c>
      <c r="W135">
        <v>0.41699999999999998</v>
      </c>
      <c r="X135">
        <v>0.41299999999999998</v>
      </c>
      <c r="Z135" t="s">
        <v>605</v>
      </c>
      <c r="AE135" t="s">
        <v>605</v>
      </c>
      <c r="AH135">
        <v>0</v>
      </c>
      <c r="AM135" t="s">
        <v>605</v>
      </c>
      <c r="AN135">
        <v>0.505</v>
      </c>
      <c r="AO135">
        <v>0.505</v>
      </c>
      <c r="AP135">
        <v>0.505</v>
      </c>
      <c r="AQ135">
        <v>0.505</v>
      </c>
      <c r="AR135">
        <v>0.505</v>
      </c>
      <c r="AS135">
        <v>0.42899999999999999</v>
      </c>
      <c r="AT135">
        <v>0.42499999999999999</v>
      </c>
      <c r="AU135">
        <v>0.42099999999999999</v>
      </c>
      <c r="AV135">
        <v>0.41699999999999998</v>
      </c>
      <c r="AW135">
        <v>0.41299999999999998</v>
      </c>
      <c r="AX135">
        <v>0.42899999999999999</v>
      </c>
      <c r="AY135">
        <v>0.42499999999999999</v>
      </c>
      <c r="AZ135">
        <v>0.42099999999999999</v>
      </c>
      <c r="BA135">
        <v>0.41699999999999998</v>
      </c>
      <c r="BB135">
        <v>0.41299999999999998</v>
      </c>
      <c r="BC135">
        <v>0.33700000000000002</v>
      </c>
      <c r="BD135">
        <v>0.33700000000000002</v>
      </c>
      <c r="BE135">
        <v>0.33700000000000002</v>
      </c>
      <c r="BF135">
        <v>0.33700000000000002</v>
      </c>
      <c r="BG135">
        <v>0.33700000000000002</v>
      </c>
      <c r="BH135">
        <v>0.22655</v>
      </c>
      <c r="BL135">
        <v>5.8854999999999998E-2</v>
      </c>
      <c r="BN135">
        <v>100</v>
      </c>
      <c r="BO135" t="s">
        <v>2112</v>
      </c>
      <c r="BP135">
        <v>0.84099999999999997</v>
      </c>
      <c r="BQ135" s="782">
        <v>0.56999999999999995</v>
      </c>
      <c r="BR135" t="s">
        <v>606</v>
      </c>
      <c r="BS135" t="s">
        <v>1213</v>
      </c>
      <c r="BT135">
        <v>0</v>
      </c>
      <c r="BU135" t="s">
        <v>1213</v>
      </c>
      <c r="BV135">
        <v>0</v>
      </c>
      <c r="BW135" t="s">
        <v>1213</v>
      </c>
      <c r="BX135">
        <v>0</v>
      </c>
      <c r="BY135" t="s">
        <v>1172</v>
      </c>
      <c r="BZ135" t="s">
        <v>2113</v>
      </c>
    </row>
    <row r="136" spans="1:79" x14ac:dyDescent="0.2">
      <c r="A136" t="s">
        <v>2098</v>
      </c>
      <c r="B136" t="s">
        <v>2114</v>
      </c>
      <c r="C136" t="s">
        <v>1112</v>
      </c>
      <c r="D136" t="s">
        <v>457</v>
      </c>
      <c r="E136" t="s">
        <v>1202</v>
      </c>
      <c r="F136" t="s">
        <v>2100</v>
      </c>
      <c r="G136" t="s">
        <v>1715</v>
      </c>
      <c r="H136" t="s">
        <v>2115</v>
      </c>
      <c r="I136" t="s">
        <v>2116</v>
      </c>
      <c r="J136" t="s">
        <v>1241</v>
      </c>
      <c r="N136" t="s">
        <v>1338</v>
      </c>
      <c r="O136" t="s">
        <v>272</v>
      </c>
      <c r="P136" t="s">
        <v>2117</v>
      </c>
      <c r="Q136">
        <v>0</v>
      </c>
      <c r="R136" t="s">
        <v>1211</v>
      </c>
      <c r="S136">
        <v>0</v>
      </c>
      <c r="T136">
        <v>0</v>
      </c>
      <c r="U136">
        <v>0</v>
      </c>
      <c r="V136">
        <v>0</v>
      </c>
      <c r="W136">
        <v>0</v>
      </c>
      <c r="X136">
        <v>0</v>
      </c>
      <c r="AH136">
        <v>0</v>
      </c>
      <c r="BP136">
        <v>0</v>
      </c>
      <c r="BQ136" s="772">
        <v>0</v>
      </c>
      <c r="BR136" t="s">
        <v>605</v>
      </c>
      <c r="BS136" t="s">
        <v>1213</v>
      </c>
      <c r="BT136">
        <v>0</v>
      </c>
      <c r="BU136" t="s">
        <v>1213</v>
      </c>
      <c r="BV136">
        <v>0</v>
      </c>
      <c r="BW136" t="s">
        <v>1213</v>
      </c>
      <c r="BX136">
        <v>0</v>
      </c>
      <c r="BY136" t="s">
        <v>1213</v>
      </c>
      <c r="BZ136" t="s">
        <v>2118</v>
      </c>
    </row>
    <row r="137" spans="1:79" x14ac:dyDescent="0.2">
      <c r="A137" t="s">
        <v>2098</v>
      </c>
      <c r="B137" t="s">
        <v>2119</v>
      </c>
      <c r="C137" t="s">
        <v>1112</v>
      </c>
      <c r="D137" t="s">
        <v>457</v>
      </c>
      <c r="E137" t="s">
        <v>1202</v>
      </c>
      <c r="F137" t="s">
        <v>2120</v>
      </c>
      <c r="G137" t="s">
        <v>1575</v>
      </c>
      <c r="H137" t="s">
        <v>2121</v>
      </c>
      <c r="I137" t="s">
        <v>2122</v>
      </c>
      <c r="J137" t="s">
        <v>1207</v>
      </c>
      <c r="K137" t="s">
        <v>1208</v>
      </c>
      <c r="N137" t="s">
        <v>1209</v>
      </c>
      <c r="O137" t="s">
        <v>272</v>
      </c>
      <c r="P137" t="s">
        <v>1210</v>
      </c>
      <c r="Q137">
        <v>2</v>
      </c>
      <c r="R137" t="s">
        <v>1211</v>
      </c>
      <c r="S137">
        <v>30</v>
      </c>
      <c r="T137">
        <v>30</v>
      </c>
      <c r="U137">
        <v>29.95</v>
      </c>
      <c r="V137">
        <v>29.9</v>
      </c>
      <c r="W137">
        <v>29.85</v>
      </c>
      <c r="X137">
        <v>29.8</v>
      </c>
      <c r="AE137" t="s">
        <v>605</v>
      </c>
      <c r="AH137">
        <v>0</v>
      </c>
      <c r="AM137" t="s">
        <v>605</v>
      </c>
      <c r="AN137">
        <v>33.299999999999997</v>
      </c>
      <c r="AO137">
        <v>33.25</v>
      </c>
      <c r="AP137">
        <v>33.200000000000003</v>
      </c>
      <c r="AQ137">
        <v>33.15</v>
      </c>
      <c r="AR137">
        <v>33.1</v>
      </c>
      <c r="AS137">
        <v>30</v>
      </c>
      <c r="AT137">
        <v>29.95</v>
      </c>
      <c r="AU137">
        <v>29.9</v>
      </c>
      <c r="AV137">
        <v>29.85</v>
      </c>
      <c r="AW137">
        <v>29.8</v>
      </c>
      <c r="AX137">
        <v>30</v>
      </c>
      <c r="AY137">
        <v>29.95</v>
      </c>
      <c r="AZ137">
        <v>29.9</v>
      </c>
      <c r="BA137">
        <v>29.85</v>
      </c>
      <c r="BB137">
        <v>29.8</v>
      </c>
      <c r="BC137">
        <v>17</v>
      </c>
      <c r="BD137">
        <v>17</v>
      </c>
      <c r="BE137">
        <v>17</v>
      </c>
      <c r="BF137">
        <v>17</v>
      </c>
      <c r="BG137">
        <v>17</v>
      </c>
      <c r="BH137">
        <v>0.87121000000000004</v>
      </c>
      <c r="BL137">
        <v>6.1060000000000003E-2</v>
      </c>
      <c r="BN137">
        <v>1</v>
      </c>
      <c r="BO137" t="s">
        <v>1212</v>
      </c>
      <c r="BP137">
        <v>28.85</v>
      </c>
      <c r="BQ137" s="773">
        <v>28.06</v>
      </c>
      <c r="BR137" t="s">
        <v>605</v>
      </c>
      <c r="BS137" t="s">
        <v>1213</v>
      </c>
      <c r="BT137">
        <v>0</v>
      </c>
      <c r="BU137" t="s">
        <v>1213</v>
      </c>
      <c r="BV137">
        <v>0</v>
      </c>
      <c r="BW137" t="s">
        <v>1213</v>
      </c>
      <c r="BX137">
        <v>0</v>
      </c>
      <c r="BY137" t="s">
        <v>1213</v>
      </c>
      <c r="BZ137" t="s">
        <v>2123</v>
      </c>
    </row>
    <row r="138" spans="1:79" ht="25.5" x14ac:dyDescent="0.2">
      <c r="A138" t="s">
        <v>2098</v>
      </c>
      <c r="B138" t="s">
        <v>2124</v>
      </c>
      <c r="C138" t="s">
        <v>1112</v>
      </c>
      <c r="D138" t="s">
        <v>457</v>
      </c>
      <c r="E138" t="s">
        <v>1202</v>
      </c>
      <c r="F138" t="s">
        <v>2125</v>
      </c>
      <c r="G138" t="s">
        <v>1582</v>
      </c>
      <c r="H138" t="s">
        <v>2126</v>
      </c>
      <c r="I138" t="s">
        <v>2127</v>
      </c>
      <c r="J138" t="s">
        <v>1207</v>
      </c>
      <c r="K138" t="s">
        <v>1208</v>
      </c>
      <c r="M138" t="s">
        <v>606</v>
      </c>
      <c r="N138" t="s">
        <v>1265</v>
      </c>
      <c r="O138" t="s">
        <v>1309</v>
      </c>
      <c r="P138" t="s">
        <v>1828</v>
      </c>
      <c r="Q138" t="s">
        <v>1829</v>
      </c>
      <c r="R138" t="s">
        <v>1211</v>
      </c>
      <c r="S138">
        <v>0.20833333333333334</v>
      </c>
      <c r="T138">
        <v>0.20833333333333334</v>
      </c>
      <c r="U138">
        <v>0.20833333333333334</v>
      </c>
      <c r="V138">
        <v>0.20833333333333334</v>
      </c>
      <c r="W138">
        <v>0.20833333333333334</v>
      </c>
      <c r="X138">
        <v>0.20833333333333334</v>
      </c>
      <c r="AA138" t="s">
        <v>605</v>
      </c>
      <c r="AE138" t="s">
        <v>605</v>
      </c>
      <c r="AH138">
        <v>0</v>
      </c>
      <c r="AM138" t="s">
        <v>605</v>
      </c>
      <c r="AN138">
        <v>0.33333333333333331</v>
      </c>
      <c r="AO138">
        <v>0.33333333333333331</v>
      </c>
      <c r="AP138">
        <v>0.33333333333333331</v>
      </c>
      <c r="AQ138">
        <v>0.33333333333333331</v>
      </c>
      <c r="AR138">
        <v>0.33333333333333331</v>
      </c>
      <c r="AS138">
        <v>0.25</v>
      </c>
      <c r="AT138">
        <v>0.25</v>
      </c>
      <c r="AU138">
        <v>0.25</v>
      </c>
      <c r="AV138">
        <v>0.25</v>
      </c>
      <c r="AW138">
        <v>0.25</v>
      </c>
      <c r="AX138">
        <v>0.20833333333333334</v>
      </c>
      <c r="AY138">
        <v>0.20833333333333334</v>
      </c>
      <c r="AZ138">
        <v>0.20833333333333334</v>
      </c>
      <c r="BA138">
        <v>0.20833333333333334</v>
      </c>
      <c r="BB138">
        <v>0.20833333333333334</v>
      </c>
      <c r="BC138">
        <v>0</v>
      </c>
      <c r="BD138">
        <v>0</v>
      </c>
      <c r="BE138">
        <v>0</v>
      </c>
      <c r="BF138">
        <v>0</v>
      </c>
      <c r="BG138">
        <v>0</v>
      </c>
      <c r="BH138">
        <v>0.41865999999999998</v>
      </c>
      <c r="BL138">
        <v>6.0435000000000003E-2</v>
      </c>
      <c r="BN138">
        <v>1</v>
      </c>
      <c r="BO138" t="s">
        <v>1212</v>
      </c>
      <c r="BP138" t="s">
        <v>2128</v>
      </c>
      <c r="BQ138" s="781" t="s">
        <v>2129</v>
      </c>
      <c r="BR138" t="s">
        <v>605</v>
      </c>
      <c r="BS138" t="s">
        <v>1213</v>
      </c>
      <c r="BT138">
        <v>0</v>
      </c>
      <c r="BU138" t="s">
        <v>1213</v>
      </c>
      <c r="BV138">
        <v>0</v>
      </c>
      <c r="BW138" t="s">
        <v>1213</v>
      </c>
      <c r="BX138">
        <v>0</v>
      </c>
      <c r="BY138" t="s">
        <v>1173</v>
      </c>
      <c r="BZ138" t="s">
        <v>2130</v>
      </c>
    </row>
    <row r="139" spans="1:79" x14ac:dyDescent="0.2">
      <c r="A139" t="s">
        <v>2098</v>
      </c>
      <c r="B139" t="s">
        <v>2131</v>
      </c>
      <c r="C139" t="s">
        <v>1112</v>
      </c>
      <c r="D139" t="s">
        <v>457</v>
      </c>
      <c r="E139" t="s">
        <v>1202</v>
      </c>
      <c r="F139" t="s">
        <v>2132</v>
      </c>
      <c r="G139" t="s">
        <v>1595</v>
      </c>
      <c r="H139" t="s">
        <v>2133</v>
      </c>
      <c r="I139" t="s">
        <v>2134</v>
      </c>
      <c r="J139" t="s">
        <v>1219</v>
      </c>
      <c r="K139" t="s">
        <v>1208</v>
      </c>
      <c r="N139" t="s">
        <v>1370</v>
      </c>
      <c r="O139" t="s">
        <v>264</v>
      </c>
      <c r="P139" t="s">
        <v>2135</v>
      </c>
      <c r="Q139">
        <v>0</v>
      </c>
      <c r="R139" t="s">
        <v>1251</v>
      </c>
      <c r="S139" t="s">
        <v>1710</v>
      </c>
      <c r="T139">
        <v>0</v>
      </c>
      <c r="U139">
        <v>25</v>
      </c>
      <c r="V139">
        <v>50</v>
      </c>
      <c r="W139">
        <v>75</v>
      </c>
      <c r="X139">
        <v>90</v>
      </c>
      <c r="AF139" t="s">
        <v>605</v>
      </c>
      <c r="AH139">
        <v>0</v>
      </c>
      <c r="AM139" t="s">
        <v>605</v>
      </c>
      <c r="AR139">
        <v>0</v>
      </c>
      <c r="AW139">
        <v>90</v>
      </c>
      <c r="BH139">
        <v>4.4095000000000002E-2</v>
      </c>
      <c r="BN139">
        <v>0.1</v>
      </c>
      <c r="BO139" t="s">
        <v>2136</v>
      </c>
      <c r="BP139" t="s">
        <v>2137</v>
      </c>
      <c r="BQ139" s="772">
        <v>20</v>
      </c>
      <c r="BR139" t="s">
        <v>605</v>
      </c>
      <c r="BS139" t="s">
        <v>1213</v>
      </c>
      <c r="BT139">
        <v>0</v>
      </c>
      <c r="BU139" t="s">
        <v>1213</v>
      </c>
      <c r="BV139">
        <v>0</v>
      </c>
      <c r="BW139" t="s">
        <v>1213</v>
      </c>
      <c r="BX139">
        <v>0</v>
      </c>
      <c r="BY139" t="s">
        <v>1213</v>
      </c>
      <c r="BZ139" t="s">
        <v>2138</v>
      </c>
      <c r="CA139" t="s">
        <v>2139</v>
      </c>
    </row>
    <row r="140" spans="1:79" ht="25.5" x14ac:dyDescent="0.2">
      <c r="A140" t="s">
        <v>2098</v>
      </c>
      <c r="B140" t="s">
        <v>2140</v>
      </c>
      <c r="C140" t="s">
        <v>1112</v>
      </c>
      <c r="D140" t="s">
        <v>457</v>
      </c>
      <c r="E140" t="s">
        <v>1202</v>
      </c>
      <c r="F140" t="s">
        <v>2132</v>
      </c>
      <c r="G140" t="s">
        <v>2141</v>
      </c>
      <c r="H140" t="s">
        <v>2142</v>
      </c>
      <c r="I140" t="s">
        <v>2143</v>
      </c>
      <c r="J140" t="s">
        <v>1207</v>
      </c>
      <c r="K140" t="s">
        <v>1208</v>
      </c>
      <c r="M140" t="s">
        <v>606</v>
      </c>
      <c r="N140" t="s">
        <v>1377</v>
      </c>
      <c r="O140" t="s">
        <v>1507</v>
      </c>
      <c r="P140" t="s">
        <v>2144</v>
      </c>
      <c r="Q140" t="s">
        <v>1212</v>
      </c>
      <c r="V140" t="s">
        <v>2145</v>
      </c>
      <c r="AF140" t="s">
        <v>605</v>
      </c>
      <c r="AH140">
        <v>0</v>
      </c>
      <c r="AM140" t="s">
        <v>605</v>
      </c>
      <c r="AR140" t="s">
        <v>2146</v>
      </c>
      <c r="BC140" t="s">
        <v>2146</v>
      </c>
      <c r="BH140">
        <v>9.8379999999999995E-3</v>
      </c>
      <c r="BL140">
        <v>7.1520000000000004E-3</v>
      </c>
      <c r="BN140">
        <v>1</v>
      </c>
      <c r="BO140" t="s">
        <v>1212</v>
      </c>
      <c r="BP140" t="s">
        <v>2137</v>
      </c>
      <c r="BQ140" s="771" t="s">
        <v>2147</v>
      </c>
      <c r="BR140" t="s">
        <v>605</v>
      </c>
      <c r="BS140" t="s">
        <v>1213</v>
      </c>
      <c r="BT140">
        <v>0</v>
      </c>
      <c r="BU140" t="s">
        <v>1213</v>
      </c>
      <c r="BV140">
        <v>0</v>
      </c>
      <c r="BW140" t="s">
        <v>1213</v>
      </c>
      <c r="BX140">
        <v>0</v>
      </c>
      <c r="BY140" t="s">
        <v>1213</v>
      </c>
      <c r="BZ140" t="s">
        <v>2148</v>
      </c>
      <c r="CA140" t="s">
        <v>2149</v>
      </c>
    </row>
    <row r="141" spans="1:79" x14ac:dyDescent="0.2">
      <c r="A141" t="s">
        <v>2098</v>
      </c>
      <c r="B141" t="s">
        <v>2150</v>
      </c>
      <c r="C141" t="s">
        <v>1112</v>
      </c>
      <c r="D141" t="s">
        <v>457</v>
      </c>
      <c r="E141" t="s">
        <v>1202</v>
      </c>
      <c r="F141" t="s">
        <v>2132</v>
      </c>
      <c r="G141" t="s">
        <v>2151</v>
      </c>
      <c r="H141" t="s">
        <v>2152</v>
      </c>
      <c r="I141" t="s">
        <v>2153</v>
      </c>
      <c r="J141" t="s">
        <v>1241</v>
      </c>
      <c r="N141" t="s">
        <v>1386</v>
      </c>
      <c r="O141" t="s">
        <v>264</v>
      </c>
      <c r="P141" t="s">
        <v>2154</v>
      </c>
      <c r="Q141">
        <v>0</v>
      </c>
      <c r="R141" t="s">
        <v>1251</v>
      </c>
      <c r="S141">
        <v>0</v>
      </c>
      <c r="T141">
        <v>2</v>
      </c>
      <c r="U141">
        <v>4</v>
      </c>
      <c r="V141">
        <v>6</v>
      </c>
      <c r="W141">
        <v>8</v>
      </c>
      <c r="X141">
        <v>10</v>
      </c>
      <c r="AH141">
        <v>0</v>
      </c>
      <c r="BP141" t="s">
        <v>2137</v>
      </c>
      <c r="BQ141" s="772" t="s">
        <v>2155</v>
      </c>
      <c r="BR141" t="s">
        <v>605</v>
      </c>
      <c r="BS141" t="s">
        <v>1213</v>
      </c>
      <c r="BT141">
        <v>0</v>
      </c>
      <c r="BU141" t="s">
        <v>1213</v>
      </c>
      <c r="BV141">
        <v>0</v>
      </c>
      <c r="BW141" t="s">
        <v>1213</v>
      </c>
      <c r="BX141">
        <v>0</v>
      </c>
      <c r="BY141" t="s">
        <v>1213</v>
      </c>
      <c r="BZ141" t="s">
        <v>2156</v>
      </c>
    </row>
    <row r="142" spans="1:79" x14ac:dyDescent="0.2">
      <c r="A142" t="s">
        <v>2098</v>
      </c>
      <c r="B142" t="s">
        <v>2157</v>
      </c>
      <c r="C142" t="s">
        <v>1112</v>
      </c>
      <c r="D142" t="s">
        <v>457</v>
      </c>
      <c r="E142" t="s">
        <v>1202</v>
      </c>
      <c r="F142" t="s">
        <v>2158</v>
      </c>
      <c r="G142" t="s">
        <v>1603</v>
      </c>
      <c r="H142" t="s">
        <v>2159</v>
      </c>
      <c r="I142" t="s">
        <v>2160</v>
      </c>
      <c r="J142" t="s">
        <v>1241</v>
      </c>
      <c r="N142" t="s">
        <v>2161</v>
      </c>
      <c r="O142" t="s">
        <v>1507</v>
      </c>
      <c r="P142" t="s">
        <v>2162</v>
      </c>
      <c r="Q142" t="s">
        <v>1212</v>
      </c>
      <c r="S142" t="s">
        <v>2163</v>
      </c>
      <c r="T142" t="s">
        <v>2163</v>
      </c>
      <c r="U142" t="s">
        <v>2163</v>
      </c>
      <c r="V142" t="s">
        <v>2163</v>
      </c>
      <c r="W142" t="s">
        <v>2163</v>
      </c>
      <c r="X142" t="s">
        <v>2163</v>
      </c>
      <c r="AH142">
        <v>0</v>
      </c>
      <c r="BP142" t="s">
        <v>2163</v>
      </c>
      <c r="BQ142" s="771" t="s">
        <v>2163</v>
      </c>
      <c r="BR142" t="s">
        <v>605</v>
      </c>
      <c r="BS142" t="s">
        <v>1213</v>
      </c>
      <c r="BT142">
        <v>0</v>
      </c>
      <c r="BU142" t="s">
        <v>1213</v>
      </c>
      <c r="BV142">
        <v>0</v>
      </c>
      <c r="BW142" t="s">
        <v>1213</v>
      </c>
      <c r="BX142">
        <v>0</v>
      </c>
      <c r="BY142" t="s">
        <v>1213</v>
      </c>
      <c r="BZ142" t="s">
        <v>2164</v>
      </c>
    </row>
    <row r="143" spans="1:79" x14ac:dyDescent="0.2">
      <c r="A143" t="s">
        <v>2098</v>
      </c>
      <c r="B143" t="s">
        <v>2165</v>
      </c>
      <c r="C143" t="s">
        <v>1112</v>
      </c>
      <c r="D143" t="s">
        <v>1288</v>
      </c>
      <c r="E143" t="s">
        <v>1289</v>
      </c>
      <c r="F143" t="s">
        <v>2125</v>
      </c>
      <c r="G143" t="s">
        <v>1554</v>
      </c>
      <c r="H143" t="s">
        <v>2166</v>
      </c>
      <c r="I143" t="s">
        <v>2167</v>
      </c>
      <c r="J143" t="s">
        <v>1207</v>
      </c>
      <c r="K143" t="s">
        <v>1208</v>
      </c>
      <c r="M143" t="s">
        <v>606</v>
      </c>
      <c r="N143" t="s">
        <v>1294</v>
      </c>
      <c r="O143" t="s">
        <v>1507</v>
      </c>
      <c r="P143" t="s">
        <v>1668</v>
      </c>
      <c r="Q143" t="s">
        <v>1212</v>
      </c>
      <c r="R143" t="s">
        <v>1251</v>
      </c>
      <c r="S143" t="s">
        <v>2168</v>
      </c>
      <c r="T143" t="s">
        <v>2168</v>
      </c>
      <c r="U143" t="s">
        <v>2168</v>
      </c>
      <c r="V143" t="s">
        <v>2168</v>
      </c>
      <c r="W143" t="s">
        <v>2168</v>
      </c>
      <c r="X143" t="s">
        <v>2168</v>
      </c>
      <c r="AH143">
        <v>0</v>
      </c>
      <c r="AI143" t="s">
        <v>605</v>
      </c>
      <c r="AJ143" t="s">
        <v>605</v>
      </c>
      <c r="AK143" t="s">
        <v>605</v>
      </c>
      <c r="AL143" t="s">
        <v>605</v>
      </c>
      <c r="AM143" t="s">
        <v>605</v>
      </c>
      <c r="AN143" t="s">
        <v>1296</v>
      </c>
      <c r="AO143" t="s">
        <v>1296</v>
      </c>
      <c r="AP143" t="s">
        <v>1296</v>
      </c>
      <c r="AQ143" t="s">
        <v>1296</v>
      </c>
      <c r="AR143" t="s">
        <v>1296</v>
      </c>
      <c r="AS143" t="s">
        <v>1296</v>
      </c>
      <c r="AT143" t="s">
        <v>1296</v>
      </c>
      <c r="AU143" t="s">
        <v>1296</v>
      </c>
      <c r="AV143" t="s">
        <v>1296</v>
      </c>
      <c r="AW143" t="s">
        <v>1296</v>
      </c>
      <c r="AX143" t="s">
        <v>1296</v>
      </c>
      <c r="AY143" t="s">
        <v>1296</v>
      </c>
      <c r="AZ143" t="s">
        <v>1296</v>
      </c>
      <c r="BA143" t="s">
        <v>1296</v>
      </c>
      <c r="BB143" t="s">
        <v>1296</v>
      </c>
      <c r="BC143" t="s">
        <v>1296</v>
      </c>
      <c r="BD143" t="s">
        <v>1296</v>
      </c>
      <c r="BE143" t="s">
        <v>1296</v>
      </c>
      <c r="BF143" t="s">
        <v>1296</v>
      </c>
      <c r="BG143" t="s">
        <v>1296</v>
      </c>
      <c r="BH143" t="s">
        <v>1296</v>
      </c>
      <c r="BL143" t="s">
        <v>1296</v>
      </c>
      <c r="BN143">
        <v>1</v>
      </c>
      <c r="BO143" t="s">
        <v>1212</v>
      </c>
      <c r="BP143" t="s">
        <v>2137</v>
      </c>
      <c r="BQ143" s="769">
        <v>89.5</v>
      </c>
      <c r="BR143" t="s">
        <v>2169</v>
      </c>
      <c r="BS143" t="s">
        <v>1213</v>
      </c>
      <c r="BT143">
        <v>0</v>
      </c>
      <c r="BU143" t="s">
        <v>1213</v>
      </c>
      <c r="BV143">
        <v>0</v>
      </c>
      <c r="BW143" t="s">
        <v>1213</v>
      </c>
      <c r="BX143">
        <v>0</v>
      </c>
      <c r="BY143" t="s">
        <v>1213</v>
      </c>
      <c r="BZ143" t="s">
        <v>2170</v>
      </c>
      <c r="CA143" t="s">
        <v>1298</v>
      </c>
    </row>
    <row r="144" spans="1:79" x14ac:dyDescent="0.2">
      <c r="A144" t="s">
        <v>2098</v>
      </c>
      <c r="B144" t="s">
        <v>2171</v>
      </c>
      <c r="C144" t="s">
        <v>1112</v>
      </c>
      <c r="D144" t="s">
        <v>1288</v>
      </c>
      <c r="E144" t="s">
        <v>1289</v>
      </c>
      <c r="F144" t="s">
        <v>2132</v>
      </c>
      <c r="G144" t="s">
        <v>1575</v>
      </c>
      <c r="H144" t="s">
        <v>2172</v>
      </c>
      <c r="I144" t="s">
        <v>2173</v>
      </c>
      <c r="J144" t="s">
        <v>1219</v>
      </c>
      <c r="K144" t="s">
        <v>1208</v>
      </c>
      <c r="N144" t="s">
        <v>1220</v>
      </c>
      <c r="O144" t="s">
        <v>272</v>
      </c>
      <c r="P144" t="s">
        <v>1655</v>
      </c>
      <c r="Q144">
        <v>2</v>
      </c>
      <c r="R144" t="s">
        <v>1211</v>
      </c>
      <c r="S144">
        <v>147.29</v>
      </c>
      <c r="T144">
        <v>146.63</v>
      </c>
      <c r="U144">
        <v>145.96</v>
      </c>
      <c r="V144">
        <v>145.29</v>
      </c>
      <c r="W144">
        <v>144.61000000000001</v>
      </c>
      <c r="X144">
        <v>143.93</v>
      </c>
      <c r="AH144">
        <v>0</v>
      </c>
      <c r="AM144" t="s">
        <v>605</v>
      </c>
      <c r="AR144">
        <v>148</v>
      </c>
      <c r="AW144">
        <v>143.93</v>
      </c>
      <c r="BH144">
        <v>8.1243999999999997E-2</v>
      </c>
      <c r="BN144">
        <v>100</v>
      </c>
      <c r="BO144" t="s">
        <v>1598</v>
      </c>
      <c r="BP144">
        <v>145.55000000000001</v>
      </c>
      <c r="BQ144" s="773">
        <v>143.29</v>
      </c>
      <c r="BR144" t="s">
        <v>605</v>
      </c>
      <c r="BS144" t="s">
        <v>1213</v>
      </c>
      <c r="BT144">
        <v>0</v>
      </c>
      <c r="BU144" t="s">
        <v>1213</v>
      </c>
      <c r="BV144">
        <v>0</v>
      </c>
      <c r="BW144" t="s">
        <v>1213</v>
      </c>
      <c r="BX144">
        <v>0</v>
      </c>
      <c r="BY144" t="s">
        <v>1213</v>
      </c>
      <c r="BZ144" t="s">
        <v>2174</v>
      </c>
    </row>
    <row r="145" spans="1:79" x14ac:dyDescent="0.2">
      <c r="A145" t="s">
        <v>2098</v>
      </c>
      <c r="B145" t="s">
        <v>2175</v>
      </c>
      <c r="C145" t="s">
        <v>1112</v>
      </c>
      <c r="D145" t="s">
        <v>1288</v>
      </c>
      <c r="E145" t="s">
        <v>1289</v>
      </c>
      <c r="F145" t="s">
        <v>2176</v>
      </c>
      <c r="G145" t="s">
        <v>1582</v>
      </c>
      <c r="H145" t="s">
        <v>2177</v>
      </c>
      <c r="I145" t="s">
        <v>2178</v>
      </c>
      <c r="J145" t="s">
        <v>1241</v>
      </c>
      <c r="N145" t="s">
        <v>1400</v>
      </c>
      <c r="O145" t="s">
        <v>264</v>
      </c>
      <c r="P145" t="s">
        <v>2179</v>
      </c>
      <c r="Q145">
        <v>0</v>
      </c>
      <c r="R145" t="s">
        <v>1251</v>
      </c>
      <c r="S145" t="s">
        <v>1710</v>
      </c>
      <c r="T145">
        <v>70</v>
      </c>
      <c r="U145">
        <v>70</v>
      </c>
      <c r="V145">
        <v>70</v>
      </c>
      <c r="W145">
        <v>70</v>
      </c>
      <c r="X145">
        <v>70</v>
      </c>
      <c r="AH145">
        <v>0</v>
      </c>
      <c r="BP145" t="s">
        <v>2137</v>
      </c>
      <c r="BQ145" s="772">
        <v>89</v>
      </c>
      <c r="BR145" t="s">
        <v>605</v>
      </c>
      <c r="BS145" t="s">
        <v>1213</v>
      </c>
      <c r="BT145">
        <v>0</v>
      </c>
      <c r="BU145" t="s">
        <v>1213</v>
      </c>
      <c r="BV145">
        <v>0</v>
      </c>
      <c r="BW145" t="s">
        <v>1213</v>
      </c>
      <c r="BX145">
        <v>0</v>
      </c>
      <c r="BY145" t="s">
        <v>1213</v>
      </c>
      <c r="BZ145" t="s">
        <v>2180</v>
      </c>
    </row>
    <row r="146" spans="1:79" x14ac:dyDescent="0.2">
      <c r="A146" t="s">
        <v>2181</v>
      </c>
      <c r="B146" t="s">
        <v>2182</v>
      </c>
      <c r="C146" t="s">
        <v>1112</v>
      </c>
      <c r="D146" t="s">
        <v>457</v>
      </c>
      <c r="E146" t="s">
        <v>1202</v>
      </c>
      <c r="F146" t="s">
        <v>2183</v>
      </c>
      <c r="G146" t="s">
        <v>1554</v>
      </c>
      <c r="H146" t="s">
        <v>2184</v>
      </c>
      <c r="I146" t="s">
        <v>2185</v>
      </c>
      <c r="J146" t="s">
        <v>1219</v>
      </c>
      <c r="K146" t="s">
        <v>1208</v>
      </c>
      <c r="N146" t="s">
        <v>1172</v>
      </c>
      <c r="O146" t="s">
        <v>272</v>
      </c>
      <c r="P146" t="s">
        <v>1258</v>
      </c>
      <c r="Q146">
        <v>2</v>
      </c>
      <c r="R146" t="s">
        <v>1211</v>
      </c>
      <c r="S146">
        <v>1.25</v>
      </c>
      <c r="T146">
        <v>1.25</v>
      </c>
      <c r="U146">
        <v>1.24</v>
      </c>
      <c r="V146">
        <v>1.23</v>
      </c>
      <c r="W146">
        <v>1.23</v>
      </c>
      <c r="X146">
        <v>1.23</v>
      </c>
      <c r="Z146" t="s">
        <v>605</v>
      </c>
      <c r="AE146" t="s">
        <v>605</v>
      </c>
      <c r="AH146">
        <v>0</v>
      </c>
      <c r="AI146" t="s">
        <v>605</v>
      </c>
      <c r="AJ146" t="s">
        <v>605</v>
      </c>
      <c r="AK146" t="s">
        <v>605</v>
      </c>
      <c r="AL146" t="s">
        <v>605</v>
      </c>
      <c r="AM146" t="s">
        <v>605</v>
      </c>
      <c r="AN146">
        <v>2.56</v>
      </c>
      <c r="AO146">
        <v>2.5499999999999998</v>
      </c>
      <c r="AP146">
        <v>2.54</v>
      </c>
      <c r="AQ146">
        <v>2.54</v>
      </c>
      <c r="AR146">
        <v>2.54</v>
      </c>
      <c r="AS146">
        <v>1.31</v>
      </c>
      <c r="AT146">
        <v>1.3</v>
      </c>
      <c r="AU146">
        <v>1.29</v>
      </c>
      <c r="AV146">
        <v>1.29</v>
      </c>
      <c r="AW146">
        <v>1.29</v>
      </c>
      <c r="BH146">
        <v>0.04</v>
      </c>
      <c r="BN146">
        <v>1</v>
      </c>
      <c r="BO146" t="s">
        <v>1212</v>
      </c>
      <c r="BP146">
        <v>0.56000000000000005</v>
      </c>
      <c r="BQ146" s="773">
        <v>0.73</v>
      </c>
      <c r="BR146" t="s">
        <v>605</v>
      </c>
      <c r="BS146" t="s">
        <v>1213</v>
      </c>
      <c r="BT146">
        <v>0</v>
      </c>
      <c r="BU146" t="s">
        <v>1213</v>
      </c>
      <c r="BV146">
        <v>0</v>
      </c>
      <c r="BW146" t="s">
        <v>1213</v>
      </c>
      <c r="BX146">
        <v>0</v>
      </c>
      <c r="BY146" t="s">
        <v>1172</v>
      </c>
      <c r="BZ146" t="s">
        <v>2186</v>
      </c>
    </row>
    <row r="147" spans="1:79" x14ac:dyDescent="0.2">
      <c r="A147" t="s">
        <v>2181</v>
      </c>
      <c r="B147" t="s">
        <v>2187</v>
      </c>
      <c r="C147" t="s">
        <v>1112</v>
      </c>
      <c r="D147" t="s">
        <v>457</v>
      </c>
      <c r="E147" t="s">
        <v>1202</v>
      </c>
      <c r="F147" t="s">
        <v>2183</v>
      </c>
      <c r="G147" t="s">
        <v>1560</v>
      </c>
      <c r="H147" t="s">
        <v>2188</v>
      </c>
      <c r="I147" t="s">
        <v>2189</v>
      </c>
      <c r="J147" t="s">
        <v>1219</v>
      </c>
      <c r="K147" t="s">
        <v>1208</v>
      </c>
      <c r="N147" t="s">
        <v>1249</v>
      </c>
      <c r="O147" t="s">
        <v>264</v>
      </c>
      <c r="P147" t="s">
        <v>1250</v>
      </c>
      <c r="Q147">
        <v>2</v>
      </c>
      <c r="R147" t="s">
        <v>1251</v>
      </c>
      <c r="S147">
        <v>99.95</v>
      </c>
      <c r="T147">
        <v>99.97</v>
      </c>
      <c r="U147">
        <v>99.97</v>
      </c>
      <c r="V147">
        <v>100</v>
      </c>
      <c r="W147">
        <v>100</v>
      </c>
      <c r="X147">
        <v>100</v>
      </c>
      <c r="Y147" t="s">
        <v>605</v>
      </c>
      <c r="AE147" t="s">
        <v>605</v>
      </c>
      <c r="AH147">
        <v>0</v>
      </c>
      <c r="AI147" t="s">
        <v>605</v>
      </c>
      <c r="AJ147" t="s">
        <v>605</v>
      </c>
      <c r="AK147" t="s">
        <v>605</v>
      </c>
      <c r="AL147" t="s">
        <v>605</v>
      </c>
      <c r="AM147" t="s">
        <v>605</v>
      </c>
      <c r="AN147">
        <v>99.94</v>
      </c>
      <c r="AO147">
        <v>99.94</v>
      </c>
      <c r="AP147">
        <v>99.94</v>
      </c>
      <c r="AQ147">
        <v>99.94</v>
      </c>
      <c r="AR147">
        <v>99.94</v>
      </c>
      <c r="AS147">
        <v>99.95</v>
      </c>
      <c r="AT147">
        <v>99.95</v>
      </c>
      <c r="AU147">
        <v>99.95</v>
      </c>
      <c r="AV147">
        <v>99.95</v>
      </c>
      <c r="AW147">
        <v>99.95</v>
      </c>
      <c r="BH147">
        <v>0.28399999999999997</v>
      </c>
      <c r="BN147">
        <v>100</v>
      </c>
      <c r="BO147" t="s">
        <v>1598</v>
      </c>
      <c r="BP147">
        <v>99.94</v>
      </c>
      <c r="BQ147" s="773">
        <v>100</v>
      </c>
      <c r="BR147" t="s">
        <v>605</v>
      </c>
      <c r="BS147" t="s">
        <v>1213</v>
      </c>
      <c r="BT147">
        <v>0</v>
      </c>
      <c r="BU147" t="s">
        <v>1213</v>
      </c>
      <c r="BV147">
        <v>0</v>
      </c>
      <c r="BW147" t="s">
        <v>1107</v>
      </c>
      <c r="BX147">
        <v>-0.28399999999999997</v>
      </c>
      <c r="BY147" t="s">
        <v>1171</v>
      </c>
      <c r="BZ147" t="s">
        <v>2190</v>
      </c>
    </row>
    <row r="148" spans="1:79" x14ac:dyDescent="0.2">
      <c r="A148" t="s">
        <v>2181</v>
      </c>
      <c r="B148" t="s">
        <v>2191</v>
      </c>
      <c r="C148" t="s">
        <v>1112</v>
      </c>
      <c r="D148" t="s">
        <v>457</v>
      </c>
      <c r="E148" t="s">
        <v>1202</v>
      </c>
      <c r="F148" t="s">
        <v>2192</v>
      </c>
      <c r="G148" t="s">
        <v>1575</v>
      </c>
      <c r="H148" t="s">
        <v>2193</v>
      </c>
      <c r="I148" t="s">
        <v>2194</v>
      </c>
      <c r="J148" t="s">
        <v>1207</v>
      </c>
      <c r="K148" t="s">
        <v>1208</v>
      </c>
      <c r="N148" t="s">
        <v>1209</v>
      </c>
      <c r="O148" t="s">
        <v>272</v>
      </c>
      <c r="P148" t="s">
        <v>1210</v>
      </c>
      <c r="Q148">
        <v>2</v>
      </c>
      <c r="R148" t="s">
        <v>1211</v>
      </c>
      <c r="S148">
        <v>21.47</v>
      </c>
      <c r="X148">
        <v>20</v>
      </c>
      <c r="AE148" t="s">
        <v>605</v>
      </c>
      <c r="AH148">
        <v>0</v>
      </c>
      <c r="AM148" t="s">
        <v>605</v>
      </c>
      <c r="AR148">
        <v>22</v>
      </c>
      <c r="AW148">
        <v>20.100000000000001</v>
      </c>
      <c r="BB148">
        <v>19.899999999999999</v>
      </c>
      <c r="BG148">
        <v>17</v>
      </c>
      <c r="BH148">
        <v>0.1152</v>
      </c>
      <c r="BL148">
        <v>3.8800000000000001E-2</v>
      </c>
      <c r="BN148">
        <v>10</v>
      </c>
      <c r="BO148" t="s">
        <v>2195</v>
      </c>
      <c r="BP148">
        <v>20.88</v>
      </c>
      <c r="BQ148" s="773">
        <v>19.632999999999999</v>
      </c>
      <c r="BR148" t="s">
        <v>1213</v>
      </c>
      <c r="BS148" t="s">
        <v>1213</v>
      </c>
      <c r="BT148">
        <v>0</v>
      </c>
      <c r="BU148" t="s">
        <v>1213</v>
      </c>
      <c r="BV148">
        <v>0</v>
      </c>
      <c r="BW148" t="s">
        <v>1213</v>
      </c>
      <c r="BX148">
        <v>0</v>
      </c>
      <c r="BY148" t="s">
        <v>1213</v>
      </c>
      <c r="BZ148" t="s">
        <v>2196</v>
      </c>
    </row>
    <row r="149" spans="1:79" x14ac:dyDescent="0.2">
      <c r="A149" t="s">
        <v>2181</v>
      </c>
      <c r="B149" t="s">
        <v>2197</v>
      </c>
      <c r="C149" t="s">
        <v>1112</v>
      </c>
      <c r="D149" t="s">
        <v>457</v>
      </c>
      <c r="E149" t="s">
        <v>1202</v>
      </c>
      <c r="F149" t="s">
        <v>2192</v>
      </c>
      <c r="G149" t="s">
        <v>1731</v>
      </c>
      <c r="H149" t="s">
        <v>2198</v>
      </c>
      <c r="I149" t="s">
        <v>2199</v>
      </c>
      <c r="J149" t="s">
        <v>1207</v>
      </c>
      <c r="K149" t="s">
        <v>1208</v>
      </c>
      <c r="N149" t="s">
        <v>1265</v>
      </c>
      <c r="O149" t="s">
        <v>272</v>
      </c>
      <c r="P149" t="s">
        <v>2200</v>
      </c>
      <c r="Q149">
        <v>1</v>
      </c>
      <c r="R149" t="s">
        <v>1251</v>
      </c>
      <c r="X149">
        <v>12</v>
      </c>
      <c r="AE149" t="s">
        <v>605</v>
      </c>
      <c r="AH149">
        <v>0</v>
      </c>
      <c r="AM149" t="s">
        <v>605</v>
      </c>
      <c r="AR149">
        <v>0</v>
      </c>
      <c r="AW149">
        <v>11.5</v>
      </c>
      <c r="BB149">
        <v>12.5</v>
      </c>
      <c r="BG149">
        <v>18</v>
      </c>
      <c r="BH149">
        <v>8.1799999999999998E-2</v>
      </c>
      <c r="BL149">
        <v>0.18529999999999999</v>
      </c>
      <c r="BN149">
        <v>1</v>
      </c>
      <c r="BO149" t="s">
        <v>1212</v>
      </c>
      <c r="BP149">
        <v>0</v>
      </c>
      <c r="BQ149" s="769">
        <v>0</v>
      </c>
      <c r="BR149" t="s">
        <v>1213</v>
      </c>
      <c r="BS149" t="s">
        <v>1213</v>
      </c>
      <c r="BT149">
        <v>0</v>
      </c>
      <c r="BU149" t="s">
        <v>1213</v>
      </c>
      <c r="BV149">
        <v>0</v>
      </c>
      <c r="BW149" t="s">
        <v>1213</v>
      </c>
      <c r="BX149">
        <v>0</v>
      </c>
      <c r="BY149" t="s">
        <v>1213</v>
      </c>
      <c r="BZ149" t="s">
        <v>2201</v>
      </c>
    </row>
    <row r="150" spans="1:79" x14ac:dyDescent="0.2">
      <c r="A150" t="s">
        <v>2181</v>
      </c>
      <c r="B150" t="s">
        <v>2202</v>
      </c>
      <c r="C150" t="s">
        <v>1112</v>
      </c>
      <c r="D150" t="s">
        <v>457</v>
      </c>
      <c r="E150" t="s">
        <v>1202</v>
      </c>
      <c r="F150" t="s">
        <v>2192</v>
      </c>
      <c r="G150" t="s">
        <v>1737</v>
      </c>
      <c r="H150" t="s">
        <v>2203</v>
      </c>
      <c r="I150" t="s">
        <v>2204</v>
      </c>
      <c r="J150" t="s">
        <v>1219</v>
      </c>
      <c r="K150" t="s">
        <v>1208</v>
      </c>
      <c r="N150" t="s">
        <v>1265</v>
      </c>
      <c r="O150" t="s">
        <v>1309</v>
      </c>
      <c r="P150" t="s">
        <v>1310</v>
      </c>
      <c r="Q150">
        <v>1</v>
      </c>
      <c r="R150" t="s">
        <v>1211</v>
      </c>
      <c r="S150">
        <v>4.4000000000000004</v>
      </c>
      <c r="T150">
        <v>4.4000000000000004</v>
      </c>
      <c r="U150">
        <v>4.4000000000000004</v>
      </c>
      <c r="V150">
        <v>4.4000000000000004</v>
      </c>
      <c r="W150">
        <v>4.4000000000000004</v>
      </c>
      <c r="X150">
        <v>4.4000000000000004</v>
      </c>
      <c r="AA150" t="s">
        <v>605</v>
      </c>
      <c r="AE150" t="s">
        <v>605</v>
      </c>
      <c r="AH150">
        <v>0</v>
      </c>
      <c r="AI150" t="s">
        <v>605</v>
      </c>
      <c r="AJ150" t="s">
        <v>605</v>
      </c>
      <c r="AK150" t="s">
        <v>605</v>
      </c>
      <c r="AL150" t="s">
        <v>605</v>
      </c>
      <c r="AM150" t="s">
        <v>605</v>
      </c>
      <c r="AN150">
        <v>10.3</v>
      </c>
      <c r="AO150">
        <v>10.3</v>
      </c>
      <c r="AP150">
        <v>10.3</v>
      </c>
      <c r="AQ150">
        <v>10.3</v>
      </c>
      <c r="AR150">
        <v>10.3</v>
      </c>
      <c r="AS150">
        <v>6.4</v>
      </c>
      <c r="AT150">
        <v>6.4</v>
      </c>
      <c r="AU150">
        <v>6.4</v>
      </c>
      <c r="AV150">
        <v>6.4</v>
      </c>
      <c r="AW150">
        <v>6.4</v>
      </c>
      <c r="BH150">
        <v>7.4999999999999997E-2</v>
      </c>
      <c r="BN150">
        <v>1</v>
      </c>
      <c r="BO150" t="s">
        <v>1212</v>
      </c>
      <c r="BP150">
        <v>2.2599999999999998</v>
      </c>
      <c r="BQ150" s="769">
        <v>2.54</v>
      </c>
      <c r="BR150" t="s">
        <v>605</v>
      </c>
      <c r="BS150" t="s">
        <v>1213</v>
      </c>
      <c r="BT150">
        <v>0</v>
      </c>
      <c r="BU150" t="s">
        <v>1213</v>
      </c>
      <c r="BV150">
        <v>0</v>
      </c>
      <c r="BW150" t="s">
        <v>1213</v>
      </c>
      <c r="BX150">
        <v>0</v>
      </c>
      <c r="BY150" t="s">
        <v>1173</v>
      </c>
      <c r="BZ150" t="s">
        <v>2205</v>
      </c>
    </row>
    <row r="151" spans="1:79" x14ac:dyDescent="0.2">
      <c r="A151" t="s">
        <v>2181</v>
      </c>
      <c r="B151" t="s">
        <v>2206</v>
      </c>
      <c r="C151" t="s">
        <v>1112</v>
      </c>
      <c r="D151" t="s">
        <v>457</v>
      </c>
      <c r="E151" t="s">
        <v>1202</v>
      </c>
      <c r="F151" t="s">
        <v>2192</v>
      </c>
      <c r="G151" t="s">
        <v>1742</v>
      </c>
      <c r="H151" t="s">
        <v>2207</v>
      </c>
      <c r="I151" t="s">
        <v>2208</v>
      </c>
      <c r="J151" t="s">
        <v>1219</v>
      </c>
      <c r="K151" t="s">
        <v>1208</v>
      </c>
      <c r="M151" t="s">
        <v>606</v>
      </c>
      <c r="N151" t="s">
        <v>1272</v>
      </c>
      <c r="O151" t="s">
        <v>1410</v>
      </c>
      <c r="P151" t="s">
        <v>1564</v>
      </c>
      <c r="Q151" t="s">
        <v>1212</v>
      </c>
      <c r="S151" t="s">
        <v>612</v>
      </c>
      <c r="T151" t="s">
        <v>612</v>
      </c>
      <c r="U151" t="s">
        <v>612</v>
      </c>
      <c r="V151" t="s">
        <v>612</v>
      </c>
      <c r="W151" t="s">
        <v>612</v>
      </c>
      <c r="X151" t="s">
        <v>612</v>
      </c>
      <c r="AE151" t="s">
        <v>605</v>
      </c>
      <c r="AH151">
        <v>10</v>
      </c>
      <c r="AI151" t="s">
        <v>605</v>
      </c>
      <c r="AJ151" t="s">
        <v>605</v>
      </c>
      <c r="AK151" t="s">
        <v>605</v>
      </c>
      <c r="AL151" t="s">
        <v>605</v>
      </c>
      <c r="AM151" t="s">
        <v>605</v>
      </c>
      <c r="AN151" t="s">
        <v>1565</v>
      </c>
      <c r="AO151" t="s">
        <v>1565</v>
      </c>
      <c r="AP151" t="s">
        <v>1565</v>
      </c>
      <c r="AQ151" t="s">
        <v>1565</v>
      </c>
      <c r="AR151" t="s">
        <v>1565</v>
      </c>
      <c r="AS151" t="s">
        <v>1566</v>
      </c>
      <c r="AT151" t="s">
        <v>1566</v>
      </c>
      <c r="AU151" t="s">
        <v>1566</v>
      </c>
      <c r="AV151" t="s">
        <v>1566</v>
      </c>
      <c r="AW151" t="s">
        <v>1566</v>
      </c>
      <c r="BH151">
        <v>0.22500000000000001</v>
      </c>
      <c r="BN151">
        <v>1</v>
      </c>
      <c r="BO151" t="s">
        <v>1212</v>
      </c>
      <c r="BP151" t="s">
        <v>612</v>
      </c>
      <c r="BQ151" s="771" t="s">
        <v>612</v>
      </c>
      <c r="BR151" t="s">
        <v>605</v>
      </c>
      <c r="BS151" t="s">
        <v>1213</v>
      </c>
      <c r="BT151">
        <v>0</v>
      </c>
      <c r="BU151" t="s">
        <v>1213</v>
      </c>
      <c r="BV151">
        <v>0</v>
      </c>
      <c r="BW151" t="s">
        <v>1213</v>
      </c>
      <c r="BX151">
        <v>0</v>
      </c>
      <c r="BY151" t="s">
        <v>1213</v>
      </c>
      <c r="BZ151" t="s">
        <v>2209</v>
      </c>
    </row>
    <row r="152" spans="1:79" x14ac:dyDescent="0.2">
      <c r="A152" t="s">
        <v>2181</v>
      </c>
      <c r="B152" t="s">
        <v>2210</v>
      </c>
      <c r="C152" t="s">
        <v>1112</v>
      </c>
      <c r="D152" t="s">
        <v>457</v>
      </c>
      <c r="E152" t="s">
        <v>1202</v>
      </c>
      <c r="F152" t="s">
        <v>2192</v>
      </c>
      <c r="G152" t="s">
        <v>2211</v>
      </c>
      <c r="H152" t="s">
        <v>2212</v>
      </c>
      <c r="I152" t="s">
        <v>2213</v>
      </c>
      <c r="J152" t="s">
        <v>1219</v>
      </c>
      <c r="K152" t="s">
        <v>1208</v>
      </c>
      <c r="N152" t="s">
        <v>1619</v>
      </c>
      <c r="O152" t="s">
        <v>272</v>
      </c>
      <c r="P152" t="s">
        <v>2214</v>
      </c>
      <c r="Q152">
        <v>0</v>
      </c>
      <c r="R152" t="s">
        <v>1251</v>
      </c>
      <c r="X152">
        <v>9300</v>
      </c>
      <c r="AH152">
        <v>0</v>
      </c>
      <c r="AM152" t="s">
        <v>605</v>
      </c>
      <c r="AR152">
        <v>0</v>
      </c>
      <c r="AW152">
        <v>9200</v>
      </c>
      <c r="BH152">
        <v>2.6599999999999999E-5</v>
      </c>
      <c r="BN152">
        <v>1</v>
      </c>
      <c r="BO152" t="s">
        <v>1212</v>
      </c>
      <c r="BP152">
        <v>2217</v>
      </c>
      <c r="BQ152" s="772">
        <v>2553</v>
      </c>
      <c r="BR152" t="s">
        <v>1213</v>
      </c>
      <c r="BS152" t="s">
        <v>1213</v>
      </c>
      <c r="BT152">
        <v>0</v>
      </c>
      <c r="BU152" t="s">
        <v>1213</v>
      </c>
      <c r="BV152">
        <v>0</v>
      </c>
      <c r="BW152" t="s">
        <v>1213</v>
      </c>
      <c r="BX152">
        <v>0</v>
      </c>
      <c r="BY152" t="s">
        <v>1213</v>
      </c>
      <c r="BZ152" t="s">
        <v>2215</v>
      </c>
    </row>
    <row r="153" spans="1:79" x14ac:dyDescent="0.2">
      <c r="A153" t="s">
        <v>2181</v>
      </c>
      <c r="B153" t="s">
        <v>2216</v>
      </c>
      <c r="C153" t="s">
        <v>1112</v>
      </c>
      <c r="D153" t="s">
        <v>457</v>
      </c>
      <c r="E153" t="s">
        <v>1202</v>
      </c>
      <c r="F153" t="s">
        <v>2192</v>
      </c>
      <c r="G153" t="s">
        <v>2217</v>
      </c>
      <c r="H153" t="s">
        <v>2218</v>
      </c>
      <c r="I153" t="s">
        <v>2219</v>
      </c>
      <c r="J153" t="s">
        <v>1241</v>
      </c>
      <c r="N153" t="s">
        <v>1220</v>
      </c>
      <c r="O153" t="s">
        <v>272</v>
      </c>
      <c r="P153" t="s">
        <v>1655</v>
      </c>
      <c r="Q153">
        <v>1</v>
      </c>
      <c r="R153" t="s">
        <v>1211</v>
      </c>
      <c r="S153">
        <v>142</v>
      </c>
      <c r="T153">
        <v>142</v>
      </c>
      <c r="X153">
        <v>140</v>
      </c>
      <c r="AH153">
        <v>0</v>
      </c>
      <c r="BP153">
        <v>138.41900000000001</v>
      </c>
      <c r="BQ153" s="772">
        <v>133.57900000000001</v>
      </c>
      <c r="BR153" t="s">
        <v>605</v>
      </c>
      <c r="BS153" t="s">
        <v>1213</v>
      </c>
      <c r="BT153">
        <v>0</v>
      </c>
      <c r="BU153" t="s">
        <v>1213</v>
      </c>
      <c r="BV153">
        <v>0</v>
      </c>
      <c r="BW153" t="s">
        <v>1213</v>
      </c>
      <c r="BX153">
        <v>0</v>
      </c>
      <c r="BY153" t="s">
        <v>1213</v>
      </c>
      <c r="BZ153" t="s">
        <v>2220</v>
      </c>
    </row>
    <row r="154" spans="1:79" x14ac:dyDescent="0.2">
      <c r="A154" t="s">
        <v>2181</v>
      </c>
      <c r="B154" t="s">
        <v>2221</v>
      </c>
      <c r="C154" t="s">
        <v>1112</v>
      </c>
      <c r="D154" t="s">
        <v>457</v>
      </c>
      <c r="E154" t="s">
        <v>1202</v>
      </c>
      <c r="F154" t="s">
        <v>2222</v>
      </c>
      <c r="G154" t="s">
        <v>1582</v>
      </c>
      <c r="H154" t="s">
        <v>2223</v>
      </c>
      <c r="I154" t="s">
        <v>2224</v>
      </c>
      <c r="J154" t="s">
        <v>1219</v>
      </c>
      <c r="K154" t="s">
        <v>1208</v>
      </c>
      <c r="N154" t="s">
        <v>1209</v>
      </c>
      <c r="O154" t="s">
        <v>264</v>
      </c>
      <c r="P154" t="s">
        <v>2225</v>
      </c>
      <c r="Q154">
        <v>1</v>
      </c>
      <c r="R154" t="s">
        <v>1251</v>
      </c>
      <c r="S154">
        <v>77</v>
      </c>
      <c r="X154">
        <v>85</v>
      </c>
      <c r="AE154" t="s">
        <v>605</v>
      </c>
      <c r="AH154">
        <v>0</v>
      </c>
      <c r="AM154" t="s">
        <v>605</v>
      </c>
      <c r="AR154">
        <v>77</v>
      </c>
      <c r="AW154">
        <v>84.5</v>
      </c>
      <c r="BH154">
        <v>1E-3</v>
      </c>
      <c r="BN154">
        <v>1</v>
      </c>
      <c r="BO154" t="s">
        <v>1212</v>
      </c>
      <c r="BP154">
        <v>54</v>
      </c>
      <c r="BQ154" s="769">
        <v>79.22</v>
      </c>
      <c r="BR154" t="s">
        <v>1213</v>
      </c>
      <c r="BS154" t="s">
        <v>1213</v>
      </c>
      <c r="BT154">
        <v>0</v>
      </c>
      <c r="BU154" t="s">
        <v>1213</v>
      </c>
      <c r="BV154">
        <v>0</v>
      </c>
      <c r="BW154" t="s">
        <v>1213</v>
      </c>
      <c r="BX154">
        <v>0</v>
      </c>
      <c r="BY154" t="s">
        <v>1213</v>
      </c>
      <c r="BZ154" t="s">
        <v>2226</v>
      </c>
    </row>
    <row r="155" spans="1:79" x14ac:dyDescent="0.2">
      <c r="A155" t="s">
        <v>2181</v>
      </c>
      <c r="B155" t="s">
        <v>2227</v>
      </c>
      <c r="C155" t="s">
        <v>1112</v>
      </c>
      <c r="D155" t="s">
        <v>457</v>
      </c>
      <c r="E155" t="s">
        <v>1202</v>
      </c>
      <c r="F155" t="s">
        <v>2228</v>
      </c>
      <c r="G155" t="s">
        <v>1595</v>
      </c>
      <c r="H155" t="s">
        <v>2229</v>
      </c>
      <c r="I155" t="s">
        <v>2230</v>
      </c>
      <c r="J155" t="s">
        <v>1241</v>
      </c>
      <c r="N155" t="s">
        <v>1386</v>
      </c>
      <c r="O155" t="s">
        <v>272</v>
      </c>
      <c r="P155" t="s">
        <v>2231</v>
      </c>
      <c r="Q155">
        <v>0</v>
      </c>
      <c r="R155" t="s">
        <v>1211</v>
      </c>
      <c r="S155">
        <v>580</v>
      </c>
      <c r="X155">
        <v>530</v>
      </c>
      <c r="AH155">
        <v>0</v>
      </c>
      <c r="BP155">
        <v>592</v>
      </c>
      <c r="BQ155" s="773">
        <v>589.45000000000005</v>
      </c>
      <c r="BR155" t="s">
        <v>1213</v>
      </c>
      <c r="BS155" t="s">
        <v>1213</v>
      </c>
      <c r="BT155">
        <v>0</v>
      </c>
      <c r="BU155" t="s">
        <v>1213</v>
      </c>
      <c r="BV155">
        <v>0</v>
      </c>
      <c r="BW155" t="s">
        <v>1213</v>
      </c>
      <c r="BX155">
        <v>0</v>
      </c>
      <c r="BY155" t="s">
        <v>1213</v>
      </c>
      <c r="BZ155" t="s">
        <v>2232</v>
      </c>
    </row>
    <row r="156" spans="1:79" ht="25.5" x14ac:dyDescent="0.2">
      <c r="A156" t="s">
        <v>2181</v>
      </c>
      <c r="B156" t="s">
        <v>2233</v>
      </c>
      <c r="C156" t="s">
        <v>1112</v>
      </c>
      <c r="D156" t="s">
        <v>457</v>
      </c>
      <c r="E156" t="s">
        <v>1202</v>
      </c>
      <c r="F156" t="s">
        <v>2228</v>
      </c>
      <c r="G156" t="s">
        <v>2141</v>
      </c>
      <c r="H156" t="s">
        <v>2234</v>
      </c>
      <c r="I156" t="s">
        <v>2235</v>
      </c>
      <c r="J156" t="s">
        <v>1241</v>
      </c>
      <c r="N156" t="s">
        <v>1377</v>
      </c>
      <c r="O156" t="s">
        <v>1507</v>
      </c>
      <c r="P156" t="s">
        <v>2236</v>
      </c>
      <c r="Q156" t="s">
        <v>1212</v>
      </c>
      <c r="S156" t="s">
        <v>2237</v>
      </c>
      <c r="T156" t="s">
        <v>2238</v>
      </c>
      <c r="U156" t="s">
        <v>2238</v>
      </c>
      <c r="V156" t="s">
        <v>2238</v>
      </c>
      <c r="W156" t="s">
        <v>2238</v>
      </c>
      <c r="X156" t="s">
        <v>2238</v>
      </c>
      <c r="AH156">
        <v>0</v>
      </c>
      <c r="BP156" t="s">
        <v>952</v>
      </c>
      <c r="BQ156" s="771" t="s">
        <v>2239</v>
      </c>
      <c r="BR156" t="s">
        <v>1213</v>
      </c>
      <c r="BS156" t="s">
        <v>1213</v>
      </c>
      <c r="BT156">
        <v>0</v>
      </c>
      <c r="BU156" t="s">
        <v>1213</v>
      </c>
      <c r="BV156">
        <v>0</v>
      </c>
      <c r="BW156" t="s">
        <v>1213</v>
      </c>
      <c r="BX156">
        <v>0</v>
      </c>
      <c r="BY156" t="s">
        <v>1213</v>
      </c>
      <c r="BZ156" t="s">
        <v>2240</v>
      </c>
    </row>
    <row r="157" spans="1:79" x14ac:dyDescent="0.2">
      <c r="A157" t="s">
        <v>2181</v>
      </c>
      <c r="B157" t="s">
        <v>2241</v>
      </c>
      <c r="C157" t="s">
        <v>1112</v>
      </c>
      <c r="D157" t="s">
        <v>457</v>
      </c>
      <c r="E157" t="s">
        <v>1202</v>
      </c>
      <c r="F157" t="s">
        <v>2242</v>
      </c>
      <c r="G157" t="s">
        <v>1603</v>
      </c>
      <c r="H157" t="s">
        <v>2243</v>
      </c>
      <c r="I157" t="s">
        <v>2244</v>
      </c>
      <c r="J157" t="s">
        <v>1241</v>
      </c>
      <c r="N157" t="s">
        <v>2245</v>
      </c>
      <c r="O157" t="s">
        <v>272</v>
      </c>
      <c r="P157" t="s">
        <v>2246</v>
      </c>
      <c r="Q157">
        <v>0</v>
      </c>
      <c r="R157" t="s">
        <v>1251</v>
      </c>
      <c r="S157">
        <v>84</v>
      </c>
      <c r="X157">
        <v>175</v>
      </c>
      <c r="AH157">
        <v>0</v>
      </c>
      <c r="BP157">
        <v>158</v>
      </c>
      <c r="BQ157" s="772">
        <v>201.5</v>
      </c>
      <c r="BR157" t="s">
        <v>1213</v>
      </c>
      <c r="BS157" t="s">
        <v>1213</v>
      </c>
      <c r="BT157">
        <v>0</v>
      </c>
      <c r="BU157" t="s">
        <v>1213</v>
      </c>
      <c r="BV157">
        <v>0</v>
      </c>
      <c r="BW157" t="s">
        <v>1213</v>
      </c>
      <c r="BX157">
        <v>0</v>
      </c>
      <c r="BY157" t="s">
        <v>1213</v>
      </c>
      <c r="BZ157" t="s">
        <v>2247</v>
      </c>
    </row>
    <row r="158" spans="1:79" x14ac:dyDescent="0.2">
      <c r="A158" t="s">
        <v>2181</v>
      </c>
      <c r="B158" t="s">
        <v>2248</v>
      </c>
      <c r="C158" t="s">
        <v>1112</v>
      </c>
      <c r="D158" t="s">
        <v>1288</v>
      </c>
      <c r="E158" t="s">
        <v>1289</v>
      </c>
      <c r="F158" t="s">
        <v>2222</v>
      </c>
      <c r="G158" t="s">
        <v>1554</v>
      </c>
      <c r="H158" t="s">
        <v>2249</v>
      </c>
      <c r="I158" t="s">
        <v>2167</v>
      </c>
      <c r="J158" t="s">
        <v>1207</v>
      </c>
      <c r="K158" t="s">
        <v>1208</v>
      </c>
      <c r="M158" t="s">
        <v>606</v>
      </c>
      <c r="N158" t="s">
        <v>1294</v>
      </c>
      <c r="O158" t="s">
        <v>665</v>
      </c>
      <c r="P158" t="s">
        <v>2250</v>
      </c>
      <c r="Q158">
        <v>1</v>
      </c>
      <c r="R158" t="s">
        <v>1251</v>
      </c>
      <c r="S158">
        <v>87</v>
      </c>
      <c r="X158">
        <v>89</v>
      </c>
      <c r="AH158">
        <v>0</v>
      </c>
      <c r="AM158" t="s">
        <v>605</v>
      </c>
      <c r="AN158" t="s">
        <v>1296</v>
      </c>
      <c r="AO158" t="s">
        <v>1296</v>
      </c>
      <c r="AP158" t="s">
        <v>1296</v>
      </c>
      <c r="AQ158" t="s">
        <v>1296</v>
      </c>
      <c r="AR158" t="s">
        <v>1296</v>
      </c>
      <c r="AS158" t="s">
        <v>1296</v>
      </c>
      <c r="AT158" t="s">
        <v>1296</v>
      </c>
      <c r="AU158" t="s">
        <v>1296</v>
      </c>
      <c r="AV158" t="s">
        <v>1296</v>
      </c>
      <c r="AW158" t="s">
        <v>1296</v>
      </c>
      <c r="AX158" t="s">
        <v>1296</v>
      </c>
      <c r="AY158" t="s">
        <v>1296</v>
      </c>
      <c r="AZ158" t="s">
        <v>1296</v>
      </c>
      <c r="BA158" t="s">
        <v>1296</v>
      </c>
      <c r="BB158" t="s">
        <v>1296</v>
      </c>
      <c r="BC158" t="s">
        <v>1296</v>
      </c>
      <c r="BD158" t="s">
        <v>1296</v>
      </c>
      <c r="BE158" t="s">
        <v>1296</v>
      </c>
      <c r="BF158" t="s">
        <v>1296</v>
      </c>
      <c r="BG158" t="s">
        <v>1296</v>
      </c>
      <c r="BH158" t="s">
        <v>1296</v>
      </c>
      <c r="BL158" t="s">
        <v>1296</v>
      </c>
      <c r="BN158">
        <v>1</v>
      </c>
      <c r="BO158" t="s">
        <v>1212</v>
      </c>
      <c r="BP158">
        <v>87.5</v>
      </c>
      <c r="BQ158" s="769">
        <v>86.2</v>
      </c>
      <c r="BR158" t="s">
        <v>1213</v>
      </c>
      <c r="BS158" t="s">
        <v>1213</v>
      </c>
      <c r="BT158">
        <v>0</v>
      </c>
      <c r="BU158" t="s">
        <v>1213</v>
      </c>
      <c r="BV158">
        <v>0</v>
      </c>
      <c r="BW158" t="s">
        <v>1213</v>
      </c>
      <c r="BX158">
        <v>0</v>
      </c>
      <c r="BY158" t="s">
        <v>1213</v>
      </c>
      <c r="BZ158" t="s">
        <v>2251</v>
      </c>
      <c r="CA158" t="s">
        <v>1298</v>
      </c>
    </row>
    <row r="159" spans="1:79" x14ac:dyDescent="0.2">
      <c r="A159" t="s">
        <v>2181</v>
      </c>
      <c r="B159" t="s">
        <v>2252</v>
      </c>
      <c r="C159" t="s">
        <v>1112</v>
      </c>
      <c r="D159" t="s">
        <v>1288</v>
      </c>
      <c r="E159" t="s">
        <v>1289</v>
      </c>
      <c r="F159" t="s">
        <v>2222</v>
      </c>
      <c r="G159" t="s">
        <v>1560</v>
      </c>
      <c r="H159" t="s">
        <v>2253</v>
      </c>
      <c r="I159" t="s">
        <v>2254</v>
      </c>
      <c r="J159" t="s">
        <v>1219</v>
      </c>
      <c r="K159" t="s">
        <v>1208</v>
      </c>
      <c r="M159" t="s">
        <v>606</v>
      </c>
      <c r="N159" t="s">
        <v>1303</v>
      </c>
      <c r="O159" t="s">
        <v>86</v>
      </c>
      <c r="P159" t="s">
        <v>2094</v>
      </c>
      <c r="Q159">
        <v>2</v>
      </c>
      <c r="S159">
        <v>0</v>
      </c>
      <c r="T159" t="s">
        <v>1710</v>
      </c>
      <c r="U159" t="s">
        <v>1710</v>
      </c>
      <c r="V159" t="s">
        <v>1710</v>
      </c>
      <c r="W159" t="s">
        <v>1710</v>
      </c>
      <c r="X159">
        <v>1.18</v>
      </c>
      <c r="AD159" t="s">
        <v>605</v>
      </c>
      <c r="AH159">
        <v>0</v>
      </c>
      <c r="AI159" t="s">
        <v>605</v>
      </c>
      <c r="AJ159" t="s">
        <v>605</v>
      </c>
      <c r="AK159" t="s">
        <v>605</v>
      </c>
      <c r="AL159" t="s">
        <v>605</v>
      </c>
      <c r="AM159" t="s">
        <v>605</v>
      </c>
      <c r="AN159" t="s">
        <v>1710</v>
      </c>
      <c r="AO159" t="s">
        <v>1710</v>
      </c>
      <c r="AP159" t="s">
        <v>1710</v>
      </c>
      <c r="AQ159" t="s">
        <v>1710</v>
      </c>
      <c r="AR159">
        <v>0</v>
      </c>
      <c r="AS159" t="s">
        <v>1710</v>
      </c>
      <c r="AT159" t="s">
        <v>1710</v>
      </c>
      <c r="AU159" t="s">
        <v>1710</v>
      </c>
      <c r="AV159" t="s">
        <v>1710</v>
      </c>
      <c r="AW159">
        <v>1.1000000000000001</v>
      </c>
      <c r="BH159">
        <v>0.05</v>
      </c>
      <c r="BI159">
        <v>0.17</v>
      </c>
      <c r="BN159">
        <v>1</v>
      </c>
      <c r="BO159" t="s">
        <v>1212</v>
      </c>
      <c r="BP159" t="s">
        <v>952</v>
      </c>
      <c r="BQ159" s="771">
        <v>0.33600000000000002</v>
      </c>
      <c r="BR159" t="s">
        <v>1213</v>
      </c>
      <c r="BS159" t="s">
        <v>1213</v>
      </c>
      <c r="BT159">
        <v>0</v>
      </c>
      <c r="BU159" t="s">
        <v>1213</v>
      </c>
      <c r="BV159">
        <v>0</v>
      </c>
      <c r="BW159" t="s">
        <v>1213</v>
      </c>
      <c r="BX159">
        <v>0</v>
      </c>
      <c r="BY159" t="s">
        <v>1213</v>
      </c>
      <c r="BZ159" t="s">
        <v>2255</v>
      </c>
      <c r="CA159" t="s">
        <v>2256</v>
      </c>
    </row>
    <row r="160" spans="1:79" x14ac:dyDescent="0.2">
      <c r="A160" t="s">
        <v>2181</v>
      </c>
      <c r="B160" t="s">
        <v>2257</v>
      </c>
      <c r="C160" t="s">
        <v>1112</v>
      </c>
      <c r="D160" t="s">
        <v>1288</v>
      </c>
      <c r="E160" t="s">
        <v>1289</v>
      </c>
      <c r="F160" t="s">
        <v>2258</v>
      </c>
      <c r="G160" t="s">
        <v>1575</v>
      </c>
      <c r="H160" t="s">
        <v>2259</v>
      </c>
      <c r="I160" t="s">
        <v>2260</v>
      </c>
      <c r="J160" t="s">
        <v>1241</v>
      </c>
      <c r="N160" t="s">
        <v>1303</v>
      </c>
      <c r="O160" t="s">
        <v>264</v>
      </c>
      <c r="P160" t="s">
        <v>2261</v>
      </c>
      <c r="Q160">
        <v>2</v>
      </c>
      <c r="R160" t="s">
        <v>1211</v>
      </c>
      <c r="X160" t="s">
        <v>2262</v>
      </c>
      <c r="AH160">
        <v>0</v>
      </c>
      <c r="BP160">
        <v>3.36</v>
      </c>
      <c r="BQ160" s="771">
        <v>3.71</v>
      </c>
      <c r="BR160" t="s">
        <v>1213</v>
      </c>
      <c r="BS160" t="s">
        <v>1213</v>
      </c>
      <c r="BT160">
        <v>0</v>
      </c>
      <c r="BU160" t="s">
        <v>1213</v>
      </c>
      <c r="BV160">
        <v>0</v>
      </c>
      <c r="BW160" t="s">
        <v>1213</v>
      </c>
      <c r="BX160">
        <v>0</v>
      </c>
      <c r="BY160" t="s">
        <v>1213</v>
      </c>
      <c r="BZ160" t="s">
        <v>2263</v>
      </c>
    </row>
    <row r="161" spans="1:79" x14ac:dyDescent="0.2">
      <c r="A161" t="s">
        <v>2264</v>
      </c>
      <c r="B161" t="s">
        <v>2265</v>
      </c>
      <c r="C161" t="s">
        <v>1112</v>
      </c>
      <c r="D161" t="s">
        <v>457</v>
      </c>
      <c r="E161" t="s">
        <v>1202</v>
      </c>
      <c r="F161" t="s">
        <v>2266</v>
      </c>
      <c r="G161" t="s">
        <v>1554</v>
      </c>
      <c r="H161" t="s">
        <v>2267</v>
      </c>
      <c r="I161" t="s">
        <v>2268</v>
      </c>
      <c r="J161" t="s">
        <v>1219</v>
      </c>
      <c r="K161" t="s">
        <v>1208</v>
      </c>
      <c r="M161" t="s">
        <v>606</v>
      </c>
      <c r="N161" t="s">
        <v>1228</v>
      </c>
      <c r="O161" t="s">
        <v>665</v>
      </c>
      <c r="P161" t="s">
        <v>1346</v>
      </c>
      <c r="Q161">
        <v>0</v>
      </c>
      <c r="R161" t="s">
        <v>1251</v>
      </c>
      <c r="S161">
        <v>100</v>
      </c>
      <c r="T161">
        <v>100</v>
      </c>
      <c r="U161">
        <v>100</v>
      </c>
      <c r="V161">
        <v>100</v>
      </c>
      <c r="W161">
        <v>100</v>
      </c>
      <c r="X161">
        <v>100</v>
      </c>
      <c r="AH161">
        <v>0</v>
      </c>
      <c r="AI161" t="s">
        <v>605</v>
      </c>
      <c r="AJ161" t="s">
        <v>605</v>
      </c>
      <c r="AK161" t="s">
        <v>605</v>
      </c>
      <c r="AL161" t="s">
        <v>605</v>
      </c>
      <c r="AM161" t="s">
        <v>605</v>
      </c>
      <c r="AN161" t="s">
        <v>2269</v>
      </c>
      <c r="AO161" t="s">
        <v>2269</v>
      </c>
      <c r="AP161" t="s">
        <v>2269</v>
      </c>
      <c r="AQ161" t="s">
        <v>2269</v>
      </c>
      <c r="AR161" t="s">
        <v>2269</v>
      </c>
      <c r="AS161">
        <v>98</v>
      </c>
      <c r="AT161">
        <v>98</v>
      </c>
      <c r="AU161">
        <v>98</v>
      </c>
      <c r="AV161">
        <v>98</v>
      </c>
      <c r="AW161">
        <v>98</v>
      </c>
      <c r="BH161">
        <v>0.2</v>
      </c>
      <c r="BN161">
        <v>1</v>
      </c>
      <c r="BO161" t="s">
        <v>1212</v>
      </c>
      <c r="BP161">
        <v>100</v>
      </c>
      <c r="BQ161" s="772">
        <v>100</v>
      </c>
      <c r="BR161" t="s">
        <v>605</v>
      </c>
      <c r="BS161" t="s">
        <v>1213</v>
      </c>
      <c r="BT161">
        <v>0</v>
      </c>
      <c r="BU161" t="s">
        <v>1213</v>
      </c>
      <c r="BV161">
        <v>0</v>
      </c>
      <c r="BW161" t="s">
        <v>1213</v>
      </c>
      <c r="BX161">
        <v>0</v>
      </c>
      <c r="BY161" t="s">
        <v>1213</v>
      </c>
      <c r="BZ161" t="s">
        <v>2270</v>
      </c>
      <c r="CA161" t="s">
        <v>2271</v>
      </c>
    </row>
    <row r="162" spans="1:79" x14ac:dyDescent="0.2">
      <c r="A162" t="s">
        <v>2264</v>
      </c>
      <c r="B162" t="s">
        <v>2272</v>
      </c>
      <c r="C162" t="s">
        <v>1112</v>
      </c>
      <c r="D162" t="s">
        <v>457</v>
      </c>
      <c r="E162" t="s">
        <v>1202</v>
      </c>
      <c r="F162" t="s">
        <v>2266</v>
      </c>
      <c r="G162" t="s">
        <v>1560</v>
      </c>
      <c r="H162" t="s">
        <v>2273</v>
      </c>
      <c r="I162" t="s">
        <v>2274</v>
      </c>
      <c r="J162" t="s">
        <v>1241</v>
      </c>
      <c r="N162" t="s">
        <v>1228</v>
      </c>
      <c r="O162" t="s">
        <v>665</v>
      </c>
      <c r="P162" t="s">
        <v>1346</v>
      </c>
      <c r="Q162">
        <v>0</v>
      </c>
      <c r="R162" t="s">
        <v>1251</v>
      </c>
      <c r="S162">
        <v>100</v>
      </c>
      <c r="T162">
        <v>100</v>
      </c>
      <c r="U162">
        <v>100</v>
      </c>
      <c r="V162">
        <v>100</v>
      </c>
      <c r="W162">
        <v>100</v>
      </c>
      <c r="X162">
        <v>100</v>
      </c>
      <c r="AH162">
        <v>0</v>
      </c>
      <c r="BP162">
        <v>100</v>
      </c>
      <c r="BQ162" s="771">
        <v>100</v>
      </c>
      <c r="BR162" t="s">
        <v>605</v>
      </c>
      <c r="BS162" t="s">
        <v>1213</v>
      </c>
      <c r="BT162">
        <v>0</v>
      </c>
      <c r="BU162" t="s">
        <v>1213</v>
      </c>
      <c r="BV162">
        <v>0</v>
      </c>
      <c r="BW162" t="s">
        <v>1213</v>
      </c>
      <c r="BX162">
        <v>0</v>
      </c>
      <c r="BY162" t="s">
        <v>1213</v>
      </c>
      <c r="BZ162" t="s">
        <v>2275</v>
      </c>
    </row>
    <row r="163" spans="1:79" x14ac:dyDescent="0.2">
      <c r="A163" t="s">
        <v>2264</v>
      </c>
      <c r="B163" t="s">
        <v>2276</v>
      </c>
      <c r="C163" t="s">
        <v>1112</v>
      </c>
      <c r="D163" t="s">
        <v>457</v>
      </c>
      <c r="E163" t="s">
        <v>1202</v>
      </c>
      <c r="F163" t="s">
        <v>2266</v>
      </c>
      <c r="G163" t="s">
        <v>1569</v>
      </c>
      <c r="H163" t="s">
        <v>2277</v>
      </c>
      <c r="I163" t="s">
        <v>2278</v>
      </c>
      <c r="J163" t="s">
        <v>1207</v>
      </c>
      <c r="K163" t="s">
        <v>1208</v>
      </c>
      <c r="N163" t="s">
        <v>1265</v>
      </c>
      <c r="O163" t="s">
        <v>1309</v>
      </c>
      <c r="P163" t="s">
        <v>1727</v>
      </c>
      <c r="Q163">
        <v>2</v>
      </c>
      <c r="R163" t="s">
        <v>1211</v>
      </c>
      <c r="S163">
        <v>0.28999999999999998</v>
      </c>
      <c r="T163">
        <v>0.26</v>
      </c>
      <c r="U163">
        <v>0.23</v>
      </c>
      <c r="V163">
        <v>0.2</v>
      </c>
      <c r="W163">
        <v>0.2</v>
      </c>
      <c r="X163">
        <v>0.2</v>
      </c>
      <c r="AA163" t="s">
        <v>605</v>
      </c>
      <c r="AE163" t="s">
        <v>605</v>
      </c>
      <c r="AH163">
        <v>0</v>
      </c>
      <c r="AI163" t="s">
        <v>605</v>
      </c>
      <c r="AJ163" t="s">
        <v>605</v>
      </c>
      <c r="AK163" t="s">
        <v>605</v>
      </c>
      <c r="AL163" t="s">
        <v>605</v>
      </c>
      <c r="AM163" t="s">
        <v>605</v>
      </c>
      <c r="AN163">
        <v>0.46</v>
      </c>
      <c r="AO163">
        <v>0.46</v>
      </c>
      <c r="AP163">
        <v>0.37</v>
      </c>
      <c r="AQ163">
        <v>0.37</v>
      </c>
      <c r="AR163">
        <v>0.37</v>
      </c>
      <c r="AS163">
        <v>0.28999999999999998</v>
      </c>
      <c r="AT163">
        <v>0.28999999999999998</v>
      </c>
      <c r="AU163">
        <v>0.2</v>
      </c>
      <c r="AV163">
        <v>0.2</v>
      </c>
      <c r="AW163">
        <v>0.2</v>
      </c>
      <c r="AX163">
        <v>0.2</v>
      </c>
      <c r="AY163">
        <v>0.2</v>
      </c>
      <c r="AZ163">
        <v>0.2</v>
      </c>
      <c r="BA163">
        <v>0.2</v>
      </c>
      <c r="BB163">
        <v>0.2</v>
      </c>
      <c r="BC163">
        <v>0</v>
      </c>
      <c r="BD163">
        <v>0</v>
      </c>
      <c r="BE163">
        <v>0</v>
      </c>
      <c r="BF163">
        <v>0</v>
      </c>
      <c r="BG163">
        <v>0</v>
      </c>
      <c r="BH163">
        <v>2</v>
      </c>
      <c r="BL163">
        <v>2</v>
      </c>
      <c r="BN163">
        <v>1</v>
      </c>
      <c r="BO163" t="s">
        <v>1212</v>
      </c>
      <c r="BP163">
        <v>0.48</v>
      </c>
      <c r="BQ163" s="773">
        <v>0.1</v>
      </c>
      <c r="BR163" t="s">
        <v>605</v>
      </c>
      <c r="BS163" t="s">
        <v>1213</v>
      </c>
      <c r="BT163">
        <v>0</v>
      </c>
      <c r="BU163" t="s">
        <v>611</v>
      </c>
      <c r="BV163">
        <v>0.2</v>
      </c>
      <c r="BW163" t="s">
        <v>1213</v>
      </c>
      <c r="BX163">
        <v>0</v>
      </c>
      <c r="BY163" t="s">
        <v>1173</v>
      </c>
      <c r="BZ163" t="s">
        <v>2279</v>
      </c>
    </row>
    <row r="164" spans="1:79" x14ac:dyDescent="0.2">
      <c r="A164" t="s">
        <v>2264</v>
      </c>
      <c r="B164" t="s">
        <v>2280</v>
      </c>
      <c r="C164" t="s">
        <v>1112</v>
      </c>
      <c r="D164" t="s">
        <v>457</v>
      </c>
      <c r="E164" t="s">
        <v>1202</v>
      </c>
      <c r="F164" t="s">
        <v>2266</v>
      </c>
      <c r="G164" t="s">
        <v>1715</v>
      </c>
      <c r="H164" t="s">
        <v>2281</v>
      </c>
      <c r="I164" t="s">
        <v>2282</v>
      </c>
      <c r="J164" t="s">
        <v>1219</v>
      </c>
      <c r="K164" t="s">
        <v>1208</v>
      </c>
      <c r="N164" t="s">
        <v>1272</v>
      </c>
      <c r="O164" t="s">
        <v>272</v>
      </c>
      <c r="P164" t="s">
        <v>1273</v>
      </c>
      <c r="Q164">
        <v>0</v>
      </c>
      <c r="R164" t="s">
        <v>1211</v>
      </c>
      <c r="S164">
        <v>227</v>
      </c>
      <c r="T164">
        <v>290</v>
      </c>
      <c r="U164">
        <v>290</v>
      </c>
      <c r="V164">
        <v>290</v>
      </c>
      <c r="W164">
        <v>290</v>
      </c>
      <c r="X164">
        <v>290</v>
      </c>
      <c r="AE164" t="s">
        <v>605</v>
      </c>
      <c r="AH164">
        <v>0</v>
      </c>
      <c r="AI164" t="s">
        <v>605</v>
      </c>
      <c r="AJ164" t="s">
        <v>605</v>
      </c>
      <c r="AK164" t="s">
        <v>605</v>
      </c>
      <c r="AL164" t="s">
        <v>605</v>
      </c>
      <c r="AM164" t="s">
        <v>605</v>
      </c>
      <c r="AN164">
        <v>470</v>
      </c>
      <c r="AO164">
        <v>470</v>
      </c>
      <c r="AP164">
        <v>470</v>
      </c>
      <c r="AQ164">
        <v>470</v>
      </c>
      <c r="AR164">
        <v>470</v>
      </c>
      <c r="AS164">
        <v>345</v>
      </c>
      <c r="AT164">
        <v>345</v>
      </c>
      <c r="AU164">
        <v>345</v>
      </c>
      <c r="AV164">
        <v>345</v>
      </c>
      <c r="AW164">
        <v>345</v>
      </c>
      <c r="BH164">
        <v>3.0000000000000001E-3</v>
      </c>
      <c r="BN164">
        <v>1</v>
      </c>
      <c r="BO164" t="s">
        <v>1212</v>
      </c>
      <c r="BP164">
        <v>221</v>
      </c>
      <c r="BQ164" s="772">
        <v>212</v>
      </c>
      <c r="BR164" t="s">
        <v>605</v>
      </c>
      <c r="BS164" t="s">
        <v>1213</v>
      </c>
      <c r="BT164">
        <v>0</v>
      </c>
      <c r="BU164" t="s">
        <v>1213</v>
      </c>
      <c r="BV164">
        <v>0</v>
      </c>
      <c r="BW164" t="s">
        <v>1213</v>
      </c>
      <c r="BX164">
        <v>0</v>
      </c>
      <c r="BY164" t="s">
        <v>1213</v>
      </c>
      <c r="BZ164" t="s">
        <v>2283</v>
      </c>
    </row>
    <row r="165" spans="1:79" x14ac:dyDescent="0.2">
      <c r="A165" t="s">
        <v>2264</v>
      </c>
      <c r="B165" t="s">
        <v>2284</v>
      </c>
      <c r="C165" t="s">
        <v>1112</v>
      </c>
      <c r="D165" t="s">
        <v>457</v>
      </c>
      <c r="E165" t="s">
        <v>1202</v>
      </c>
      <c r="F165" t="s">
        <v>2266</v>
      </c>
      <c r="G165" t="s">
        <v>2285</v>
      </c>
      <c r="H165" t="s">
        <v>2286</v>
      </c>
      <c r="I165" t="s">
        <v>2287</v>
      </c>
      <c r="J165" t="s">
        <v>1219</v>
      </c>
      <c r="K165" t="s">
        <v>1208</v>
      </c>
      <c r="N165" t="s">
        <v>1249</v>
      </c>
      <c r="O165" t="s">
        <v>264</v>
      </c>
      <c r="P165" t="s">
        <v>1250</v>
      </c>
      <c r="Q165">
        <v>2</v>
      </c>
      <c r="R165" t="s">
        <v>1251</v>
      </c>
      <c r="S165">
        <v>100</v>
      </c>
      <c r="T165">
        <v>100</v>
      </c>
      <c r="U165">
        <v>100</v>
      </c>
      <c r="V165">
        <v>100</v>
      </c>
      <c r="W165">
        <v>100</v>
      </c>
      <c r="X165">
        <v>100</v>
      </c>
      <c r="Y165" t="s">
        <v>605</v>
      </c>
      <c r="AE165" t="s">
        <v>605</v>
      </c>
      <c r="AH165">
        <v>0</v>
      </c>
      <c r="AI165" t="s">
        <v>605</v>
      </c>
      <c r="AJ165" t="s">
        <v>605</v>
      </c>
      <c r="AK165" t="s">
        <v>605</v>
      </c>
      <c r="AL165" t="s">
        <v>605</v>
      </c>
      <c r="AM165" t="s">
        <v>605</v>
      </c>
      <c r="AN165">
        <v>99.93</v>
      </c>
      <c r="AO165">
        <v>99.93</v>
      </c>
      <c r="AP165">
        <v>99.94</v>
      </c>
      <c r="AQ165">
        <v>99.94</v>
      </c>
      <c r="AR165">
        <v>99.94</v>
      </c>
      <c r="AS165">
        <v>99.94</v>
      </c>
      <c r="AT165">
        <v>99.94</v>
      </c>
      <c r="AU165">
        <v>99.95</v>
      </c>
      <c r="AV165">
        <v>99.95</v>
      </c>
      <c r="AW165">
        <v>99.95</v>
      </c>
      <c r="BH165">
        <v>0.14000000000000001</v>
      </c>
      <c r="BN165">
        <v>100</v>
      </c>
      <c r="BO165" t="s">
        <v>1598</v>
      </c>
      <c r="BP165">
        <v>99.98</v>
      </c>
      <c r="BQ165" s="773">
        <v>99.95</v>
      </c>
      <c r="BR165" t="s">
        <v>606</v>
      </c>
      <c r="BS165" t="s">
        <v>1213</v>
      </c>
      <c r="BT165">
        <v>0</v>
      </c>
      <c r="BU165" t="s">
        <v>607</v>
      </c>
      <c r="BV165">
        <v>0</v>
      </c>
      <c r="BW165" t="s">
        <v>1213</v>
      </c>
      <c r="BX165">
        <v>0</v>
      </c>
      <c r="BY165" t="s">
        <v>1171</v>
      </c>
      <c r="BZ165" t="s">
        <v>2288</v>
      </c>
    </row>
    <row r="166" spans="1:79" x14ac:dyDescent="0.2">
      <c r="A166" t="s">
        <v>2264</v>
      </c>
      <c r="B166" t="s">
        <v>2289</v>
      </c>
      <c r="C166" t="s">
        <v>1112</v>
      </c>
      <c r="D166" t="s">
        <v>457</v>
      </c>
      <c r="E166" t="s">
        <v>1202</v>
      </c>
      <c r="F166" t="s">
        <v>2266</v>
      </c>
      <c r="G166" t="s">
        <v>2290</v>
      </c>
      <c r="H166" t="s">
        <v>2291</v>
      </c>
      <c r="I166" t="s">
        <v>2292</v>
      </c>
      <c r="J166" t="s">
        <v>1207</v>
      </c>
      <c r="K166" t="s">
        <v>1208</v>
      </c>
      <c r="N166" t="s">
        <v>1172</v>
      </c>
      <c r="O166" t="s">
        <v>272</v>
      </c>
      <c r="P166" t="s">
        <v>1606</v>
      </c>
      <c r="Q166">
        <v>0</v>
      </c>
      <c r="R166" t="s">
        <v>1211</v>
      </c>
      <c r="S166">
        <v>350</v>
      </c>
      <c r="T166">
        <v>350</v>
      </c>
      <c r="U166">
        <v>350</v>
      </c>
      <c r="V166">
        <v>350</v>
      </c>
      <c r="W166">
        <v>350</v>
      </c>
      <c r="X166">
        <v>350</v>
      </c>
      <c r="Z166" t="s">
        <v>605</v>
      </c>
      <c r="AE166" t="s">
        <v>605</v>
      </c>
      <c r="AH166">
        <v>0</v>
      </c>
      <c r="AI166" t="s">
        <v>605</v>
      </c>
      <c r="AJ166" t="s">
        <v>605</v>
      </c>
      <c r="AK166" t="s">
        <v>605</v>
      </c>
      <c r="AL166" t="s">
        <v>605</v>
      </c>
      <c r="AM166" t="s">
        <v>605</v>
      </c>
      <c r="AN166">
        <v>500</v>
      </c>
      <c r="AO166">
        <v>500</v>
      </c>
      <c r="AP166">
        <v>500</v>
      </c>
      <c r="AQ166">
        <v>500</v>
      </c>
      <c r="AR166">
        <v>500</v>
      </c>
      <c r="AS166">
        <v>375</v>
      </c>
      <c r="AT166">
        <v>375</v>
      </c>
      <c r="AU166">
        <v>375</v>
      </c>
      <c r="AV166">
        <v>375</v>
      </c>
      <c r="AW166">
        <v>375</v>
      </c>
      <c r="AX166">
        <v>325</v>
      </c>
      <c r="AY166">
        <v>325</v>
      </c>
      <c r="AZ166">
        <v>325</v>
      </c>
      <c r="BA166">
        <v>325</v>
      </c>
      <c r="BB166">
        <v>325</v>
      </c>
      <c r="BC166">
        <v>200</v>
      </c>
      <c r="BD166">
        <v>200</v>
      </c>
      <c r="BE166">
        <v>200</v>
      </c>
      <c r="BF166">
        <v>200</v>
      </c>
      <c r="BG166">
        <v>200</v>
      </c>
      <c r="BH166">
        <v>1E-3</v>
      </c>
      <c r="BL166">
        <v>4.95E-4</v>
      </c>
      <c r="BN166">
        <v>1</v>
      </c>
      <c r="BO166" t="s">
        <v>1212</v>
      </c>
      <c r="BP166">
        <v>540</v>
      </c>
      <c r="BQ166" s="772">
        <v>419</v>
      </c>
      <c r="BR166" t="s">
        <v>606</v>
      </c>
      <c r="BS166" t="s">
        <v>1213</v>
      </c>
      <c r="BT166">
        <v>0</v>
      </c>
      <c r="BU166" t="s">
        <v>1107</v>
      </c>
      <c r="BV166">
        <v>-4.3999999999999997E-2</v>
      </c>
      <c r="BW166" t="s">
        <v>1213</v>
      </c>
      <c r="BX166">
        <v>0</v>
      </c>
      <c r="BY166" t="s">
        <v>1172</v>
      </c>
      <c r="BZ166" t="s">
        <v>2293</v>
      </c>
    </row>
    <row r="167" spans="1:79" x14ac:dyDescent="0.2">
      <c r="A167" t="s">
        <v>2264</v>
      </c>
      <c r="B167" t="s">
        <v>2294</v>
      </c>
      <c r="C167" t="s">
        <v>1112</v>
      </c>
      <c r="D167" t="s">
        <v>457</v>
      </c>
      <c r="E167" t="s">
        <v>1202</v>
      </c>
      <c r="F167" t="s">
        <v>2266</v>
      </c>
      <c r="G167" t="s">
        <v>2295</v>
      </c>
      <c r="H167" t="s">
        <v>2296</v>
      </c>
      <c r="I167" t="s">
        <v>2297</v>
      </c>
      <c r="J167" t="s">
        <v>1219</v>
      </c>
      <c r="K167" t="s">
        <v>1208</v>
      </c>
      <c r="M167" t="s">
        <v>606</v>
      </c>
      <c r="N167" t="s">
        <v>1249</v>
      </c>
      <c r="O167" t="s">
        <v>1507</v>
      </c>
      <c r="P167" t="s">
        <v>2298</v>
      </c>
      <c r="Q167" t="s">
        <v>1212</v>
      </c>
      <c r="S167" t="s">
        <v>2011</v>
      </c>
      <c r="T167" t="s">
        <v>2011</v>
      </c>
      <c r="U167" t="s">
        <v>2011</v>
      </c>
      <c r="V167" t="s">
        <v>2011</v>
      </c>
      <c r="W167" t="s">
        <v>2011</v>
      </c>
      <c r="X167" t="s">
        <v>2011</v>
      </c>
      <c r="AD167" t="s">
        <v>605</v>
      </c>
      <c r="AE167" t="s">
        <v>605</v>
      </c>
      <c r="AH167">
        <v>0</v>
      </c>
      <c r="AI167" t="s">
        <v>605</v>
      </c>
      <c r="AJ167" t="s">
        <v>605</v>
      </c>
      <c r="AK167" t="s">
        <v>605</v>
      </c>
      <c r="AL167" t="s">
        <v>605</v>
      </c>
      <c r="AM167" t="s">
        <v>605</v>
      </c>
      <c r="AS167" t="s">
        <v>2010</v>
      </c>
      <c r="AT167" t="s">
        <v>2010</v>
      </c>
      <c r="AU167" t="s">
        <v>2010</v>
      </c>
      <c r="AV167" t="s">
        <v>2010</v>
      </c>
      <c r="AW167" t="s">
        <v>2010</v>
      </c>
      <c r="BH167">
        <v>3</v>
      </c>
      <c r="BN167">
        <v>1</v>
      </c>
      <c r="BO167" t="s">
        <v>1212</v>
      </c>
      <c r="BP167" t="s">
        <v>2137</v>
      </c>
      <c r="BQ167" s="771" t="s">
        <v>2146</v>
      </c>
      <c r="BR167" t="s">
        <v>605</v>
      </c>
      <c r="BS167" t="s">
        <v>1213</v>
      </c>
      <c r="BT167">
        <v>0</v>
      </c>
      <c r="BU167" t="s">
        <v>1213</v>
      </c>
      <c r="BV167">
        <v>0</v>
      </c>
      <c r="BW167" t="s">
        <v>1213</v>
      </c>
      <c r="BX167">
        <v>0</v>
      </c>
      <c r="BY167" t="s">
        <v>1213</v>
      </c>
      <c r="BZ167" t="s">
        <v>2299</v>
      </c>
      <c r="CA167" t="s">
        <v>2300</v>
      </c>
    </row>
    <row r="168" spans="1:79" x14ac:dyDescent="0.2">
      <c r="A168" t="s">
        <v>2264</v>
      </c>
      <c r="B168" t="s">
        <v>2301</v>
      </c>
      <c r="C168" t="s">
        <v>1112</v>
      </c>
      <c r="D168" t="s">
        <v>457</v>
      </c>
      <c r="E168" t="s">
        <v>1202</v>
      </c>
      <c r="F168" t="s">
        <v>2302</v>
      </c>
      <c r="G168" t="s">
        <v>1582</v>
      </c>
      <c r="H168" t="s">
        <v>2303</v>
      </c>
      <c r="I168" t="s">
        <v>2304</v>
      </c>
      <c r="J168" t="s">
        <v>1241</v>
      </c>
      <c r="N168" t="s">
        <v>1338</v>
      </c>
      <c r="O168" t="s">
        <v>272</v>
      </c>
      <c r="P168" t="s">
        <v>2305</v>
      </c>
      <c r="Q168">
        <v>0</v>
      </c>
      <c r="R168" t="s">
        <v>1211</v>
      </c>
      <c r="S168">
        <v>1</v>
      </c>
      <c r="T168">
        <v>1</v>
      </c>
      <c r="U168">
        <v>1</v>
      </c>
      <c r="V168">
        <v>1</v>
      </c>
      <c r="W168">
        <v>1</v>
      </c>
      <c r="X168">
        <v>1</v>
      </c>
      <c r="AH168">
        <v>0</v>
      </c>
      <c r="BP168">
        <v>0</v>
      </c>
      <c r="BQ168" s="772">
        <v>0</v>
      </c>
      <c r="BR168" t="s">
        <v>605</v>
      </c>
      <c r="BS168" t="s">
        <v>1213</v>
      </c>
      <c r="BT168">
        <v>0</v>
      </c>
      <c r="BU168" t="s">
        <v>1213</v>
      </c>
      <c r="BV168">
        <v>0</v>
      </c>
      <c r="BW168" t="s">
        <v>1213</v>
      </c>
      <c r="BX168">
        <v>0</v>
      </c>
      <c r="BY168" t="s">
        <v>1213</v>
      </c>
      <c r="BZ168" t="s">
        <v>2306</v>
      </c>
    </row>
    <row r="169" spans="1:79" x14ac:dyDescent="0.2">
      <c r="A169" t="s">
        <v>2264</v>
      </c>
      <c r="B169" t="s">
        <v>2307</v>
      </c>
      <c r="C169" t="s">
        <v>1112</v>
      </c>
      <c r="D169" t="s">
        <v>457</v>
      </c>
      <c r="E169" t="s">
        <v>1202</v>
      </c>
      <c r="F169" t="s">
        <v>2302</v>
      </c>
      <c r="G169" t="s">
        <v>1587</v>
      </c>
      <c r="H169" t="s">
        <v>2308</v>
      </c>
      <c r="I169" t="s">
        <v>2309</v>
      </c>
      <c r="J169" t="s">
        <v>1207</v>
      </c>
      <c r="K169" t="s">
        <v>1208</v>
      </c>
      <c r="N169" t="s">
        <v>1331</v>
      </c>
      <c r="O169" t="s">
        <v>264</v>
      </c>
      <c r="P169" t="s">
        <v>2310</v>
      </c>
      <c r="Q169">
        <v>0</v>
      </c>
      <c r="R169" t="s">
        <v>1251</v>
      </c>
      <c r="S169">
        <v>36</v>
      </c>
      <c r="T169">
        <v>36</v>
      </c>
      <c r="U169">
        <v>36</v>
      </c>
      <c r="V169">
        <v>36</v>
      </c>
      <c r="W169">
        <v>56</v>
      </c>
      <c r="X169">
        <v>56</v>
      </c>
      <c r="AE169" t="s">
        <v>605</v>
      </c>
      <c r="AH169">
        <v>0</v>
      </c>
      <c r="AL169" t="s">
        <v>605</v>
      </c>
      <c r="AM169" t="s">
        <v>605</v>
      </c>
      <c r="AQ169">
        <v>51</v>
      </c>
      <c r="AR169">
        <v>51</v>
      </c>
      <c r="AV169">
        <v>56</v>
      </c>
      <c r="AW169">
        <v>56</v>
      </c>
      <c r="BA169">
        <v>56</v>
      </c>
      <c r="BB169">
        <v>56</v>
      </c>
      <c r="BF169">
        <v>66</v>
      </c>
      <c r="BG169">
        <v>66</v>
      </c>
      <c r="BH169">
        <v>1.485E-2</v>
      </c>
      <c r="BL169">
        <v>5.1999999999999998E-3</v>
      </c>
      <c r="BN169">
        <v>1</v>
      </c>
      <c r="BO169" t="s">
        <v>1212</v>
      </c>
      <c r="BP169">
        <v>36</v>
      </c>
      <c r="BQ169" s="772">
        <v>36</v>
      </c>
      <c r="BR169" t="s">
        <v>605</v>
      </c>
      <c r="BS169" t="s">
        <v>1213</v>
      </c>
      <c r="BT169">
        <v>0</v>
      </c>
      <c r="BU169" t="s">
        <v>1213</v>
      </c>
      <c r="BV169">
        <v>0</v>
      </c>
      <c r="BW169" t="s">
        <v>1213</v>
      </c>
      <c r="BX169">
        <v>0</v>
      </c>
      <c r="BY169" t="s">
        <v>1213</v>
      </c>
      <c r="BZ169" t="s">
        <v>2311</v>
      </c>
    </row>
    <row r="170" spans="1:79" x14ac:dyDescent="0.2">
      <c r="A170" t="s">
        <v>2264</v>
      </c>
      <c r="B170" t="s">
        <v>2312</v>
      </c>
      <c r="C170" t="s">
        <v>1112</v>
      </c>
      <c r="D170" t="s">
        <v>457</v>
      </c>
      <c r="E170" t="s">
        <v>1202</v>
      </c>
      <c r="F170" t="s">
        <v>2313</v>
      </c>
      <c r="G170" t="s">
        <v>1603</v>
      </c>
      <c r="H170" t="s">
        <v>2314</v>
      </c>
      <c r="I170" t="s">
        <v>2315</v>
      </c>
      <c r="J170" t="s">
        <v>1207</v>
      </c>
      <c r="K170" t="s">
        <v>1208</v>
      </c>
      <c r="N170" t="s">
        <v>1209</v>
      </c>
      <c r="O170" t="s">
        <v>272</v>
      </c>
      <c r="P170" t="s">
        <v>1210</v>
      </c>
      <c r="Q170">
        <v>1</v>
      </c>
      <c r="R170" t="s">
        <v>1211</v>
      </c>
      <c r="S170">
        <v>24.5</v>
      </c>
      <c r="T170">
        <v>24.4</v>
      </c>
      <c r="U170">
        <v>24.3</v>
      </c>
      <c r="V170">
        <v>24.2</v>
      </c>
      <c r="W170">
        <v>24.1</v>
      </c>
      <c r="X170">
        <v>24</v>
      </c>
      <c r="AE170" t="s">
        <v>605</v>
      </c>
      <c r="AH170">
        <v>0</v>
      </c>
      <c r="AI170" t="s">
        <v>605</v>
      </c>
      <c r="AJ170" t="s">
        <v>605</v>
      </c>
      <c r="AK170" t="s">
        <v>605</v>
      </c>
      <c r="AL170" t="s">
        <v>605</v>
      </c>
      <c r="AM170" t="s">
        <v>605</v>
      </c>
      <c r="AN170">
        <v>27</v>
      </c>
      <c r="AO170">
        <v>27</v>
      </c>
      <c r="AP170">
        <v>27</v>
      </c>
      <c r="AQ170">
        <v>27</v>
      </c>
      <c r="AR170">
        <v>27</v>
      </c>
      <c r="AS170">
        <v>24.9</v>
      </c>
      <c r="AT170">
        <v>24.8</v>
      </c>
      <c r="AU170">
        <v>24.7</v>
      </c>
      <c r="AV170">
        <v>24.6</v>
      </c>
      <c r="AW170">
        <v>24.5</v>
      </c>
      <c r="AX170">
        <v>23.9</v>
      </c>
      <c r="AY170">
        <v>23.8</v>
      </c>
      <c r="AZ170">
        <v>23.7</v>
      </c>
      <c r="BA170">
        <v>23.6</v>
      </c>
      <c r="BB170">
        <v>23.5</v>
      </c>
      <c r="BC170">
        <v>23.4</v>
      </c>
      <c r="BD170">
        <v>23.3</v>
      </c>
      <c r="BE170">
        <v>23.2</v>
      </c>
      <c r="BF170">
        <v>23.1</v>
      </c>
      <c r="BG170">
        <v>23</v>
      </c>
      <c r="BH170">
        <v>0.2</v>
      </c>
      <c r="BL170">
        <v>5.9400000000000001E-2</v>
      </c>
      <c r="BN170">
        <v>1</v>
      </c>
      <c r="BO170" t="s">
        <v>1212</v>
      </c>
      <c r="BP170">
        <v>24.2</v>
      </c>
      <c r="BQ170" s="769">
        <v>24.17</v>
      </c>
      <c r="BR170" t="s">
        <v>605</v>
      </c>
      <c r="BS170" t="s">
        <v>1213</v>
      </c>
      <c r="BT170">
        <v>0</v>
      </c>
      <c r="BU170" t="s">
        <v>610</v>
      </c>
      <c r="BV170">
        <v>0</v>
      </c>
      <c r="BW170" t="s">
        <v>1213</v>
      </c>
      <c r="BX170">
        <v>0</v>
      </c>
      <c r="BY170" t="s">
        <v>1213</v>
      </c>
      <c r="BZ170" t="s">
        <v>2316</v>
      </c>
    </row>
    <row r="171" spans="1:79" x14ac:dyDescent="0.2">
      <c r="A171" t="s">
        <v>2264</v>
      </c>
      <c r="B171" t="s">
        <v>2317</v>
      </c>
      <c r="C171" t="s">
        <v>1112</v>
      </c>
      <c r="D171" t="s">
        <v>457</v>
      </c>
      <c r="E171" t="s">
        <v>1202</v>
      </c>
      <c r="F171" t="s">
        <v>2313</v>
      </c>
      <c r="G171" t="s">
        <v>1771</v>
      </c>
      <c r="H171" t="s">
        <v>2318</v>
      </c>
      <c r="I171" t="s">
        <v>2319</v>
      </c>
      <c r="J171" t="s">
        <v>1219</v>
      </c>
      <c r="K171" t="s">
        <v>1208</v>
      </c>
      <c r="N171" t="s">
        <v>1220</v>
      </c>
      <c r="O171" t="s">
        <v>272</v>
      </c>
      <c r="P171" t="s">
        <v>1655</v>
      </c>
      <c r="Q171">
        <v>1</v>
      </c>
      <c r="R171" t="s">
        <v>1211</v>
      </c>
      <c r="S171">
        <v>162.80000000000001</v>
      </c>
      <c r="T171">
        <v>161.19999999999999</v>
      </c>
      <c r="U171">
        <v>160</v>
      </c>
      <c r="V171">
        <v>158.80000000000001</v>
      </c>
      <c r="W171">
        <v>157.69999999999999</v>
      </c>
      <c r="X171">
        <v>156.9</v>
      </c>
      <c r="AH171">
        <v>0</v>
      </c>
      <c r="AI171" t="s">
        <v>605</v>
      </c>
      <c r="AJ171" t="s">
        <v>605</v>
      </c>
      <c r="AK171" t="s">
        <v>605</v>
      </c>
      <c r="AL171" t="s">
        <v>605</v>
      </c>
      <c r="AM171" t="s">
        <v>605</v>
      </c>
      <c r="AN171">
        <v>164.3</v>
      </c>
      <c r="AO171">
        <v>163.1</v>
      </c>
      <c r="AP171">
        <v>161.80000000000001</v>
      </c>
      <c r="AQ171">
        <v>160.69999999999999</v>
      </c>
      <c r="AR171">
        <v>159.9</v>
      </c>
      <c r="AS171">
        <v>161.4</v>
      </c>
      <c r="AT171">
        <v>160.19999999999999</v>
      </c>
      <c r="AU171">
        <v>159</v>
      </c>
      <c r="AV171">
        <v>157.9</v>
      </c>
      <c r="AW171">
        <v>157.1</v>
      </c>
      <c r="BH171">
        <v>7.0699999999999999E-2</v>
      </c>
      <c r="BN171">
        <v>1</v>
      </c>
      <c r="BO171" t="s">
        <v>1212</v>
      </c>
      <c r="BP171">
        <v>161.1</v>
      </c>
      <c r="BQ171" s="769">
        <v>160.9</v>
      </c>
      <c r="BR171" t="s">
        <v>605</v>
      </c>
      <c r="BS171" t="s">
        <v>1213</v>
      </c>
      <c r="BT171">
        <v>0</v>
      </c>
      <c r="BU171" t="s">
        <v>1213</v>
      </c>
      <c r="BV171">
        <v>0</v>
      </c>
      <c r="BW171" t="s">
        <v>1213</v>
      </c>
      <c r="BX171">
        <v>0</v>
      </c>
      <c r="BY171" t="s">
        <v>1213</v>
      </c>
      <c r="BZ171" t="s">
        <v>2320</v>
      </c>
    </row>
    <row r="172" spans="1:79" x14ac:dyDescent="0.2">
      <c r="A172" t="s">
        <v>2264</v>
      </c>
      <c r="B172" t="s">
        <v>2321</v>
      </c>
      <c r="C172" t="s">
        <v>1112</v>
      </c>
      <c r="D172" t="s">
        <v>457</v>
      </c>
      <c r="E172" t="s">
        <v>1202</v>
      </c>
      <c r="F172" t="s">
        <v>2313</v>
      </c>
      <c r="G172" t="s">
        <v>2322</v>
      </c>
      <c r="H172" t="s">
        <v>2323</v>
      </c>
      <c r="I172" t="s">
        <v>2324</v>
      </c>
      <c r="J172" t="s">
        <v>1241</v>
      </c>
      <c r="N172" t="s">
        <v>2325</v>
      </c>
      <c r="O172" t="s">
        <v>272</v>
      </c>
      <c r="P172" t="s">
        <v>2326</v>
      </c>
      <c r="Q172">
        <v>0</v>
      </c>
      <c r="R172" t="s">
        <v>1251</v>
      </c>
      <c r="S172">
        <v>6221</v>
      </c>
      <c r="T172">
        <v>8000</v>
      </c>
      <c r="U172">
        <v>8500</v>
      </c>
      <c r="V172">
        <v>9000</v>
      </c>
      <c r="W172">
        <v>9500</v>
      </c>
      <c r="X172" t="s">
        <v>2327</v>
      </c>
      <c r="AH172">
        <v>0</v>
      </c>
      <c r="BP172">
        <v>7249</v>
      </c>
      <c r="BQ172" s="772">
        <v>13314</v>
      </c>
      <c r="BR172" t="s">
        <v>605</v>
      </c>
      <c r="BS172" t="s">
        <v>1213</v>
      </c>
      <c r="BT172">
        <v>0</v>
      </c>
      <c r="BU172" t="s">
        <v>1213</v>
      </c>
      <c r="BV172">
        <v>0</v>
      </c>
      <c r="BW172" t="s">
        <v>1213</v>
      </c>
      <c r="BX172">
        <v>0</v>
      </c>
      <c r="BY172" t="s">
        <v>1213</v>
      </c>
      <c r="BZ172" t="s">
        <v>2328</v>
      </c>
    </row>
    <row r="173" spans="1:79" x14ac:dyDescent="0.2">
      <c r="A173" t="s">
        <v>2264</v>
      </c>
      <c r="B173" t="s">
        <v>2329</v>
      </c>
      <c r="C173" t="s">
        <v>1112</v>
      </c>
      <c r="D173" t="s">
        <v>457</v>
      </c>
      <c r="E173" t="s">
        <v>1202</v>
      </c>
      <c r="F173" t="s">
        <v>2313</v>
      </c>
      <c r="G173" t="s">
        <v>2330</v>
      </c>
      <c r="H173" t="s">
        <v>2331</v>
      </c>
      <c r="I173" t="s">
        <v>2332</v>
      </c>
      <c r="J173" t="s">
        <v>1241</v>
      </c>
      <c r="N173" t="s">
        <v>1386</v>
      </c>
      <c r="O173" t="s">
        <v>272</v>
      </c>
      <c r="P173" t="s">
        <v>2333</v>
      </c>
      <c r="Q173">
        <v>0</v>
      </c>
      <c r="R173" t="s">
        <v>1211</v>
      </c>
      <c r="S173">
        <v>529</v>
      </c>
      <c r="T173">
        <v>525</v>
      </c>
      <c r="U173">
        <v>525</v>
      </c>
      <c r="V173">
        <v>525</v>
      </c>
      <c r="W173">
        <v>525</v>
      </c>
      <c r="X173">
        <v>525</v>
      </c>
      <c r="AH173">
        <v>0</v>
      </c>
      <c r="BP173">
        <v>509</v>
      </c>
      <c r="BQ173" s="772">
        <v>470</v>
      </c>
      <c r="BR173" t="s">
        <v>605</v>
      </c>
      <c r="BS173" t="s">
        <v>1213</v>
      </c>
      <c r="BT173">
        <v>0</v>
      </c>
      <c r="BU173" t="s">
        <v>1213</v>
      </c>
      <c r="BV173">
        <v>0</v>
      </c>
      <c r="BW173" t="s">
        <v>1213</v>
      </c>
      <c r="BX173">
        <v>0</v>
      </c>
      <c r="BY173" t="s">
        <v>1213</v>
      </c>
      <c r="BZ173" t="s">
        <v>2334</v>
      </c>
    </row>
    <row r="174" spans="1:79" x14ac:dyDescent="0.2">
      <c r="A174" t="s">
        <v>2264</v>
      </c>
      <c r="B174" t="s">
        <v>2335</v>
      </c>
      <c r="C174" t="s">
        <v>1112</v>
      </c>
      <c r="D174" t="s">
        <v>457</v>
      </c>
      <c r="E174" t="s">
        <v>1202</v>
      </c>
      <c r="F174" t="s">
        <v>2313</v>
      </c>
      <c r="G174" t="s">
        <v>2336</v>
      </c>
      <c r="H174" t="s">
        <v>2337</v>
      </c>
      <c r="I174" t="s">
        <v>2338</v>
      </c>
      <c r="J174" t="s">
        <v>1241</v>
      </c>
      <c r="N174" t="s">
        <v>1468</v>
      </c>
      <c r="O174" t="s">
        <v>272</v>
      </c>
      <c r="P174" t="s">
        <v>2339</v>
      </c>
      <c r="Q174">
        <v>1</v>
      </c>
      <c r="R174" t="s">
        <v>1211</v>
      </c>
      <c r="S174">
        <v>0.3</v>
      </c>
      <c r="T174">
        <v>0</v>
      </c>
      <c r="U174">
        <v>0</v>
      </c>
      <c r="V174">
        <v>0</v>
      </c>
      <c r="W174">
        <v>0</v>
      </c>
      <c r="X174">
        <v>0</v>
      </c>
      <c r="AE174" t="s">
        <v>605</v>
      </c>
      <c r="AH174">
        <v>0</v>
      </c>
      <c r="BP174">
        <v>0.3</v>
      </c>
      <c r="BQ174" s="769">
        <v>0.6</v>
      </c>
      <c r="BR174" t="s">
        <v>606</v>
      </c>
      <c r="BS174" t="s">
        <v>1213</v>
      </c>
      <c r="BT174">
        <v>0</v>
      </c>
      <c r="BU174" t="s">
        <v>1213</v>
      </c>
      <c r="BV174">
        <v>0</v>
      </c>
      <c r="BW174" t="s">
        <v>1213</v>
      </c>
      <c r="BX174">
        <v>0</v>
      </c>
      <c r="BY174" t="s">
        <v>1213</v>
      </c>
      <c r="BZ174" t="s">
        <v>2340</v>
      </c>
    </row>
    <row r="175" spans="1:79" x14ac:dyDescent="0.2">
      <c r="A175" t="s">
        <v>2264</v>
      </c>
      <c r="B175" t="s">
        <v>2341</v>
      </c>
      <c r="C175" t="s">
        <v>1112</v>
      </c>
      <c r="D175" t="s">
        <v>457</v>
      </c>
      <c r="E175" t="s">
        <v>1202</v>
      </c>
      <c r="F175" t="s">
        <v>2313</v>
      </c>
      <c r="G175" t="s">
        <v>2342</v>
      </c>
      <c r="H175" t="s">
        <v>2343</v>
      </c>
      <c r="I175" t="s">
        <v>2344</v>
      </c>
      <c r="J175" t="s">
        <v>1241</v>
      </c>
      <c r="N175" t="s">
        <v>1377</v>
      </c>
      <c r="O175" t="s">
        <v>272</v>
      </c>
      <c r="P175" t="s">
        <v>2345</v>
      </c>
      <c r="Q175">
        <v>0</v>
      </c>
      <c r="R175" t="s">
        <v>1251</v>
      </c>
      <c r="S175">
        <v>0</v>
      </c>
      <c r="T175">
        <v>0</v>
      </c>
      <c r="U175">
        <v>0</v>
      </c>
      <c r="V175">
        <v>0</v>
      </c>
      <c r="W175">
        <v>0</v>
      </c>
      <c r="X175">
        <v>14</v>
      </c>
      <c r="AF175" t="s">
        <v>605</v>
      </c>
      <c r="AH175">
        <v>0</v>
      </c>
      <c r="BP175">
        <v>0</v>
      </c>
      <c r="BQ175" s="772">
        <v>0</v>
      </c>
      <c r="BR175" t="s">
        <v>605</v>
      </c>
      <c r="BS175" t="s">
        <v>1213</v>
      </c>
      <c r="BT175">
        <v>0</v>
      </c>
      <c r="BU175" t="s">
        <v>1213</v>
      </c>
      <c r="BV175">
        <v>0</v>
      </c>
      <c r="BW175" t="s">
        <v>1213</v>
      </c>
      <c r="BX175">
        <v>0</v>
      </c>
      <c r="BY175" t="s">
        <v>1213</v>
      </c>
      <c r="BZ175" t="s">
        <v>2346</v>
      </c>
    </row>
    <row r="176" spans="1:79" x14ac:dyDescent="0.2">
      <c r="A176" t="s">
        <v>2264</v>
      </c>
      <c r="B176" t="s">
        <v>2347</v>
      </c>
      <c r="C176" t="s">
        <v>1112</v>
      </c>
      <c r="D176" t="s">
        <v>1288</v>
      </c>
      <c r="E176" t="s">
        <v>1289</v>
      </c>
      <c r="F176" t="s">
        <v>2348</v>
      </c>
      <c r="G176" t="s">
        <v>1575</v>
      </c>
      <c r="H176" t="s">
        <v>2349</v>
      </c>
      <c r="I176" t="s">
        <v>2350</v>
      </c>
      <c r="J176" t="s">
        <v>1241</v>
      </c>
      <c r="N176" t="s">
        <v>1303</v>
      </c>
      <c r="O176" t="s">
        <v>272</v>
      </c>
      <c r="P176" t="s">
        <v>2351</v>
      </c>
      <c r="Q176">
        <v>0</v>
      </c>
      <c r="R176" t="s">
        <v>1251</v>
      </c>
      <c r="S176">
        <v>2000</v>
      </c>
      <c r="T176">
        <v>5000</v>
      </c>
      <c r="U176">
        <v>5000</v>
      </c>
      <c r="V176">
        <v>5000</v>
      </c>
      <c r="W176">
        <v>5000</v>
      </c>
      <c r="X176">
        <v>5000</v>
      </c>
      <c r="AH176">
        <v>0</v>
      </c>
      <c r="BP176">
        <v>2851</v>
      </c>
      <c r="BQ176" s="772">
        <v>5686</v>
      </c>
      <c r="BR176" t="s">
        <v>605</v>
      </c>
      <c r="BS176" t="s">
        <v>1213</v>
      </c>
      <c r="BT176">
        <v>0</v>
      </c>
      <c r="BU176" t="s">
        <v>1213</v>
      </c>
      <c r="BV176">
        <v>0</v>
      </c>
      <c r="BW176" t="s">
        <v>1213</v>
      </c>
      <c r="BX176">
        <v>0</v>
      </c>
      <c r="BY176" t="s">
        <v>1213</v>
      </c>
      <c r="BZ176" t="s">
        <v>2352</v>
      </c>
    </row>
    <row r="177" spans="1:79" x14ac:dyDescent="0.2">
      <c r="A177" t="s">
        <v>2264</v>
      </c>
      <c r="B177" t="s">
        <v>2353</v>
      </c>
      <c r="C177" t="s">
        <v>1112</v>
      </c>
      <c r="D177" t="s">
        <v>1288</v>
      </c>
      <c r="E177" t="s">
        <v>1289</v>
      </c>
      <c r="F177" t="s">
        <v>2348</v>
      </c>
      <c r="G177" t="s">
        <v>1731</v>
      </c>
      <c r="H177" t="s">
        <v>2354</v>
      </c>
      <c r="I177" t="s">
        <v>2355</v>
      </c>
      <c r="J177" t="s">
        <v>1241</v>
      </c>
      <c r="N177" t="s">
        <v>1303</v>
      </c>
      <c r="O177" t="s">
        <v>264</v>
      </c>
      <c r="P177" t="s">
        <v>2356</v>
      </c>
      <c r="Q177">
        <v>2</v>
      </c>
      <c r="R177" t="s">
        <v>1211</v>
      </c>
      <c r="S177">
        <v>0.83</v>
      </c>
      <c r="T177" t="s">
        <v>2357</v>
      </c>
      <c r="U177" t="s">
        <v>2357</v>
      </c>
      <c r="V177" t="s">
        <v>2357</v>
      </c>
      <c r="W177" t="s">
        <v>2357</v>
      </c>
      <c r="X177" t="s">
        <v>2357</v>
      </c>
      <c r="AH177">
        <v>0</v>
      </c>
      <c r="BP177">
        <v>0.9</v>
      </c>
      <c r="BQ177" s="773">
        <v>0.75</v>
      </c>
      <c r="BR177" t="s">
        <v>605</v>
      </c>
      <c r="BS177" t="s">
        <v>1213</v>
      </c>
      <c r="BT177">
        <v>0</v>
      </c>
      <c r="BU177" t="s">
        <v>1213</v>
      </c>
      <c r="BV177">
        <v>0</v>
      </c>
      <c r="BW177" t="s">
        <v>1213</v>
      </c>
      <c r="BX177">
        <v>0</v>
      </c>
      <c r="BY177" t="s">
        <v>1213</v>
      </c>
      <c r="BZ177" t="s">
        <v>2358</v>
      </c>
    </row>
    <row r="178" spans="1:79" x14ac:dyDescent="0.2">
      <c r="A178" t="s">
        <v>2264</v>
      </c>
      <c r="B178" t="s">
        <v>2359</v>
      </c>
      <c r="C178" t="s">
        <v>1112</v>
      </c>
      <c r="D178" t="s">
        <v>1288</v>
      </c>
      <c r="E178" t="s">
        <v>1289</v>
      </c>
      <c r="F178" t="s">
        <v>2348</v>
      </c>
      <c r="G178" t="s">
        <v>1737</v>
      </c>
      <c r="H178" t="s">
        <v>2360</v>
      </c>
      <c r="I178" t="s">
        <v>2361</v>
      </c>
      <c r="J178" t="s">
        <v>1241</v>
      </c>
      <c r="N178" t="s">
        <v>1303</v>
      </c>
      <c r="O178" t="s">
        <v>264</v>
      </c>
      <c r="P178" t="s">
        <v>1401</v>
      </c>
      <c r="Q178">
        <v>0</v>
      </c>
      <c r="R178" t="s">
        <v>1211</v>
      </c>
      <c r="S178">
        <v>17</v>
      </c>
      <c r="T178" t="s">
        <v>2362</v>
      </c>
      <c r="U178" t="s">
        <v>2362</v>
      </c>
      <c r="V178" t="s">
        <v>2362</v>
      </c>
      <c r="W178" t="s">
        <v>2362</v>
      </c>
      <c r="X178" t="s">
        <v>2362</v>
      </c>
      <c r="AH178">
        <v>0</v>
      </c>
      <c r="BP178">
        <v>9</v>
      </c>
      <c r="BQ178" s="772">
        <v>9</v>
      </c>
      <c r="BR178" t="s">
        <v>605</v>
      </c>
      <c r="BS178" t="s">
        <v>1213</v>
      </c>
      <c r="BT178">
        <v>0</v>
      </c>
      <c r="BU178" t="s">
        <v>1213</v>
      </c>
      <c r="BV178">
        <v>0</v>
      </c>
      <c r="BW178" t="s">
        <v>1213</v>
      </c>
      <c r="BX178">
        <v>0</v>
      </c>
      <c r="BY178" t="s">
        <v>1213</v>
      </c>
      <c r="BZ178" t="s">
        <v>2363</v>
      </c>
      <c r="CA178" t="s">
        <v>2364</v>
      </c>
    </row>
    <row r="179" spans="1:79" x14ac:dyDescent="0.2">
      <c r="A179" t="s">
        <v>2264</v>
      </c>
      <c r="B179" t="s">
        <v>2365</v>
      </c>
      <c r="C179" t="s">
        <v>1112</v>
      </c>
      <c r="D179" t="s">
        <v>1288</v>
      </c>
      <c r="E179" t="s">
        <v>1289</v>
      </c>
      <c r="F179" t="s">
        <v>2366</v>
      </c>
      <c r="G179" t="s">
        <v>1595</v>
      </c>
      <c r="H179" t="s">
        <v>2367</v>
      </c>
      <c r="I179" t="s">
        <v>2368</v>
      </c>
      <c r="J179" t="s">
        <v>1241</v>
      </c>
      <c r="N179" t="s">
        <v>1400</v>
      </c>
      <c r="O179" t="s">
        <v>264</v>
      </c>
      <c r="P179" t="s">
        <v>1401</v>
      </c>
      <c r="Q179">
        <v>1</v>
      </c>
      <c r="R179" t="s">
        <v>1251</v>
      </c>
      <c r="S179">
        <v>88</v>
      </c>
      <c r="T179">
        <v>89</v>
      </c>
      <c r="U179">
        <v>89.5</v>
      </c>
      <c r="V179">
        <v>90</v>
      </c>
      <c r="W179">
        <v>90</v>
      </c>
      <c r="X179">
        <v>91</v>
      </c>
      <c r="AH179">
        <v>0</v>
      </c>
      <c r="BP179">
        <v>89</v>
      </c>
      <c r="BQ179" s="769">
        <v>91.5</v>
      </c>
      <c r="BR179" t="s">
        <v>605</v>
      </c>
      <c r="BS179" t="s">
        <v>1213</v>
      </c>
      <c r="BT179">
        <v>0</v>
      </c>
      <c r="BU179" t="s">
        <v>1213</v>
      </c>
      <c r="BV179">
        <v>0</v>
      </c>
      <c r="BW179" t="s">
        <v>1213</v>
      </c>
      <c r="BX179">
        <v>0</v>
      </c>
      <c r="BY179" t="s">
        <v>1213</v>
      </c>
      <c r="BZ179" t="s">
        <v>2369</v>
      </c>
    </row>
    <row r="180" spans="1:79" x14ac:dyDescent="0.2">
      <c r="A180" t="s">
        <v>2264</v>
      </c>
      <c r="B180" t="s">
        <v>2370</v>
      </c>
      <c r="C180" t="s">
        <v>1112</v>
      </c>
      <c r="D180" t="s">
        <v>1288</v>
      </c>
      <c r="E180" t="s">
        <v>1289</v>
      </c>
      <c r="F180" t="s">
        <v>2366</v>
      </c>
      <c r="G180" t="s">
        <v>2141</v>
      </c>
      <c r="H180" t="s">
        <v>2371</v>
      </c>
      <c r="I180" t="s">
        <v>2372</v>
      </c>
      <c r="J180" t="s">
        <v>1207</v>
      </c>
      <c r="K180" t="s">
        <v>1208</v>
      </c>
      <c r="M180" t="s">
        <v>606</v>
      </c>
      <c r="N180" t="s">
        <v>1294</v>
      </c>
      <c r="O180" t="s">
        <v>665</v>
      </c>
      <c r="P180" t="s">
        <v>1295</v>
      </c>
      <c r="Q180">
        <v>1</v>
      </c>
      <c r="R180" t="s">
        <v>1251</v>
      </c>
      <c r="S180">
        <v>85</v>
      </c>
      <c r="T180">
        <v>85.6</v>
      </c>
      <c r="U180">
        <v>86.2</v>
      </c>
      <c r="V180">
        <v>86.8</v>
      </c>
      <c r="W180">
        <v>87.4</v>
      </c>
      <c r="X180">
        <v>88</v>
      </c>
      <c r="AH180">
        <v>0</v>
      </c>
      <c r="AI180" t="s">
        <v>605</v>
      </c>
      <c r="AJ180" t="s">
        <v>605</v>
      </c>
      <c r="AK180" t="s">
        <v>605</v>
      </c>
      <c r="AL180" t="s">
        <v>605</v>
      </c>
      <c r="AM180" t="s">
        <v>605</v>
      </c>
      <c r="AN180" t="s">
        <v>1296</v>
      </c>
      <c r="AO180" t="s">
        <v>1296</v>
      </c>
      <c r="AP180" t="s">
        <v>1296</v>
      </c>
      <c r="AQ180" t="s">
        <v>1296</v>
      </c>
      <c r="AR180" t="s">
        <v>1296</v>
      </c>
      <c r="AS180" t="s">
        <v>1296</v>
      </c>
      <c r="AT180" t="s">
        <v>1296</v>
      </c>
      <c r="AU180" t="s">
        <v>1296</v>
      </c>
      <c r="AV180" t="s">
        <v>1296</v>
      </c>
      <c r="AW180" t="s">
        <v>1296</v>
      </c>
      <c r="AX180" t="s">
        <v>1296</v>
      </c>
      <c r="AY180" t="s">
        <v>1296</v>
      </c>
      <c r="AZ180" t="s">
        <v>1296</v>
      </c>
      <c r="BA180" t="s">
        <v>1296</v>
      </c>
      <c r="BB180" t="s">
        <v>1296</v>
      </c>
      <c r="BC180" t="s">
        <v>1296</v>
      </c>
      <c r="BD180" t="s">
        <v>1296</v>
      </c>
      <c r="BE180" t="s">
        <v>1296</v>
      </c>
      <c r="BF180" t="s">
        <v>1296</v>
      </c>
      <c r="BG180" t="s">
        <v>1296</v>
      </c>
      <c r="BH180" t="s">
        <v>1296</v>
      </c>
      <c r="BL180" t="s">
        <v>1296</v>
      </c>
      <c r="BN180">
        <v>1</v>
      </c>
      <c r="BO180" t="s">
        <v>1212</v>
      </c>
      <c r="BP180">
        <v>80.7</v>
      </c>
      <c r="BQ180" s="769">
        <v>80.8</v>
      </c>
      <c r="BR180" t="s">
        <v>606</v>
      </c>
      <c r="BS180" t="s">
        <v>1213</v>
      </c>
      <c r="BT180">
        <v>0</v>
      </c>
      <c r="BU180" t="s">
        <v>1213</v>
      </c>
      <c r="BV180">
        <v>0</v>
      </c>
      <c r="BW180" t="s">
        <v>1213</v>
      </c>
      <c r="BX180">
        <v>0</v>
      </c>
      <c r="BY180" t="s">
        <v>1213</v>
      </c>
      <c r="BZ180" t="s">
        <v>2373</v>
      </c>
      <c r="CA180" t="s">
        <v>1298</v>
      </c>
    </row>
    <row r="181" spans="1:79" x14ac:dyDescent="0.2">
      <c r="A181" t="s">
        <v>2264</v>
      </c>
      <c r="B181" t="s">
        <v>2374</v>
      </c>
      <c r="C181" t="s">
        <v>1112</v>
      </c>
      <c r="D181" t="s">
        <v>1288</v>
      </c>
      <c r="E181" t="s">
        <v>1289</v>
      </c>
      <c r="F181" t="s">
        <v>2366</v>
      </c>
      <c r="G181" t="s">
        <v>2151</v>
      </c>
      <c r="H181" t="s">
        <v>2375</v>
      </c>
      <c r="I181" t="s">
        <v>2376</v>
      </c>
      <c r="J181" t="s">
        <v>1241</v>
      </c>
      <c r="N181" t="s">
        <v>1400</v>
      </c>
      <c r="O181" t="s">
        <v>272</v>
      </c>
      <c r="P181" t="s">
        <v>2377</v>
      </c>
      <c r="Q181">
        <v>1</v>
      </c>
      <c r="R181" t="s">
        <v>1211</v>
      </c>
      <c r="S181">
        <v>7.6</v>
      </c>
      <c r="T181">
        <v>7.4</v>
      </c>
      <c r="U181">
        <v>7.2</v>
      </c>
      <c r="V181">
        <v>7</v>
      </c>
      <c r="W181">
        <v>6.8</v>
      </c>
      <c r="X181">
        <v>6.6</v>
      </c>
      <c r="AH181">
        <v>0</v>
      </c>
      <c r="BP181">
        <v>8.1</v>
      </c>
      <c r="BQ181" s="769">
        <v>10</v>
      </c>
      <c r="BR181" t="s">
        <v>606</v>
      </c>
      <c r="BS181" t="s">
        <v>1213</v>
      </c>
      <c r="BT181">
        <v>0</v>
      </c>
      <c r="BU181" t="s">
        <v>1213</v>
      </c>
      <c r="BV181">
        <v>0</v>
      </c>
      <c r="BW181" t="s">
        <v>1213</v>
      </c>
      <c r="BX181">
        <v>0</v>
      </c>
      <c r="BY181" t="s">
        <v>1213</v>
      </c>
      <c r="BZ181" t="s">
        <v>2378</v>
      </c>
    </row>
    <row r="182" spans="1:79" x14ac:dyDescent="0.2">
      <c r="A182" t="s">
        <v>2379</v>
      </c>
      <c r="B182" t="s">
        <v>2380</v>
      </c>
      <c r="C182" t="s">
        <v>1112</v>
      </c>
      <c r="D182" t="s">
        <v>457</v>
      </c>
      <c r="E182" t="s">
        <v>1202</v>
      </c>
      <c r="F182" t="s">
        <v>2381</v>
      </c>
      <c r="G182" t="s">
        <v>1554</v>
      </c>
      <c r="H182" t="s">
        <v>2382</v>
      </c>
      <c r="I182" t="s">
        <v>2383</v>
      </c>
      <c r="J182" t="s">
        <v>1207</v>
      </c>
      <c r="K182" t="s">
        <v>1208</v>
      </c>
      <c r="N182" t="s">
        <v>1400</v>
      </c>
      <c r="O182" t="s">
        <v>665</v>
      </c>
      <c r="P182" t="s">
        <v>2384</v>
      </c>
      <c r="Q182">
        <v>1</v>
      </c>
      <c r="R182" t="s">
        <v>1251</v>
      </c>
      <c r="S182">
        <v>4.5999999999999996</v>
      </c>
      <c r="T182">
        <v>4.5999999999999996</v>
      </c>
      <c r="U182">
        <v>4.5999999999999996</v>
      </c>
      <c r="V182">
        <v>4.5999999999999996</v>
      </c>
      <c r="W182">
        <v>4.5999999999999996</v>
      </c>
      <c r="X182">
        <v>4.5999999999999996</v>
      </c>
      <c r="AH182">
        <v>0</v>
      </c>
      <c r="AJ182" t="s">
        <v>605</v>
      </c>
      <c r="AK182" t="s">
        <v>605</v>
      </c>
      <c r="AL182" t="s">
        <v>605</v>
      </c>
      <c r="AM182" t="s">
        <v>605</v>
      </c>
      <c r="AO182">
        <v>3.6</v>
      </c>
      <c r="AP182">
        <v>3.6</v>
      </c>
      <c r="AQ182">
        <v>3.6</v>
      </c>
      <c r="AR182">
        <v>3.6</v>
      </c>
      <c r="AT182">
        <v>4.5</v>
      </c>
      <c r="AU182">
        <v>4.5</v>
      </c>
      <c r="AV182">
        <v>4.5</v>
      </c>
      <c r="AW182">
        <v>4.5</v>
      </c>
      <c r="AY182">
        <v>4.7</v>
      </c>
      <c r="AZ182">
        <v>4.7</v>
      </c>
      <c r="BA182">
        <v>4.7</v>
      </c>
      <c r="BB182">
        <v>4.7</v>
      </c>
      <c r="BD182">
        <v>5</v>
      </c>
      <c r="BE182">
        <v>5</v>
      </c>
      <c r="BF182">
        <v>5</v>
      </c>
      <c r="BG182">
        <v>5</v>
      </c>
      <c r="BH182">
        <v>1.6E-2</v>
      </c>
      <c r="BL182">
        <v>1.6E-2</v>
      </c>
      <c r="BN182">
        <v>10</v>
      </c>
      <c r="BO182" t="s">
        <v>2385</v>
      </c>
      <c r="BP182" t="s">
        <v>1213</v>
      </c>
      <c r="BQ182" s="769">
        <v>4.4000000000000004</v>
      </c>
      <c r="BR182" t="s">
        <v>606</v>
      </c>
      <c r="BS182" t="s">
        <v>1213</v>
      </c>
      <c r="BT182">
        <v>0</v>
      </c>
      <c r="BU182" t="s">
        <v>1213</v>
      </c>
      <c r="BV182">
        <v>0</v>
      </c>
      <c r="BW182" t="s">
        <v>1213</v>
      </c>
      <c r="BX182">
        <v>0</v>
      </c>
      <c r="BY182" t="s">
        <v>1213</v>
      </c>
      <c r="BZ182" t="s">
        <v>2386</v>
      </c>
    </row>
    <row r="183" spans="1:79" x14ac:dyDescent="0.2">
      <c r="A183" t="s">
        <v>2379</v>
      </c>
      <c r="B183" t="s">
        <v>2387</v>
      </c>
      <c r="C183" t="s">
        <v>1112</v>
      </c>
      <c r="D183" t="s">
        <v>457</v>
      </c>
      <c r="E183" t="s">
        <v>1202</v>
      </c>
      <c r="F183" t="s">
        <v>2388</v>
      </c>
      <c r="G183" t="s">
        <v>1575</v>
      </c>
      <c r="H183" t="s">
        <v>2389</v>
      </c>
      <c r="I183" t="s">
        <v>2390</v>
      </c>
      <c r="J183" t="s">
        <v>1207</v>
      </c>
      <c r="K183" t="s">
        <v>1208</v>
      </c>
      <c r="N183" t="s">
        <v>1400</v>
      </c>
      <c r="O183" t="s">
        <v>665</v>
      </c>
      <c r="P183" t="s">
        <v>2384</v>
      </c>
      <c r="Q183">
        <v>1</v>
      </c>
      <c r="R183" t="s">
        <v>1251</v>
      </c>
      <c r="S183">
        <v>4.3</v>
      </c>
      <c r="T183">
        <v>4.3</v>
      </c>
      <c r="U183">
        <v>4.3</v>
      </c>
      <c r="V183">
        <v>4.3</v>
      </c>
      <c r="W183">
        <v>4.3</v>
      </c>
      <c r="X183">
        <v>4.3</v>
      </c>
      <c r="AH183">
        <v>0</v>
      </c>
      <c r="AJ183" t="s">
        <v>605</v>
      </c>
      <c r="AK183" t="s">
        <v>605</v>
      </c>
      <c r="AL183" t="s">
        <v>605</v>
      </c>
      <c r="AM183" t="s">
        <v>605</v>
      </c>
      <c r="AO183">
        <v>3.3</v>
      </c>
      <c r="AP183">
        <v>3.3</v>
      </c>
      <c r="AQ183">
        <v>3.3</v>
      </c>
      <c r="AR183">
        <v>3.3</v>
      </c>
      <c r="AT183">
        <v>4.2</v>
      </c>
      <c r="AU183">
        <v>4.2</v>
      </c>
      <c r="AV183">
        <v>4.2</v>
      </c>
      <c r="AW183">
        <v>4.2</v>
      </c>
      <c r="AY183">
        <v>4.4000000000000004</v>
      </c>
      <c r="AZ183">
        <v>4.4000000000000004</v>
      </c>
      <c r="BA183">
        <v>4.4000000000000004</v>
      </c>
      <c r="BB183">
        <v>4.4000000000000004</v>
      </c>
      <c r="BD183">
        <v>5</v>
      </c>
      <c r="BE183">
        <v>5</v>
      </c>
      <c r="BF183">
        <v>5</v>
      </c>
      <c r="BG183">
        <v>5</v>
      </c>
      <c r="BH183">
        <v>3.1E-2</v>
      </c>
      <c r="BL183">
        <v>3.1E-2</v>
      </c>
      <c r="BN183">
        <v>10</v>
      </c>
      <c r="BO183" t="s">
        <v>2385</v>
      </c>
      <c r="BP183" t="s">
        <v>1213</v>
      </c>
      <c r="BQ183" s="769">
        <v>4.0999999999999996</v>
      </c>
      <c r="BR183" t="s">
        <v>606</v>
      </c>
      <c r="BS183" t="s">
        <v>1213</v>
      </c>
      <c r="BT183">
        <v>0</v>
      </c>
      <c r="BU183" t="s">
        <v>1213</v>
      </c>
      <c r="BV183">
        <v>0</v>
      </c>
      <c r="BW183" t="s">
        <v>1213</v>
      </c>
      <c r="BX183">
        <v>0</v>
      </c>
      <c r="BY183" t="s">
        <v>1213</v>
      </c>
      <c r="BZ183" t="s">
        <v>2391</v>
      </c>
    </row>
    <row r="184" spans="1:79" x14ac:dyDescent="0.2">
      <c r="A184" t="s">
        <v>2379</v>
      </c>
      <c r="B184" t="s">
        <v>2392</v>
      </c>
      <c r="C184" t="s">
        <v>1112</v>
      </c>
      <c r="D184" t="s">
        <v>457</v>
      </c>
      <c r="E184" t="s">
        <v>1202</v>
      </c>
      <c r="F184" t="s">
        <v>2393</v>
      </c>
      <c r="G184" t="s">
        <v>1582</v>
      </c>
      <c r="H184" t="s">
        <v>2394</v>
      </c>
      <c r="I184" t="s">
        <v>2395</v>
      </c>
      <c r="J184" t="s">
        <v>1207</v>
      </c>
      <c r="K184" t="s">
        <v>1208</v>
      </c>
      <c r="N184" t="s">
        <v>1400</v>
      </c>
      <c r="O184" t="s">
        <v>665</v>
      </c>
      <c r="P184" t="s">
        <v>2384</v>
      </c>
      <c r="Q184">
        <v>1</v>
      </c>
      <c r="R184" t="s">
        <v>1251</v>
      </c>
      <c r="S184">
        <v>3.6</v>
      </c>
      <c r="T184">
        <v>4</v>
      </c>
      <c r="U184">
        <v>4</v>
      </c>
      <c r="V184">
        <v>4</v>
      </c>
      <c r="W184">
        <v>4</v>
      </c>
      <c r="X184">
        <v>4</v>
      </c>
      <c r="AH184">
        <v>0</v>
      </c>
      <c r="AJ184" t="s">
        <v>605</v>
      </c>
      <c r="AK184" t="s">
        <v>605</v>
      </c>
      <c r="AL184" t="s">
        <v>605</v>
      </c>
      <c r="AM184" t="s">
        <v>605</v>
      </c>
      <c r="AO184">
        <v>3</v>
      </c>
      <c r="AP184">
        <v>3</v>
      </c>
      <c r="AQ184">
        <v>3</v>
      </c>
      <c r="AR184">
        <v>3</v>
      </c>
      <c r="AT184">
        <v>3.9</v>
      </c>
      <c r="AU184">
        <v>3.9</v>
      </c>
      <c r="AV184">
        <v>3.9</v>
      </c>
      <c r="AW184">
        <v>3.9</v>
      </c>
      <c r="AY184">
        <v>4.0999999999999996</v>
      </c>
      <c r="AZ184">
        <v>4.0999999999999996</v>
      </c>
      <c r="BA184">
        <v>4.0999999999999996</v>
      </c>
      <c r="BB184">
        <v>4.0999999999999996</v>
      </c>
      <c r="BD184">
        <v>5</v>
      </c>
      <c r="BE184">
        <v>5</v>
      </c>
      <c r="BF184">
        <v>5</v>
      </c>
      <c r="BG184">
        <v>5</v>
      </c>
      <c r="BH184">
        <v>3.6999999999999998E-2</v>
      </c>
      <c r="BL184">
        <v>3.6999999999999998E-2</v>
      </c>
      <c r="BN184">
        <v>10</v>
      </c>
      <c r="BO184" t="s">
        <v>2385</v>
      </c>
      <c r="BP184" t="s">
        <v>1213</v>
      </c>
      <c r="BQ184" s="769">
        <v>3.4</v>
      </c>
      <c r="BR184" t="s">
        <v>606</v>
      </c>
      <c r="BS184" t="s">
        <v>1213</v>
      </c>
      <c r="BT184">
        <v>0</v>
      </c>
      <c r="BU184" t="s">
        <v>1213</v>
      </c>
      <c r="BV184">
        <v>0</v>
      </c>
      <c r="BW184" t="s">
        <v>1213</v>
      </c>
      <c r="BX184">
        <v>0</v>
      </c>
      <c r="BY184" t="s">
        <v>1213</v>
      </c>
      <c r="BZ184" t="s">
        <v>2396</v>
      </c>
    </row>
    <row r="185" spans="1:79" x14ac:dyDescent="0.2">
      <c r="A185" t="s">
        <v>2379</v>
      </c>
      <c r="B185" t="s">
        <v>2397</v>
      </c>
      <c r="C185" t="s">
        <v>1112</v>
      </c>
      <c r="D185" t="s">
        <v>457</v>
      </c>
      <c r="E185" t="s">
        <v>1202</v>
      </c>
      <c r="F185" t="s">
        <v>2393</v>
      </c>
      <c r="G185" t="s">
        <v>1587</v>
      </c>
      <c r="H185" t="s">
        <v>2398</v>
      </c>
      <c r="I185" t="s">
        <v>2399</v>
      </c>
      <c r="J185" t="s">
        <v>1207</v>
      </c>
      <c r="K185" t="s">
        <v>1208</v>
      </c>
      <c r="N185" t="s">
        <v>1209</v>
      </c>
      <c r="O185" t="s">
        <v>272</v>
      </c>
      <c r="P185" t="s">
        <v>1210</v>
      </c>
      <c r="Q185">
        <v>1</v>
      </c>
      <c r="R185" t="s">
        <v>1211</v>
      </c>
      <c r="S185">
        <v>93</v>
      </c>
      <c r="T185">
        <v>91.8</v>
      </c>
      <c r="U185">
        <v>90.9</v>
      </c>
      <c r="V185">
        <v>90</v>
      </c>
      <c r="W185">
        <v>89.1</v>
      </c>
      <c r="X185">
        <v>88.1</v>
      </c>
      <c r="AE185" t="s">
        <v>605</v>
      </c>
      <c r="AH185">
        <v>0</v>
      </c>
      <c r="AI185" t="s">
        <v>605</v>
      </c>
      <c r="AJ185" t="s">
        <v>605</v>
      </c>
      <c r="AK185" t="s">
        <v>605</v>
      </c>
      <c r="AL185" t="s">
        <v>605</v>
      </c>
      <c r="AM185" t="s">
        <v>605</v>
      </c>
      <c r="AN185">
        <v>101</v>
      </c>
      <c r="AO185">
        <v>100</v>
      </c>
      <c r="AP185">
        <v>99</v>
      </c>
      <c r="AQ185">
        <v>98</v>
      </c>
      <c r="AR185">
        <v>96.9</v>
      </c>
      <c r="AS185">
        <v>92.8</v>
      </c>
      <c r="AT185">
        <v>91.9</v>
      </c>
      <c r="AU185">
        <v>91</v>
      </c>
      <c r="AV185">
        <v>90.1</v>
      </c>
      <c r="AW185">
        <v>89.1</v>
      </c>
      <c r="AX185">
        <v>90.8</v>
      </c>
      <c r="AY185">
        <v>89.9</v>
      </c>
      <c r="AZ185">
        <v>89</v>
      </c>
      <c r="BA185">
        <v>88.1</v>
      </c>
      <c r="BB185">
        <v>87.1</v>
      </c>
      <c r="BC185">
        <v>85.8</v>
      </c>
      <c r="BD185">
        <v>84.9</v>
      </c>
      <c r="BE185">
        <v>84</v>
      </c>
      <c r="BF185">
        <v>83.1</v>
      </c>
      <c r="BG185">
        <v>82.1</v>
      </c>
      <c r="BH185">
        <v>0.315</v>
      </c>
      <c r="BL185">
        <v>0.315</v>
      </c>
      <c r="BN185">
        <v>1</v>
      </c>
      <c r="BO185" t="s">
        <v>1212</v>
      </c>
      <c r="BP185">
        <v>92.45</v>
      </c>
      <c r="BQ185" s="769">
        <v>88.11</v>
      </c>
      <c r="BR185" t="s">
        <v>605</v>
      </c>
      <c r="BS185" t="s">
        <v>1213</v>
      </c>
      <c r="BT185">
        <v>0</v>
      </c>
      <c r="BU185" t="s">
        <v>611</v>
      </c>
      <c r="BV185">
        <v>0.84626632607813057</v>
      </c>
      <c r="BW185" t="s">
        <v>611</v>
      </c>
      <c r="BX185">
        <v>0.84626632607813057</v>
      </c>
      <c r="BY185" t="s">
        <v>1213</v>
      </c>
      <c r="BZ185" t="s">
        <v>2400</v>
      </c>
    </row>
    <row r="186" spans="1:79" x14ac:dyDescent="0.2">
      <c r="A186" t="s">
        <v>2379</v>
      </c>
      <c r="B186" t="s">
        <v>2401</v>
      </c>
      <c r="C186" t="s">
        <v>1112</v>
      </c>
      <c r="D186" t="s">
        <v>457</v>
      </c>
      <c r="E186" t="s">
        <v>1202</v>
      </c>
      <c r="F186" t="s">
        <v>2402</v>
      </c>
      <c r="G186" t="s">
        <v>1595</v>
      </c>
      <c r="H186" t="s">
        <v>2403</v>
      </c>
      <c r="I186" t="s">
        <v>2404</v>
      </c>
      <c r="J186" t="s">
        <v>1207</v>
      </c>
      <c r="K186" t="s">
        <v>1208</v>
      </c>
      <c r="N186" t="s">
        <v>1400</v>
      </c>
      <c r="O186" t="s">
        <v>665</v>
      </c>
      <c r="P186" t="s">
        <v>2384</v>
      </c>
      <c r="Q186">
        <v>1</v>
      </c>
      <c r="R186" t="s">
        <v>1251</v>
      </c>
      <c r="S186">
        <v>4.5</v>
      </c>
      <c r="T186">
        <v>4.5</v>
      </c>
      <c r="U186">
        <v>4.5</v>
      </c>
      <c r="V186">
        <v>4.5</v>
      </c>
      <c r="W186">
        <v>4.5</v>
      </c>
      <c r="X186">
        <v>4.5</v>
      </c>
      <c r="AH186">
        <v>0</v>
      </c>
      <c r="AJ186" t="s">
        <v>605</v>
      </c>
      <c r="AK186" t="s">
        <v>605</v>
      </c>
      <c r="AL186" t="s">
        <v>605</v>
      </c>
      <c r="AM186" t="s">
        <v>605</v>
      </c>
      <c r="AO186">
        <v>3.5</v>
      </c>
      <c r="AP186">
        <v>3.5</v>
      </c>
      <c r="AQ186">
        <v>3.5</v>
      </c>
      <c r="AR186">
        <v>3.5</v>
      </c>
      <c r="AT186">
        <v>4.4000000000000004</v>
      </c>
      <c r="AU186">
        <v>4.4000000000000004</v>
      </c>
      <c r="AV186">
        <v>4.4000000000000004</v>
      </c>
      <c r="AW186">
        <v>4.4000000000000004</v>
      </c>
      <c r="AY186">
        <v>4.5999999999999996</v>
      </c>
      <c r="AZ186">
        <v>4.5999999999999996</v>
      </c>
      <c r="BA186">
        <v>4.5999999999999996</v>
      </c>
      <c r="BB186">
        <v>4.5999999999999996</v>
      </c>
      <c r="BD186">
        <v>5</v>
      </c>
      <c r="BE186">
        <v>5</v>
      </c>
      <c r="BF186">
        <v>5</v>
      </c>
      <c r="BG186">
        <v>5</v>
      </c>
      <c r="BH186">
        <v>8.0000000000000002E-3</v>
      </c>
      <c r="BL186">
        <v>8.0000000000000002E-3</v>
      </c>
      <c r="BN186">
        <v>10</v>
      </c>
      <c r="BO186" t="s">
        <v>2385</v>
      </c>
      <c r="BP186" t="s">
        <v>1213</v>
      </c>
      <c r="BQ186" s="769">
        <v>4.2</v>
      </c>
      <c r="BR186" t="s">
        <v>606</v>
      </c>
      <c r="BS186" t="s">
        <v>1213</v>
      </c>
      <c r="BT186">
        <v>0</v>
      </c>
      <c r="BU186" t="s">
        <v>1213</v>
      </c>
      <c r="BV186">
        <v>0</v>
      </c>
      <c r="BW186" t="s">
        <v>1213</v>
      </c>
      <c r="BX186">
        <v>0</v>
      </c>
      <c r="BY186" t="s">
        <v>1213</v>
      </c>
      <c r="BZ186" t="s">
        <v>2405</v>
      </c>
    </row>
    <row r="187" spans="1:79" x14ac:dyDescent="0.2">
      <c r="A187" t="s">
        <v>2379</v>
      </c>
      <c r="B187" t="s">
        <v>2406</v>
      </c>
      <c r="C187" t="s">
        <v>1112</v>
      </c>
      <c r="D187" t="s">
        <v>457</v>
      </c>
      <c r="E187" t="s">
        <v>1202</v>
      </c>
      <c r="F187" t="s">
        <v>2402</v>
      </c>
      <c r="G187" t="s">
        <v>2141</v>
      </c>
      <c r="H187" t="s">
        <v>2407</v>
      </c>
      <c r="I187" t="s">
        <v>2408</v>
      </c>
      <c r="J187" t="s">
        <v>1207</v>
      </c>
      <c r="K187" t="s">
        <v>1208</v>
      </c>
      <c r="M187" t="s">
        <v>606</v>
      </c>
      <c r="N187" t="s">
        <v>1294</v>
      </c>
      <c r="O187" t="s">
        <v>665</v>
      </c>
      <c r="P187" t="s">
        <v>1295</v>
      </c>
      <c r="Q187">
        <v>1</v>
      </c>
      <c r="R187" t="s">
        <v>1251</v>
      </c>
      <c r="S187">
        <v>78</v>
      </c>
      <c r="X187" t="s">
        <v>1950</v>
      </c>
      <c r="AH187">
        <v>0</v>
      </c>
      <c r="AI187" t="s">
        <v>605</v>
      </c>
      <c r="AJ187" t="s">
        <v>605</v>
      </c>
      <c r="AK187" t="s">
        <v>605</v>
      </c>
      <c r="AL187" t="s">
        <v>605</v>
      </c>
      <c r="AM187" t="s">
        <v>605</v>
      </c>
      <c r="AN187" t="s">
        <v>1296</v>
      </c>
      <c r="AO187" t="s">
        <v>1296</v>
      </c>
      <c r="AP187" t="s">
        <v>1296</v>
      </c>
      <c r="AQ187" t="s">
        <v>1296</v>
      </c>
      <c r="AR187" t="s">
        <v>1296</v>
      </c>
      <c r="AS187" t="s">
        <v>1296</v>
      </c>
      <c r="AT187" t="s">
        <v>1296</v>
      </c>
      <c r="AU187" t="s">
        <v>1296</v>
      </c>
      <c r="AV187" t="s">
        <v>1296</v>
      </c>
      <c r="AW187" t="s">
        <v>1296</v>
      </c>
      <c r="AX187" t="s">
        <v>1296</v>
      </c>
      <c r="AY187" t="s">
        <v>1296</v>
      </c>
      <c r="AZ187" t="s">
        <v>1296</v>
      </c>
      <c r="BA187" t="s">
        <v>1296</v>
      </c>
      <c r="BB187" t="s">
        <v>1296</v>
      </c>
      <c r="BC187" t="s">
        <v>1296</v>
      </c>
      <c r="BD187" t="s">
        <v>1296</v>
      </c>
      <c r="BE187" t="s">
        <v>1296</v>
      </c>
      <c r="BF187" t="s">
        <v>1296</v>
      </c>
      <c r="BG187" t="s">
        <v>1296</v>
      </c>
      <c r="BH187" t="s">
        <v>1296</v>
      </c>
      <c r="BL187" t="s">
        <v>1296</v>
      </c>
      <c r="BN187">
        <v>1</v>
      </c>
      <c r="BO187" t="s">
        <v>1212</v>
      </c>
      <c r="BP187" t="s">
        <v>1213</v>
      </c>
      <c r="BQ187" s="769">
        <v>81.95</v>
      </c>
      <c r="BR187" t="s">
        <v>1213</v>
      </c>
      <c r="BS187" t="s">
        <v>1213</v>
      </c>
      <c r="BT187">
        <v>0</v>
      </c>
      <c r="BU187" t="s">
        <v>1213</v>
      </c>
      <c r="BV187">
        <v>0</v>
      </c>
      <c r="BW187" t="s">
        <v>1213</v>
      </c>
      <c r="BX187">
        <v>0</v>
      </c>
      <c r="BY187" t="s">
        <v>1213</v>
      </c>
      <c r="BZ187" t="s">
        <v>2409</v>
      </c>
      <c r="CA187" t="s">
        <v>1298</v>
      </c>
    </row>
    <row r="188" spans="1:79" x14ac:dyDescent="0.2">
      <c r="A188" t="s">
        <v>2379</v>
      </c>
      <c r="B188" t="s">
        <v>2410</v>
      </c>
      <c r="C188" t="s">
        <v>1112</v>
      </c>
      <c r="D188" t="s">
        <v>457</v>
      </c>
      <c r="E188" t="s">
        <v>1202</v>
      </c>
      <c r="F188" t="s">
        <v>2411</v>
      </c>
      <c r="G188" t="s">
        <v>1603</v>
      </c>
      <c r="H188" t="s">
        <v>2412</v>
      </c>
      <c r="I188" t="s">
        <v>2413</v>
      </c>
      <c r="J188" t="s">
        <v>1241</v>
      </c>
      <c r="N188" t="s">
        <v>1303</v>
      </c>
      <c r="O188" t="s">
        <v>264</v>
      </c>
      <c r="P188" t="s">
        <v>1401</v>
      </c>
      <c r="Q188">
        <v>0</v>
      </c>
      <c r="R188" t="s">
        <v>1251</v>
      </c>
      <c r="S188">
        <v>72</v>
      </c>
      <c r="X188" t="s">
        <v>1950</v>
      </c>
      <c r="AH188">
        <v>0</v>
      </c>
      <c r="BP188">
        <v>72</v>
      </c>
      <c r="BQ188" s="772">
        <v>71</v>
      </c>
      <c r="BR188" t="s">
        <v>1213</v>
      </c>
      <c r="BS188" t="s">
        <v>1213</v>
      </c>
      <c r="BT188">
        <v>0</v>
      </c>
      <c r="BU188" t="s">
        <v>1213</v>
      </c>
      <c r="BV188">
        <v>0</v>
      </c>
      <c r="BW188" t="s">
        <v>1213</v>
      </c>
      <c r="BX188">
        <v>0</v>
      </c>
      <c r="BY188" t="s">
        <v>1213</v>
      </c>
      <c r="BZ188" t="s">
        <v>2414</v>
      </c>
    </row>
    <row r="189" spans="1:79" x14ac:dyDescent="0.2">
      <c r="A189" t="s">
        <v>2379</v>
      </c>
      <c r="B189" t="s">
        <v>2415</v>
      </c>
      <c r="C189" t="s">
        <v>1112</v>
      </c>
      <c r="D189" t="s">
        <v>457</v>
      </c>
      <c r="E189" t="s">
        <v>1202</v>
      </c>
      <c r="F189" t="s">
        <v>2416</v>
      </c>
      <c r="G189" t="s">
        <v>1610</v>
      </c>
      <c r="H189" t="s">
        <v>2417</v>
      </c>
      <c r="I189" t="s">
        <v>2418</v>
      </c>
      <c r="J189" t="s">
        <v>1207</v>
      </c>
      <c r="K189" t="s">
        <v>1208</v>
      </c>
      <c r="N189" t="s">
        <v>1400</v>
      </c>
      <c r="O189" t="s">
        <v>665</v>
      </c>
      <c r="P189" t="s">
        <v>2384</v>
      </c>
      <c r="Q189">
        <v>1</v>
      </c>
      <c r="R189" t="s">
        <v>1251</v>
      </c>
      <c r="S189">
        <v>4.5</v>
      </c>
      <c r="T189">
        <v>4.5</v>
      </c>
      <c r="U189">
        <v>4.5</v>
      </c>
      <c r="V189">
        <v>4.5</v>
      </c>
      <c r="W189">
        <v>4.5</v>
      </c>
      <c r="X189">
        <v>4.5</v>
      </c>
      <c r="AH189">
        <v>0</v>
      </c>
      <c r="AJ189" t="s">
        <v>605</v>
      </c>
      <c r="AK189" t="s">
        <v>605</v>
      </c>
      <c r="AL189" t="s">
        <v>605</v>
      </c>
      <c r="AM189" t="s">
        <v>605</v>
      </c>
      <c r="AO189">
        <v>3.5</v>
      </c>
      <c r="AP189">
        <v>3.5</v>
      </c>
      <c r="AQ189">
        <v>3.5</v>
      </c>
      <c r="AR189">
        <v>3.5</v>
      </c>
      <c r="AT189">
        <v>4.4000000000000004</v>
      </c>
      <c r="AU189">
        <v>4.4000000000000004</v>
      </c>
      <c r="AV189">
        <v>4.4000000000000004</v>
      </c>
      <c r="AW189">
        <v>4.4000000000000004</v>
      </c>
      <c r="AY189">
        <v>4.5999999999999996</v>
      </c>
      <c r="AZ189">
        <v>4.5999999999999996</v>
      </c>
      <c r="BA189">
        <v>4.5999999999999996</v>
      </c>
      <c r="BB189">
        <v>4.5999999999999996</v>
      </c>
      <c r="BD189">
        <v>5</v>
      </c>
      <c r="BE189">
        <v>5</v>
      </c>
      <c r="BF189">
        <v>5</v>
      </c>
      <c r="BG189">
        <v>5</v>
      </c>
      <c r="BH189">
        <v>2.7E-2</v>
      </c>
      <c r="BL189">
        <v>2.7E-2</v>
      </c>
      <c r="BN189">
        <v>10</v>
      </c>
      <c r="BO189" t="s">
        <v>2385</v>
      </c>
      <c r="BP189" t="s">
        <v>1213</v>
      </c>
      <c r="BQ189" s="769">
        <v>4.2</v>
      </c>
      <c r="BR189" t="s">
        <v>606</v>
      </c>
      <c r="BS189" t="s">
        <v>1213</v>
      </c>
      <c r="BT189">
        <v>0</v>
      </c>
      <c r="BU189" t="s">
        <v>1213</v>
      </c>
      <c r="BV189">
        <v>0</v>
      </c>
      <c r="BW189" t="s">
        <v>1213</v>
      </c>
      <c r="BX189">
        <v>0</v>
      </c>
      <c r="BY189" t="s">
        <v>1213</v>
      </c>
      <c r="BZ189" t="s">
        <v>2419</v>
      </c>
    </row>
    <row r="190" spans="1:79" x14ac:dyDescent="0.2">
      <c r="A190" t="s">
        <v>2379</v>
      </c>
      <c r="B190" t="s">
        <v>2420</v>
      </c>
      <c r="C190" t="s">
        <v>1112</v>
      </c>
      <c r="D190" t="s">
        <v>457</v>
      </c>
      <c r="E190" t="s">
        <v>1202</v>
      </c>
      <c r="F190" t="s">
        <v>2416</v>
      </c>
      <c r="G190" t="s">
        <v>2421</v>
      </c>
      <c r="H190" t="s">
        <v>2422</v>
      </c>
      <c r="I190" t="s">
        <v>2423</v>
      </c>
      <c r="J190" t="s">
        <v>1207</v>
      </c>
      <c r="K190" t="s">
        <v>1563</v>
      </c>
      <c r="N190" t="s">
        <v>1315</v>
      </c>
      <c r="O190" t="s">
        <v>272</v>
      </c>
      <c r="P190" t="s">
        <v>2424</v>
      </c>
      <c r="Q190">
        <v>0</v>
      </c>
      <c r="R190" t="s">
        <v>1211</v>
      </c>
      <c r="S190">
        <v>60</v>
      </c>
      <c r="T190">
        <v>60</v>
      </c>
      <c r="U190">
        <v>60</v>
      </c>
      <c r="V190">
        <v>60</v>
      </c>
      <c r="W190">
        <v>60</v>
      </c>
      <c r="X190">
        <v>60</v>
      </c>
      <c r="AE190" t="s">
        <v>605</v>
      </c>
      <c r="AH190">
        <v>0</v>
      </c>
      <c r="AI190" t="s">
        <v>605</v>
      </c>
      <c r="AJ190" t="s">
        <v>605</v>
      </c>
      <c r="AK190" t="s">
        <v>605</v>
      </c>
      <c r="AL190" t="s">
        <v>605</v>
      </c>
      <c r="AM190" t="s">
        <v>605</v>
      </c>
      <c r="AN190">
        <v>120</v>
      </c>
      <c r="AO190">
        <v>120</v>
      </c>
      <c r="AP190">
        <v>120</v>
      </c>
      <c r="AQ190">
        <v>120</v>
      </c>
      <c r="AR190">
        <v>120</v>
      </c>
      <c r="AS190">
        <v>63</v>
      </c>
      <c r="AT190">
        <v>63</v>
      </c>
      <c r="AU190">
        <v>63</v>
      </c>
      <c r="AV190">
        <v>63</v>
      </c>
      <c r="AW190">
        <v>63</v>
      </c>
      <c r="AX190">
        <v>57</v>
      </c>
      <c r="AY190">
        <v>57</v>
      </c>
      <c r="AZ190">
        <v>57</v>
      </c>
      <c r="BA190">
        <v>57</v>
      </c>
      <c r="BB190">
        <v>57</v>
      </c>
      <c r="BC190">
        <v>0</v>
      </c>
      <c r="BD190">
        <v>0</v>
      </c>
      <c r="BE190">
        <v>0</v>
      </c>
      <c r="BF190">
        <v>0</v>
      </c>
      <c r="BG190">
        <v>0</v>
      </c>
      <c r="BH190">
        <v>4.1599999999999997E-4</v>
      </c>
      <c r="BL190">
        <v>4.1599999999999997E-4</v>
      </c>
      <c r="BN190">
        <v>1</v>
      </c>
      <c r="BO190" t="s">
        <v>1212</v>
      </c>
      <c r="BP190">
        <v>60</v>
      </c>
      <c r="BQ190" s="772">
        <v>53</v>
      </c>
      <c r="BR190" t="s">
        <v>605</v>
      </c>
      <c r="BS190" t="s">
        <v>1213</v>
      </c>
      <c r="BT190">
        <v>0</v>
      </c>
      <c r="BU190" t="s">
        <v>611</v>
      </c>
      <c r="BV190">
        <v>2E-3</v>
      </c>
      <c r="BW190" t="s">
        <v>611</v>
      </c>
      <c r="BX190">
        <v>2E-3</v>
      </c>
      <c r="BY190" t="s">
        <v>1213</v>
      </c>
      <c r="BZ190" t="s">
        <v>2425</v>
      </c>
    </row>
    <row r="191" spans="1:79" x14ac:dyDescent="0.2">
      <c r="A191" t="s">
        <v>2379</v>
      </c>
      <c r="B191" t="s">
        <v>2426</v>
      </c>
      <c r="C191" t="s">
        <v>1112</v>
      </c>
      <c r="D191" t="s">
        <v>457</v>
      </c>
      <c r="E191" t="s">
        <v>1202</v>
      </c>
      <c r="F191" t="s">
        <v>2427</v>
      </c>
      <c r="G191" t="s">
        <v>1616</v>
      </c>
      <c r="H191" t="s">
        <v>2428</v>
      </c>
      <c r="I191" t="s">
        <v>2429</v>
      </c>
      <c r="J191" t="s">
        <v>1207</v>
      </c>
      <c r="K191" t="s">
        <v>1208</v>
      </c>
      <c r="N191" t="s">
        <v>1400</v>
      </c>
      <c r="O191" t="s">
        <v>665</v>
      </c>
      <c r="P191" t="s">
        <v>2384</v>
      </c>
      <c r="Q191">
        <v>1</v>
      </c>
      <c r="R191" t="s">
        <v>1251</v>
      </c>
      <c r="S191">
        <v>4.7</v>
      </c>
      <c r="T191">
        <v>4.7</v>
      </c>
      <c r="U191">
        <v>4.7</v>
      </c>
      <c r="V191">
        <v>4.7</v>
      </c>
      <c r="W191">
        <v>4.7</v>
      </c>
      <c r="X191">
        <v>4.7</v>
      </c>
      <c r="AH191">
        <v>0</v>
      </c>
      <c r="AJ191" t="s">
        <v>605</v>
      </c>
      <c r="AK191" t="s">
        <v>605</v>
      </c>
      <c r="AL191" t="s">
        <v>605</v>
      </c>
      <c r="AM191" t="s">
        <v>605</v>
      </c>
      <c r="AO191">
        <v>3.7</v>
      </c>
      <c r="AP191">
        <v>3.7</v>
      </c>
      <c r="AQ191">
        <v>3.7</v>
      </c>
      <c r="AR191">
        <v>3.7</v>
      </c>
      <c r="AT191">
        <v>4.5999999999999996</v>
      </c>
      <c r="AU191">
        <v>4.5999999999999996</v>
      </c>
      <c r="AV191">
        <v>4.5999999999999996</v>
      </c>
      <c r="AW191">
        <v>4.5999999999999996</v>
      </c>
      <c r="AY191">
        <v>4.8</v>
      </c>
      <c r="AZ191">
        <v>4.8</v>
      </c>
      <c r="BA191">
        <v>4.8</v>
      </c>
      <c r="BB191">
        <v>4.8</v>
      </c>
      <c r="BD191">
        <v>5</v>
      </c>
      <c r="BE191">
        <v>5</v>
      </c>
      <c r="BF191">
        <v>5</v>
      </c>
      <c r="BG191">
        <v>5</v>
      </c>
      <c r="BH191">
        <v>6.0000000000000001E-3</v>
      </c>
      <c r="BL191">
        <v>6.0000000000000001E-3</v>
      </c>
      <c r="BN191">
        <v>10</v>
      </c>
      <c r="BO191" t="s">
        <v>2385</v>
      </c>
      <c r="BP191" t="s">
        <v>1213</v>
      </c>
      <c r="BQ191" s="769">
        <v>4.5999999999999996</v>
      </c>
      <c r="BR191" t="s">
        <v>606</v>
      </c>
      <c r="BS191" t="s">
        <v>1213</v>
      </c>
      <c r="BT191">
        <v>0</v>
      </c>
      <c r="BU191" t="s">
        <v>1213</v>
      </c>
      <c r="BV191">
        <v>0</v>
      </c>
      <c r="BW191" t="s">
        <v>1213</v>
      </c>
      <c r="BX191">
        <v>0</v>
      </c>
      <c r="BY191" t="s">
        <v>1213</v>
      </c>
      <c r="BZ191" t="s">
        <v>2430</v>
      </c>
    </row>
    <row r="192" spans="1:79" x14ac:dyDescent="0.2">
      <c r="A192" t="s">
        <v>2379</v>
      </c>
      <c r="B192" t="s">
        <v>2431</v>
      </c>
      <c r="C192" t="s">
        <v>1112</v>
      </c>
      <c r="D192" t="s">
        <v>457</v>
      </c>
      <c r="E192" t="s">
        <v>1202</v>
      </c>
      <c r="F192" t="s">
        <v>2427</v>
      </c>
      <c r="G192" t="s">
        <v>1652</v>
      </c>
      <c r="H192" t="s">
        <v>2432</v>
      </c>
      <c r="I192" t="s">
        <v>2433</v>
      </c>
      <c r="J192" t="s">
        <v>1207</v>
      </c>
      <c r="K192" t="s">
        <v>1208</v>
      </c>
      <c r="N192" t="s">
        <v>1265</v>
      </c>
      <c r="O192" t="s">
        <v>1309</v>
      </c>
      <c r="P192" t="s">
        <v>1310</v>
      </c>
      <c r="Q192">
        <v>1</v>
      </c>
      <c r="R192" t="s">
        <v>1211</v>
      </c>
      <c r="S192">
        <v>13</v>
      </c>
      <c r="T192">
        <v>12.7</v>
      </c>
      <c r="U192">
        <v>12.3</v>
      </c>
      <c r="V192">
        <v>12</v>
      </c>
      <c r="W192">
        <v>12</v>
      </c>
      <c r="X192">
        <v>12</v>
      </c>
      <c r="AA192" t="s">
        <v>605</v>
      </c>
      <c r="AE192" t="s">
        <v>605</v>
      </c>
      <c r="AH192">
        <v>0</v>
      </c>
      <c r="AI192" t="s">
        <v>605</v>
      </c>
      <c r="AJ192" t="s">
        <v>605</v>
      </c>
      <c r="AK192" t="s">
        <v>605</v>
      </c>
      <c r="AL192" t="s">
        <v>605</v>
      </c>
      <c r="AM192" t="s">
        <v>605</v>
      </c>
      <c r="AN192">
        <v>20</v>
      </c>
      <c r="AO192">
        <v>20</v>
      </c>
      <c r="AP192">
        <v>22</v>
      </c>
      <c r="AQ192">
        <v>22</v>
      </c>
      <c r="AR192">
        <v>22</v>
      </c>
      <c r="AS192">
        <v>13</v>
      </c>
      <c r="AT192">
        <v>13</v>
      </c>
      <c r="AU192">
        <v>12</v>
      </c>
      <c r="AV192">
        <v>12</v>
      </c>
      <c r="AW192">
        <v>12</v>
      </c>
      <c r="AX192">
        <v>12</v>
      </c>
      <c r="AY192">
        <v>12</v>
      </c>
      <c r="AZ192">
        <v>12</v>
      </c>
      <c r="BA192">
        <v>12</v>
      </c>
      <c r="BB192">
        <v>12</v>
      </c>
      <c r="BC192">
        <v>5</v>
      </c>
      <c r="BD192">
        <v>5</v>
      </c>
      <c r="BE192">
        <v>5</v>
      </c>
      <c r="BF192">
        <v>5</v>
      </c>
      <c r="BG192">
        <v>5</v>
      </c>
      <c r="BH192">
        <v>0.13300000000000001</v>
      </c>
      <c r="BL192">
        <v>0.13300000000000001</v>
      </c>
      <c r="BN192">
        <v>1</v>
      </c>
      <c r="BO192" t="s">
        <v>1212</v>
      </c>
      <c r="BP192">
        <v>8</v>
      </c>
      <c r="BQ192" s="769">
        <v>32.049999999999997</v>
      </c>
      <c r="BR192" t="s">
        <v>606</v>
      </c>
      <c r="BS192" t="s">
        <v>1213</v>
      </c>
      <c r="BT192">
        <v>0</v>
      </c>
      <c r="BU192" t="s">
        <v>1107</v>
      </c>
      <c r="BV192">
        <v>-0.93184</v>
      </c>
      <c r="BW192" t="s">
        <v>1107</v>
      </c>
      <c r="BX192">
        <v>-0.93184</v>
      </c>
      <c r="BY192" t="s">
        <v>1173</v>
      </c>
      <c r="BZ192" t="s">
        <v>2434</v>
      </c>
    </row>
    <row r="193" spans="1:79" x14ac:dyDescent="0.2">
      <c r="A193" t="s">
        <v>2379</v>
      </c>
      <c r="B193" t="s">
        <v>2435</v>
      </c>
      <c r="C193" t="s">
        <v>1112</v>
      </c>
      <c r="D193" t="s">
        <v>457</v>
      </c>
      <c r="E193" t="s">
        <v>1202</v>
      </c>
      <c r="F193" t="s">
        <v>2436</v>
      </c>
      <c r="G193" t="s">
        <v>1624</v>
      </c>
      <c r="H193" t="s">
        <v>2437</v>
      </c>
      <c r="I193" t="s">
        <v>2438</v>
      </c>
      <c r="J193" t="s">
        <v>1207</v>
      </c>
      <c r="K193" t="s">
        <v>1208</v>
      </c>
      <c r="N193" t="s">
        <v>1400</v>
      </c>
      <c r="O193" t="s">
        <v>665</v>
      </c>
      <c r="P193" t="s">
        <v>2384</v>
      </c>
      <c r="Q193">
        <v>1</v>
      </c>
      <c r="R193" t="s">
        <v>1251</v>
      </c>
      <c r="S193">
        <v>4.0999999999999996</v>
      </c>
      <c r="T193">
        <v>4.0999999999999996</v>
      </c>
      <c r="U193">
        <v>4.0999999999999996</v>
      </c>
      <c r="V193">
        <v>4.0999999999999996</v>
      </c>
      <c r="W193">
        <v>4.0999999999999996</v>
      </c>
      <c r="X193">
        <v>4.0999999999999996</v>
      </c>
      <c r="AH193">
        <v>0</v>
      </c>
      <c r="AJ193" t="s">
        <v>605</v>
      </c>
      <c r="AK193" t="s">
        <v>605</v>
      </c>
      <c r="AL193" t="s">
        <v>605</v>
      </c>
      <c r="AM193" t="s">
        <v>605</v>
      </c>
      <c r="AO193">
        <v>3.1</v>
      </c>
      <c r="AP193">
        <v>3.1</v>
      </c>
      <c r="AQ193">
        <v>3.1</v>
      </c>
      <c r="AR193">
        <v>3.1</v>
      </c>
      <c r="AT193">
        <v>4</v>
      </c>
      <c r="AU193">
        <v>4</v>
      </c>
      <c r="AV193">
        <v>4</v>
      </c>
      <c r="AW193">
        <v>4</v>
      </c>
      <c r="AY193">
        <v>4.2</v>
      </c>
      <c r="AZ193">
        <v>4.2</v>
      </c>
      <c r="BA193">
        <v>4.2</v>
      </c>
      <c r="BB193">
        <v>4.2</v>
      </c>
      <c r="BD193">
        <v>5</v>
      </c>
      <c r="BE193">
        <v>5</v>
      </c>
      <c r="BF193">
        <v>5</v>
      </c>
      <c r="BG193">
        <v>5</v>
      </c>
      <c r="BH193">
        <v>2.4E-2</v>
      </c>
      <c r="BL193">
        <v>2.4E-2</v>
      </c>
      <c r="BN193">
        <v>10</v>
      </c>
      <c r="BO193" t="s">
        <v>2385</v>
      </c>
      <c r="BP193" t="s">
        <v>1213</v>
      </c>
      <c r="BQ193" s="769">
        <v>4.2</v>
      </c>
      <c r="BR193" t="s">
        <v>605</v>
      </c>
      <c r="BS193" t="s">
        <v>1213</v>
      </c>
      <c r="BT193">
        <v>0</v>
      </c>
      <c r="BU193" t="s">
        <v>1213</v>
      </c>
      <c r="BV193">
        <v>0</v>
      </c>
      <c r="BW193" t="s">
        <v>1213</v>
      </c>
      <c r="BX193">
        <v>0</v>
      </c>
      <c r="BY193" t="s">
        <v>1213</v>
      </c>
      <c r="BZ193" t="s">
        <v>2439</v>
      </c>
    </row>
    <row r="194" spans="1:79" x14ac:dyDescent="0.2">
      <c r="A194" t="s">
        <v>2379</v>
      </c>
      <c r="B194" t="s">
        <v>2440</v>
      </c>
      <c r="C194" t="s">
        <v>1112</v>
      </c>
      <c r="D194" t="s">
        <v>457</v>
      </c>
      <c r="E194" t="s">
        <v>1202</v>
      </c>
      <c r="F194" t="s">
        <v>2436</v>
      </c>
      <c r="G194" t="s">
        <v>1630</v>
      </c>
      <c r="H194" t="s">
        <v>2441</v>
      </c>
      <c r="I194" t="s">
        <v>2442</v>
      </c>
      <c r="J194" t="s">
        <v>1219</v>
      </c>
      <c r="K194" t="s">
        <v>1208</v>
      </c>
      <c r="M194" t="s">
        <v>606</v>
      </c>
      <c r="N194" t="s">
        <v>1228</v>
      </c>
      <c r="O194" t="s">
        <v>272</v>
      </c>
      <c r="P194" t="s">
        <v>1210</v>
      </c>
      <c r="Q194">
        <v>0</v>
      </c>
      <c r="R194" t="s">
        <v>1211</v>
      </c>
      <c r="S194">
        <v>0</v>
      </c>
      <c r="T194">
        <v>0</v>
      </c>
      <c r="U194">
        <v>0</v>
      </c>
      <c r="V194">
        <v>0</v>
      </c>
      <c r="W194">
        <v>0</v>
      </c>
      <c r="X194">
        <v>0</v>
      </c>
      <c r="AH194">
        <v>0</v>
      </c>
      <c r="AI194" t="s">
        <v>605</v>
      </c>
      <c r="AJ194" t="s">
        <v>605</v>
      </c>
      <c r="AK194" t="s">
        <v>605</v>
      </c>
      <c r="AL194" t="s">
        <v>605</v>
      </c>
      <c r="AM194" t="s">
        <v>605</v>
      </c>
      <c r="AN194" t="s">
        <v>2443</v>
      </c>
      <c r="AO194" t="s">
        <v>2443</v>
      </c>
      <c r="AP194" t="s">
        <v>2443</v>
      </c>
      <c r="AQ194" t="s">
        <v>2443</v>
      </c>
      <c r="AR194" t="s">
        <v>2443</v>
      </c>
      <c r="AS194">
        <v>0</v>
      </c>
      <c r="AT194">
        <v>0</v>
      </c>
      <c r="AU194">
        <v>0</v>
      </c>
      <c r="AV194">
        <v>0</v>
      </c>
      <c r="AW194">
        <v>0</v>
      </c>
      <c r="BH194">
        <v>0.504</v>
      </c>
      <c r="BN194">
        <v>1</v>
      </c>
      <c r="BO194" t="s">
        <v>1212</v>
      </c>
      <c r="BP194" t="s">
        <v>1213</v>
      </c>
      <c r="BQ194" s="772">
        <v>0</v>
      </c>
      <c r="BR194" t="s">
        <v>605</v>
      </c>
      <c r="BS194" t="s">
        <v>1213</v>
      </c>
      <c r="BT194">
        <v>0</v>
      </c>
      <c r="BU194" t="s">
        <v>1213</v>
      </c>
      <c r="BV194">
        <v>0</v>
      </c>
      <c r="BW194" t="s">
        <v>1213</v>
      </c>
      <c r="BX194">
        <v>0</v>
      </c>
      <c r="BY194" t="s">
        <v>1213</v>
      </c>
      <c r="BZ194" t="s">
        <v>2444</v>
      </c>
      <c r="CA194" t="s">
        <v>2445</v>
      </c>
    </row>
    <row r="195" spans="1:79" x14ac:dyDescent="0.2">
      <c r="A195" t="s">
        <v>2379</v>
      </c>
      <c r="B195" t="s">
        <v>2446</v>
      </c>
      <c r="C195" t="s">
        <v>1112</v>
      </c>
      <c r="D195" t="s">
        <v>457</v>
      </c>
      <c r="E195" t="s">
        <v>1202</v>
      </c>
      <c r="F195" t="s">
        <v>2447</v>
      </c>
      <c r="G195" t="s">
        <v>1659</v>
      </c>
      <c r="H195" t="s">
        <v>2448</v>
      </c>
      <c r="I195" t="s">
        <v>2449</v>
      </c>
      <c r="J195" t="s">
        <v>1219</v>
      </c>
      <c r="K195" t="s">
        <v>1208</v>
      </c>
      <c r="N195" t="s">
        <v>1249</v>
      </c>
      <c r="O195" t="s">
        <v>264</v>
      </c>
      <c r="P195" t="s">
        <v>1250</v>
      </c>
      <c r="Q195">
        <v>2</v>
      </c>
      <c r="R195" t="s">
        <v>1251</v>
      </c>
      <c r="S195">
        <v>100</v>
      </c>
      <c r="T195">
        <v>100</v>
      </c>
      <c r="U195">
        <v>100</v>
      </c>
      <c r="V195">
        <v>100</v>
      </c>
      <c r="W195">
        <v>100</v>
      </c>
      <c r="X195">
        <v>100</v>
      </c>
      <c r="Y195" t="s">
        <v>605</v>
      </c>
      <c r="AE195" t="s">
        <v>605</v>
      </c>
      <c r="AH195">
        <v>0</v>
      </c>
      <c r="AI195" t="s">
        <v>605</v>
      </c>
      <c r="AJ195" t="s">
        <v>605</v>
      </c>
      <c r="AK195" t="s">
        <v>605</v>
      </c>
      <c r="AL195" t="s">
        <v>605</v>
      </c>
      <c r="AM195" t="s">
        <v>605</v>
      </c>
      <c r="AN195">
        <v>99.94</v>
      </c>
      <c r="AO195">
        <v>99.94</v>
      </c>
      <c r="AP195">
        <v>99.94</v>
      </c>
      <c r="AQ195">
        <v>99.94</v>
      </c>
      <c r="AR195">
        <v>99.94</v>
      </c>
      <c r="AS195">
        <v>99.95</v>
      </c>
      <c r="AT195">
        <v>99.95</v>
      </c>
      <c r="AU195">
        <v>99.95</v>
      </c>
      <c r="AV195">
        <v>99.95</v>
      </c>
      <c r="AW195">
        <v>99.95</v>
      </c>
      <c r="BH195">
        <v>0.28399999999999997</v>
      </c>
      <c r="BN195">
        <v>100</v>
      </c>
      <c r="BO195" t="s">
        <v>1598</v>
      </c>
      <c r="BP195">
        <v>99.96</v>
      </c>
      <c r="BQ195" s="773">
        <v>99.96</v>
      </c>
      <c r="BR195" t="s">
        <v>606</v>
      </c>
      <c r="BS195" t="s">
        <v>1213</v>
      </c>
      <c r="BT195">
        <v>0</v>
      </c>
      <c r="BU195" t="s">
        <v>607</v>
      </c>
      <c r="BV195">
        <v>0</v>
      </c>
      <c r="BW195" t="s">
        <v>607</v>
      </c>
      <c r="BX195">
        <v>0</v>
      </c>
      <c r="BY195" t="s">
        <v>1171</v>
      </c>
      <c r="BZ195" t="s">
        <v>2450</v>
      </c>
    </row>
    <row r="196" spans="1:79" x14ac:dyDescent="0.2">
      <c r="A196" t="s">
        <v>2379</v>
      </c>
      <c r="B196" t="s">
        <v>2451</v>
      </c>
      <c r="C196" t="s">
        <v>1112</v>
      </c>
      <c r="D196" t="s">
        <v>457</v>
      </c>
      <c r="E196" t="s">
        <v>1202</v>
      </c>
      <c r="F196" t="s">
        <v>2452</v>
      </c>
      <c r="G196" t="s">
        <v>1665</v>
      </c>
      <c r="H196" t="s">
        <v>2453</v>
      </c>
      <c r="I196" t="s">
        <v>2454</v>
      </c>
      <c r="J196" t="s">
        <v>1241</v>
      </c>
      <c r="N196" t="s">
        <v>1377</v>
      </c>
      <c r="O196" t="s">
        <v>272</v>
      </c>
      <c r="P196" t="s">
        <v>2455</v>
      </c>
      <c r="Q196">
        <v>0</v>
      </c>
      <c r="R196" t="s">
        <v>1211</v>
      </c>
      <c r="S196">
        <v>0</v>
      </c>
      <c r="T196">
        <v>0</v>
      </c>
      <c r="U196">
        <v>0</v>
      </c>
      <c r="V196">
        <v>0</v>
      </c>
      <c r="W196">
        <v>0</v>
      </c>
      <c r="X196">
        <v>0</v>
      </c>
      <c r="AE196" t="s">
        <v>605</v>
      </c>
      <c r="AH196">
        <v>0</v>
      </c>
      <c r="BP196" t="s">
        <v>1213</v>
      </c>
      <c r="BQ196" s="772">
        <v>25</v>
      </c>
      <c r="BR196" t="s">
        <v>606</v>
      </c>
      <c r="BS196" t="s">
        <v>1213</v>
      </c>
      <c r="BT196">
        <v>0</v>
      </c>
      <c r="BU196" t="s">
        <v>1213</v>
      </c>
      <c r="BV196">
        <v>0</v>
      </c>
      <c r="BW196" t="s">
        <v>1213</v>
      </c>
      <c r="BX196">
        <v>0</v>
      </c>
      <c r="BY196" t="s">
        <v>1213</v>
      </c>
      <c r="BZ196" t="s">
        <v>2456</v>
      </c>
    </row>
    <row r="197" spans="1:79" x14ac:dyDescent="0.2">
      <c r="A197" t="s">
        <v>2379</v>
      </c>
      <c r="B197" t="s">
        <v>2457</v>
      </c>
      <c r="C197" t="s">
        <v>1112</v>
      </c>
      <c r="D197" t="s">
        <v>457</v>
      </c>
      <c r="E197" t="s">
        <v>1202</v>
      </c>
      <c r="F197" t="s">
        <v>2452</v>
      </c>
      <c r="G197" t="s">
        <v>1672</v>
      </c>
      <c r="H197" t="s">
        <v>2458</v>
      </c>
      <c r="I197" t="s">
        <v>2459</v>
      </c>
      <c r="J197" t="s">
        <v>1241</v>
      </c>
      <c r="N197" t="s">
        <v>1377</v>
      </c>
      <c r="O197" t="s">
        <v>272</v>
      </c>
      <c r="P197" t="s">
        <v>2460</v>
      </c>
      <c r="Q197">
        <v>0</v>
      </c>
      <c r="R197" t="s">
        <v>1211</v>
      </c>
      <c r="S197">
        <v>0</v>
      </c>
      <c r="T197">
        <v>0</v>
      </c>
      <c r="U197">
        <v>0</v>
      </c>
      <c r="V197">
        <v>0</v>
      </c>
      <c r="W197">
        <v>0</v>
      </c>
      <c r="X197">
        <v>0</v>
      </c>
      <c r="AE197" t="s">
        <v>605</v>
      </c>
      <c r="AH197">
        <v>0</v>
      </c>
      <c r="BP197" t="s">
        <v>1213</v>
      </c>
      <c r="BQ197" s="772">
        <v>0</v>
      </c>
      <c r="BR197" t="s">
        <v>605</v>
      </c>
      <c r="BS197" t="s">
        <v>1213</v>
      </c>
      <c r="BT197">
        <v>0</v>
      </c>
      <c r="BU197" t="s">
        <v>1213</v>
      </c>
      <c r="BV197">
        <v>0</v>
      </c>
      <c r="BW197" t="s">
        <v>1213</v>
      </c>
      <c r="BX197">
        <v>0</v>
      </c>
      <c r="BY197" t="s">
        <v>1213</v>
      </c>
      <c r="BZ197" t="s">
        <v>2461</v>
      </c>
    </row>
    <row r="198" spans="1:79" x14ac:dyDescent="0.2">
      <c r="A198" t="s">
        <v>2379</v>
      </c>
      <c r="B198" t="s">
        <v>2462</v>
      </c>
      <c r="C198" t="s">
        <v>1112</v>
      </c>
      <c r="D198" t="s">
        <v>457</v>
      </c>
      <c r="E198" t="s">
        <v>1202</v>
      </c>
      <c r="F198" t="s">
        <v>2463</v>
      </c>
      <c r="G198" t="s">
        <v>1684</v>
      </c>
      <c r="H198" t="s">
        <v>2464</v>
      </c>
      <c r="I198" t="s">
        <v>2465</v>
      </c>
      <c r="J198" t="s">
        <v>1241</v>
      </c>
      <c r="N198" t="s">
        <v>2161</v>
      </c>
      <c r="O198" t="s">
        <v>272</v>
      </c>
      <c r="P198" t="s">
        <v>2466</v>
      </c>
      <c r="Q198">
        <v>0</v>
      </c>
      <c r="R198" t="s">
        <v>1211</v>
      </c>
      <c r="S198">
        <v>0</v>
      </c>
      <c r="T198">
        <v>0</v>
      </c>
      <c r="U198">
        <v>0</v>
      </c>
      <c r="V198">
        <v>0</v>
      </c>
      <c r="W198">
        <v>0</v>
      </c>
      <c r="X198">
        <v>0</v>
      </c>
      <c r="AH198">
        <v>0</v>
      </c>
      <c r="BP198" t="s">
        <v>1213</v>
      </c>
      <c r="BQ198" s="772">
        <v>0</v>
      </c>
      <c r="BR198" t="s">
        <v>605</v>
      </c>
      <c r="BS198" t="s">
        <v>1213</v>
      </c>
      <c r="BT198">
        <v>0</v>
      </c>
      <c r="BU198" t="s">
        <v>1213</v>
      </c>
      <c r="BV198">
        <v>0</v>
      </c>
      <c r="BW198" t="s">
        <v>1213</v>
      </c>
      <c r="BX198">
        <v>0</v>
      </c>
      <c r="BY198" t="s">
        <v>1213</v>
      </c>
      <c r="BZ198" t="s">
        <v>2467</v>
      </c>
    </row>
    <row r="199" spans="1:79" x14ac:dyDescent="0.2">
      <c r="A199" t="s">
        <v>2379</v>
      </c>
      <c r="B199" t="s">
        <v>2468</v>
      </c>
      <c r="C199" t="s">
        <v>1112</v>
      </c>
      <c r="D199" t="s">
        <v>457</v>
      </c>
      <c r="E199" t="s">
        <v>1202</v>
      </c>
      <c r="F199" t="s">
        <v>2469</v>
      </c>
      <c r="G199" t="s">
        <v>1691</v>
      </c>
      <c r="H199" t="s">
        <v>2470</v>
      </c>
      <c r="I199" t="s">
        <v>2471</v>
      </c>
      <c r="J199" t="s">
        <v>1241</v>
      </c>
      <c r="N199" t="s">
        <v>2472</v>
      </c>
      <c r="O199" t="s">
        <v>272</v>
      </c>
      <c r="P199" t="s">
        <v>2473</v>
      </c>
      <c r="Q199">
        <v>0</v>
      </c>
      <c r="R199" t="s">
        <v>1211</v>
      </c>
      <c r="S199">
        <v>0</v>
      </c>
      <c r="T199">
        <v>0</v>
      </c>
      <c r="U199">
        <v>0</v>
      </c>
      <c r="V199">
        <v>0</v>
      </c>
      <c r="W199">
        <v>0</v>
      </c>
      <c r="X199">
        <v>0</v>
      </c>
      <c r="AH199">
        <v>0</v>
      </c>
      <c r="BP199" t="s">
        <v>1213</v>
      </c>
      <c r="BQ199" s="772">
        <v>0</v>
      </c>
      <c r="BR199" t="s">
        <v>605</v>
      </c>
      <c r="BS199" t="s">
        <v>1213</v>
      </c>
      <c r="BT199">
        <v>0</v>
      </c>
      <c r="BU199" t="s">
        <v>1213</v>
      </c>
      <c r="BV199">
        <v>0</v>
      </c>
      <c r="BW199" t="s">
        <v>1213</v>
      </c>
      <c r="BX199">
        <v>0</v>
      </c>
      <c r="BY199" t="s">
        <v>1213</v>
      </c>
      <c r="BZ199" t="s">
        <v>2474</v>
      </c>
    </row>
    <row r="200" spans="1:79" x14ac:dyDescent="0.2">
      <c r="A200" t="s">
        <v>2379</v>
      </c>
      <c r="B200" t="s">
        <v>2475</v>
      </c>
      <c r="C200" t="s">
        <v>1112</v>
      </c>
      <c r="D200" t="s">
        <v>457</v>
      </c>
      <c r="E200" t="s">
        <v>1202</v>
      </c>
      <c r="F200" t="s">
        <v>2476</v>
      </c>
      <c r="G200" t="s">
        <v>2477</v>
      </c>
      <c r="H200" t="s">
        <v>2478</v>
      </c>
      <c r="I200" t="s">
        <v>2479</v>
      </c>
      <c r="J200" t="s">
        <v>1241</v>
      </c>
      <c r="N200" t="s">
        <v>1377</v>
      </c>
      <c r="O200" t="s">
        <v>272</v>
      </c>
      <c r="P200" t="s">
        <v>2480</v>
      </c>
      <c r="Q200">
        <v>0</v>
      </c>
      <c r="R200" t="s">
        <v>1211</v>
      </c>
      <c r="S200">
        <v>0</v>
      </c>
      <c r="T200">
        <v>0</v>
      </c>
      <c r="U200">
        <v>0</v>
      </c>
      <c r="V200">
        <v>0</v>
      </c>
      <c r="W200">
        <v>0</v>
      </c>
      <c r="X200">
        <v>0</v>
      </c>
      <c r="AF200" t="s">
        <v>605</v>
      </c>
      <c r="AH200">
        <v>0</v>
      </c>
      <c r="BP200" t="s">
        <v>1213</v>
      </c>
      <c r="BQ200" s="772">
        <v>0</v>
      </c>
      <c r="BR200" t="s">
        <v>605</v>
      </c>
      <c r="BS200" t="s">
        <v>1213</v>
      </c>
      <c r="BT200">
        <v>0</v>
      </c>
      <c r="BU200" t="s">
        <v>1213</v>
      </c>
      <c r="BV200">
        <v>0</v>
      </c>
      <c r="BW200" t="s">
        <v>1213</v>
      </c>
      <c r="BX200">
        <v>0</v>
      </c>
      <c r="BY200" t="s">
        <v>1213</v>
      </c>
      <c r="BZ200" t="s">
        <v>2481</v>
      </c>
    </row>
    <row r="201" spans="1:79" x14ac:dyDescent="0.2">
      <c r="A201" t="s">
        <v>2379</v>
      </c>
      <c r="B201" t="s">
        <v>2482</v>
      </c>
      <c r="C201" t="s">
        <v>1112</v>
      </c>
      <c r="D201" t="s">
        <v>457</v>
      </c>
      <c r="E201" t="s">
        <v>1202</v>
      </c>
      <c r="F201" t="s">
        <v>2483</v>
      </c>
      <c r="G201" t="s">
        <v>2484</v>
      </c>
      <c r="H201" t="s">
        <v>2485</v>
      </c>
      <c r="I201" t="s">
        <v>2486</v>
      </c>
      <c r="J201" t="s">
        <v>1207</v>
      </c>
      <c r="K201" t="s">
        <v>1563</v>
      </c>
      <c r="N201" t="s">
        <v>1172</v>
      </c>
      <c r="O201" t="s">
        <v>272</v>
      </c>
      <c r="P201" t="s">
        <v>1258</v>
      </c>
      <c r="Q201">
        <v>2</v>
      </c>
      <c r="R201" t="s">
        <v>1211</v>
      </c>
      <c r="S201">
        <v>1.17</v>
      </c>
      <c r="T201">
        <v>0.97</v>
      </c>
      <c r="U201">
        <v>0.78</v>
      </c>
      <c r="V201">
        <v>0.57999999999999996</v>
      </c>
      <c r="W201">
        <v>0.57999999999999996</v>
      </c>
      <c r="X201">
        <v>0.57999999999999996</v>
      </c>
      <c r="Z201" t="s">
        <v>605</v>
      </c>
      <c r="AE201" t="s">
        <v>605</v>
      </c>
      <c r="AH201">
        <v>0</v>
      </c>
      <c r="AI201" t="s">
        <v>605</v>
      </c>
      <c r="AJ201" t="s">
        <v>605</v>
      </c>
      <c r="AK201" t="s">
        <v>605</v>
      </c>
      <c r="AL201" t="s">
        <v>605</v>
      </c>
      <c r="AM201" t="s">
        <v>605</v>
      </c>
      <c r="AN201">
        <v>1.71</v>
      </c>
      <c r="AO201">
        <v>1.71</v>
      </c>
      <c r="AP201">
        <v>1.1200000000000001</v>
      </c>
      <c r="AQ201">
        <v>1.1200000000000001</v>
      </c>
      <c r="AR201">
        <v>1.1200000000000001</v>
      </c>
      <c r="AS201">
        <v>1.17</v>
      </c>
      <c r="AT201">
        <v>1.17</v>
      </c>
      <c r="AU201">
        <v>0.57999999999999996</v>
      </c>
      <c r="AV201">
        <v>0.57999999999999996</v>
      </c>
      <c r="AW201">
        <v>0.57999999999999996</v>
      </c>
      <c r="AX201">
        <v>0.57999999999999996</v>
      </c>
      <c r="AY201">
        <v>0.57999999999999996</v>
      </c>
      <c r="AZ201">
        <v>0.57999999999999996</v>
      </c>
      <c r="BA201">
        <v>0.57999999999999996</v>
      </c>
      <c r="BB201">
        <v>0.57999999999999996</v>
      </c>
      <c r="BC201">
        <v>0.04</v>
      </c>
      <c r="BD201">
        <v>0.04</v>
      </c>
      <c r="BE201">
        <v>0.04</v>
      </c>
      <c r="BF201">
        <v>0.04</v>
      </c>
      <c r="BG201">
        <v>0.04</v>
      </c>
      <c r="BH201">
        <v>1.4999999999999999E-2</v>
      </c>
      <c r="BL201">
        <v>1.4999999999999999E-2</v>
      </c>
      <c r="BN201">
        <v>100</v>
      </c>
      <c r="BO201" t="s">
        <v>2112</v>
      </c>
      <c r="BP201">
        <v>1.19</v>
      </c>
      <c r="BQ201" s="773">
        <v>0.98</v>
      </c>
      <c r="BR201" t="s">
        <v>606</v>
      </c>
      <c r="BS201" t="s">
        <v>1213</v>
      </c>
      <c r="BT201">
        <v>0</v>
      </c>
      <c r="BU201" t="s">
        <v>607</v>
      </c>
      <c r="BV201">
        <v>0</v>
      </c>
      <c r="BW201" t="s">
        <v>607</v>
      </c>
      <c r="BX201">
        <v>0</v>
      </c>
      <c r="BY201" t="s">
        <v>1172</v>
      </c>
      <c r="BZ201" t="s">
        <v>2487</v>
      </c>
    </row>
    <row r="202" spans="1:79" x14ac:dyDescent="0.2">
      <c r="A202" t="s">
        <v>2379</v>
      </c>
      <c r="B202" t="s">
        <v>2488</v>
      </c>
      <c r="C202" t="s">
        <v>1112</v>
      </c>
      <c r="D202" t="s">
        <v>457</v>
      </c>
      <c r="E202" t="s">
        <v>1202</v>
      </c>
      <c r="F202" t="s">
        <v>2483</v>
      </c>
      <c r="G202" t="s">
        <v>2489</v>
      </c>
      <c r="H202" t="s">
        <v>2490</v>
      </c>
      <c r="I202" t="s">
        <v>2491</v>
      </c>
      <c r="J202" t="s">
        <v>1219</v>
      </c>
      <c r="K202" t="s">
        <v>1563</v>
      </c>
      <c r="M202" t="s">
        <v>606</v>
      </c>
      <c r="N202" t="s">
        <v>1272</v>
      </c>
      <c r="O202" t="s">
        <v>1410</v>
      </c>
      <c r="P202" t="s">
        <v>1564</v>
      </c>
      <c r="Q202" t="s">
        <v>1212</v>
      </c>
      <c r="S202" t="s">
        <v>612</v>
      </c>
      <c r="T202" t="s">
        <v>612</v>
      </c>
      <c r="U202" t="s">
        <v>612</v>
      </c>
      <c r="V202" t="s">
        <v>612</v>
      </c>
      <c r="W202" t="s">
        <v>612</v>
      </c>
      <c r="X202" t="s">
        <v>612</v>
      </c>
      <c r="AE202" t="s">
        <v>605</v>
      </c>
      <c r="AH202">
        <v>4</v>
      </c>
      <c r="AI202" t="s">
        <v>605</v>
      </c>
      <c r="AJ202" t="s">
        <v>605</v>
      </c>
      <c r="AK202" t="s">
        <v>605</v>
      </c>
      <c r="AL202" t="s">
        <v>605</v>
      </c>
      <c r="AM202" t="s">
        <v>605</v>
      </c>
      <c r="AN202" t="s">
        <v>2492</v>
      </c>
      <c r="AO202" t="s">
        <v>2492</v>
      </c>
      <c r="AP202" t="s">
        <v>2492</v>
      </c>
      <c r="AQ202" t="s">
        <v>2492</v>
      </c>
      <c r="AR202" t="s">
        <v>2492</v>
      </c>
      <c r="AS202" t="s">
        <v>2492</v>
      </c>
      <c r="AT202" t="s">
        <v>2492</v>
      </c>
      <c r="AU202" t="s">
        <v>2492</v>
      </c>
      <c r="AV202" t="s">
        <v>2492</v>
      </c>
      <c r="AW202" t="s">
        <v>2492</v>
      </c>
      <c r="BH202">
        <v>4</v>
      </c>
      <c r="BN202">
        <v>1</v>
      </c>
      <c r="BO202" t="s">
        <v>1212</v>
      </c>
      <c r="BP202" t="s">
        <v>612</v>
      </c>
      <c r="BQ202" s="771" t="s">
        <v>612</v>
      </c>
      <c r="BR202" t="s">
        <v>605</v>
      </c>
      <c r="BS202" t="s">
        <v>1213</v>
      </c>
      <c r="BT202">
        <v>0</v>
      </c>
      <c r="BU202" t="s">
        <v>1213</v>
      </c>
      <c r="BV202">
        <v>0</v>
      </c>
      <c r="BW202" t="s">
        <v>1213</v>
      </c>
      <c r="BX202">
        <v>0</v>
      </c>
      <c r="BY202" t="s">
        <v>1213</v>
      </c>
      <c r="BZ202" t="s">
        <v>2493</v>
      </c>
      <c r="CA202" t="s">
        <v>2494</v>
      </c>
    </row>
    <row r="203" spans="1:79" x14ac:dyDescent="0.2">
      <c r="A203" t="s">
        <v>2379</v>
      </c>
      <c r="B203" t="s">
        <v>2495</v>
      </c>
      <c r="C203" t="s">
        <v>1112</v>
      </c>
      <c r="D203" t="s">
        <v>457</v>
      </c>
      <c r="E203" t="s">
        <v>1202</v>
      </c>
      <c r="F203" t="s">
        <v>2483</v>
      </c>
      <c r="G203" t="s">
        <v>2496</v>
      </c>
      <c r="H203" t="s">
        <v>2497</v>
      </c>
      <c r="I203" t="s">
        <v>2498</v>
      </c>
      <c r="J203" t="s">
        <v>1241</v>
      </c>
      <c r="N203" t="s">
        <v>1331</v>
      </c>
      <c r="O203" t="s">
        <v>272</v>
      </c>
      <c r="P203" t="s">
        <v>2499</v>
      </c>
      <c r="Q203">
        <v>0</v>
      </c>
      <c r="R203" t="s">
        <v>1211</v>
      </c>
      <c r="S203">
        <v>55</v>
      </c>
      <c r="X203">
        <v>0</v>
      </c>
      <c r="AE203" t="s">
        <v>605</v>
      </c>
      <c r="AH203">
        <v>0</v>
      </c>
      <c r="BP203" t="s">
        <v>1213</v>
      </c>
      <c r="BQ203" s="772">
        <v>55</v>
      </c>
      <c r="BR203" t="s">
        <v>1213</v>
      </c>
      <c r="BS203" t="s">
        <v>1213</v>
      </c>
      <c r="BT203">
        <v>0</v>
      </c>
      <c r="BU203" t="s">
        <v>1213</v>
      </c>
      <c r="BV203">
        <v>0</v>
      </c>
      <c r="BW203" t="s">
        <v>1213</v>
      </c>
      <c r="BX203">
        <v>0</v>
      </c>
      <c r="BY203" t="s">
        <v>1213</v>
      </c>
      <c r="BZ203" t="s">
        <v>2500</v>
      </c>
    </row>
    <row r="204" spans="1:79" x14ac:dyDescent="0.2">
      <c r="A204" t="s">
        <v>2379</v>
      </c>
      <c r="B204" t="s">
        <v>2501</v>
      </c>
      <c r="C204" t="s">
        <v>1112</v>
      </c>
      <c r="D204" t="s">
        <v>457</v>
      </c>
      <c r="E204" t="s">
        <v>1202</v>
      </c>
      <c r="F204" t="s">
        <v>2483</v>
      </c>
      <c r="G204" t="s">
        <v>2502</v>
      </c>
      <c r="H204" t="s">
        <v>2503</v>
      </c>
      <c r="I204" t="s">
        <v>2504</v>
      </c>
      <c r="J204" t="s">
        <v>1219</v>
      </c>
      <c r="K204" t="s">
        <v>1563</v>
      </c>
      <c r="N204" t="s">
        <v>1272</v>
      </c>
      <c r="O204" t="s">
        <v>272</v>
      </c>
      <c r="P204" t="s">
        <v>1273</v>
      </c>
      <c r="Q204">
        <v>0</v>
      </c>
      <c r="R204" t="s">
        <v>1211</v>
      </c>
      <c r="S204">
        <v>2429</v>
      </c>
      <c r="T204">
        <v>2429</v>
      </c>
      <c r="U204">
        <v>2429</v>
      </c>
      <c r="V204">
        <v>2429</v>
      </c>
      <c r="W204">
        <v>2429</v>
      </c>
      <c r="X204">
        <v>2429</v>
      </c>
      <c r="AE204" t="s">
        <v>605</v>
      </c>
      <c r="AH204">
        <v>0</v>
      </c>
      <c r="AI204" t="s">
        <v>605</v>
      </c>
      <c r="AJ204" t="s">
        <v>605</v>
      </c>
      <c r="AK204" t="s">
        <v>605</v>
      </c>
      <c r="AL204" t="s">
        <v>605</v>
      </c>
      <c r="AM204" t="s">
        <v>605</v>
      </c>
      <c r="AN204">
        <v>4014</v>
      </c>
      <c r="AO204">
        <v>4014</v>
      </c>
      <c r="AP204">
        <v>4014</v>
      </c>
      <c r="AQ204">
        <v>4014</v>
      </c>
      <c r="AR204">
        <v>4014</v>
      </c>
      <c r="AS204">
        <v>3048</v>
      </c>
      <c r="AT204">
        <v>3048</v>
      </c>
      <c r="AU204">
        <v>3048</v>
      </c>
      <c r="AV204">
        <v>3048</v>
      </c>
      <c r="AW204">
        <v>3048</v>
      </c>
      <c r="BH204">
        <v>7.1199999999999996E-4</v>
      </c>
      <c r="BN204">
        <v>1</v>
      </c>
      <c r="BO204" t="s">
        <v>1212</v>
      </c>
      <c r="BP204">
        <v>2372</v>
      </c>
      <c r="BQ204" s="772">
        <v>2307</v>
      </c>
      <c r="BR204" t="s">
        <v>605</v>
      </c>
      <c r="BS204" t="s">
        <v>1213</v>
      </c>
      <c r="BT204">
        <v>0</v>
      </c>
      <c r="BU204" t="s">
        <v>1213</v>
      </c>
      <c r="BV204">
        <v>0</v>
      </c>
      <c r="BW204" t="s">
        <v>1213</v>
      </c>
      <c r="BX204">
        <v>0</v>
      </c>
      <c r="BY204" t="s">
        <v>1213</v>
      </c>
      <c r="BZ204" t="s">
        <v>2505</v>
      </c>
    </row>
    <row r="205" spans="1:79" x14ac:dyDescent="0.2">
      <c r="A205" t="s">
        <v>2379</v>
      </c>
      <c r="B205" t="s">
        <v>2506</v>
      </c>
      <c r="C205" t="s">
        <v>1112</v>
      </c>
      <c r="D205" t="s">
        <v>457</v>
      </c>
      <c r="E205" t="s">
        <v>1202</v>
      </c>
      <c r="F205" t="s">
        <v>2507</v>
      </c>
      <c r="G205" t="s">
        <v>2508</v>
      </c>
      <c r="H205" t="s">
        <v>2509</v>
      </c>
      <c r="I205" t="s">
        <v>2510</v>
      </c>
      <c r="J205" t="s">
        <v>1241</v>
      </c>
      <c r="N205" t="s">
        <v>1386</v>
      </c>
      <c r="O205" t="s">
        <v>272</v>
      </c>
      <c r="P205" t="s">
        <v>2511</v>
      </c>
      <c r="Q205">
        <v>1</v>
      </c>
      <c r="R205" t="s">
        <v>1211</v>
      </c>
      <c r="S205">
        <v>39.4</v>
      </c>
      <c r="X205">
        <v>38.700000000000003</v>
      </c>
      <c r="AH205">
        <v>0</v>
      </c>
      <c r="BP205" t="s">
        <v>1213</v>
      </c>
      <c r="BQ205" s="769">
        <v>36.799999999999997</v>
      </c>
      <c r="BR205" t="s">
        <v>1213</v>
      </c>
      <c r="BS205" t="s">
        <v>1213</v>
      </c>
      <c r="BT205">
        <v>0</v>
      </c>
      <c r="BU205" t="s">
        <v>1213</v>
      </c>
      <c r="BV205">
        <v>0</v>
      </c>
      <c r="BW205" t="s">
        <v>1213</v>
      </c>
      <c r="BX205">
        <v>0</v>
      </c>
      <c r="BY205" t="s">
        <v>1213</v>
      </c>
      <c r="BZ205" t="s">
        <v>2512</v>
      </c>
    </row>
    <row r="206" spans="1:79" x14ac:dyDescent="0.2">
      <c r="A206" t="s">
        <v>2379</v>
      </c>
      <c r="B206" t="s">
        <v>2513</v>
      </c>
      <c r="C206" t="s">
        <v>1112</v>
      </c>
      <c r="D206" t="s">
        <v>457</v>
      </c>
      <c r="E206" t="s">
        <v>1202</v>
      </c>
      <c r="F206" t="s">
        <v>2507</v>
      </c>
      <c r="G206" t="s">
        <v>2514</v>
      </c>
      <c r="H206" t="s">
        <v>2515</v>
      </c>
      <c r="I206" t="s">
        <v>2516</v>
      </c>
      <c r="J206" t="s">
        <v>1241</v>
      </c>
      <c r="N206" t="s">
        <v>1235</v>
      </c>
      <c r="O206" t="s">
        <v>1242</v>
      </c>
      <c r="P206" t="s">
        <v>2517</v>
      </c>
      <c r="Q206" t="s">
        <v>1242</v>
      </c>
      <c r="S206" t="s">
        <v>1242</v>
      </c>
      <c r="T206" t="s">
        <v>1242</v>
      </c>
      <c r="U206" t="s">
        <v>1242</v>
      </c>
      <c r="V206" t="s">
        <v>1242</v>
      </c>
      <c r="W206" t="s">
        <v>1242</v>
      </c>
      <c r="X206" t="s">
        <v>1242</v>
      </c>
      <c r="AG206" t="s">
        <v>605</v>
      </c>
      <c r="AH206">
        <v>0</v>
      </c>
      <c r="BP206" t="s">
        <v>1213</v>
      </c>
      <c r="BQ206" s="771" t="s">
        <v>1213</v>
      </c>
      <c r="BR206" t="s">
        <v>1213</v>
      </c>
      <c r="BS206" t="s">
        <v>1213</v>
      </c>
      <c r="BT206">
        <v>0</v>
      </c>
      <c r="BU206" t="s">
        <v>1213</v>
      </c>
      <c r="BV206">
        <v>0</v>
      </c>
      <c r="BW206" t="s">
        <v>1213</v>
      </c>
      <c r="BX206">
        <v>0</v>
      </c>
      <c r="BY206" t="s">
        <v>1213</v>
      </c>
      <c r="BZ206" t="s">
        <v>2518</v>
      </c>
    </row>
    <row r="207" spans="1:79" x14ac:dyDescent="0.2">
      <c r="A207" t="s">
        <v>2379</v>
      </c>
      <c r="B207" t="s">
        <v>2519</v>
      </c>
      <c r="C207" t="s">
        <v>1112</v>
      </c>
      <c r="D207" t="s">
        <v>1288</v>
      </c>
      <c r="E207" t="s">
        <v>1289</v>
      </c>
      <c r="F207" t="s">
        <v>2381</v>
      </c>
      <c r="G207" t="s">
        <v>1554</v>
      </c>
      <c r="H207" t="s">
        <v>2520</v>
      </c>
      <c r="I207" t="s">
        <v>2383</v>
      </c>
      <c r="J207" t="s">
        <v>1207</v>
      </c>
      <c r="K207" t="s">
        <v>1208</v>
      </c>
      <c r="N207" t="s">
        <v>1400</v>
      </c>
      <c r="O207" t="s">
        <v>665</v>
      </c>
      <c r="P207" t="s">
        <v>2384</v>
      </c>
      <c r="Q207">
        <v>1</v>
      </c>
      <c r="R207" t="s">
        <v>1251</v>
      </c>
      <c r="S207">
        <v>4.5999999999999996</v>
      </c>
      <c r="T207">
        <v>4.5999999999999996</v>
      </c>
      <c r="U207">
        <v>4.5999999999999996</v>
      </c>
      <c r="V207">
        <v>4.5999999999999996</v>
      </c>
      <c r="W207">
        <v>4.5999999999999996</v>
      </c>
      <c r="X207">
        <v>4.5999999999999996</v>
      </c>
      <c r="AH207">
        <v>0</v>
      </c>
      <c r="AJ207" t="s">
        <v>605</v>
      </c>
      <c r="AK207" t="s">
        <v>605</v>
      </c>
      <c r="AL207" t="s">
        <v>605</v>
      </c>
      <c r="AM207" t="s">
        <v>605</v>
      </c>
      <c r="AO207">
        <v>3.6</v>
      </c>
      <c r="AP207">
        <v>3.6</v>
      </c>
      <c r="AQ207">
        <v>3.6</v>
      </c>
      <c r="AR207">
        <v>3.6</v>
      </c>
      <c r="AT207">
        <v>4.5</v>
      </c>
      <c r="AU207">
        <v>4.5</v>
      </c>
      <c r="AV207">
        <v>4.5</v>
      </c>
      <c r="AW207">
        <v>4.5</v>
      </c>
      <c r="AY207">
        <v>4.7</v>
      </c>
      <c r="AZ207">
        <v>4.7</v>
      </c>
      <c r="BA207">
        <v>4.7</v>
      </c>
      <c r="BB207">
        <v>4.7</v>
      </c>
      <c r="BD207">
        <v>5</v>
      </c>
      <c r="BE207">
        <v>5</v>
      </c>
      <c r="BF207">
        <v>5</v>
      </c>
      <c r="BG207">
        <v>5</v>
      </c>
      <c r="BH207">
        <v>1.6E-2</v>
      </c>
      <c r="BL207">
        <v>1.6E-2</v>
      </c>
      <c r="BN207">
        <v>10</v>
      </c>
      <c r="BO207" t="s">
        <v>2385</v>
      </c>
      <c r="BP207" t="s">
        <v>1213</v>
      </c>
      <c r="BQ207" s="769">
        <v>4.4000000000000004</v>
      </c>
      <c r="BR207" t="s">
        <v>606</v>
      </c>
      <c r="BS207" t="s">
        <v>1213</v>
      </c>
      <c r="BT207">
        <v>0</v>
      </c>
      <c r="BU207" t="s">
        <v>1213</v>
      </c>
      <c r="BV207">
        <v>0</v>
      </c>
      <c r="BW207" t="s">
        <v>1213</v>
      </c>
      <c r="BX207">
        <v>0</v>
      </c>
      <c r="BY207" t="s">
        <v>1213</v>
      </c>
      <c r="BZ207" t="s">
        <v>2386</v>
      </c>
    </row>
    <row r="208" spans="1:79" x14ac:dyDescent="0.2">
      <c r="A208" t="s">
        <v>2379</v>
      </c>
      <c r="B208" t="s">
        <v>2521</v>
      </c>
      <c r="C208" t="s">
        <v>1112</v>
      </c>
      <c r="D208" t="s">
        <v>1288</v>
      </c>
      <c r="E208" t="s">
        <v>1289</v>
      </c>
      <c r="F208" t="s">
        <v>2388</v>
      </c>
      <c r="G208" t="s">
        <v>1575</v>
      </c>
      <c r="H208" t="s">
        <v>2522</v>
      </c>
      <c r="I208" t="s">
        <v>2390</v>
      </c>
      <c r="J208" t="s">
        <v>1207</v>
      </c>
      <c r="K208" t="s">
        <v>1208</v>
      </c>
      <c r="N208" t="s">
        <v>1400</v>
      </c>
      <c r="O208" t="s">
        <v>665</v>
      </c>
      <c r="P208" t="s">
        <v>2384</v>
      </c>
      <c r="Q208">
        <v>1</v>
      </c>
      <c r="R208" t="s">
        <v>1251</v>
      </c>
      <c r="S208">
        <v>4.3</v>
      </c>
      <c r="T208">
        <v>4.3</v>
      </c>
      <c r="U208">
        <v>4.3</v>
      </c>
      <c r="V208">
        <v>4.3</v>
      </c>
      <c r="W208">
        <v>4.3</v>
      </c>
      <c r="X208">
        <v>4.3</v>
      </c>
      <c r="AH208">
        <v>0</v>
      </c>
      <c r="AJ208" t="s">
        <v>605</v>
      </c>
      <c r="AK208" t="s">
        <v>605</v>
      </c>
      <c r="AL208" t="s">
        <v>605</v>
      </c>
      <c r="AM208" t="s">
        <v>605</v>
      </c>
      <c r="AO208">
        <v>3.3</v>
      </c>
      <c r="AP208">
        <v>3.3</v>
      </c>
      <c r="AQ208">
        <v>3.3</v>
      </c>
      <c r="AR208">
        <v>3.3</v>
      </c>
      <c r="AT208">
        <v>4.2</v>
      </c>
      <c r="AU208">
        <v>4.2</v>
      </c>
      <c r="AV208">
        <v>4.2</v>
      </c>
      <c r="AW208">
        <v>4.2</v>
      </c>
      <c r="AY208">
        <v>4.4000000000000004</v>
      </c>
      <c r="AZ208">
        <v>4.4000000000000004</v>
      </c>
      <c r="BA208">
        <v>4.4000000000000004</v>
      </c>
      <c r="BB208">
        <v>4.4000000000000004</v>
      </c>
      <c r="BD208">
        <v>5</v>
      </c>
      <c r="BE208">
        <v>5</v>
      </c>
      <c r="BF208">
        <v>5</v>
      </c>
      <c r="BG208">
        <v>5</v>
      </c>
      <c r="BH208">
        <v>3.1E-2</v>
      </c>
      <c r="BL208">
        <v>3.1E-2</v>
      </c>
      <c r="BN208">
        <v>10</v>
      </c>
      <c r="BO208" t="s">
        <v>2385</v>
      </c>
      <c r="BP208" t="s">
        <v>1213</v>
      </c>
      <c r="BQ208" s="769">
        <v>4.0999999999999996</v>
      </c>
      <c r="BR208" t="s">
        <v>606</v>
      </c>
      <c r="BS208" t="s">
        <v>1213</v>
      </c>
      <c r="BT208">
        <v>0</v>
      </c>
      <c r="BU208" t="s">
        <v>1213</v>
      </c>
      <c r="BV208">
        <v>0</v>
      </c>
      <c r="BW208" t="s">
        <v>1213</v>
      </c>
      <c r="BX208">
        <v>0</v>
      </c>
      <c r="BY208" t="s">
        <v>1213</v>
      </c>
      <c r="BZ208" t="s">
        <v>2391</v>
      </c>
    </row>
    <row r="209" spans="1:79" x14ac:dyDescent="0.2">
      <c r="A209" t="s">
        <v>2379</v>
      </c>
      <c r="B209" t="s">
        <v>2523</v>
      </c>
      <c r="C209" t="s">
        <v>1112</v>
      </c>
      <c r="D209" t="s">
        <v>1288</v>
      </c>
      <c r="E209" t="s">
        <v>1289</v>
      </c>
      <c r="F209" t="s">
        <v>2393</v>
      </c>
      <c r="G209" t="s">
        <v>1582</v>
      </c>
      <c r="H209" t="s">
        <v>2524</v>
      </c>
      <c r="I209" t="s">
        <v>2395</v>
      </c>
      <c r="J209" t="s">
        <v>1207</v>
      </c>
      <c r="K209" t="s">
        <v>1208</v>
      </c>
      <c r="N209" t="s">
        <v>1400</v>
      </c>
      <c r="O209" t="s">
        <v>665</v>
      </c>
      <c r="P209" t="s">
        <v>2384</v>
      </c>
      <c r="Q209">
        <v>1</v>
      </c>
      <c r="R209" t="s">
        <v>1251</v>
      </c>
      <c r="S209">
        <v>3.6</v>
      </c>
      <c r="T209">
        <v>4</v>
      </c>
      <c r="U209">
        <v>4</v>
      </c>
      <c r="V209">
        <v>4</v>
      </c>
      <c r="W209">
        <v>4</v>
      </c>
      <c r="X209">
        <v>4</v>
      </c>
      <c r="AH209">
        <v>0</v>
      </c>
      <c r="AJ209" t="s">
        <v>605</v>
      </c>
      <c r="AK209" t="s">
        <v>605</v>
      </c>
      <c r="AL209" t="s">
        <v>605</v>
      </c>
      <c r="AM209" t="s">
        <v>605</v>
      </c>
      <c r="AO209">
        <v>3</v>
      </c>
      <c r="AP209">
        <v>3</v>
      </c>
      <c r="AQ209">
        <v>3</v>
      </c>
      <c r="AR209">
        <v>3</v>
      </c>
      <c r="AT209">
        <v>3.9</v>
      </c>
      <c r="AU209">
        <v>3.9</v>
      </c>
      <c r="AV209">
        <v>3.9</v>
      </c>
      <c r="AW209">
        <v>3.9</v>
      </c>
      <c r="AY209">
        <v>4.0999999999999996</v>
      </c>
      <c r="AZ209">
        <v>4.0999999999999996</v>
      </c>
      <c r="BA209">
        <v>4.0999999999999996</v>
      </c>
      <c r="BB209">
        <v>4.0999999999999996</v>
      </c>
      <c r="BD209">
        <v>5</v>
      </c>
      <c r="BE209">
        <v>5</v>
      </c>
      <c r="BF209">
        <v>5</v>
      </c>
      <c r="BG209">
        <v>5</v>
      </c>
      <c r="BH209">
        <v>3.6999999999999998E-2</v>
      </c>
      <c r="BL209">
        <v>3.6999999999999998E-2</v>
      </c>
      <c r="BN209">
        <v>10</v>
      </c>
      <c r="BO209" t="s">
        <v>2385</v>
      </c>
      <c r="BP209" t="s">
        <v>1213</v>
      </c>
      <c r="BQ209" s="769">
        <v>3.4</v>
      </c>
      <c r="BR209" t="s">
        <v>606</v>
      </c>
      <c r="BS209" t="s">
        <v>1213</v>
      </c>
      <c r="BT209">
        <v>0</v>
      </c>
      <c r="BU209" t="s">
        <v>1213</v>
      </c>
      <c r="BV209">
        <v>0</v>
      </c>
      <c r="BW209" t="s">
        <v>1213</v>
      </c>
      <c r="BX209">
        <v>0</v>
      </c>
      <c r="BY209" t="s">
        <v>1213</v>
      </c>
      <c r="BZ209" t="s">
        <v>2396</v>
      </c>
    </row>
    <row r="210" spans="1:79" x14ac:dyDescent="0.2">
      <c r="A210" t="s">
        <v>2379</v>
      </c>
      <c r="B210" t="s">
        <v>2525</v>
      </c>
      <c r="C210" t="s">
        <v>1112</v>
      </c>
      <c r="D210" t="s">
        <v>1288</v>
      </c>
      <c r="E210" t="s">
        <v>1289</v>
      </c>
      <c r="F210" t="s">
        <v>2402</v>
      </c>
      <c r="G210" t="s">
        <v>1595</v>
      </c>
      <c r="H210" t="s">
        <v>2526</v>
      </c>
      <c r="I210" t="s">
        <v>2404</v>
      </c>
      <c r="J210" t="s">
        <v>1207</v>
      </c>
      <c r="K210" t="s">
        <v>1208</v>
      </c>
      <c r="N210" t="s">
        <v>1400</v>
      </c>
      <c r="O210" t="s">
        <v>665</v>
      </c>
      <c r="P210" t="s">
        <v>2384</v>
      </c>
      <c r="Q210">
        <v>1</v>
      </c>
      <c r="R210" t="s">
        <v>1251</v>
      </c>
      <c r="S210">
        <v>4.5</v>
      </c>
      <c r="T210">
        <v>4.5</v>
      </c>
      <c r="U210">
        <v>4.5</v>
      </c>
      <c r="V210">
        <v>4.5</v>
      </c>
      <c r="W210">
        <v>4.5</v>
      </c>
      <c r="X210">
        <v>4.5</v>
      </c>
      <c r="AH210">
        <v>0</v>
      </c>
      <c r="AJ210" t="s">
        <v>605</v>
      </c>
      <c r="AK210" t="s">
        <v>605</v>
      </c>
      <c r="AL210" t="s">
        <v>605</v>
      </c>
      <c r="AM210" t="s">
        <v>605</v>
      </c>
      <c r="AO210">
        <v>3.5</v>
      </c>
      <c r="AP210">
        <v>3.5</v>
      </c>
      <c r="AQ210">
        <v>3.5</v>
      </c>
      <c r="AR210">
        <v>3.5</v>
      </c>
      <c r="AT210">
        <v>4.4000000000000004</v>
      </c>
      <c r="AU210">
        <v>4.4000000000000004</v>
      </c>
      <c r="AV210">
        <v>4.4000000000000004</v>
      </c>
      <c r="AW210">
        <v>4.4000000000000004</v>
      </c>
      <c r="AY210">
        <v>4.5999999999999996</v>
      </c>
      <c r="AZ210">
        <v>4.5999999999999996</v>
      </c>
      <c r="BA210">
        <v>4.5999999999999996</v>
      </c>
      <c r="BB210">
        <v>4.5999999999999996</v>
      </c>
      <c r="BD210">
        <v>5</v>
      </c>
      <c r="BE210">
        <v>5</v>
      </c>
      <c r="BF210">
        <v>5</v>
      </c>
      <c r="BG210">
        <v>5</v>
      </c>
      <c r="BH210">
        <v>8.0000000000000002E-3</v>
      </c>
      <c r="BL210">
        <v>8.0000000000000002E-3</v>
      </c>
      <c r="BN210">
        <v>10</v>
      </c>
      <c r="BO210" t="s">
        <v>2385</v>
      </c>
      <c r="BP210" t="s">
        <v>1213</v>
      </c>
      <c r="BQ210" s="769">
        <v>4.2</v>
      </c>
      <c r="BR210" t="s">
        <v>606</v>
      </c>
      <c r="BS210" t="s">
        <v>1213</v>
      </c>
      <c r="BT210">
        <v>0</v>
      </c>
      <c r="BU210" t="s">
        <v>1213</v>
      </c>
      <c r="BV210">
        <v>0</v>
      </c>
      <c r="BW210" t="s">
        <v>1213</v>
      </c>
      <c r="BX210">
        <v>0</v>
      </c>
      <c r="BY210" t="s">
        <v>1213</v>
      </c>
      <c r="BZ210" t="s">
        <v>2405</v>
      </c>
    </row>
    <row r="211" spans="1:79" x14ac:dyDescent="0.2">
      <c r="A211" t="s">
        <v>2379</v>
      </c>
      <c r="B211" t="s">
        <v>2527</v>
      </c>
      <c r="C211" t="s">
        <v>1112</v>
      </c>
      <c r="D211" t="s">
        <v>1288</v>
      </c>
      <c r="E211" t="s">
        <v>1289</v>
      </c>
      <c r="F211" t="s">
        <v>2402</v>
      </c>
      <c r="G211" t="s">
        <v>2141</v>
      </c>
      <c r="H211" t="s">
        <v>2528</v>
      </c>
      <c r="I211" t="s">
        <v>2408</v>
      </c>
      <c r="J211" t="s">
        <v>1207</v>
      </c>
      <c r="K211" t="s">
        <v>1208</v>
      </c>
      <c r="M211" t="s">
        <v>606</v>
      </c>
      <c r="N211" t="s">
        <v>1294</v>
      </c>
      <c r="O211" t="s">
        <v>665</v>
      </c>
      <c r="P211" t="s">
        <v>1295</v>
      </c>
      <c r="Q211">
        <v>1</v>
      </c>
      <c r="R211" t="s">
        <v>1251</v>
      </c>
      <c r="S211">
        <v>78</v>
      </c>
      <c r="X211" t="s">
        <v>1950</v>
      </c>
      <c r="AH211">
        <v>0</v>
      </c>
      <c r="AI211" t="s">
        <v>605</v>
      </c>
      <c r="AJ211" t="s">
        <v>605</v>
      </c>
      <c r="AK211" t="s">
        <v>605</v>
      </c>
      <c r="AL211" t="s">
        <v>605</v>
      </c>
      <c r="AM211" t="s">
        <v>605</v>
      </c>
      <c r="AN211" t="s">
        <v>1296</v>
      </c>
      <c r="AO211" t="s">
        <v>1296</v>
      </c>
      <c r="AP211" t="s">
        <v>1296</v>
      </c>
      <c r="AQ211" t="s">
        <v>1296</v>
      </c>
      <c r="AR211" t="s">
        <v>1296</v>
      </c>
      <c r="AS211" t="s">
        <v>1296</v>
      </c>
      <c r="AT211" t="s">
        <v>1296</v>
      </c>
      <c r="AU211" t="s">
        <v>1296</v>
      </c>
      <c r="AV211" t="s">
        <v>1296</v>
      </c>
      <c r="AW211" t="s">
        <v>1296</v>
      </c>
      <c r="AX211" t="s">
        <v>1296</v>
      </c>
      <c r="AY211" t="s">
        <v>1296</v>
      </c>
      <c r="AZ211" t="s">
        <v>1296</v>
      </c>
      <c r="BA211" t="s">
        <v>1296</v>
      </c>
      <c r="BB211" t="s">
        <v>1296</v>
      </c>
      <c r="BC211" t="s">
        <v>1296</v>
      </c>
      <c r="BD211" t="s">
        <v>1296</v>
      </c>
      <c r="BE211" t="s">
        <v>1296</v>
      </c>
      <c r="BF211" t="s">
        <v>1296</v>
      </c>
      <c r="BG211" t="s">
        <v>1296</v>
      </c>
      <c r="BH211" t="s">
        <v>1296</v>
      </c>
      <c r="BL211" t="s">
        <v>1296</v>
      </c>
      <c r="BN211">
        <v>1</v>
      </c>
      <c r="BO211" t="s">
        <v>1212</v>
      </c>
      <c r="BP211" t="s">
        <v>1213</v>
      </c>
      <c r="BQ211" s="769">
        <v>81.95</v>
      </c>
      <c r="BR211" t="s">
        <v>1213</v>
      </c>
      <c r="BS211" t="s">
        <v>1213</v>
      </c>
      <c r="BT211">
        <v>0</v>
      </c>
      <c r="BU211" t="s">
        <v>1213</v>
      </c>
      <c r="BV211">
        <v>0</v>
      </c>
      <c r="BW211" t="s">
        <v>1213</v>
      </c>
      <c r="BX211">
        <v>0</v>
      </c>
      <c r="BY211" t="s">
        <v>1213</v>
      </c>
      <c r="BZ211" t="s">
        <v>2409</v>
      </c>
      <c r="CA211" t="s">
        <v>1298</v>
      </c>
    </row>
    <row r="212" spans="1:79" x14ac:dyDescent="0.2">
      <c r="A212" t="s">
        <v>2379</v>
      </c>
      <c r="B212" t="s">
        <v>2529</v>
      </c>
      <c r="C212" t="s">
        <v>1112</v>
      </c>
      <c r="D212" t="s">
        <v>1288</v>
      </c>
      <c r="E212" t="s">
        <v>1289</v>
      </c>
      <c r="F212" t="s">
        <v>2411</v>
      </c>
      <c r="G212" t="s">
        <v>1603</v>
      </c>
      <c r="H212" t="s">
        <v>2530</v>
      </c>
      <c r="I212" t="s">
        <v>2413</v>
      </c>
      <c r="J212" t="s">
        <v>1241</v>
      </c>
      <c r="N212" t="s">
        <v>1303</v>
      </c>
      <c r="O212" t="s">
        <v>264</v>
      </c>
      <c r="P212" t="s">
        <v>1401</v>
      </c>
      <c r="Q212">
        <v>0</v>
      </c>
      <c r="R212" t="s">
        <v>1251</v>
      </c>
      <c r="S212">
        <v>72</v>
      </c>
      <c r="X212" t="s">
        <v>1950</v>
      </c>
      <c r="AH212">
        <v>0</v>
      </c>
      <c r="BP212">
        <v>72</v>
      </c>
      <c r="BQ212" s="772">
        <v>71</v>
      </c>
      <c r="BR212" t="s">
        <v>1213</v>
      </c>
      <c r="BS212" t="s">
        <v>1213</v>
      </c>
      <c r="BT212">
        <v>0</v>
      </c>
      <c r="BU212" t="s">
        <v>1213</v>
      </c>
      <c r="BV212">
        <v>0</v>
      </c>
      <c r="BW212" t="s">
        <v>1213</v>
      </c>
      <c r="BX212">
        <v>0</v>
      </c>
      <c r="BY212" t="s">
        <v>1213</v>
      </c>
      <c r="BZ212" t="s">
        <v>2414</v>
      </c>
    </row>
    <row r="213" spans="1:79" x14ac:dyDescent="0.2">
      <c r="A213" t="s">
        <v>2379</v>
      </c>
      <c r="B213" t="s">
        <v>2531</v>
      </c>
      <c r="C213" t="s">
        <v>1112</v>
      </c>
      <c r="D213" t="s">
        <v>1288</v>
      </c>
      <c r="E213" t="s">
        <v>1289</v>
      </c>
      <c r="F213" t="s">
        <v>2416</v>
      </c>
      <c r="G213" t="s">
        <v>1610</v>
      </c>
      <c r="H213" t="s">
        <v>2532</v>
      </c>
      <c r="I213" t="s">
        <v>2418</v>
      </c>
      <c r="J213" t="s">
        <v>1207</v>
      </c>
      <c r="K213" t="s">
        <v>1208</v>
      </c>
      <c r="N213" t="s">
        <v>1400</v>
      </c>
      <c r="O213" t="s">
        <v>665</v>
      </c>
      <c r="P213" t="s">
        <v>2384</v>
      </c>
      <c r="Q213">
        <v>1</v>
      </c>
      <c r="R213" t="s">
        <v>1251</v>
      </c>
      <c r="S213">
        <v>4.5</v>
      </c>
      <c r="T213">
        <v>4.5</v>
      </c>
      <c r="U213">
        <v>4.5</v>
      </c>
      <c r="V213">
        <v>4.5</v>
      </c>
      <c r="W213">
        <v>4.5</v>
      </c>
      <c r="X213">
        <v>4.5</v>
      </c>
      <c r="AH213">
        <v>0</v>
      </c>
      <c r="AJ213" t="s">
        <v>605</v>
      </c>
      <c r="AK213" t="s">
        <v>605</v>
      </c>
      <c r="AL213" t="s">
        <v>605</v>
      </c>
      <c r="AM213" t="s">
        <v>605</v>
      </c>
      <c r="AO213">
        <v>3.5</v>
      </c>
      <c r="AP213">
        <v>3.5</v>
      </c>
      <c r="AQ213">
        <v>3.5</v>
      </c>
      <c r="AR213">
        <v>3.5</v>
      </c>
      <c r="AT213">
        <v>4.4000000000000004</v>
      </c>
      <c r="AU213">
        <v>4.4000000000000004</v>
      </c>
      <c r="AV213">
        <v>4.4000000000000004</v>
      </c>
      <c r="AW213">
        <v>4.4000000000000004</v>
      </c>
      <c r="AY213">
        <v>4.5999999999999996</v>
      </c>
      <c r="AZ213">
        <v>4.5999999999999996</v>
      </c>
      <c r="BA213">
        <v>4.5999999999999996</v>
      </c>
      <c r="BB213">
        <v>4.5999999999999996</v>
      </c>
      <c r="BD213">
        <v>5</v>
      </c>
      <c r="BE213">
        <v>5</v>
      </c>
      <c r="BF213">
        <v>5</v>
      </c>
      <c r="BG213">
        <v>5</v>
      </c>
      <c r="BH213">
        <v>2.7E-2</v>
      </c>
      <c r="BL213">
        <v>2.7E-2</v>
      </c>
      <c r="BN213">
        <v>10</v>
      </c>
      <c r="BO213" t="s">
        <v>2385</v>
      </c>
      <c r="BP213" t="s">
        <v>1213</v>
      </c>
      <c r="BQ213" s="769">
        <v>4.2</v>
      </c>
      <c r="BR213" t="s">
        <v>606</v>
      </c>
      <c r="BS213" t="s">
        <v>1213</v>
      </c>
      <c r="BT213">
        <v>0</v>
      </c>
      <c r="BU213" t="s">
        <v>1213</v>
      </c>
      <c r="BV213">
        <v>0</v>
      </c>
      <c r="BW213" t="s">
        <v>1213</v>
      </c>
      <c r="BX213">
        <v>0</v>
      </c>
      <c r="BY213" t="s">
        <v>1213</v>
      </c>
      <c r="BZ213" t="s">
        <v>2419</v>
      </c>
    </row>
    <row r="214" spans="1:79" x14ac:dyDescent="0.2">
      <c r="A214" t="s">
        <v>2379</v>
      </c>
      <c r="B214" t="s">
        <v>2533</v>
      </c>
      <c r="C214" t="s">
        <v>1112</v>
      </c>
      <c r="D214" t="s">
        <v>1288</v>
      </c>
      <c r="E214" t="s">
        <v>1289</v>
      </c>
      <c r="F214" t="s">
        <v>2427</v>
      </c>
      <c r="G214" t="s">
        <v>1616</v>
      </c>
      <c r="H214" t="s">
        <v>2534</v>
      </c>
      <c r="I214" t="s">
        <v>2429</v>
      </c>
      <c r="J214" t="s">
        <v>1207</v>
      </c>
      <c r="K214" t="s">
        <v>1208</v>
      </c>
      <c r="N214" t="s">
        <v>1400</v>
      </c>
      <c r="O214" t="s">
        <v>665</v>
      </c>
      <c r="P214" t="s">
        <v>2384</v>
      </c>
      <c r="Q214">
        <v>1</v>
      </c>
      <c r="R214" t="s">
        <v>1251</v>
      </c>
      <c r="S214">
        <v>4.7</v>
      </c>
      <c r="T214">
        <v>4.7</v>
      </c>
      <c r="U214">
        <v>4.7</v>
      </c>
      <c r="V214">
        <v>4.7</v>
      </c>
      <c r="W214">
        <v>4.7</v>
      </c>
      <c r="X214">
        <v>4.7</v>
      </c>
      <c r="AH214">
        <v>0</v>
      </c>
      <c r="AJ214" t="s">
        <v>605</v>
      </c>
      <c r="AK214" t="s">
        <v>605</v>
      </c>
      <c r="AL214" t="s">
        <v>605</v>
      </c>
      <c r="AM214" t="s">
        <v>605</v>
      </c>
      <c r="AO214">
        <v>3.7</v>
      </c>
      <c r="AP214">
        <v>3.7</v>
      </c>
      <c r="AQ214">
        <v>3.7</v>
      </c>
      <c r="AR214">
        <v>3.7</v>
      </c>
      <c r="AT214">
        <v>4.5999999999999996</v>
      </c>
      <c r="AU214">
        <v>4.5999999999999996</v>
      </c>
      <c r="AV214">
        <v>4.5999999999999996</v>
      </c>
      <c r="AW214">
        <v>4.5999999999999996</v>
      </c>
      <c r="AY214">
        <v>4.8</v>
      </c>
      <c r="AZ214">
        <v>4.8</v>
      </c>
      <c r="BA214">
        <v>4.8</v>
      </c>
      <c r="BB214">
        <v>4.8</v>
      </c>
      <c r="BD214">
        <v>5</v>
      </c>
      <c r="BE214">
        <v>5</v>
      </c>
      <c r="BF214">
        <v>5</v>
      </c>
      <c r="BG214">
        <v>5</v>
      </c>
      <c r="BH214">
        <v>6.0000000000000001E-3</v>
      </c>
      <c r="BL214">
        <v>6.0000000000000001E-3</v>
      </c>
      <c r="BN214">
        <v>10</v>
      </c>
      <c r="BO214" t="s">
        <v>2385</v>
      </c>
      <c r="BP214" t="s">
        <v>1213</v>
      </c>
      <c r="BQ214" s="769">
        <v>4.5999999999999996</v>
      </c>
      <c r="BR214" t="s">
        <v>606</v>
      </c>
      <c r="BS214" t="s">
        <v>1213</v>
      </c>
      <c r="BT214">
        <v>0</v>
      </c>
      <c r="BU214" t="s">
        <v>1213</v>
      </c>
      <c r="BV214">
        <v>0</v>
      </c>
      <c r="BW214" t="s">
        <v>1213</v>
      </c>
      <c r="BX214">
        <v>0</v>
      </c>
      <c r="BY214" t="s">
        <v>1213</v>
      </c>
      <c r="BZ214" t="s">
        <v>2430</v>
      </c>
    </row>
    <row r="215" spans="1:79" x14ac:dyDescent="0.2">
      <c r="A215" t="s">
        <v>2379</v>
      </c>
      <c r="B215" t="s">
        <v>2535</v>
      </c>
      <c r="C215" t="s">
        <v>1112</v>
      </c>
      <c r="D215" t="s">
        <v>1288</v>
      </c>
      <c r="E215" t="s">
        <v>1289</v>
      </c>
      <c r="F215" t="s">
        <v>2436</v>
      </c>
      <c r="G215" t="s">
        <v>1624</v>
      </c>
      <c r="H215" t="s">
        <v>2536</v>
      </c>
      <c r="I215" t="s">
        <v>2438</v>
      </c>
      <c r="J215" t="s">
        <v>1207</v>
      </c>
      <c r="K215" t="s">
        <v>1208</v>
      </c>
      <c r="N215" t="s">
        <v>1400</v>
      </c>
      <c r="O215" t="s">
        <v>665</v>
      </c>
      <c r="P215" t="s">
        <v>2384</v>
      </c>
      <c r="Q215">
        <v>1</v>
      </c>
      <c r="R215" t="s">
        <v>1251</v>
      </c>
      <c r="S215">
        <v>4.0999999999999996</v>
      </c>
      <c r="T215">
        <v>4.0999999999999996</v>
      </c>
      <c r="U215">
        <v>4.0999999999999996</v>
      </c>
      <c r="V215">
        <v>4.0999999999999996</v>
      </c>
      <c r="W215">
        <v>4.0999999999999996</v>
      </c>
      <c r="X215">
        <v>4.0999999999999996</v>
      </c>
      <c r="AH215">
        <v>0</v>
      </c>
      <c r="AJ215" t="s">
        <v>605</v>
      </c>
      <c r="AK215" t="s">
        <v>605</v>
      </c>
      <c r="AL215" t="s">
        <v>605</v>
      </c>
      <c r="AM215" t="s">
        <v>605</v>
      </c>
      <c r="AO215">
        <v>3.1</v>
      </c>
      <c r="AP215">
        <v>3.1</v>
      </c>
      <c r="AQ215">
        <v>3.1</v>
      </c>
      <c r="AR215">
        <v>3.1</v>
      </c>
      <c r="AT215">
        <v>4</v>
      </c>
      <c r="AU215">
        <v>4</v>
      </c>
      <c r="AV215">
        <v>4</v>
      </c>
      <c r="AW215">
        <v>4</v>
      </c>
      <c r="AY215">
        <v>4.2</v>
      </c>
      <c r="AZ215">
        <v>4.2</v>
      </c>
      <c r="BA215">
        <v>4.2</v>
      </c>
      <c r="BB215">
        <v>4.2</v>
      </c>
      <c r="BD215">
        <v>5</v>
      </c>
      <c r="BE215">
        <v>5</v>
      </c>
      <c r="BF215">
        <v>5</v>
      </c>
      <c r="BG215">
        <v>5</v>
      </c>
      <c r="BH215">
        <v>2.4E-2</v>
      </c>
      <c r="BL215">
        <v>2.4E-2</v>
      </c>
      <c r="BN215">
        <v>10</v>
      </c>
      <c r="BO215" t="s">
        <v>2385</v>
      </c>
      <c r="BP215" t="s">
        <v>1213</v>
      </c>
      <c r="BQ215" s="769">
        <v>4.2</v>
      </c>
      <c r="BR215" t="s">
        <v>605</v>
      </c>
      <c r="BS215" t="s">
        <v>1213</v>
      </c>
      <c r="BT215">
        <v>0</v>
      </c>
      <c r="BU215" t="s">
        <v>1213</v>
      </c>
      <c r="BV215">
        <v>0</v>
      </c>
      <c r="BW215" t="s">
        <v>1213</v>
      </c>
      <c r="BX215">
        <v>0</v>
      </c>
      <c r="BY215" t="s">
        <v>1213</v>
      </c>
      <c r="BZ215" t="s">
        <v>2439</v>
      </c>
    </row>
    <row r="216" spans="1:79" x14ac:dyDescent="0.2">
      <c r="A216" t="s">
        <v>1096</v>
      </c>
      <c r="B216" t="s">
        <v>2537</v>
      </c>
      <c r="C216" t="s">
        <v>1077</v>
      </c>
      <c r="D216" t="s">
        <v>457</v>
      </c>
      <c r="E216" t="s">
        <v>1202</v>
      </c>
      <c r="F216" t="s">
        <v>2538</v>
      </c>
      <c r="G216">
        <v>1</v>
      </c>
      <c r="H216" t="s">
        <v>2539</v>
      </c>
      <c r="I216" t="s">
        <v>2540</v>
      </c>
      <c r="J216" t="s">
        <v>1219</v>
      </c>
      <c r="K216" t="s">
        <v>1563</v>
      </c>
      <c r="M216" t="s">
        <v>606</v>
      </c>
      <c r="N216" t="s">
        <v>1272</v>
      </c>
      <c r="O216" t="s">
        <v>1410</v>
      </c>
      <c r="P216" t="s">
        <v>1564</v>
      </c>
      <c r="Q216" t="s">
        <v>1212</v>
      </c>
      <c r="S216" t="s">
        <v>1710</v>
      </c>
      <c r="T216" t="s">
        <v>612</v>
      </c>
      <c r="U216" t="s">
        <v>612</v>
      </c>
      <c r="V216" t="s">
        <v>612</v>
      </c>
      <c r="W216" t="s">
        <v>612</v>
      </c>
      <c r="X216" t="s">
        <v>612</v>
      </c>
      <c r="AE216" t="s">
        <v>605</v>
      </c>
      <c r="AH216">
        <v>5</v>
      </c>
      <c r="AI216" t="s">
        <v>605</v>
      </c>
      <c r="AJ216" t="s">
        <v>605</v>
      </c>
      <c r="AK216" t="s">
        <v>605</v>
      </c>
      <c r="AL216" t="s">
        <v>605</v>
      </c>
      <c r="AM216" t="s">
        <v>605</v>
      </c>
      <c r="AN216" t="s">
        <v>2492</v>
      </c>
      <c r="AO216" t="s">
        <v>2492</v>
      </c>
      <c r="AP216" t="s">
        <v>2492</v>
      </c>
      <c r="AQ216" t="s">
        <v>2492</v>
      </c>
      <c r="AR216" t="s">
        <v>2492</v>
      </c>
      <c r="AS216" t="s">
        <v>2492</v>
      </c>
      <c r="AT216" t="s">
        <v>2492</v>
      </c>
      <c r="AU216" t="s">
        <v>2492</v>
      </c>
      <c r="AV216" t="s">
        <v>2492</v>
      </c>
      <c r="AW216" t="s">
        <v>2492</v>
      </c>
      <c r="BH216" t="s">
        <v>2492</v>
      </c>
      <c r="BI216" t="s">
        <v>2492</v>
      </c>
      <c r="BJ216" t="s">
        <v>2492</v>
      </c>
      <c r="BK216" t="s">
        <v>2492</v>
      </c>
      <c r="BN216">
        <v>1</v>
      </c>
      <c r="BO216" t="s">
        <v>1212</v>
      </c>
      <c r="BP216" t="s">
        <v>1710</v>
      </c>
      <c r="BQ216" s="771" t="s">
        <v>612</v>
      </c>
      <c r="BR216" t="s">
        <v>605</v>
      </c>
      <c r="BS216" t="s">
        <v>1213</v>
      </c>
      <c r="BT216">
        <v>0</v>
      </c>
      <c r="BU216" t="s">
        <v>1213</v>
      </c>
      <c r="BV216">
        <v>0</v>
      </c>
      <c r="BW216" t="s">
        <v>1213</v>
      </c>
      <c r="BX216">
        <v>0</v>
      </c>
      <c r="BY216" t="s">
        <v>1213</v>
      </c>
      <c r="BZ216" t="s">
        <v>2541</v>
      </c>
      <c r="CA216" t="s">
        <v>2542</v>
      </c>
    </row>
    <row r="217" spans="1:79" x14ac:dyDescent="0.2">
      <c r="A217" t="s">
        <v>1096</v>
      </c>
      <c r="B217" t="s">
        <v>2543</v>
      </c>
      <c r="C217" t="s">
        <v>1077</v>
      </c>
      <c r="D217" t="s">
        <v>457</v>
      </c>
      <c r="E217" t="s">
        <v>1202</v>
      </c>
      <c r="F217" t="s">
        <v>2538</v>
      </c>
      <c r="G217">
        <v>2</v>
      </c>
      <c r="H217" t="s">
        <v>2544</v>
      </c>
      <c r="I217" t="s">
        <v>2545</v>
      </c>
      <c r="J217" t="s">
        <v>1219</v>
      </c>
      <c r="K217" t="s">
        <v>1208</v>
      </c>
      <c r="N217" t="s">
        <v>1338</v>
      </c>
      <c r="O217" t="s">
        <v>272</v>
      </c>
      <c r="P217" t="s">
        <v>2546</v>
      </c>
      <c r="Q217">
        <v>0</v>
      </c>
      <c r="R217" t="s">
        <v>1211</v>
      </c>
      <c r="S217">
        <v>0</v>
      </c>
      <c r="T217">
        <v>0</v>
      </c>
      <c r="U217">
        <v>0</v>
      </c>
      <c r="V217">
        <v>0</v>
      </c>
      <c r="W217">
        <v>0</v>
      </c>
      <c r="X217">
        <v>0</v>
      </c>
      <c r="AH217">
        <v>0</v>
      </c>
      <c r="AI217" t="s">
        <v>605</v>
      </c>
      <c r="AJ217" t="s">
        <v>605</v>
      </c>
      <c r="AK217" t="s">
        <v>605</v>
      </c>
      <c r="AL217" t="s">
        <v>605</v>
      </c>
      <c r="AM217" t="s">
        <v>605</v>
      </c>
      <c r="AN217">
        <v>1095338</v>
      </c>
      <c r="AO217">
        <v>1095338</v>
      </c>
      <c r="AP217">
        <v>1095338</v>
      </c>
      <c r="AQ217">
        <v>1095338</v>
      </c>
      <c r="AR217">
        <v>1095338</v>
      </c>
      <c r="AS217">
        <v>0</v>
      </c>
      <c r="AT217">
        <v>0</v>
      </c>
      <c r="AU217">
        <v>0</v>
      </c>
      <c r="AV217">
        <v>0</v>
      </c>
      <c r="AW217">
        <v>0</v>
      </c>
      <c r="BH217">
        <v>1.484E-5</v>
      </c>
      <c r="BN217">
        <v>1</v>
      </c>
      <c r="BO217" t="s">
        <v>1212</v>
      </c>
      <c r="BP217">
        <v>0</v>
      </c>
      <c r="BQ217" s="772">
        <v>0</v>
      </c>
      <c r="BR217" t="s">
        <v>605</v>
      </c>
      <c r="BS217" t="s">
        <v>1213</v>
      </c>
      <c r="BT217">
        <v>0</v>
      </c>
      <c r="BU217" t="s">
        <v>1213</v>
      </c>
      <c r="BV217">
        <v>0</v>
      </c>
      <c r="BW217" t="s">
        <v>1213</v>
      </c>
      <c r="BX217">
        <v>0</v>
      </c>
      <c r="BY217" t="s">
        <v>1213</v>
      </c>
      <c r="BZ217" t="s">
        <v>2547</v>
      </c>
      <c r="CA217" t="s">
        <v>2548</v>
      </c>
    </row>
    <row r="218" spans="1:79" x14ac:dyDescent="0.2">
      <c r="A218" t="s">
        <v>1096</v>
      </c>
      <c r="B218" t="s">
        <v>2549</v>
      </c>
      <c r="C218" t="s">
        <v>1077</v>
      </c>
      <c r="D218" t="s">
        <v>457</v>
      </c>
      <c r="E218" t="s">
        <v>1202</v>
      </c>
      <c r="F218" t="s">
        <v>2538</v>
      </c>
      <c r="G218">
        <v>3</v>
      </c>
      <c r="H218" t="s">
        <v>2550</v>
      </c>
      <c r="I218" t="s">
        <v>2551</v>
      </c>
      <c r="J218" t="s">
        <v>1207</v>
      </c>
      <c r="K218" t="s">
        <v>1208</v>
      </c>
      <c r="N218" t="s">
        <v>1209</v>
      </c>
      <c r="O218" t="s">
        <v>272</v>
      </c>
      <c r="P218" t="s">
        <v>1210</v>
      </c>
      <c r="Q218">
        <v>1</v>
      </c>
      <c r="R218" t="s">
        <v>1211</v>
      </c>
      <c r="S218">
        <v>88</v>
      </c>
      <c r="X218">
        <v>87</v>
      </c>
      <c r="AE218" t="s">
        <v>605</v>
      </c>
      <c r="AH218">
        <v>0</v>
      </c>
      <c r="AM218" t="s">
        <v>605</v>
      </c>
      <c r="AR218">
        <v>96</v>
      </c>
      <c r="AW218">
        <v>87</v>
      </c>
      <c r="BB218">
        <v>85</v>
      </c>
      <c r="BG218">
        <v>83.6</v>
      </c>
      <c r="BH218">
        <v>0.13686799999999999</v>
      </c>
      <c r="BL218">
        <v>0.109496</v>
      </c>
      <c r="BN218">
        <v>1</v>
      </c>
      <c r="BO218" t="s">
        <v>1212</v>
      </c>
      <c r="BP218">
        <v>81.7</v>
      </c>
      <c r="BQ218" s="769">
        <v>83.9</v>
      </c>
      <c r="BR218" t="s">
        <v>1213</v>
      </c>
      <c r="BS218" t="s">
        <v>1213</v>
      </c>
      <c r="BT218">
        <v>0</v>
      </c>
      <c r="BU218" t="s">
        <v>1213</v>
      </c>
      <c r="BV218">
        <v>0</v>
      </c>
      <c r="BW218" t="s">
        <v>1213</v>
      </c>
      <c r="BX218">
        <v>0</v>
      </c>
      <c r="BY218" t="s">
        <v>1213</v>
      </c>
      <c r="BZ218" t="s">
        <v>2552</v>
      </c>
    </row>
    <row r="219" spans="1:79" x14ac:dyDescent="0.2">
      <c r="A219" t="s">
        <v>1096</v>
      </c>
      <c r="B219" t="s">
        <v>2553</v>
      </c>
      <c r="C219" t="s">
        <v>1077</v>
      </c>
      <c r="D219" t="s">
        <v>457</v>
      </c>
      <c r="E219" t="s">
        <v>1202</v>
      </c>
      <c r="F219" t="s">
        <v>2538</v>
      </c>
      <c r="G219">
        <v>4</v>
      </c>
      <c r="H219" t="s">
        <v>2554</v>
      </c>
      <c r="I219" t="s">
        <v>2555</v>
      </c>
      <c r="J219" t="s">
        <v>1219</v>
      </c>
      <c r="K219" t="s">
        <v>1208</v>
      </c>
      <c r="N219" t="s">
        <v>1265</v>
      </c>
      <c r="O219" t="s">
        <v>1309</v>
      </c>
      <c r="P219" t="s">
        <v>1310</v>
      </c>
      <c r="Q219">
        <v>0</v>
      </c>
      <c r="R219" t="s">
        <v>1211</v>
      </c>
      <c r="S219">
        <v>9</v>
      </c>
      <c r="T219">
        <v>9</v>
      </c>
      <c r="U219">
        <v>9</v>
      </c>
      <c r="V219">
        <v>9</v>
      </c>
      <c r="W219">
        <v>9</v>
      </c>
      <c r="X219">
        <v>9</v>
      </c>
      <c r="AA219" t="s">
        <v>605</v>
      </c>
      <c r="AE219" t="s">
        <v>605</v>
      </c>
      <c r="AH219">
        <v>0</v>
      </c>
      <c r="AI219" t="s">
        <v>605</v>
      </c>
      <c r="AJ219" t="s">
        <v>605</v>
      </c>
      <c r="AK219" t="s">
        <v>605</v>
      </c>
      <c r="AL219" t="s">
        <v>605</v>
      </c>
      <c r="AM219" t="s">
        <v>605</v>
      </c>
      <c r="AN219">
        <v>22</v>
      </c>
      <c r="AO219">
        <v>22</v>
      </c>
      <c r="AP219">
        <v>22</v>
      </c>
      <c r="AQ219">
        <v>22</v>
      </c>
      <c r="AR219">
        <v>22</v>
      </c>
      <c r="AS219">
        <v>12</v>
      </c>
      <c r="AT219">
        <v>12</v>
      </c>
      <c r="AU219">
        <v>12</v>
      </c>
      <c r="AV219">
        <v>12</v>
      </c>
      <c r="AW219">
        <v>12</v>
      </c>
      <c r="BH219">
        <v>5.7403000000000003E-2</v>
      </c>
      <c r="BN219">
        <v>1</v>
      </c>
      <c r="BO219" t="s">
        <v>1212</v>
      </c>
      <c r="BP219">
        <v>6</v>
      </c>
      <c r="BQ219" s="772">
        <v>12</v>
      </c>
      <c r="BR219" t="s">
        <v>606</v>
      </c>
      <c r="BS219" t="s">
        <v>1213</v>
      </c>
      <c r="BT219">
        <v>0</v>
      </c>
      <c r="BU219" t="s">
        <v>607</v>
      </c>
      <c r="BV219">
        <v>0</v>
      </c>
      <c r="BW219" t="s">
        <v>1213</v>
      </c>
      <c r="BX219">
        <v>0</v>
      </c>
      <c r="BY219" t="s">
        <v>1173</v>
      </c>
      <c r="BZ219" t="s">
        <v>2556</v>
      </c>
    </row>
    <row r="220" spans="1:79" x14ac:dyDescent="0.2">
      <c r="A220" t="s">
        <v>1096</v>
      </c>
      <c r="B220" t="s">
        <v>2557</v>
      </c>
      <c r="C220" t="s">
        <v>1077</v>
      </c>
      <c r="D220" t="s">
        <v>457</v>
      </c>
      <c r="E220" t="s">
        <v>1202</v>
      </c>
      <c r="F220" t="s">
        <v>2538</v>
      </c>
      <c r="G220">
        <v>5</v>
      </c>
      <c r="H220" t="s">
        <v>2558</v>
      </c>
      <c r="I220" t="s">
        <v>2559</v>
      </c>
      <c r="J220" t="s">
        <v>1219</v>
      </c>
      <c r="K220" t="s">
        <v>1208</v>
      </c>
      <c r="N220" t="s">
        <v>1249</v>
      </c>
      <c r="O220" t="s">
        <v>264</v>
      </c>
      <c r="P220" t="s">
        <v>1250</v>
      </c>
      <c r="Q220">
        <v>2</v>
      </c>
      <c r="R220" t="s">
        <v>1251</v>
      </c>
      <c r="S220">
        <v>99.94</v>
      </c>
      <c r="T220">
        <v>99.95</v>
      </c>
      <c r="U220">
        <v>99.95</v>
      </c>
      <c r="V220">
        <v>100</v>
      </c>
      <c r="W220">
        <v>100</v>
      </c>
      <c r="X220">
        <v>100</v>
      </c>
      <c r="Y220" t="s">
        <v>605</v>
      </c>
      <c r="AE220" t="s">
        <v>605</v>
      </c>
      <c r="AH220">
        <v>0</v>
      </c>
      <c r="AI220" t="s">
        <v>605</v>
      </c>
      <c r="AJ220" t="s">
        <v>605</v>
      </c>
      <c r="AK220" t="s">
        <v>605</v>
      </c>
      <c r="AL220" t="s">
        <v>605</v>
      </c>
      <c r="AM220" t="s">
        <v>605</v>
      </c>
      <c r="AN220">
        <v>99.91</v>
      </c>
      <c r="AO220">
        <v>99.91</v>
      </c>
      <c r="AP220">
        <v>99.93</v>
      </c>
      <c r="AQ220">
        <v>99.93</v>
      </c>
      <c r="AR220">
        <v>99.93</v>
      </c>
      <c r="AS220">
        <v>99.93</v>
      </c>
      <c r="AT220">
        <v>99.93</v>
      </c>
      <c r="AU220">
        <v>99.95</v>
      </c>
      <c r="AV220">
        <v>99.95</v>
      </c>
      <c r="AW220">
        <v>99.95</v>
      </c>
      <c r="BH220">
        <v>0.21937499999999999</v>
      </c>
      <c r="BN220">
        <v>100</v>
      </c>
      <c r="BO220" t="s">
        <v>1598</v>
      </c>
      <c r="BP220">
        <v>99.97</v>
      </c>
      <c r="BQ220" s="773">
        <v>99.98</v>
      </c>
      <c r="BR220" t="s">
        <v>605</v>
      </c>
      <c r="BS220" t="s">
        <v>1213</v>
      </c>
      <c r="BT220">
        <v>0</v>
      </c>
      <c r="BU220" t="s">
        <v>1213</v>
      </c>
      <c r="BV220">
        <v>0</v>
      </c>
      <c r="BW220" t="s">
        <v>1213</v>
      </c>
      <c r="BX220">
        <v>0</v>
      </c>
      <c r="BY220" t="s">
        <v>1171</v>
      </c>
      <c r="BZ220" t="s">
        <v>2560</v>
      </c>
    </row>
    <row r="221" spans="1:79" x14ac:dyDescent="0.2">
      <c r="A221" t="s">
        <v>1096</v>
      </c>
      <c r="B221" t="s">
        <v>2561</v>
      </c>
      <c r="C221" t="s">
        <v>1077</v>
      </c>
      <c r="D221" t="s">
        <v>457</v>
      </c>
      <c r="E221" t="s">
        <v>1202</v>
      </c>
      <c r="F221" t="s">
        <v>2538</v>
      </c>
      <c r="G221" t="s">
        <v>2562</v>
      </c>
      <c r="H221" t="s">
        <v>2563</v>
      </c>
      <c r="I221" t="s">
        <v>2564</v>
      </c>
      <c r="J221" t="s">
        <v>1219</v>
      </c>
      <c r="K221" t="s">
        <v>1208</v>
      </c>
      <c r="N221" t="s">
        <v>1172</v>
      </c>
      <c r="O221" t="s">
        <v>272</v>
      </c>
      <c r="P221" t="s">
        <v>1258</v>
      </c>
      <c r="Q221">
        <v>2</v>
      </c>
      <c r="R221" t="s">
        <v>1211</v>
      </c>
      <c r="S221">
        <v>0.9</v>
      </c>
      <c r="T221">
        <v>0.87</v>
      </c>
      <c r="U221">
        <v>0.85</v>
      </c>
      <c r="V221">
        <v>0.82</v>
      </c>
      <c r="W221">
        <v>0.82</v>
      </c>
      <c r="X221">
        <v>0.82</v>
      </c>
      <c r="Z221" t="s">
        <v>605</v>
      </c>
      <c r="AE221" t="s">
        <v>605</v>
      </c>
      <c r="AH221">
        <v>0</v>
      </c>
      <c r="AI221" t="s">
        <v>605</v>
      </c>
      <c r="AJ221" t="s">
        <v>605</v>
      </c>
      <c r="AK221" t="s">
        <v>605</v>
      </c>
      <c r="AL221" t="s">
        <v>605</v>
      </c>
      <c r="AM221" t="s">
        <v>605</v>
      </c>
      <c r="AN221">
        <v>1.21</v>
      </c>
      <c r="AO221">
        <v>1.21</v>
      </c>
      <c r="AP221">
        <v>1.17</v>
      </c>
      <c r="AQ221">
        <v>1.17</v>
      </c>
      <c r="AR221">
        <v>1.17</v>
      </c>
      <c r="AS221">
        <v>0.9</v>
      </c>
      <c r="AT221">
        <v>0.9</v>
      </c>
      <c r="AU221">
        <v>0.86</v>
      </c>
      <c r="AV221">
        <v>0.86</v>
      </c>
      <c r="AW221">
        <v>0.86</v>
      </c>
      <c r="BH221">
        <v>0.55700000000000005</v>
      </c>
      <c r="BN221">
        <v>1</v>
      </c>
      <c r="BO221" t="s">
        <v>1212</v>
      </c>
      <c r="BP221">
        <v>0.57999999999999996</v>
      </c>
      <c r="BQ221" s="773">
        <v>0.8</v>
      </c>
      <c r="BR221" t="s">
        <v>605</v>
      </c>
      <c r="BS221" t="s">
        <v>1213</v>
      </c>
      <c r="BT221">
        <v>0</v>
      </c>
      <c r="BU221" t="s">
        <v>1213</v>
      </c>
      <c r="BV221">
        <v>0</v>
      </c>
      <c r="BW221" t="s">
        <v>1213</v>
      </c>
      <c r="BX221">
        <v>0</v>
      </c>
      <c r="BY221" t="s">
        <v>1172</v>
      </c>
      <c r="BZ221" t="s">
        <v>2565</v>
      </c>
    </row>
    <row r="222" spans="1:79" x14ac:dyDescent="0.2">
      <c r="A222" t="s">
        <v>1096</v>
      </c>
      <c r="B222" t="s">
        <v>2566</v>
      </c>
      <c r="C222" t="s">
        <v>1077</v>
      </c>
      <c r="D222" t="s">
        <v>457</v>
      </c>
      <c r="E222" t="s">
        <v>1202</v>
      </c>
      <c r="F222" t="s">
        <v>2538</v>
      </c>
      <c r="G222">
        <v>6</v>
      </c>
      <c r="H222" t="s">
        <v>2567</v>
      </c>
      <c r="I222" t="s">
        <v>2568</v>
      </c>
      <c r="J222" t="s">
        <v>1219</v>
      </c>
      <c r="K222" t="s">
        <v>1208</v>
      </c>
      <c r="N222" t="s">
        <v>1315</v>
      </c>
      <c r="O222" t="s">
        <v>272</v>
      </c>
      <c r="P222" t="s">
        <v>2424</v>
      </c>
      <c r="Q222">
        <v>0</v>
      </c>
      <c r="R222" t="s">
        <v>1211</v>
      </c>
      <c r="S222">
        <v>257</v>
      </c>
      <c r="T222">
        <v>257</v>
      </c>
      <c r="U222">
        <v>257</v>
      </c>
      <c r="V222">
        <v>257</v>
      </c>
      <c r="W222">
        <v>257</v>
      </c>
      <c r="X222">
        <v>257</v>
      </c>
      <c r="AE222" t="s">
        <v>605</v>
      </c>
      <c r="AH222">
        <v>0</v>
      </c>
      <c r="AI222" t="s">
        <v>605</v>
      </c>
      <c r="AJ222" t="s">
        <v>605</v>
      </c>
      <c r="AK222" t="s">
        <v>605</v>
      </c>
      <c r="AL222" t="s">
        <v>605</v>
      </c>
      <c r="AM222" t="s">
        <v>605</v>
      </c>
      <c r="AN222">
        <v>336</v>
      </c>
      <c r="AO222">
        <v>336</v>
      </c>
      <c r="AP222">
        <v>336</v>
      </c>
      <c r="AQ222">
        <v>336</v>
      </c>
      <c r="AR222">
        <v>336</v>
      </c>
      <c r="AS222">
        <v>296</v>
      </c>
      <c r="AT222">
        <v>296</v>
      </c>
      <c r="AU222">
        <v>296</v>
      </c>
      <c r="AV222">
        <v>296</v>
      </c>
      <c r="AW222">
        <v>296</v>
      </c>
      <c r="BH222">
        <v>4.339E-3</v>
      </c>
      <c r="BN222">
        <v>1</v>
      </c>
      <c r="BO222" t="s">
        <v>1212</v>
      </c>
      <c r="BP222">
        <v>254</v>
      </c>
      <c r="BQ222" s="772">
        <v>288</v>
      </c>
      <c r="BR222" t="s">
        <v>606</v>
      </c>
      <c r="BS222" t="s">
        <v>1213</v>
      </c>
      <c r="BT222">
        <v>0</v>
      </c>
      <c r="BU222" t="s">
        <v>607</v>
      </c>
      <c r="BV222">
        <v>0</v>
      </c>
      <c r="BW222" t="s">
        <v>1213</v>
      </c>
      <c r="BX222">
        <v>0</v>
      </c>
      <c r="BY222" t="s">
        <v>1213</v>
      </c>
      <c r="BZ222" t="s">
        <v>2569</v>
      </c>
    </row>
    <row r="223" spans="1:79" x14ac:dyDescent="0.2">
      <c r="A223" t="s">
        <v>1096</v>
      </c>
      <c r="B223" t="s">
        <v>2570</v>
      </c>
      <c r="C223" t="s">
        <v>1077</v>
      </c>
      <c r="D223" t="s">
        <v>457</v>
      </c>
      <c r="E223" t="s">
        <v>1202</v>
      </c>
      <c r="F223" t="s">
        <v>2571</v>
      </c>
      <c r="G223">
        <v>7</v>
      </c>
      <c r="H223" t="s">
        <v>2572</v>
      </c>
      <c r="I223" t="s">
        <v>2573</v>
      </c>
      <c r="J223" t="s">
        <v>1241</v>
      </c>
      <c r="N223" t="s">
        <v>1235</v>
      </c>
      <c r="O223" t="s">
        <v>272</v>
      </c>
      <c r="P223" t="s">
        <v>1210</v>
      </c>
      <c r="Q223">
        <v>2</v>
      </c>
      <c r="R223" t="s">
        <v>1211</v>
      </c>
      <c r="S223">
        <v>533.97</v>
      </c>
      <c r="T223">
        <v>525.48</v>
      </c>
      <c r="U223">
        <v>525.05999999999995</v>
      </c>
      <c r="V223">
        <v>525.77</v>
      </c>
      <c r="W223">
        <v>526.79</v>
      </c>
      <c r="X223">
        <v>526.39</v>
      </c>
      <c r="AH223">
        <v>0</v>
      </c>
      <c r="BP223">
        <v>524.24</v>
      </c>
      <c r="BQ223" s="773">
        <v>520.64</v>
      </c>
      <c r="BR223" t="s">
        <v>605</v>
      </c>
      <c r="BS223" t="s">
        <v>1213</v>
      </c>
      <c r="BT223">
        <v>0</v>
      </c>
      <c r="BU223" t="s">
        <v>1213</v>
      </c>
      <c r="BV223">
        <v>0</v>
      </c>
      <c r="BW223" t="s">
        <v>1213</v>
      </c>
      <c r="BX223">
        <v>0</v>
      </c>
      <c r="BY223" t="s">
        <v>1213</v>
      </c>
      <c r="BZ223" t="s">
        <v>2574</v>
      </c>
    </row>
    <row r="224" spans="1:79" x14ac:dyDescent="0.2">
      <c r="A224" t="s">
        <v>1096</v>
      </c>
      <c r="B224" t="s">
        <v>2575</v>
      </c>
      <c r="C224" t="s">
        <v>1077</v>
      </c>
      <c r="D224" t="s">
        <v>457</v>
      </c>
      <c r="E224" t="s">
        <v>1202</v>
      </c>
      <c r="F224" t="s">
        <v>2576</v>
      </c>
      <c r="G224">
        <v>8</v>
      </c>
      <c r="H224" t="s">
        <v>2577</v>
      </c>
      <c r="I224" t="s">
        <v>2578</v>
      </c>
      <c r="J224" t="s">
        <v>1207</v>
      </c>
      <c r="K224" t="s">
        <v>1208</v>
      </c>
      <c r="N224" t="s">
        <v>1220</v>
      </c>
      <c r="O224" t="s">
        <v>272</v>
      </c>
      <c r="P224" t="s">
        <v>1655</v>
      </c>
      <c r="Q224">
        <v>1</v>
      </c>
      <c r="R224" t="s">
        <v>1211</v>
      </c>
      <c r="S224">
        <v>147.19999999999999</v>
      </c>
      <c r="X224">
        <v>133.69999999999999</v>
      </c>
      <c r="AH224">
        <v>0</v>
      </c>
      <c r="AM224" t="s">
        <v>605</v>
      </c>
      <c r="AR224">
        <v>135.69999999999999</v>
      </c>
      <c r="AW224">
        <v>133.69999999999999</v>
      </c>
      <c r="BB224">
        <v>133.69999999999999</v>
      </c>
      <c r="BG224">
        <v>131.69999999999999</v>
      </c>
      <c r="BH224">
        <v>1.0969</v>
      </c>
      <c r="BL224">
        <v>0.6875</v>
      </c>
      <c r="BN224">
        <v>1</v>
      </c>
      <c r="BO224" t="s">
        <v>1212</v>
      </c>
      <c r="BP224">
        <v>134.80000000000001</v>
      </c>
      <c r="BQ224" s="769">
        <v>129.69999999999999</v>
      </c>
      <c r="BR224" t="s">
        <v>1213</v>
      </c>
      <c r="BS224" t="s">
        <v>1213</v>
      </c>
      <c r="BT224">
        <v>0</v>
      </c>
      <c r="BU224" t="s">
        <v>1213</v>
      </c>
      <c r="BV224">
        <v>0</v>
      </c>
      <c r="BW224" t="s">
        <v>1213</v>
      </c>
      <c r="BX224">
        <v>0</v>
      </c>
      <c r="BY224" t="s">
        <v>1213</v>
      </c>
      <c r="BZ224" t="s">
        <v>2579</v>
      </c>
    </row>
    <row r="225" spans="1:79" x14ac:dyDescent="0.2">
      <c r="A225" t="s">
        <v>1096</v>
      </c>
      <c r="B225" t="s">
        <v>2580</v>
      </c>
      <c r="C225" t="s">
        <v>1077</v>
      </c>
      <c r="D225" t="s">
        <v>458</v>
      </c>
      <c r="E225" t="s">
        <v>1428</v>
      </c>
      <c r="F225" t="s">
        <v>2581</v>
      </c>
      <c r="G225">
        <v>1</v>
      </c>
      <c r="H225" t="s">
        <v>2582</v>
      </c>
      <c r="I225" t="s">
        <v>2583</v>
      </c>
      <c r="J225" t="s">
        <v>1219</v>
      </c>
      <c r="K225" t="s">
        <v>1563</v>
      </c>
      <c r="M225" t="s">
        <v>606</v>
      </c>
      <c r="N225" t="s">
        <v>1495</v>
      </c>
      <c r="O225" t="s">
        <v>1410</v>
      </c>
      <c r="P225" t="s">
        <v>1564</v>
      </c>
      <c r="Q225" t="s">
        <v>1212</v>
      </c>
      <c r="S225" t="s">
        <v>1710</v>
      </c>
      <c r="T225" t="s">
        <v>612</v>
      </c>
      <c r="U225" t="s">
        <v>612</v>
      </c>
      <c r="V225" t="s">
        <v>612</v>
      </c>
      <c r="W225" t="s">
        <v>612</v>
      </c>
      <c r="X225" t="s">
        <v>612</v>
      </c>
      <c r="AE225" t="s">
        <v>605</v>
      </c>
      <c r="AH225">
        <v>3</v>
      </c>
      <c r="AI225" t="s">
        <v>605</v>
      </c>
      <c r="AJ225" t="s">
        <v>605</v>
      </c>
      <c r="AK225" t="s">
        <v>605</v>
      </c>
      <c r="AL225" t="s">
        <v>605</v>
      </c>
      <c r="AM225" t="s">
        <v>605</v>
      </c>
      <c r="AN225" t="s">
        <v>2492</v>
      </c>
      <c r="AO225" t="s">
        <v>2492</v>
      </c>
      <c r="AP225" t="s">
        <v>2492</v>
      </c>
      <c r="AQ225" t="s">
        <v>2492</v>
      </c>
      <c r="AR225" t="s">
        <v>2492</v>
      </c>
      <c r="AS225" t="s">
        <v>2492</v>
      </c>
      <c r="AT225" t="s">
        <v>2492</v>
      </c>
      <c r="AU225" t="s">
        <v>2492</v>
      </c>
      <c r="AV225" t="s">
        <v>2492</v>
      </c>
      <c r="AW225" t="s">
        <v>2492</v>
      </c>
      <c r="BH225">
        <v>5.6250000000000001E-2</v>
      </c>
      <c r="BI225">
        <v>14.95</v>
      </c>
      <c r="BJ225">
        <v>2.9599999999999998E-4</v>
      </c>
      <c r="BN225">
        <v>1</v>
      </c>
      <c r="BO225" t="s">
        <v>1212</v>
      </c>
      <c r="BP225" t="s">
        <v>1710</v>
      </c>
      <c r="BQ225" s="771" t="s">
        <v>612</v>
      </c>
      <c r="BR225" t="s">
        <v>605</v>
      </c>
      <c r="BS225" t="s">
        <v>1213</v>
      </c>
      <c r="BT225">
        <v>0</v>
      </c>
      <c r="BU225" t="s">
        <v>1213</v>
      </c>
      <c r="BV225">
        <v>0</v>
      </c>
      <c r="BW225" t="s">
        <v>1213</v>
      </c>
      <c r="BX225">
        <v>0</v>
      </c>
      <c r="BY225" t="s">
        <v>1213</v>
      </c>
      <c r="BZ225" t="s">
        <v>2584</v>
      </c>
      <c r="CA225" t="s">
        <v>2585</v>
      </c>
    </row>
    <row r="226" spans="1:79" x14ac:dyDescent="0.2">
      <c r="A226" t="s">
        <v>1096</v>
      </c>
      <c r="B226" t="s">
        <v>2586</v>
      </c>
      <c r="C226" t="s">
        <v>1077</v>
      </c>
      <c r="D226" t="s">
        <v>458</v>
      </c>
      <c r="E226" t="s">
        <v>1428</v>
      </c>
      <c r="F226" t="s">
        <v>2581</v>
      </c>
      <c r="G226" t="s">
        <v>2587</v>
      </c>
      <c r="H226" t="s">
        <v>2588</v>
      </c>
      <c r="I226" t="s">
        <v>2589</v>
      </c>
      <c r="J226" t="s">
        <v>1219</v>
      </c>
      <c r="K226" t="s">
        <v>1563</v>
      </c>
      <c r="N226" t="s">
        <v>1468</v>
      </c>
      <c r="O226" t="s">
        <v>272</v>
      </c>
      <c r="P226" t="s">
        <v>1469</v>
      </c>
      <c r="Q226">
        <v>0</v>
      </c>
      <c r="R226" t="s">
        <v>1211</v>
      </c>
      <c r="S226">
        <v>348</v>
      </c>
      <c r="T226">
        <v>285</v>
      </c>
      <c r="U226">
        <v>221</v>
      </c>
      <c r="V226">
        <v>158</v>
      </c>
      <c r="W226">
        <v>158</v>
      </c>
      <c r="X226">
        <v>158</v>
      </c>
      <c r="AB226" t="s">
        <v>605</v>
      </c>
      <c r="AE226" t="s">
        <v>605</v>
      </c>
      <c r="AH226">
        <v>0</v>
      </c>
      <c r="AI226" t="s">
        <v>605</v>
      </c>
      <c r="AJ226" t="s">
        <v>605</v>
      </c>
      <c r="AK226" t="s">
        <v>605</v>
      </c>
      <c r="AL226" t="s">
        <v>605</v>
      </c>
      <c r="AM226" t="s">
        <v>605</v>
      </c>
      <c r="AN226">
        <v>453</v>
      </c>
      <c r="AO226">
        <v>453</v>
      </c>
      <c r="AP226">
        <v>280</v>
      </c>
      <c r="AQ226">
        <v>280</v>
      </c>
      <c r="AR226">
        <v>280</v>
      </c>
      <c r="AS226">
        <v>348</v>
      </c>
      <c r="AT226">
        <v>348</v>
      </c>
      <c r="AU226">
        <v>175</v>
      </c>
      <c r="AV226">
        <v>175</v>
      </c>
      <c r="AW226">
        <v>175</v>
      </c>
      <c r="BH226">
        <v>2.0570999999999999E-2</v>
      </c>
      <c r="BN226">
        <v>1</v>
      </c>
      <c r="BO226" t="s">
        <v>1212</v>
      </c>
      <c r="BP226">
        <v>283</v>
      </c>
      <c r="BQ226" s="772">
        <v>160</v>
      </c>
      <c r="BR226" t="s">
        <v>605</v>
      </c>
      <c r="BS226" t="s">
        <v>1213</v>
      </c>
      <c r="BT226">
        <v>0</v>
      </c>
      <c r="BU226" t="s">
        <v>1213</v>
      </c>
      <c r="BV226">
        <v>0</v>
      </c>
      <c r="BW226" t="s">
        <v>1213</v>
      </c>
      <c r="BX226">
        <v>0</v>
      </c>
      <c r="BY226" t="s">
        <v>1174</v>
      </c>
      <c r="BZ226" t="s">
        <v>2590</v>
      </c>
    </row>
    <row r="227" spans="1:79" x14ac:dyDescent="0.2">
      <c r="A227" t="s">
        <v>1096</v>
      </c>
      <c r="B227" t="s">
        <v>2591</v>
      </c>
      <c r="C227" t="s">
        <v>1077</v>
      </c>
      <c r="D227" t="s">
        <v>458</v>
      </c>
      <c r="E227" t="s">
        <v>1428</v>
      </c>
      <c r="F227" t="s">
        <v>2581</v>
      </c>
      <c r="G227">
        <v>2</v>
      </c>
      <c r="H227" t="s">
        <v>2592</v>
      </c>
      <c r="I227" t="s">
        <v>2593</v>
      </c>
      <c r="J227" t="s">
        <v>1207</v>
      </c>
      <c r="K227" t="s">
        <v>1208</v>
      </c>
      <c r="M227" t="s">
        <v>606</v>
      </c>
      <c r="N227" t="s">
        <v>1432</v>
      </c>
      <c r="O227" t="s">
        <v>272</v>
      </c>
      <c r="P227" t="s">
        <v>2594</v>
      </c>
      <c r="Q227">
        <v>0</v>
      </c>
      <c r="R227" t="s">
        <v>1211</v>
      </c>
      <c r="S227">
        <v>551</v>
      </c>
      <c r="T227">
        <v>446</v>
      </c>
      <c r="U227">
        <v>436</v>
      </c>
      <c r="V227">
        <v>414</v>
      </c>
      <c r="W227">
        <v>392</v>
      </c>
      <c r="X227">
        <v>382</v>
      </c>
      <c r="AC227" t="s">
        <v>605</v>
      </c>
      <c r="AE227" t="s">
        <v>605</v>
      </c>
      <c r="AH227">
        <v>0</v>
      </c>
      <c r="AM227" t="s">
        <v>605</v>
      </c>
      <c r="AR227">
        <v>2440</v>
      </c>
      <c r="AW227">
        <v>2215</v>
      </c>
      <c r="BB227">
        <v>2000</v>
      </c>
      <c r="BG227">
        <v>1700</v>
      </c>
      <c r="BH227">
        <v>7.5259999999999994E-2</v>
      </c>
      <c r="BL227">
        <v>7.2228000000000001E-2</v>
      </c>
      <c r="BN227">
        <v>1</v>
      </c>
      <c r="BO227" t="s">
        <v>1212</v>
      </c>
      <c r="BP227">
        <v>487</v>
      </c>
      <c r="BQ227" s="772">
        <v>492</v>
      </c>
      <c r="BR227" t="s">
        <v>606</v>
      </c>
      <c r="BS227" t="s">
        <v>1213</v>
      </c>
      <c r="BT227">
        <v>0</v>
      </c>
      <c r="BU227" t="s">
        <v>1213</v>
      </c>
      <c r="BV227">
        <v>0</v>
      </c>
      <c r="BW227" t="s">
        <v>1213</v>
      </c>
      <c r="BX227">
        <v>0</v>
      </c>
      <c r="BY227" t="s">
        <v>1175</v>
      </c>
      <c r="BZ227" t="s">
        <v>2595</v>
      </c>
      <c r="CA227" t="s">
        <v>2596</v>
      </c>
    </row>
    <row r="228" spans="1:79" x14ac:dyDescent="0.2">
      <c r="A228" t="s">
        <v>1096</v>
      </c>
      <c r="B228" t="s">
        <v>2597</v>
      </c>
      <c r="C228" t="s">
        <v>1077</v>
      </c>
      <c r="D228" t="s">
        <v>458</v>
      </c>
      <c r="E228" t="s">
        <v>1428</v>
      </c>
      <c r="F228" t="s">
        <v>2581</v>
      </c>
      <c r="G228">
        <v>3</v>
      </c>
      <c r="H228" t="s">
        <v>2598</v>
      </c>
      <c r="I228" t="s">
        <v>2599</v>
      </c>
      <c r="J228" t="s">
        <v>1241</v>
      </c>
      <c r="N228" t="s">
        <v>1432</v>
      </c>
      <c r="O228" t="s">
        <v>272</v>
      </c>
      <c r="P228" t="s">
        <v>2600</v>
      </c>
      <c r="Q228">
        <v>0</v>
      </c>
      <c r="R228" t="s">
        <v>1211</v>
      </c>
      <c r="S228">
        <v>9694</v>
      </c>
      <c r="T228">
        <v>9694</v>
      </c>
      <c r="U228">
        <v>9694</v>
      </c>
      <c r="V228">
        <v>9694</v>
      </c>
      <c r="W228">
        <v>9694</v>
      </c>
      <c r="X228">
        <v>9694</v>
      </c>
      <c r="AE228" t="s">
        <v>605</v>
      </c>
      <c r="AH228">
        <v>0</v>
      </c>
      <c r="BP228">
        <v>9796</v>
      </c>
      <c r="BQ228" s="772">
        <v>8314</v>
      </c>
      <c r="BR228" t="s">
        <v>605</v>
      </c>
      <c r="BS228" t="s">
        <v>1213</v>
      </c>
      <c r="BT228">
        <v>0</v>
      </c>
      <c r="BU228" t="s">
        <v>1213</v>
      </c>
      <c r="BV228">
        <v>0</v>
      </c>
      <c r="BW228" t="s">
        <v>1213</v>
      </c>
      <c r="BX228">
        <v>0</v>
      </c>
      <c r="BY228" t="s">
        <v>1213</v>
      </c>
      <c r="BZ228" t="s">
        <v>2601</v>
      </c>
    </row>
    <row r="229" spans="1:79" x14ac:dyDescent="0.2">
      <c r="A229" t="s">
        <v>1096</v>
      </c>
      <c r="B229" t="s">
        <v>2602</v>
      </c>
      <c r="C229" t="s">
        <v>1077</v>
      </c>
      <c r="D229" t="s">
        <v>458</v>
      </c>
      <c r="E229" t="s">
        <v>1428</v>
      </c>
      <c r="F229" t="s">
        <v>2581</v>
      </c>
      <c r="G229">
        <v>4</v>
      </c>
      <c r="H229" t="s">
        <v>2603</v>
      </c>
      <c r="I229" t="s">
        <v>2604</v>
      </c>
      <c r="J229" t="s">
        <v>1219</v>
      </c>
      <c r="K229" t="s">
        <v>1208</v>
      </c>
      <c r="N229" t="s">
        <v>1432</v>
      </c>
      <c r="O229" t="s">
        <v>272</v>
      </c>
      <c r="P229" t="s">
        <v>2605</v>
      </c>
      <c r="Q229">
        <v>2</v>
      </c>
      <c r="R229" t="s">
        <v>1211</v>
      </c>
      <c r="S229">
        <v>0.57999999999999996</v>
      </c>
      <c r="T229">
        <v>0.57999999999999996</v>
      </c>
      <c r="U229">
        <v>0.57999999999999996</v>
      </c>
      <c r="V229">
        <v>0.57999999999999996</v>
      </c>
      <c r="W229">
        <v>0.57999999999999996</v>
      </c>
      <c r="X229">
        <v>0.57999999999999996</v>
      </c>
      <c r="AE229" t="s">
        <v>605</v>
      </c>
      <c r="AH229">
        <v>0</v>
      </c>
      <c r="AI229" t="s">
        <v>605</v>
      </c>
      <c r="AJ229" t="s">
        <v>605</v>
      </c>
      <c r="AK229" t="s">
        <v>605</v>
      </c>
      <c r="AL229" t="s">
        <v>605</v>
      </c>
      <c r="AM229" t="s">
        <v>605</v>
      </c>
      <c r="AN229">
        <v>0.65</v>
      </c>
      <c r="AO229">
        <v>0.65</v>
      </c>
      <c r="AP229">
        <v>0.65</v>
      </c>
      <c r="AQ229">
        <v>0.65</v>
      </c>
      <c r="AR229">
        <v>0.65</v>
      </c>
      <c r="AS229">
        <v>0.59</v>
      </c>
      <c r="AT229">
        <v>0.59</v>
      </c>
      <c r="AU229">
        <v>0.59</v>
      </c>
      <c r="AV229">
        <v>0.59</v>
      </c>
      <c r="AW229">
        <v>0.59</v>
      </c>
      <c r="BH229">
        <v>16.276</v>
      </c>
      <c r="BN229">
        <v>1</v>
      </c>
      <c r="BO229" t="s">
        <v>1212</v>
      </c>
      <c r="BP229">
        <v>0.55000000000000004</v>
      </c>
      <c r="BQ229" s="773">
        <v>0.56000000000000005</v>
      </c>
      <c r="BR229" t="s">
        <v>605</v>
      </c>
      <c r="BS229" t="s">
        <v>1213</v>
      </c>
      <c r="BT229">
        <v>0</v>
      </c>
      <c r="BU229" t="s">
        <v>1213</v>
      </c>
      <c r="BV229">
        <v>0</v>
      </c>
      <c r="BW229" t="s">
        <v>1213</v>
      </c>
      <c r="BX229">
        <v>0</v>
      </c>
      <c r="BY229" t="s">
        <v>1213</v>
      </c>
      <c r="BZ229" t="s">
        <v>2606</v>
      </c>
      <c r="CA229" t="s">
        <v>2607</v>
      </c>
    </row>
    <row r="230" spans="1:79" x14ac:dyDescent="0.2">
      <c r="A230" t="s">
        <v>1096</v>
      </c>
      <c r="B230" t="s">
        <v>2608</v>
      </c>
      <c r="C230" t="s">
        <v>1077</v>
      </c>
      <c r="D230" t="s">
        <v>458</v>
      </c>
      <c r="E230" t="s">
        <v>1428</v>
      </c>
      <c r="F230" t="s">
        <v>2581</v>
      </c>
      <c r="G230">
        <v>5</v>
      </c>
      <c r="H230" t="s">
        <v>2609</v>
      </c>
      <c r="I230" t="s">
        <v>2610</v>
      </c>
      <c r="J230" t="s">
        <v>1219</v>
      </c>
      <c r="K230" t="s">
        <v>1208</v>
      </c>
      <c r="N230" t="s">
        <v>2611</v>
      </c>
      <c r="O230" t="s">
        <v>272</v>
      </c>
      <c r="P230" t="s">
        <v>2612</v>
      </c>
      <c r="Q230">
        <v>0</v>
      </c>
      <c r="R230" t="s">
        <v>1211</v>
      </c>
      <c r="S230" t="s">
        <v>1710</v>
      </c>
      <c r="T230" t="s">
        <v>1710</v>
      </c>
      <c r="U230" t="s">
        <v>1710</v>
      </c>
      <c r="V230" t="s">
        <v>1710</v>
      </c>
      <c r="W230">
        <v>0</v>
      </c>
      <c r="X230">
        <v>0</v>
      </c>
      <c r="AD230" t="s">
        <v>605</v>
      </c>
      <c r="AE230" t="s">
        <v>605</v>
      </c>
      <c r="AH230">
        <v>0</v>
      </c>
      <c r="AL230" t="s">
        <v>605</v>
      </c>
      <c r="AM230" t="s">
        <v>605</v>
      </c>
      <c r="AQ230">
        <v>20</v>
      </c>
      <c r="AR230">
        <v>20</v>
      </c>
      <c r="AV230">
        <v>0</v>
      </c>
      <c r="AW230">
        <v>0</v>
      </c>
      <c r="BH230">
        <v>7.9000000000000001E-2</v>
      </c>
      <c r="BN230">
        <v>1</v>
      </c>
      <c r="BO230" t="s">
        <v>1212</v>
      </c>
      <c r="BP230" t="s">
        <v>1710</v>
      </c>
      <c r="BQ230" s="772" t="s">
        <v>1710</v>
      </c>
      <c r="BR230" t="s">
        <v>1213</v>
      </c>
      <c r="BS230" t="s">
        <v>1213</v>
      </c>
      <c r="BT230">
        <v>0</v>
      </c>
      <c r="BU230" t="s">
        <v>1213</v>
      </c>
      <c r="BV230">
        <v>0</v>
      </c>
      <c r="BW230" t="s">
        <v>1213</v>
      </c>
      <c r="BX230">
        <v>0</v>
      </c>
      <c r="BY230" t="s">
        <v>1213</v>
      </c>
      <c r="BZ230" t="s">
        <v>2613</v>
      </c>
      <c r="CA230" t="s">
        <v>2614</v>
      </c>
    </row>
    <row r="231" spans="1:79" x14ac:dyDescent="0.2">
      <c r="A231" t="s">
        <v>1096</v>
      </c>
      <c r="B231" t="s">
        <v>2615</v>
      </c>
      <c r="C231" t="s">
        <v>1077</v>
      </c>
      <c r="D231" t="s">
        <v>458</v>
      </c>
      <c r="E231" t="s">
        <v>1428</v>
      </c>
      <c r="F231" t="s">
        <v>2571</v>
      </c>
      <c r="G231">
        <v>6</v>
      </c>
      <c r="H231" t="s">
        <v>2616</v>
      </c>
      <c r="I231" t="s">
        <v>2617</v>
      </c>
      <c r="J231" t="s">
        <v>1219</v>
      </c>
      <c r="K231" t="s">
        <v>1208</v>
      </c>
      <c r="N231" t="s">
        <v>1377</v>
      </c>
      <c r="O231" t="s">
        <v>264</v>
      </c>
      <c r="P231" t="s">
        <v>2618</v>
      </c>
      <c r="Q231">
        <v>1</v>
      </c>
      <c r="R231" t="s">
        <v>1251</v>
      </c>
      <c r="S231">
        <v>98.6</v>
      </c>
      <c r="T231">
        <v>100</v>
      </c>
      <c r="U231">
        <v>100</v>
      </c>
      <c r="V231">
        <v>100</v>
      </c>
      <c r="W231">
        <v>100</v>
      </c>
      <c r="X231">
        <v>100</v>
      </c>
      <c r="AE231" t="s">
        <v>605</v>
      </c>
      <c r="AH231">
        <v>0</v>
      </c>
      <c r="AI231" t="s">
        <v>605</v>
      </c>
      <c r="AJ231" t="s">
        <v>605</v>
      </c>
      <c r="AK231" t="s">
        <v>605</v>
      </c>
      <c r="AL231" t="s">
        <v>605</v>
      </c>
      <c r="AM231" t="s">
        <v>605</v>
      </c>
      <c r="AN231">
        <v>96.8</v>
      </c>
      <c r="AO231">
        <v>96.8</v>
      </c>
      <c r="AP231">
        <v>96.8</v>
      </c>
      <c r="AQ231">
        <v>96.8</v>
      </c>
      <c r="AR231">
        <v>96.8</v>
      </c>
      <c r="AS231">
        <v>97.7</v>
      </c>
      <c r="AT231">
        <v>97.7</v>
      </c>
      <c r="AU231">
        <v>97.7</v>
      </c>
      <c r="AV231">
        <v>97.7</v>
      </c>
      <c r="AW231">
        <v>97.7</v>
      </c>
      <c r="BH231">
        <v>1.661</v>
      </c>
      <c r="BN231">
        <v>10</v>
      </c>
      <c r="BO231" t="s">
        <v>2619</v>
      </c>
      <c r="BP231">
        <v>99</v>
      </c>
      <c r="BQ231" s="769">
        <v>99.3</v>
      </c>
      <c r="BR231" t="s">
        <v>606</v>
      </c>
      <c r="BS231" t="s">
        <v>1213</v>
      </c>
      <c r="BT231">
        <v>0</v>
      </c>
      <c r="BU231" t="s">
        <v>607</v>
      </c>
      <c r="BV231">
        <v>0</v>
      </c>
      <c r="BW231" t="s">
        <v>1213</v>
      </c>
      <c r="BX231">
        <v>0</v>
      </c>
      <c r="BY231" t="s">
        <v>1213</v>
      </c>
      <c r="BZ231" t="s">
        <v>2620</v>
      </c>
    </row>
    <row r="232" spans="1:79" x14ac:dyDescent="0.2">
      <c r="A232" t="s">
        <v>1096</v>
      </c>
      <c r="B232" t="s">
        <v>2621</v>
      </c>
      <c r="C232" t="s">
        <v>1077</v>
      </c>
      <c r="D232" t="s">
        <v>458</v>
      </c>
      <c r="E232" t="s">
        <v>1428</v>
      </c>
      <c r="F232" t="s">
        <v>2571</v>
      </c>
      <c r="G232">
        <v>7</v>
      </c>
      <c r="H232" t="s">
        <v>2622</v>
      </c>
      <c r="I232" t="s">
        <v>2623</v>
      </c>
      <c r="J232" t="s">
        <v>1241</v>
      </c>
      <c r="N232" t="s">
        <v>1386</v>
      </c>
      <c r="O232" t="s">
        <v>264</v>
      </c>
      <c r="P232" t="s">
        <v>2624</v>
      </c>
      <c r="Q232">
        <v>1</v>
      </c>
      <c r="R232" t="s">
        <v>1251</v>
      </c>
      <c r="S232">
        <v>14.5</v>
      </c>
      <c r="X232">
        <v>16.5</v>
      </c>
      <c r="AH232">
        <v>0</v>
      </c>
      <c r="BP232">
        <v>16</v>
      </c>
      <c r="BQ232" s="769">
        <v>17.3</v>
      </c>
      <c r="BR232" t="s">
        <v>1213</v>
      </c>
      <c r="BS232" t="s">
        <v>1213</v>
      </c>
      <c r="BT232">
        <v>0</v>
      </c>
      <c r="BU232" t="s">
        <v>1213</v>
      </c>
      <c r="BV232">
        <v>0</v>
      </c>
      <c r="BW232" t="s">
        <v>1213</v>
      </c>
      <c r="BX232">
        <v>0</v>
      </c>
      <c r="BY232" t="s">
        <v>1213</v>
      </c>
      <c r="BZ232" t="s">
        <v>2625</v>
      </c>
    </row>
    <row r="233" spans="1:79" x14ac:dyDescent="0.2">
      <c r="A233" t="s">
        <v>1096</v>
      </c>
      <c r="B233" t="s">
        <v>2626</v>
      </c>
      <c r="C233" t="s">
        <v>1077</v>
      </c>
      <c r="D233" t="s">
        <v>458</v>
      </c>
      <c r="E233" t="s">
        <v>1428</v>
      </c>
      <c r="F233" t="s">
        <v>2571</v>
      </c>
      <c r="G233">
        <v>8</v>
      </c>
      <c r="H233" t="s">
        <v>2627</v>
      </c>
      <c r="I233" t="s">
        <v>2628</v>
      </c>
      <c r="J233" t="s">
        <v>1207</v>
      </c>
      <c r="K233" t="s">
        <v>1208</v>
      </c>
      <c r="N233" t="s">
        <v>1377</v>
      </c>
      <c r="O233" t="s">
        <v>272</v>
      </c>
      <c r="P233" t="s">
        <v>2629</v>
      </c>
      <c r="Q233">
        <v>0</v>
      </c>
      <c r="R233" t="s">
        <v>1251</v>
      </c>
      <c r="S233" t="s">
        <v>1242</v>
      </c>
      <c r="T233">
        <v>54</v>
      </c>
      <c r="U233">
        <v>54</v>
      </c>
      <c r="V233">
        <v>54</v>
      </c>
      <c r="W233">
        <v>54</v>
      </c>
      <c r="X233">
        <v>54</v>
      </c>
      <c r="AH233">
        <v>0</v>
      </c>
      <c r="AI233" t="s">
        <v>605</v>
      </c>
      <c r="AJ233" t="s">
        <v>605</v>
      </c>
      <c r="AK233" t="s">
        <v>605</v>
      </c>
      <c r="AL233" t="s">
        <v>605</v>
      </c>
      <c r="AM233" t="s">
        <v>605</v>
      </c>
      <c r="AN233">
        <v>42</v>
      </c>
      <c r="AO233">
        <v>42</v>
      </c>
      <c r="AP233">
        <v>42</v>
      </c>
      <c r="AQ233">
        <v>42</v>
      </c>
      <c r="AR233">
        <v>42</v>
      </c>
      <c r="AS233">
        <v>48</v>
      </c>
      <c r="AT233">
        <v>48</v>
      </c>
      <c r="AU233">
        <v>48</v>
      </c>
      <c r="AV233">
        <v>48</v>
      </c>
      <c r="AW233">
        <v>48</v>
      </c>
      <c r="AX233">
        <v>60</v>
      </c>
      <c r="AY233">
        <v>60</v>
      </c>
      <c r="AZ233">
        <v>60</v>
      </c>
      <c r="BA233">
        <v>60</v>
      </c>
      <c r="BB233">
        <v>60</v>
      </c>
      <c r="BC233">
        <v>66</v>
      </c>
      <c r="BD233">
        <v>66</v>
      </c>
      <c r="BE233">
        <v>66</v>
      </c>
      <c r="BF233">
        <v>66</v>
      </c>
      <c r="BG233">
        <v>66</v>
      </c>
      <c r="BH233">
        <v>0.29149999999999998</v>
      </c>
      <c r="BL233">
        <v>0.24675</v>
      </c>
      <c r="BN233">
        <v>1</v>
      </c>
      <c r="BO233" t="s">
        <v>1212</v>
      </c>
      <c r="BP233">
        <v>54</v>
      </c>
      <c r="BQ233" s="772">
        <v>43</v>
      </c>
      <c r="BR233" t="s">
        <v>606</v>
      </c>
      <c r="BS233" t="s">
        <v>1213</v>
      </c>
      <c r="BT233">
        <v>0</v>
      </c>
      <c r="BU233" t="s">
        <v>1107</v>
      </c>
      <c r="BV233">
        <v>-1.4575</v>
      </c>
      <c r="BW233" t="s">
        <v>1107</v>
      </c>
      <c r="BX233">
        <v>-1.4575</v>
      </c>
      <c r="BY233" t="s">
        <v>1213</v>
      </c>
      <c r="BZ233" t="s">
        <v>2630</v>
      </c>
      <c r="CA233" t="s">
        <v>2631</v>
      </c>
    </row>
    <row r="234" spans="1:79" x14ac:dyDescent="0.2">
      <c r="A234" t="s">
        <v>1096</v>
      </c>
      <c r="B234" t="s">
        <v>2632</v>
      </c>
      <c r="C234" t="s">
        <v>1077</v>
      </c>
      <c r="D234" t="s">
        <v>458</v>
      </c>
      <c r="E234" t="s">
        <v>1428</v>
      </c>
      <c r="F234" t="s">
        <v>2571</v>
      </c>
      <c r="G234">
        <v>9</v>
      </c>
      <c r="H234" t="s">
        <v>2633</v>
      </c>
      <c r="I234" t="s">
        <v>2634</v>
      </c>
      <c r="J234" t="s">
        <v>1207</v>
      </c>
      <c r="K234" t="s">
        <v>1208</v>
      </c>
      <c r="N234" t="s">
        <v>1377</v>
      </c>
      <c r="O234" t="s">
        <v>272</v>
      </c>
      <c r="P234" t="s">
        <v>2629</v>
      </c>
      <c r="Q234">
        <v>0</v>
      </c>
      <c r="R234" t="s">
        <v>1251</v>
      </c>
      <c r="T234">
        <v>0</v>
      </c>
      <c r="U234">
        <v>0</v>
      </c>
      <c r="V234">
        <v>0</v>
      </c>
      <c r="W234">
        <v>0</v>
      </c>
      <c r="X234">
        <v>7</v>
      </c>
      <c r="AD234" t="s">
        <v>605</v>
      </c>
      <c r="AH234">
        <v>0</v>
      </c>
      <c r="AI234" t="s">
        <v>605</v>
      </c>
      <c r="AJ234" t="s">
        <v>605</v>
      </c>
      <c r="AK234" t="s">
        <v>605</v>
      </c>
      <c r="AL234" t="s">
        <v>605</v>
      </c>
      <c r="AM234" t="s">
        <v>605</v>
      </c>
      <c r="AN234">
        <v>0</v>
      </c>
      <c r="AO234">
        <v>0</v>
      </c>
      <c r="AP234">
        <v>0</v>
      </c>
      <c r="AQ234">
        <v>0</v>
      </c>
      <c r="AR234">
        <v>0</v>
      </c>
      <c r="AS234">
        <v>0</v>
      </c>
      <c r="AT234">
        <v>0</v>
      </c>
      <c r="AU234">
        <v>0</v>
      </c>
      <c r="AV234">
        <v>0</v>
      </c>
      <c r="AW234">
        <v>7</v>
      </c>
      <c r="AX234">
        <v>0</v>
      </c>
      <c r="AY234">
        <v>0</v>
      </c>
      <c r="AZ234">
        <v>0</v>
      </c>
      <c r="BA234">
        <v>0</v>
      </c>
      <c r="BB234">
        <v>7</v>
      </c>
      <c r="BC234">
        <v>7</v>
      </c>
      <c r="BD234">
        <v>7</v>
      </c>
      <c r="BE234">
        <v>7</v>
      </c>
      <c r="BF234">
        <v>7</v>
      </c>
      <c r="BG234">
        <v>7</v>
      </c>
      <c r="BH234">
        <v>3.64</v>
      </c>
      <c r="BL234">
        <v>0.24675</v>
      </c>
      <c r="BN234">
        <v>1</v>
      </c>
      <c r="BO234" t="s">
        <v>1212</v>
      </c>
      <c r="BP234">
        <v>0</v>
      </c>
      <c r="BQ234" s="772">
        <v>0</v>
      </c>
      <c r="BR234" t="s">
        <v>605</v>
      </c>
      <c r="BS234" t="s">
        <v>1213</v>
      </c>
      <c r="BT234">
        <v>0</v>
      </c>
      <c r="BU234" t="s">
        <v>1213</v>
      </c>
      <c r="BV234">
        <v>0</v>
      </c>
      <c r="BW234" t="s">
        <v>1213</v>
      </c>
      <c r="BX234">
        <v>0</v>
      </c>
      <c r="BY234" t="s">
        <v>1213</v>
      </c>
      <c r="BZ234" t="s">
        <v>2635</v>
      </c>
      <c r="CA234" t="s">
        <v>2636</v>
      </c>
    </row>
    <row r="235" spans="1:79" x14ac:dyDescent="0.2">
      <c r="A235" t="s">
        <v>1096</v>
      </c>
      <c r="B235" t="s">
        <v>2637</v>
      </c>
      <c r="C235" t="s">
        <v>1077</v>
      </c>
      <c r="D235" t="s">
        <v>458</v>
      </c>
      <c r="E235" t="s">
        <v>1428</v>
      </c>
      <c r="F235" t="s">
        <v>2571</v>
      </c>
      <c r="G235">
        <v>10</v>
      </c>
      <c r="H235" t="s">
        <v>2638</v>
      </c>
      <c r="I235" t="s">
        <v>2639</v>
      </c>
      <c r="J235" t="s">
        <v>1219</v>
      </c>
      <c r="K235" t="s">
        <v>1563</v>
      </c>
      <c r="N235" t="s">
        <v>1377</v>
      </c>
      <c r="O235" t="s">
        <v>86</v>
      </c>
      <c r="P235" t="s">
        <v>2640</v>
      </c>
      <c r="Q235">
        <v>1</v>
      </c>
      <c r="S235" t="s">
        <v>1710</v>
      </c>
      <c r="X235">
        <v>31.5</v>
      </c>
      <c r="AH235">
        <v>0</v>
      </c>
      <c r="AM235" t="s">
        <v>605</v>
      </c>
      <c r="AR235">
        <v>0</v>
      </c>
      <c r="AW235">
        <v>24.56</v>
      </c>
      <c r="BH235">
        <v>0.5</v>
      </c>
      <c r="BN235">
        <v>1</v>
      </c>
      <c r="BO235" t="s">
        <v>1212</v>
      </c>
      <c r="BP235" t="s">
        <v>1710</v>
      </c>
      <c r="BQ235" s="772" t="s">
        <v>1710</v>
      </c>
      <c r="BR235" t="s">
        <v>1213</v>
      </c>
      <c r="BS235" t="s">
        <v>1213</v>
      </c>
      <c r="BT235">
        <v>0</v>
      </c>
      <c r="BU235" t="s">
        <v>1213</v>
      </c>
      <c r="BV235">
        <v>0</v>
      </c>
      <c r="BW235" t="s">
        <v>1213</v>
      </c>
      <c r="BX235">
        <v>0</v>
      </c>
      <c r="BY235" t="s">
        <v>1213</v>
      </c>
      <c r="BZ235" t="s">
        <v>2641</v>
      </c>
      <c r="CA235" t="s">
        <v>2642</v>
      </c>
    </row>
    <row r="236" spans="1:79" x14ac:dyDescent="0.2">
      <c r="A236" t="s">
        <v>1096</v>
      </c>
      <c r="B236" t="s">
        <v>2643</v>
      </c>
      <c r="C236" t="s">
        <v>1077</v>
      </c>
      <c r="D236" t="s">
        <v>458</v>
      </c>
      <c r="E236" t="s">
        <v>1428</v>
      </c>
      <c r="F236" t="s">
        <v>2571</v>
      </c>
      <c r="G236">
        <v>11</v>
      </c>
      <c r="H236" t="s">
        <v>2644</v>
      </c>
      <c r="I236" t="s">
        <v>2645</v>
      </c>
      <c r="J236" t="s">
        <v>1241</v>
      </c>
      <c r="N236" t="s">
        <v>1468</v>
      </c>
      <c r="O236" t="s">
        <v>272</v>
      </c>
      <c r="P236" t="s">
        <v>2646</v>
      </c>
      <c r="Q236">
        <v>0</v>
      </c>
      <c r="R236" t="s">
        <v>1211</v>
      </c>
      <c r="S236">
        <v>7</v>
      </c>
      <c r="T236">
        <v>8</v>
      </c>
      <c r="U236">
        <v>6</v>
      </c>
      <c r="V236">
        <v>4</v>
      </c>
      <c r="W236">
        <v>2</v>
      </c>
      <c r="X236">
        <v>0</v>
      </c>
      <c r="AE236" t="s">
        <v>605</v>
      </c>
      <c r="AH236">
        <v>0</v>
      </c>
      <c r="BP236">
        <v>12</v>
      </c>
      <c r="BQ236" s="772">
        <v>7</v>
      </c>
      <c r="BR236" t="s">
        <v>605</v>
      </c>
      <c r="BS236" t="s">
        <v>1213</v>
      </c>
      <c r="BT236">
        <v>0</v>
      </c>
      <c r="BU236" t="s">
        <v>1213</v>
      </c>
      <c r="BV236">
        <v>0</v>
      </c>
      <c r="BW236" t="s">
        <v>1213</v>
      </c>
      <c r="BX236">
        <v>0</v>
      </c>
      <c r="BY236" t="s">
        <v>1213</v>
      </c>
      <c r="BZ236" t="s">
        <v>2647</v>
      </c>
    </row>
    <row r="237" spans="1:79" x14ac:dyDescent="0.2">
      <c r="A237" t="s">
        <v>1096</v>
      </c>
      <c r="B237" t="s">
        <v>2648</v>
      </c>
      <c r="C237" t="s">
        <v>1077</v>
      </c>
      <c r="D237" t="s">
        <v>458</v>
      </c>
      <c r="E237" t="s">
        <v>1428</v>
      </c>
      <c r="F237" t="s">
        <v>2576</v>
      </c>
      <c r="G237">
        <v>12</v>
      </c>
      <c r="H237" t="s">
        <v>2649</v>
      </c>
      <c r="I237" t="s">
        <v>2650</v>
      </c>
      <c r="J237" t="s">
        <v>1241</v>
      </c>
      <c r="N237" t="s">
        <v>2325</v>
      </c>
      <c r="O237" t="s">
        <v>264</v>
      </c>
      <c r="P237" t="s">
        <v>2651</v>
      </c>
      <c r="Q237">
        <v>0</v>
      </c>
      <c r="R237" t="s">
        <v>1251</v>
      </c>
      <c r="S237">
        <v>75</v>
      </c>
      <c r="T237">
        <v>75</v>
      </c>
      <c r="U237">
        <v>76</v>
      </c>
      <c r="V237">
        <v>76</v>
      </c>
      <c r="W237">
        <v>77</v>
      </c>
      <c r="X237">
        <v>78</v>
      </c>
      <c r="AH237">
        <v>0</v>
      </c>
      <c r="BP237" t="s">
        <v>1710</v>
      </c>
      <c r="BQ237" s="772">
        <v>77</v>
      </c>
      <c r="BR237" t="s">
        <v>1213</v>
      </c>
      <c r="BS237" t="s">
        <v>1213</v>
      </c>
      <c r="BT237">
        <v>0</v>
      </c>
      <c r="BU237" t="s">
        <v>1213</v>
      </c>
      <c r="BV237">
        <v>0</v>
      </c>
      <c r="BW237" t="s">
        <v>1213</v>
      </c>
      <c r="BX237">
        <v>0</v>
      </c>
      <c r="BY237" t="s">
        <v>1213</v>
      </c>
      <c r="BZ237" t="s">
        <v>2652</v>
      </c>
    </row>
    <row r="238" spans="1:79" x14ac:dyDescent="0.2">
      <c r="A238" t="s">
        <v>1096</v>
      </c>
      <c r="B238" t="s">
        <v>2653</v>
      </c>
      <c r="C238" t="s">
        <v>1077</v>
      </c>
      <c r="D238" t="s">
        <v>458</v>
      </c>
      <c r="E238" t="s">
        <v>1428</v>
      </c>
      <c r="F238" t="s">
        <v>2654</v>
      </c>
      <c r="G238">
        <v>13</v>
      </c>
      <c r="H238" t="s">
        <v>2655</v>
      </c>
      <c r="I238" t="s">
        <v>2656</v>
      </c>
      <c r="J238" t="s">
        <v>1219</v>
      </c>
      <c r="K238" t="s">
        <v>1563</v>
      </c>
      <c r="M238" t="s">
        <v>606</v>
      </c>
      <c r="N238" t="s">
        <v>1377</v>
      </c>
      <c r="O238" t="s">
        <v>1507</v>
      </c>
      <c r="P238" t="s">
        <v>2657</v>
      </c>
      <c r="Q238" t="s">
        <v>1212</v>
      </c>
      <c r="S238" t="s">
        <v>1710</v>
      </c>
      <c r="W238" t="s">
        <v>1719</v>
      </c>
      <c r="X238" t="s">
        <v>2146</v>
      </c>
      <c r="AD238" t="s">
        <v>605</v>
      </c>
      <c r="AF238" t="s">
        <v>605</v>
      </c>
      <c r="AH238">
        <v>0</v>
      </c>
      <c r="AM238" t="s">
        <v>605</v>
      </c>
      <c r="AR238" t="s">
        <v>2658</v>
      </c>
      <c r="AW238" t="s">
        <v>2658</v>
      </c>
      <c r="BH238">
        <v>31.207999999999998</v>
      </c>
      <c r="BI238">
        <v>0.95</v>
      </c>
      <c r="BN238">
        <v>1</v>
      </c>
      <c r="BO238" t="s">
        <v>1212</v>
      </c>
      <c r="BP238" t="s">
        <v>1710</v>
      </c>
      <c r="BQ238" s="771" t="s">
        <v>1710</v>
      </c>
      <c r="BR238" t="s">
        <v>1213</v>
      </c>
      <c r="BS238" t="s">
        <v>1213</v>
      </c>
      <c r="BT238">
        <v>0</v>
      </c>
      <c r="BU238" t="s">
        <v>1213</v>
      </c>
      <c r="BV238">
        <v>0</v>
      </c>
      <c r="BW238" t="s">
        <v>1213</v>
      </c>
      <c r="BX238">
        <v>0</v>
      </c>
      <c r="BY238" t="s">
        <v>1213</v>
      </c>
      <c r="BZ238" t="s">
        <v>2659</v>
      </c>
      <c r="CA238" t="s">
        <v>2660</v>
      </c>
    </row>
    <row r="239" spans="1:79" x14ac:dyDescent="0.2">
      <c r="A239" t="s">
        <v>1096</v>
      </c>
      <c r="B239" t="s">
        <v>2661</v>
      </c>
      <c r="C239" t="s">
        <v>1077</v>
      </c>
      <c r="D239" t="s">
        <v>458</v>
      </c>
      <c r="E239" t="s">
        <v>1428</v>
      </c>
      <c r="F239" t="s">
        <v>2654</v>
      </c>
      <c r="G239">
        <v>14</v>
      </c>
      <c r="H239" t="s">
        <v>2662</v>
      </c>
      <c r="I239" t="s">
        <v>2663</v>
      </c>
      <c r="J239" t="s">
        <v>1219</v>
      </c>
      <c r="K239" t="s">
        <v>1563</v>
      </c>
      <c r="M239" t="s">
        <v>606</v>
      </c>
      <c r="N239" t="s">
        <v>1377</v>
      </c>
      <c r="O239" t="s">
        <v>1507</v>
      </c>
      <c r="P239" t="s">
        <v>2657</v>
      </c>
      <c r="Q239" t="s">
        <v>1212</v>
      </c>
      <c r="S239" t="s">
        <v>1710</v>
      </c>
      <c r="W239" t="s">
        <v>1719</v>
      </c>
      <c r="X239" t="s">
        <v>2146</v>
      </c>
      <c r="AD239" t="s">
        <v>605</v>
      </c>
      <c r="AF239" t="s">
        <v>605</v>
      </c>
      <c r="AH239">
        <v>0</v>
      </c>
      <c r="AM239" t="s">
        <v>605</v>
      </c>
      <c r="AR239" t="s">
        <v>2658</v>
      </c>
      <c r="AW239" t="s">
        <v>2658</v>
      </c>
      <c r="BH239">
        <v>21.696000000000002</v>
      </c>
      <c r="BI239">
        <v>0.9</v>
      </c>
      <c r="BN239">
        <v>1</v>
      </c>
      <c r="BO239" t="s">
        <v>1212</v>
      </c>
      <c r="BP239" t="s">
        <v>1710</v>
      </c>
      <c r="BQ239" s="771" t="s">
        <v>1710</v>
      </c>
      <c r="BR239" t="s">
        <v>1213</v>
      </c>
      <c r="BS239" t="s">
        <v>1213</v>
      </c>
      <c r="BT239">
        <v>0</v>
      </c>
      <c r="BU239" t="s">
        <v>1213</v>
      </c>
      <c r="BV239">
        <v>0</v>
      </c>
      <c r="BW239" t="s">
        <v>1213</v>
      </c>
      <c r="BX239">
        <v>0</v>
      </c>
      <c r="BY239" t="s">
        <v>1213</v>
      </c>
      <c r="BZ239" t="s">
        <v>2664</v>
      </c>
      <c r="CA239" t="s">
        <v>2665</v>
      </c>
    </row>
    <row r="240" spans="1:79" x14ac:dyDescent="0.2">
      <c r="A240" t="s">
        <v>1096</v>
      </c>
      <c r="B240" t="s">
        <v>2666</v>
      </c>
      <c r="C240" t="s">
        <v>1077</v>
      </c>
      <c r="D240" t="s">
        <v>458</v>
      </c>
      <c r="E240" t="s">
        <v>1428</v>
      </c>
      <c r="F240" t="s">
        <v>2654</v>
      </c>
      <c r="G240">
        <v>15</v>
      </c>
      <c r="H240" t="s">
        <v>2667</v>
      </c>
      <c r="I240" t="s">
        <v>2668</v>
      </c>
      <c r="J240" t="s">
        <v>1219</v>
      </c>
      <c r="K240" t="s">
        <v>1563</v>
      </c>
      <c r="N240" t="s">
        <v>302</v>
      </c>
      <c r="O240" t="s">
        <v>272</v>
      </c>
      <c r="P240" t="s">
        <v>2669</v>
      </c>
      <c r="Q240">
        <v>0</v>
      </c>
      <c r="R240" t="s">
        <v>1251</v>
      </c>
      <c r="S240" t="s">
        <v>1710</v>
      </c>
      <c r="X240">
        <v>6000</v>
      </c>
      <c r="AD240" t="s">
        <v>605</v>
      </c>
      <c r="AH240">
        <v>0</v>
      </c>
      <c r="AM240" t="s">
        <v>605</v>
      </c>
      <c r="AR240">
        <v>0</v>
      </c>
      <c r="AW240">
        <v>6000</v>
      </c>
      <c r="BH240">
        <v>1.8890000000000001E-3</v>
      </c>
      <c r="BN240">
        <v>1</v>
      </c>
      <c r="BO240" t="s">
        <v>1212</v>
      </c>
      <c r="BP240" t="s">
        <v>1710</v>
      </c>
      <c r="BQ240" s="772" t="s">
        <v>1710</v>
      </c>
      <c r="BR240" t="s">
        <v>1213</v>
      </c>
      <c r="BS240" t="s">
        <v>1213</v>
      </c>
      <c r="BT240">
        <v>0</v>
      </c>
      <c r="BU240" t="s">
        <v>1213</v>
      </c>
      <c r="BV240">
        <v>0</v>
      </c>
      <c r="BW240" t="s">
        <v>1213</v>
      </c>
      <c r="BX240">
        <v>0</v>
      </c>
      <c r="BY240" t="s">
        <v>1213</v>
      </c>
      <c r="BZ240" t="s">
        <v>2670</v>
      </c>
      <c r="CA240" t="s">
        <v>2671</v>
      </c>
    </row>
    <row r="241" spans="1:79" x14ac:dyDescent="0.2">
      <c r="A241" t="s">
        <v>1096</v>
      </c>
      <c r="B241" t="s">
        <v>2672</v>
      </c>
      <c r="C241" t="s">
        <v>1077</v>
      </c>
      <c r="D241" t="s">
        <v>1288</v>
      </c>
      <c r="E241" t="s">
        <v>1289</v>
      </c>
      <c r="F241" t="s">
        <v>2673</v>
      </c>
      <c r="G241">
        <v>1</v>
      </c>
      <c r="H241" t="s">
        <v>2674</v>
      </c>
      <c r="I241" t="s">
        <v>2675</v>
      </c>
      <c r="J241" t="s">
        <v>1241</v>
      </c>
      <c r="N241" t="s">
        <v>1400</v>
      </c>
      <c r="O241" t="s">
        <v>264</v>
      </c>
      <c r="P241" t="s">
        <v>2676</v>
      </c>
      <c r="Q241">
        <v>0</v>
      </c>
      <c r="R241" t="s">
        <v>1251</v>
      </c>
      <c r="S241">
        <v>80</v>
      </c>
      <c r="T241" t="s">
        <v>2677</v>
      </c>
      <c r="U241" t="s">
        <v>2677</v>
      </c>
      <c r="V241" t="s">
        <v>2677</v>
      </c>
      <c r="W241" t="s">
        <v>2677</v>
      </c>
      <c r="X241" t="s">
        <v>2677</v>
      </c>
      <c r="AH241">
        <v>0</v>
      </c>
      <c r="BP241" t="s">
        <v>1710</v>
      </c>
      <c r="BQ241" s="771">
        <v>67</v>
      </c>
      <c r="BR241" t="s">
        <v>606</v>
      </c>
      <c r="BS241" t="s">
        <v>1213</v>
      </c>
      <c r="BT241">
        <v>0</v>
      </c>
      <c r="BU241" t="s">
        <v>1213</v>
      </c>
      <c r="BV241">
        <v>0</v>
      </c>
      <c r="BW241" t="s">
        <v>1213</v>
      </c>
      <c r="BX241">
        <v>0</v>
      </c>
      <c r="BY241" t="s">
        <v>1213</v>
      </c>
      <c r="BZ241" t="s">
        <v>2678</v>
      </c>
    </row>
    <row r="242" spans="1:79" x14ac:dyDescent="0.2">
      <c r="A242" t="s">
        <v>1096</v>
      </c>
      <c r="B242" t="s">
        <v>2679</v>
      </c>
      <c r="C242" t="s">
        <v>1077</v>
      </c>
      <c r="D242" t="s">
        <v>1288</v>
      </c>
      <c r="E242" t="s">
        <v>1289</v>
      </c>
      <c r="F242" t="s">
        <v>2673</v>
      </c>
      <c r="G242">
        <v>2</v>
      </c>
      <c r="H242" t="s">
        <v>2680</v>
      </c>
      <c r="I242" t="s">
        <v>2681</v>
      </c>
      <c r="J242" t="s">
        <v>1241</v>
      </c>
      <c r="N242" t="s">
        <v>1400</v>
      </c>
      <c r="O242" t="s">
        <v>264</v>
      </c>
      <c r="P242" t="s">
        <v>2682</v>
      </c>
      <c r="Q242">
        <v>1</v>
      </c>
      <c r="R242" t="s">
        <v>1251</v>
      </c>
      <c r="S242">
        <v>75.900000000000006</v>
      </c>
      <c r="T242" t="s">
        <v>2677</v>
      </c>
      <c r="U242" t="s">
        <v>2677</v>
      </c>
      <c r="V242" t="s">
        <v>2677</v>
      </c>
      <c r="W242" t="s">
        <v>2677</v>
      </c>
      <c r="X242" t="s">
        <v>2677</v>
      </c>
      <c r="AH242">
        <v>0</v>
      </c>
      <c r="BP242" t="s">
        <v>1710</v>
      </c>
      <c r="BQ242" s="771">
        <v>66</v>
      </c>
      <c r="BR242" t="s">
        <v>1213</v>
      </c>
      <c r="BS242" t="s">
        <v>1213</v>
      </c>
      <c r="BT242">
        <v>0</v>
      </c>
      <c r="BU242" t="s">
        <v>1213</v>
      </c>
      <c r="BV242">
        <v>0</v>
      </c>
      <c r="BW242" t="s">
        <v>1213</v>
      </c>
      <c r="BX242">
        <v>0</v>
      </c>
      <c r="BY242" t="s">
        <v>1213</v>
      </c>
      <c r="BZ242" t="s">
        <v>2683</v>
      </c>
    </row>
    <row r="243" spans="1:79" x14ac:dyDescent="0.2">
      <c r="A243" t="s">
        <v>1096</v>
      </c>
      <c r="B243" t="s">
        <v>2684</v>
      </c>
      <c r="C243" t="s">
        <v>1077</v>
      </c>
      <c r="D243" t="s">
        <v>1288</v>
      </c>
      <c r="E243" t="s">
        <v>1289</v>
      </c>
      <c r="F243" t="s">
        <v>2576</v>
      </c>
      <c r="G243">
        <v>3</v>
      </c>
      <c r="H243" t="s">
        <v>2685</v>
      </c>
      <c r="I243" t="s">
        <v>2686</v>
      </c>
      <c r="J243" t="s">
        <v>1241</v>
      </c>
      <c r="N243" t="s">
        <v>2325</v>
      </c>
      <c r="O243" t="s">
        <v>264</v>
      </c>
      <c r="P243" t="s">
        <v>2687</v>
      </c>
      <c r="Q243">
        <v>1</v>
      </c>
      <c r="R243" t="s">
        <v>1251</v>
      </c>
      <c r="S243">
        <v>67.099999999999994</v>
      </c>
      <c r="T243" t="s">
        <v>2677</v>
      </c>
      <c r="U243" t="s">
        <v>2677</v>
      </c>
      <c r="V243" t="s">
        <v>2677</v>
      </c>
      <c r="W243" t="s">
        <v>2677</v>
      </c>
      <c r="X243" t="s">
        <v>2677</v>
      </c>
      <c r="AH243">
        <v>0</v>
      </c>
      <c r="BP243" t="s">
        <v>1710</v>
      </c>
      <c r="BQ243" s="771">
        <v>57</v>
      </c>
      <c r="BR243" t="s">
        <v>1213</v>
      </c>
      <c r="BS243" t="s">
        <v>1213</v>
      </c>
      <c r="BT243">
        <v>0</v>
      </c>
      <c r="BU243" t="s">
        <v>1213</v>
      </c>
      <c r="BV243">
        <v>0</v>
      </c>
      <c r="BW243" t="s">
        <v>1213</v>
      </c>
      <c r="BX243">
        <v>0</v>
      </c>
      <c r="BY243" t="s">
        <v>1213</v>
      </c>
      <c r="BZ243" t="s">
        <v>2688</v>
      </c>
    </row>
    <row r="244" spans="1:79" x14ac:dyDescent="0.2">
      <c r="A244" t="s">
        <v>1096</v>
      </c>
      <c r="B244" t="s">
        <v>2689</v>
      </c>
      <c r="C244" t="s">
        <v>1077</v>
      </c>
      <c r="D244" t="s">
        <v>1288</v>
      </c>
      <c r="E244" t="s">
        <v>1289</v>
      </c>
      <c r="F244" t="s">
        <v>2576</v>
      </c>
      <c r="G244">
        <v>4</v>
      </c>
      <c r="H244" t="s">
        <v>2690</v>
      </c>
      <c r="I244" t="s">
        <v>2691</v>
      </c>
      <c r="J244" t="s">
        <v>1241</v>
      </c>
      <c r="N244" t="s">
        <v>2325</v>
      </c>
      <c r="O244" t="s">
        <v>264</v>
      </c>
      <c r="P244" t="s">
        <v>2692</v>
      </c>
      <c r="Q244">
        <v>1</v>
      </c>
      <c r="R244" t="s">
        <v>1251</v>
      </c>
      <c r="S244">
        <v>35.1</v>
      </c>
      <c r="T244" t="s">
        <v>2677</v>
      </c>
      <c r="U244" t="s">
        <v>2677</v>
      </c>
      <c r="V244" t="s">
        <v>2677</v>
      </c>
      <c r="W244" t="s">
        <v>2677</v>
      </c>
      <c r="X244" t="s">
        <v>2677</v>
      </c>
      <c r="AH244">
        <v>0</v>
      </c>
      <c r="BP244" t="s">
        <v>1710</v>
      </c>
      <c r="BQ244" s="771">
        <v>60</v>
      </c>
      <c r="BR244" t="s">
        <v>1213</v>
      </c>
      <c r="BS244" t="s">
        <v>1213</v>
      </c>
      <c r="BT244">
        <v>0</v>
      </c>
      <c r="BU244" t="s">
        <v>1213</v>
      </c>
      <c r="BV244">
        <v>0</v>
      </c>
      <c r="BW244" t="s">
        <v>1213</v>
      </c>
      <c r="BX244">
        <v>0</v>
      </c>
      <c r="BY244" t="s">
        <v>1213</v>
      </c>
      <c r="BZ244" t="s">
        <v>2693</v>
      </c>
    </row>
    <row r="245" spans="1:79" x14ac:dyDescent="0.2">
      <c r="A245" t="s">
        <v>1096</v>
      </c>
      <c r="B245" t="s">
        <v>2694</v>
      </c>
      <c r="C245" t="s">
        <v>1077</v>
      </c>
      <c r="D245" t="s">
        <v>1288</v>
      </c>
      <c r="E245" t="s">
        <v>1289</v>
      </c>
      <c r="F245" t="s">
        <v>2576</v>
      </c>
      <c r="G245">
        <v>5</v>
      </c>
      <c r="H245" t="s">
        <v>2695</v>
      </c>
      <c r="I245" t="s">
        <v>2696</v>
      </c>
      <c r="J245" t="s">
        <v>1241</v>
      </c>
      <c r="N245" t="s">
        <v>1303</v>
      </c>
      <c r="O245" t="s">
        <v>272</v>
      </c>
      <c r="P245" t="s">
        <v>2697</v>
      </c>
      <c r="Q245">
        <v>0</v>
      </c>
      <c r="R245" t="s">
        <v>1211</v>
      </c>
      <c r="S245">
        <v>49000</v>
      </c>
      <c r="T245" t="s">
        <v>2698</v>
      </c>
      <c r="U245" t="s">
        <v>2698</v>
      </c>
      <c r="V245" t="s">
        <v>2698</v>
      </c>
      <c r="W245" t="s">
        <v>2698</v>
      </c>
      <c r="X245">
        <v>25000</v>
      </c>
      <c r="AH245">
        <v>0</v>
      </c>
      <c r="BP245">
        <v>29326</v>
      </c>
      <c r="BQ245" s="772">
        <v>62726</v>
      </c>
      <c r="BR245" t="s">
        <v>606</v>
      </c>
      <c r="BS245" t="s">
        <v>1213</v>
      </c>
      <c r="BT245">
        <v>0</v>
      </c>
      <c r="BU245" t="s">
        <v>1213</v>
      </c>
      <c r="BV245">
        <v>0</v>
      </c>
      <c r="BW245" t="s">
        <v>1213</v>
      </c>
      <c r="BX245">
        <v>0</v>
      </c>
      <c r="BY245" t="s">
        <v>1213</v>
      </c>
      <c r="BZ245" t="s">
        <v>2699</v>
      </c>
      <c r="CA245" t="s">
        <v>2700</v>
      </c>
    </row>
    <row r="246" spans="1:79" x14ac:dyDescent="0.2">
      <c r="A246" t="s">
        <v>1096</v>
      </c>
      <c r="B246" t="s">
        <v>2701</v>
      </c>
      <c r="C246" t="s">
        <v>1077</v>
      </c>
      <c r="D246" t="s">
        <v>1288</v>
      </c>
      <c r="E246" t="s">
        <v>1289</v>
      </c>
      <c r="F246" t="s">
        <v>1658</v>
      </c>
      <c r="G246">
        <v>6</v>
      </c>
      <c r="H246" t="s">
        <v>2702</v>
      </c>
      <c r="I246" t="s">
        <v>2703</v>
      </c>
      <c r="J246" t="s">
        <v>1241</v>
      </c>
      <c r="N246" t="s">
        <v>1303</v>
      </c>
      <c r="O246" t="s">
        <v>272</v>
      </c>
      <c r="P246" t="s">
        <v>2704</v>
      </c>
      <c r="Q246">
        <v>0</v>
      </c>
      <c r="R246" t="s">
        <v>1251</v>
      </c>
      <c r="S246">
        <v>105100</v>
      </c>
      <c r="T246">
        <v>129500</v>
      </c>
      <c r="U246">
        <v>149900</v>
      </c>
      <c r="V246">
        <v>172300</v>
      </c>
      <c r="W246">
        <v>194700</v>
      </c>
      <c r="X246">
        <v>217100</v>
      </c>
      <c r="AH246">
        <v>0</v>
      </c>
      <c r="BP246">
        <v>113210</v>
      </c>
      <c r="BQ246" s="772">
        <v>142040</v>
      </c>
      <c r="BR246" t="s">
        <v>605</v>
      </c>
      <c r="BS246" t="s">
        <v>1213</v>
      </c>
      <c r="BT246">
        <v>0</v>
      </c>
      <c r="BU246" t="s">
        <v>1213</v>
      </c>
      <c r="BV246">
        <v>0</v>
      </c>
      <c r="BW246" t="s">
        <v>1213</v>
      </c>
      <c r="BX246">
        <v>0</v>
      </c>
      <c r="BY246" t="s">
        <v>1213</v>
      </c>
      <c r="BZ246" t="s">
        <v>2705</v>
      </c>
    </row>
    <row r="247" spans="1:79" x14ac:dyDescent="0.2">
      <c r="A247" t="s">
        <v>1096</v>
      </c>
      <c r="B247" t="s">
        <v>2706</v>
      </c>
      <c r="C247" t="s">
        <v>1077</v>
      </c>
      <c r="D247" t="s">
        <v>1288</v>
      </c>
      <c r="E247" t="s">
        <v>1289</v>
      </c>
      <c r="F247" t="s">
        <v>1658</v>
      </c>
      <c r="G247">
        <v>7</v>
      </c>
      <c r="H247" t="s">
        <v>2707</v>
      </c>
      <c r="I247" t="s">
        <v>2708</v>
      </c>
      <c r="J247" t="s">
        <v>1241</v>
      </c>
      <c r="N247" t="s">
        <v>1303</v>
      </c>
      <c r="O247" t="s">
        <v>264</v>
      </c>
      <c r="P247" t="s">
        <v>2709</v>
      </c>
      <c r="Q247">
        <v>0</v>
      </c>
      <c r="R247" t="s">
        <v>1251</v>
      </c>
      <c r="S247">
        <v>53</v>
      </c>
      <c r="T247" t="s">
        <v>2677</v>
      </c>
      <c r="U247" t="s">
        <v>2677</v>
      </c>
      <c r="V247" t="s">
        <v>2677</v>
      </c>
      <c r="W247" t="s">
        <v>2677</v>
      </c>
      <c r="X247" t="s">
        <v>2677</v>
      </c>
      <c r="AH247">
        <v>0</v>
      </c>
      <c r="BP247" t="s">
        <v>1710</v>
      </c>
      <c r="BQ247" s="771">
        <v>61</v>
      </c>
      <c r="BR247" t="s">
        <v>1213</v>
      </c>
      <c r="BS247" t="s">
        <v>1213</v>
      </c>
      <c r="BT247">
        <v>0</v>
      </c>
      <c r="BU247" t="s">
        <v>1213</v>
      </c>
      <c r="BV247">
        <v>0</v>
      </c>
      <c r="BW247" t="s">
        <v>1213</v>
      </c>
      <c r="BX247">
        <v>0</v>
      </c>
      <c r="BY247" t="s">
        <v>1213</v>
      </c>
      <c r="BZ247" t="s">
        <v>2710</v>
      </c>
    </row>
    <row r="248" spans="1:79" x14ac:dyDescent="0.2">
      <c r="A248" t="s">
        <v>1096</v>
      </c>
      <c r="B248" t="s">
        <v>2711</v>
      </c>
      <c r="C248" t="s">
        <v>1077</v>
      </c>
      <c r="D248" t="s">
        <v>1288</v>
      </c>
      <c r="E248" t="s">
        <v>1289</v>
      </c>
      <c r="F248" t="s">
        <v>1658</v>
      </c>
      <c r="G248">
        <v>8</v>
      </c>
      <c r="H248" t="s">
        <v>2712</v>
      </c>
      <c r="I248" t="s">
        <v>2713</v>
      </c>
      <c r="J248" t="s">
        <v>1207</v>
      </c>
      <c r="K248" t="s">
        <v>1208</v>
      </c>
      <c r="M248" t="s">
        <v>606</v>
      </c>
      <c r="N248" t="s">
        <v>1294</v>
      </c>
      <c r="O248" t="s">
        <v>665</v>
      </c>
      <c r="P248" t="s">
        <v>1295</v>
      </c>
      <c r="Q248">
        <v>0</v>
      </c>
      <c r="R248" t="s">
        <v>1251</v>
      </c>
      <c r="S248">
        <v>72</v>
      </c>
      <c r="T248" t="s">
        <v>1296</v>
      </c>
      <c r="U248" t="s">
        <v>1296</v>
      </c>
      <c r="V248" t="s">
        <v>1296</v>
      </c>
      <c r="W248" t="s">
        <v>1296</v>
      </c>
      <c r="X248" t="s">
        <v>1296</v>
      </c>
      <c r="AH248">
        <v>0</v>
      </c>
      <c r="AI248" t="s">
        <v>605</v>
      </c>
      <c r="AJ248" t="s">
        <v>605</v>
      </c>
      <c r="AK248" t="s">
        <v>605</v>
      </c>
      <c r="AL248" t="s">
        <v>605</v>
      </c>
      <c r="AM248" t="s">
        <v>605</v>
      </c>
      <c r="AN248" t="s">
        <v>1296</v>
      </c>
      <c r="AO248" t="s">
        <v>1296</v>
      </c>
      <c r="AP248" t="s">
        <v>1296</v>
      </c>
      <c r="AQ248" t="s">
        <v>1296</v>
      </c>
      <c r="AR248" t="s">
        <v>1296</v>
      </c>
      <c r="AS248" t="s">
        <v>1296</v>
      </c>
      <c r="AT248" t="s">
        <v>1296</v>
      </c>
      <c r="AU248" t="s">
        <v>1296</v>
      </c>
      <c r="AV248" t="s">
        <v>1296</v>
      </c>
      <c r="AW248" t="s">
        <v>1296</v>
      </c>
      <c r="AX248" t="s">
        <v>1296</v>
      </c>
      <c r="AY248" t="s">
        <v>1296</v>
      </c>
      <c r="AZ248" t="s">
        <v>1296</v>
      </c>
      <c r="BA248" t="s">
        <v>1296</v>
      </c>
      <c r="BB248" t="s">
        <v>1296</v>
      </c>
      <c r="BC248" t="s">
        <v>1296</v>
      </c>
      <c r="BD248" t="s">
        <v>1296</v>
      </c>
      <c r="BE248" t="s">
        <v>1296</v>
      </c>
      <c r="BF248" t="s">
        <v>1296</v>
      </c>
      <c r="BG248" t="s">
        <v>1296</v>
      </c>
      <c r="BH248" t="s">
        <v>1296</v>
      </c>
      <c r="BL248" t="s">
        <v>1296</v>
      </c>
      <c r="BN248">
        <v>1</v>
      </c>
      <c r="BO248" t="s">
        <v>1212</v>
      </c>
      <c r="BP248">
        <v>72</v>
      </c>
      <c r="BQ248" s="783">
        <v>73</v>
      </c>
      <c r="BR248" t="s">
        <v>1213</v>
      </c>
      <c r="BS248" t="s">
        <v>1213</v>
      </c>
      <c r="BT248">
        <v>0</v>
      </c>
      <c r="BU248" t="s">
        <v>1213</v>
      </c>
      <c r="BV248">
        <v>0</v>
      </c>
      <c r="BW248" t="s">
        <v>1213</v>
      </c>
      <c r="BX248">
        <v>0</v>
      </c>
      <c r="BY248" t="s">
        <v>1213</v>
      </c>
      <c r="BZ248" t="s">
        <v>2714</v>
      </c>
      <c r="CA248" t="s">
        <v>1298</v>
      </c>
    </row>
    <row r="249" spans="1:79" x14ac:dyDescent="0.2">
      <c r="A249" t="s">
        <v>2715</v>
      </c>
      <c r="B249" t="s">
        <v>2716</v>
      </c>
      <c r="C249" t="s">
        <v>1112</v>
      </c>
      <c r="D249" t="s">
        <v>457</v>
      </c>
      <c r="E249" t="s">
        <v>1202</v>
      </c>
      <c r="F249" t="s">
        <v>2717</v>
      </c>
      <c r="G249">
        <v>1.1000000000000001</v>
      </c>
      <c r="H249" t="s">
        <v>2718</v>
      </c>
      <c r="I249" t="s">
        <v>2719</v>
      </c>
      <c r="J249" t="s">
        <v>1219</v>
      </c>
      <c r="K249" t="s">
        <v>1208</v>
      </c>
      <c r="N249" t="s">
        <v>1249</v>
      </c>
      <c r="O249" t="s">
        <v>264</v>
      </c>
      <c r="P249" t="s">
        <v>1250</v>
      </c>
      <c r="Q249">
        <v>3</v>
      </c>
      <c r="R249" t="s">
        <v>1251</v>
      </c>
      <c r="S249">
        <v>99.97</v>
      </c>
      <c r="T249">
        <v>99.97</v>
      </c>
      <c r="U249">
        <v>99.97</v>
      </c>
      <c r="V249">
        <v>100</v>
      </c>
      <c r="W249">
        <v>100</v>
      </c>
      <c r="X249">
        <v>100</v>
      </c>
      <c r="Y249" t="s">
        <v>605</v>
      </c>
      <c r="AE249" t="s">
        <v>605</v>
      </c>
      <c r="AH249">
        <v>0</v>
      </c>
      <c r="AI249" t="s">
        <v>605</v>
      </c>
      <c r="AJ249" t="s">
        <v>605</v>
      </c>
      <c r="AK249" t="s">
        <v>605</v>
      </c>
      <c r="AL249" t="s">
        <v>605</v>
      </c>
      <c r="AM249" t="s">
        <v>605</v>
      </c>
      <c r="AN249">
        <v>99.92</v>
      </c>
      <c r="AO249">
        <v>99.92</v>
      </c>
      <c r="AP249">
        <v>99.92</v>
      </c>
      <c r="AQ249">
        <v>99.92</v>
      </c>
      <c r="AR249">
        <v>99.92</v>
      </c>
      <c r="AS249">
        <v>99.95</v>
      </c>
      <c r="AT249">
        <v>99.95</v>
      </c>
      <c r="AU249">
        <v>99.95</v>
      </c>
      <c r="AV249">
        <v>99.95</v>
      </c>
      <c r="AW249">
        <v>99.95</v>
      </c>
      <c r="BH249">
        <v>5.3999999999999999E-2</v>
      </c>
      <c r="BN249">
        <v>100</v>
      </c>
      <c r="BO249" t="s">
        <v>1598</v>
      </c>
      <c r="BP249">
        <v>99.984899999999996</v>
      </c>
      <c r="BQ249" s="782">
        <v>99.883799999999994</v>
      </c>
      <c r="BR249" t="s">
        <v>606</v>
      </c>
      <c r="BS249" t="s">
        <v>1213</v>
      </c>
      <c r="BT249">
        <v>0</v>
      </c>
      <c r="BU249" t="s">
        <v>1107</v>
      </c>
      <c r="BV249">
        <v>-0.162000000000006</v>
      </c>
      <c r="BW249" t="s">
        <v>1107</v>
      </c>
      <c r="BX249">
        <v>-0.162000000000006</v>
      </c>
      <c r="BY249" t="s">
        <v>1171</v>
      </c>
      <c r="BZ249" t="s">
        <v>2720</v>
      </c>
    </row>
    <row r="250" spans="1:79" x14ac:dyDescent="0.2">
      <c r="A250" t="s">
        <v>2715</v>
      </c>
      <c r="B250" t="s">
        <v>2721</v>
      </c>
      <c r="C250" t="s">
        <v>1112</v>
      </c>
      <c r="D250" t="s">
        <v>457</v>
      </c>
      <c r="E250" t="s">
        <v>1202</v>
      </c>
      <c r="F250" t="s">
        <v>2717</v>
      </c>
      <c r="G250">
        <v>1.2</v>
      </c>
      <c r="H250" t="s">
        <v>2722</v>
      </c>
      <c r="I250" t="s">
        <v>2723</v>
      </c>
      <c r="J250" t="s">
        <v>1207</v>
      </c>
      <c r="K250" t="s">
        <v>1208</v>
      </c>
      <c r="N250" t="s">
        <v>1172</v>
      </c>
      <c r="O250" t="s">
        <v>272</v>
      </c>
      <c r="P250" t="s">
        <v>1258</v>
      </c>
      <c r="Q250">
        <v>2</v>
      </c>
      <c r="R250" t="s">
        <v>1211</v>
      </c>
      <c r="S250">
        <v>1.83</v>
      </c>
      <c r="T250">
        <v>1.63</v>
      </c>
      <c r="U250">
        <v>1.43</v>
      </c>
      <c r="V250">
        <v>1.23</v>
      </c>
      <c r="W250">
        <v>1.23</v>
      </c>
      <c r="X250">
        <v>1.23</v>
      </c>
      <c r="Z250" t="s">
        <v>605</v>
      </c>
      <c r="AE250" t="s">
        <v>605</v>
      </c>
      <c r="AH250">
        <v>0</v>
      </c>
      <c r="AI250" t="s">
        <v>605</v>
      </c>
      <c r="AJ250" t="s">
        <v>605</v>
      </c>
      <c r="AK250" t="s">
        <v>605</v>
      </c>
      <c r="AL250" t="s">
        <v>605</v>
      </c>
      <c r="AM250" t="s">
        <v>605</v>
      </c>
      <c r="AN250">
        <v>2.63</v>
      </c>
      <c r="AO250">
        <v>2.63</v>
      </c>
      <c r="AP250">
        <v>2.0299999999999998</v>
      </c>
      <c r="AQ250">
        <v>2.0299999999999998</v>
      </c>
      <c r="AR250">
        <v>2.0299999999999998</v>
      </c>
      <c r="AS250">
        <v>1.83</v>
      </c>
      <c r="AT250">
        <v>1.83</v>
      </c>
      <c r="AU250">
        <v>1.23</v>
      </c>
      <c r="AV250">
        <v>1.23</v>
      </c>
      <c r="AW250">
        <v>1.23</v>
      </c>
      <c r="AX250">
        <v>1.23</v>
      </c>
      <c r="AY250">
        <v>1.23</v>
      </c>
      <c r="AZ250">
        <v>1.23</v>
      </c>
      <c r="BA250">
        <v>1.23</v>
      </c>
      <c r="BB250">
        <v>1.23</v>
      </c>
      <c r="BC250">
        <v>0.53</v>
      </c>
      <c r="BD250">
        <v>0.53</v>
      </c>
      <c r="BE250">
        <v>0.53</v>
      </c>
      <c r="BF250">
        <v>0.53</v>
      </c>
      <c r="BG250">
        <v>0.53</v>
      </c>
      <c r="BH250">
        <v>0.159</v>
      </c>
      <c r="BL250">
        <v>0.121</v>
      </c>
      <c r="BN250">
        <v>10</v>
      </c>
      <c r="BO250" t="s">
        <v>2724</v>
      </c>
      <c r="BP250">
        <v>1.51</v>
      </c>
      <c r="BQ250" s="773">
        <v>1.9576</v>
      </c>
      <c r="BR250" t="s">
        <v>606</v>
      </c>
      <c r="BS250" t="s">
        <v>1213</v>
      </c>
      <c r="BT250">
        <v>0</v>
      </c>
      <c r="BU250" t="s">
        <v>1107</v>
      </c>
      <c r="BV250">
        <v>-0.20669999999999999</v>
      </c>
      <c r="BW250" t="s">
        <v>1107</v>
      </c>
      <c r="BX250">
        <v>-0.20669999999999999</v>
      </c>
      <c r="BY250" t="s">
        <v>1172</v>
      </c>
      <c r="BZ250" t="s">
        <v>2725</v>
      </c>
    </row>
    <row r="251" spans="1:79" x14ac:dyDescent="0.2">
      <c r="A251" t="s">
        <v>2715</v>
      </c>
      <c r="B251" t="s">
        <v>2726</v>
      </c>
      <c r="C251" t="s">
        <v>1112</v>
      </c>
      <c r="D251" t="s">
        <v>457</v>
      </c>
      <c r="E251" t="s">
        <v>1202</v>
      </c>
      <c r="F251" t="s">
        <v>2727</v>
      </c>
      <c r="G251">
        <v>2.1</v>
      </c>
      <c r="H251" t="s">
        <v>2728</v>
      </c>
      <c r="I251" t="s">
        <v>2729</v>
      </c>
      <c r="J251" t="s">
        <v>1207</v>
      </c>
      <c r="K251" t="s">
        <v>1208</v>
      </c>
      <c r="N251" t="s">
        <v>1265</v>
      </c>
      <c r="O251" t="s">
        <v>1309</v>
      </c>
      <c r="P251" t="s">
        <v>1310</v>
      </c>
      <c r="Q251">
        <v>1</v>
      </c>
      <c r="R251" t="s">
        <v>1211</v>
      </c>
      <c r="S251">
        <v>10</v>
      </c>
      <c r="T251">
        <v>10</v>
      </c>
      <c r="U251">
        <v>10</v>
      </c>
      <c r="V251">
        <v>10</v>
      </c>
      <c r="W251">
        <v>10</v>
      </c>
      <c r="X251">
        <v>10</v>
      </c>
      <c r="AA251" t="s">
        <v>605</v>
      </c>
      <c r="AE251" t="s">
        <v>605</v>
      </c>
      <c r="AH251">
        <v>0</v>
      </c>
      <c r="AI251" t="s">
        <v>605</v>
      </c>
      <c r="AJ251" t="s">
        <v>605</v>
      </c>
      <c r="AK251" t="s">
        <v>605</v>
      </c>
      <c r="AL251" t="s">
        <v>605</v>
      </c>
      <c r="AM251" t="s">
        <v>605</v>
      </c>
      <c r="AN251">
        <v>14</v>
      </c>
      <c r="AO251">
        <v>14</v>
      </c>
      <c r="AP251">
        <v>14</v>
      </c>
      <c r="AQ251">
        <v>14</v>
      </c>
      <c r="AR251">
        <v>14</v>
      </c>
      <c r="AS251">
        <v>12</v>
      </c>
      <c r="AT251">
        <v>12</v>
      </c>
      <c r="AU251">
        <v>12</v>
      </c>
      <c r="AV251">
        <v>12</v>
      </c>
      <c r="AW251">
        <v>12</v>
      </c>
      <c r="AX251">
        <v>9</v>
      </c>
      <c r="AY251">
        <v>9</v>
      </c>
      <c r="AZ251">
        <v>9</v>
      </c>
      <c r="BA251">
        <v>9</v>
      </c>
      <c r="BB251">
        <v>9</v>
      </c>
      <c r="BC251">
        <v>7</v>
      </c>
      <c r="BD251">
        <v>7</v>
      </c>
      <c r="BE251">
        <v>7</v>
      </c>
      <c r="BF251">
        <v>7</v>
      </c>
      <c r="BG251">
        <v>7</v>
      </c>
      <c r="BH251">
        <v>0.45300000000000001</v>
      </c>
      <c r="BL251">
        <v>0.45300000000000001</v>
      </c>
      <c r="BN251">
        <v>1</v>
      </c>
      <c r="BO251" t="s">
        <v>1212</v>
      </c>
      <c r="BP251">
        <v>8.3000000000000007</v>
      </c>
      <c r="BQ251" s="769">
        <v>4.2333333333333334</v>
      </c>
      <c r="BR251" t="s">
        <v>605</v>
      </c>
      <c r="BS251" t="s">
        <v>1213</v>
      </c>
      <c r="BT251">
        <v>0</v>
      </c>
      <c r="BU251" t="s">
        <v>611</v>
      </c>
      <c r="BV251">
        <v>0.90600000000000003</v>
      </c>
      <c r="BW251" t="s">
        <v>611</v>
      </c>
      <c r="BX251">
        <v>0.90600000000000003</v>
      </c>
      <c r="BY251" t="s">
        <v>1173</v>
      </c>
      <c r="BZ251" t="s">
        <v>2730</v>
      </c>
    </row>
    <row r="252" spans="1:79" x14ac:dyDescent="0.2">
      <c r="A252" t="s">
        <v>2715</v>
      </c>
      <c r="B252" t="s">
        <v>2731</v>
      </c>
      <c r="C252" t="s">
        <v>1112</v>
      </c>
      <c r="D252" t="s">
        <v>457</v>
      </c>
      <c r="E252" t="s">
        <v>1202</v>
      </c>
      <c r="F252" t="s">
        <v>2727</v>
      </c>
      <c r="G252">
        <v>2.2000000000000002</v>
      </c>
      <c r="H252" t="s">
        <v>2732</v>
      </c>
      <c r="I252" t="s">
        <v>2733</v>
      </c>
      <c r="J252" t="s">
        <v>1219</v>
      </c>
      <c r="K252" t="s">
        <v>1208</v>
      </c>
      <c r="M252" t="s">
        <v>606</v>
      </c>
      <c r="N252" t="s">
        <v>1272</v>
      </c>
      <c r="O252" t="s">
        <v>1410</v>
      </c>
      <c r="P252" t="s">
        <v>1564</v>
      </c>
      <c r="Q252" t="s">
        <v>1212</v>
      </c>
      <c r="S252" t="s">
        <v>612</v>
      </c>
      <c r="T252" t="s">
        <v>612</v>
      </c>
      <c r="U252" t="s">
        <v>612</v>
      </c>
      <c r="V252" t="s">
        <v>612</v>
      </c>
      <c r="W252" t="s">
        <v>612</v>
      </c>
      <c r="X252" t="s">
        <v>612</v>
      </c>
      <c r="AE252" t="s">
        <v>605</v>
      </c>
      <c r="AH252">
        <v>5</v>
      </c>
      <c r="AI252" t="s">
        <v>605</v>
      </c>
      <c r="AJ252" t="s">
        <v>605</v>
      </c>
      <c r="AK252" t="s">
        <v>605</v>
      </c>
      <c r="AL252" t="s">
        <v>605</v>
      </c>
      <c r="AM252" t="s">
        <v>605</v>
      </c>
      <c r="AN252" t="s">
        <v>1565</v>
      </c>
      <c r="AO252" t="s">
        <v>1565</v>
      </c>
      <c r="AP252" t="s">
        <v>1565</v>
      </c>
      <c r="AQ252" t="s">
        <v>1565</v>
      </c>
      <c r="AR252" t="s">
        <v>1565</v>
      </c>
      <c r="AS252" t="s">
        <v>1566</v>
      </c>
      <c r="AT252" t="s">
        <v>1566</v>
      </c>
      <c r="AU252" t="s">
        <v>1566</v>
      </c>
      <c r="AV252" t="s">
        <v>1566</v>
      </c>
      <c r="AW252" t="s">
        <v>1566</v>
      </c>
      <c r="BH252">
        <v>7.5999999999999998E-2</v>
      </c>
      <c r="BI252">
        <v>0.379</v>
      </c>
      <c r="BN252">
        <v>1</v>
      </c>
      <c r="BO252" t="s">
        <v>1212</v>
      </c>
      <c r="BP252" t="s">
        <v>612</v>
      </c>
      <c r="BQ252" s="771" t="s">
        <v>612</v>
      </c>
      <c r="BR252" t="s">
        <v>605</v>
      </c>
      <c r="BS252" t="s">
        <v>1213</v>
      </c>
      <c r="BT252">
        <v>0</v>
      </c>
      <c r="BU252" t="s">
        <v>1213</v>
      </c>
      <c r="BV252">
        <v>0</v>
      </c>
      <c r="BW252" t="s">
        <v>1213</v>
      </c>
      <c r="BX252">
        <v>0</v>
      </c>
      <c r="BY252" t="s">
        <v>1213</v>
      </c>
      <c r="BZ252" t="s">
        <v>2734</v>
      </c>
      <c r="CA252" t="s">
        <v>2735</v>
      </c>
    </row>
    <row r="253" spans="1:79" x14ac:dyDescent="0.2">
      <c r="A253" t="s">
        <v>2715</v>
      </c>
      <c r="B253" t="s">
        <v>2736</v>
      </c>
      <c r="C253" t="s">
        <v>1112</v>
      </c>
      <c r="D253" t="s">
        <v>457</v>
      </c>
      <c r="E253" t="s">
        <v>1202</v>
      </c>
      <c r="F253" t="s">
        <v>2727</v>
      </c>
      <c r="G253">
        <v>2.2999999999999998</v>
      </c>
      <c r="H253" t="s">
        <v>2737</v>
      </c>
      <c r="I253" t="s">
        <v>2738</v>
      </c>
      <c r="J253" t="s">
        <v>1219</v>
      </c>
      <c r="K253" t="s">
        <v>1208</v>
      </c>
      <c r="M253" t="s">
        <v>606</v>
      </c>
      <c r="N253" t="s">
        <v>1272</v>
      </c>
      <c r="O253" t="s">
        <v>1410</v>
      </c>
      <c r="P253" t="s">
        <v>1564</v>
      </c>
      <c r="Q253" t="s">
        <v>1212</v>
      </c>
      <c r="S253" t="s">
        <v>612</v>
      </c>
      <c r="T253" t="s">
        <v>612</v>
      </c>
      <c r="U253" t="s">
        <v>612</v>
      </c>
      <c r="V253" t="s">
        <v>612</v>
      </c>
      <c r="W253" t="s">
        <v>612</v>
      </c>
      <c r="X253" t="s">
        <v>612</v>
      </c>
      <c r="AE253" t="s">
        <v>605</v>
      </c>
      <c r="AH253">
        <v>5</v>
      </c>
      <c r="AI253" t="s">
        <v>605</v>
      </c>
      <c r="AJ253" t="s">
        <v>605</v>
      </c>
      <c r="AK253" t="s">
        <v>605</v>
      </c>
      <c r="AL253" t="s">
        <v>605</v>
      </c>
      <c r="AM253" t="s">
        <v>605</v>
      </c>
      <c r="AN253" t="s">
        <v>1565</v>
      </c>
      <c r="AO253" t="s">
        <v>1565</v>
      </c>
      <c r="AP253" t="s">
        <v>1565</v>
      </c>
      <c r="AQ253" t="s">
        <v>1565</v>
      </c>
      <c r="AR253" t="s">
        <v>1565</v>
      </c>
      <c r="AS253" t="s">
        <v>1566</v>
      </c>
      <c r="AT253" t="s">
        <v>1566</v>
      </c>
      <c r="AU253" t="s">
        <v>1566</v>
      </c>
      <c r="AV253" t="s">
        <v>1566</v>
      </c>
      <c r="AW253" t="s">
        <v>1566</v>
      </c>
      <c r="BH253">
        <v>9.7000000000000003E-2</v>
      </c>
      <c r="BI253">
        <v>0.48699999999999999</v>
      </c>
      <c r="BN253">
        <v>1</v>
      </c>
      <c r="BO253" t="s">
        <v>1212</v>
      </c>
      <c r="BP253" t="s">
        <v>612</v>
      </c>
      <c r="BQ253" s="771" t="s">
        <v>612</v>
      </c>
      <c r="BR253" t="s">
        <v>605</v>
      </c>
      <c r="BS253" t="s">
        <v>1213</v>
      </c>
      <c r="BT253">
        <v>0</v>
      </c>
      <c r="BU253" t="s">
        <v>1213</v>
      </c>
      <c r="BV253">
        <v>0</v>
      </c>
      <c r="BW253" t="s">
        <v>1213</v>
      </c>
      <c r="BX253">
        <v>0</v>
      </c>
      <c r="BY253" t="s">
        <v>1213</v>
      </c>
      <c r="BZ253" t="s">
        <v>2739</v>
      </c>
      <c r="CA253" t="s">
        <v>2740</v>
      </c>
    </row>
    <row r="254" spans="1:79" x14ac:dyDescent="0.2">
      <c r="A254" t="s">
        <v>2715</v>
      </c>
      <c r="B254" t="s">
        <v>2741</v>
      </c>
      <c r="C254" t="s">
        <v>1112</v>
      </c>
      <c r="D254" t="s">
        <v>457</v>
      </c>
      <c r="E254" t="s">
        <v>1202</v>
      </c>
      <c r="F254" t="s">
        <v>2742</v>
      </c>
      <c r="G254">
        <v>4.0999999999999996</v>
      </c>
      <c r="H254" t="s">
        <v>2743</v>
      </c>
      <c r="I254" t="s">
        <v>2744</v>
      </c>
      <c r="J254" t="s">
        <v>1207</v>
      </c>
      <c r="K254" t="s">
        <v>1208</v>
      </c>
      <c r="N254" t="s">
        <v>1209</v>
      </c>
      <c r="O254" t="s">
        <v>272</v>
      </c>
      <c r="P254" t="s">
        <v>1210</v>
      </c>
      <c r="Q254">
        <v>1</v>
      </c>
      <c r="R254" t="s">
        <v>1211</v>
      </c>
      <c r="S254">
        <v>70.5</v>
      </c>
      <c r="T254">
        <v>70.5</v>
      </c>
      <c r="U254">
        <v>70.5</v>
      </c>
      <c r="V254">
        <v>70.5</v>
      </c>
      <c r="W254">
        <v>70.5</v>
      </c>
      <c r="X254">
        <v>70.5</v>
      </c>
      <c r="AE254" t="s">
        <v>605</v>
      </c>
      <c r="AH254">
        <v>0</v>
      </c>
      <c r="AI254" t="s">
        <v>605</v>
      </c>
      <c r="AJ254" t="s">
        <v>605</v>
      </c>
      <c r="AK254" t="s">
        <v>605</v>
      </c>
      <c r="AL254" t="s">
        <v>605</v>
      </c>
      <c r="AM254" t="s">
        <v>605</v>
      </c>
      <c r="AN254">
        <v>80.599999999999994</v>
      </c>
      <c r="AO254">
        <v>80.599999999999994</v>
      </c>
      <c r="AP254">
        <v>80.599999999999994</v>
      </c>
      <c r="AQ254">
        <v>80.599999999999994</v>
      </c>
      <c r="AR254">
        <v>80.599999999999994</v>
      </c>
      <c r="AS254">
        <v>73.3</v>
      </c>
      <c r="AT254">
        <v>73.3</v>
      </c>
      <c r="AU254">
        <v>73.3</v>
      </c>
      <c r="AV254">
        <v>73.3</v>
      </c>
      <c r="AW254">
        <v>73.3</v>
      </c>
      <c r="AX254">
        <v>66.900000000000006</v>
      </c>
      <c r="AY254">
        <v>66.900000000000006</v>
      </c>
      <c r="AZ254">
        <v>66.900000000000006</v>
      </c>
      <c r="BA254">
        <v>66.900000000000006</v>
      </c>
      <c r="BB254">
        <v>66.900000000000006</v>
      </c>
      <c r="BC254">
        <v>62.5</v>
      </c>
      <c r="BD254">
        <v>62.5</v>
      </c>
      <c r="BE254">
        <v>62.5</v>
      </c>
      <c r="BF254">
        <v>62.5</v>
      </c>
      <c r="BG254">
        <v>62.5</v>
      </c>
      <c r="BH254">
        <v>0.36899999999999999</v>
      </c>
      <c r="BL254">
        <v>0.183</v>
      </c>
      <c r="BN254">
        <v>1</v>
      </c>
      <c r="BO254" t="s">
        <v>1212</v>
      </c>
      <c r="BP254">
        <v>69.2</v>
      </c>
      <c r="BQ254" s="769">
        <v>69.88</v>
      </c>
      <c r="BR254" t="s">
        <v>605</v>
      </c>
      <c r="BS254" t="s">
        <v>1213</v>
      </c>
      <c r="BT254">
        <v>0</v>
      </c>
      <c r="BU254" t="s">
        <v>610</v>
      </c>
      <c r="BV254">
        <v>0</v>
      </c>
      <c r="BW254" t="s">
        <v>610</v>
      </c>
      <c r="BX254">
        <v>0</v>
      </c>
      <c r="BY254" t="s">
        <v>1213</v>
      </c>
      <c r="BZ254" t="s">
        <v>2745</v>
      </c>
    </row>
    <row r="255" spans="1:79" x14ac:dyDescent="0.2">
      <c r="A255" t="s">
        <v>2715</v>
      </c>
      <c r="B255" t="s">
        <v>2746</v>
      </c>
      <c r="C255" t="s">
        <v>1112</v>
      </c>
      <c r="D255" t="s">
        <v>457</v>
      </c>
      <c r="E255" t="s">
        <v>1202</v>
      </c>
      <c r="F255" t="s">
        <v>2742</v>
      </c>
      <c r="G255">
        <v>4.2</v>
      </c>
      <c r="H255" t="s">
        <v>2747</v>
      </c>
      <c r="I255" t="s">
        <v>2748</v>
      </c>
      <c r="J255" t="s">
        <v>1207</v>
      </c>
      <c r="K255" t="s">
        <v>1208</v>
      </c>
      <c r="N255" t="s">
        <v>1209</v>
      </c>
      <c r="O255" t="s">
        <v>272</v>
      </c>
      <c r="P255" t="s">
        <v>1210</v>
      </c>
      <c r="Q255">
        <v>1</v>
      </c>
      <c r="R255" t="s">
        <v>1211</v>
      </c>
      <c r="S255">
        <v>13.5</v>
      </c>
      <c r="T255">
        <v>13.5</v>
      </c>
      <c r="U255">
        <v>13.5</v>
      </c>
      <c r="V255">
        <v>13.5</v>
      </c>
      <c r="W255">
        <v>13.5</v>
      </c>
      <c r="X255">
        <v>13.5</v>
      </c>
      <c r="AE255" t="s">
        <v>605</v>
      </c>
      <c r="AH255">
        <v>0</v>
      </c>
      <c r="AI255" t="s">
        <v>605</v>
      </c>
      <c r="AJ255" t="s">
        <v>605</v>
      </c>
      <c r="AK255" t="s">
        <v>605</v>
      </c>
      <c r="AL255" t="s">
        <v>605</v>
      </c>
      <c r="AM255" t="s">
        <v>605</v>
      </c>
      <c r="AN255">
        <v>15.4</v>
      </c>
      <c r="AO255">
        <v>15.4</v>
      </c>
      <c r="AP255">
        <v>15.4</v>
      </c>
      <c r="AQ255">
        <v>15.4</v>
      </c>
      <c r="AR255">
        <v>15.4</v>
      </c>
      <c r="AS255">
        <v>14</v>
      </c>
      <c r="AT255">
        <v>14</v>
      </c>
      <c r="AU255">
        <v>14</v>
      </c>
      <c r="AV255">
        <v>14</v>
      </c>
      <c r="AW255">
        <v>14</v>
      </c>
      <c r="AX255">
        <v>12.6</v>
      </c>
      <c r="AY255">
        <v>12.6</v>
      </c>
      <c r="AZ255">
        <v>12.6</v>
      </c>
      <c r="BA255">
        <v>12.6</v>
      </c>
      <c r="BB255">
        <v>12.6</v>
      </c>
      <c r="BC255">
        <v>11.1</v>
      </c>
      <c r="BD255">
        <v>11.1</v>
      </c>
      <c r="BE255">
        <v>11.1</v>
      </c>
      <c r="BF255">
        <v>11.1</v>
      </c>
      <c r="BG255">
        <v>11.1</v>
      </c>
      <c r="BH255">
        <v>0.30499999999999999</v>
      </c>
      <c r="BL255">
        <v>0.152</v>
      </c>
      <c r="BN255">
        <v>1</v>
      </c>
      <c r="BO255" t="s">
        <v>1212</v>
      </c>
      <c r="BP255">
        <v>13.5</v>
      </c>
      <c r="BQ255" s="769">
        <v>13.24</v>
      </c>
      <c r="BR255" t="s">
        <v>605</v>
      </c>
      <c r="BS255" t="s">
        <v>1213</v>
      </c>
      <c r="BT255">
        <v>0</v>
      </c>
      <c r="BU255" t="s">
        <v>610</v>
      </c>
      <c r="BV255">
        <v>0</v>
      </c>
      <c r="BW255" t="s">
        <v>610</v>
      </c>
      <c r="BX255">
        <v>0</v>
      </c>
      <c r="BY255" t="s">
        <v>1213</v>
      </c>
      <c r="BZ255" t="s">
        <v>2749</v>
      </c>
    </row>
    <row r="256" spans="1:79" x14ac:dyDescent="0.2">
      <c r="A256" t="s">
        <v>2715</v>
      </c>
      <c r="B256" t="s">
        <v>2750</v>
      </c>
      <c r="C256" t="s">
        <v>1112</v>
      </c>
      <c r="D256" t="s">
        <v>457</v>
      </c>
      <c r="E256" t="s">
        <v>1202</v>
      </c>
      <c r="F256" t="s">
        <v>2742</v>
      </c>
      <c r="G256">
        <v>4.3</v>
      </c>
      <c r="H256" t="s">
        <v>2751</v>
      </c>
      <c r="I256" t="s">
        <v>2752</v>
      </c>
      <c r="J256" t="s">
        <v>1241</v>
      </c>
      <c r="N256" t="s">
        <v>1220</v>
      </c>
      <c r="O256" t="s">
        <v>272</v>
      </c>
      <c r="P256" t="s">
        <v>1655</v>
      </c>
      <c r="Q256">
        <v>2</v>
      </c>
      <c r="R256" t="s">
        <v>1211</v>
      </c>
      <c r="S256">
        <v>131.44</v>
      </c>
      <c r="T256">
        <v>130.79</v>
      </c>
      <c r="U256">
        <v>130.15</v>
      </c>
      <c r="V256">
        <v>129.52000000000001</v>
      </c>
      <c r="W256">
        <v>128.91</v>
      </c>
      <c r="X256">
        <v>128.31</v>
      </c>
      <c r="AH256">
        <v>0</v>
      </c>
      <c r="BP256">
        <v>129.25</v>
      </c>
      <c r="BQ256" s="773">
        <v>129.59</v>
      </c>
      <c r="BR256" t="s">
        <v>605</v>
      </c>
      <c r="BS256" t="s">
        <v>1213</v>
      </c>
      <c r="BT256">
        <v>0</v>
      </c>
      <c r="BU256" t="s">
        <v>1213</v>
      </c>
      <c r="BV256">
        <v>0</v>
      </c>
      <c r="BW256" t="s">
        <v>1213</v>
      </c>
      <c r="BX256">
        <v>0</v>
      </c>
      <c r="BY256" t="s">
        <v>1213</v>
      </c>
      <c r="BZ256" t="s">
        <v>2753</v>
      </c>
    </row>
    <row r="257" spans="1:79" x14ac:dyDescent="0.2">
      <c r="A257" t="s">
        <v>2715</v>
      </c>
      <c r="B257" t="s">
        <v>2754</v>
      </c>
      <c r="C257" t="s">
        <v>1112</v>
      </c>
      <c r="D257" t="s">
        <v>457</v>
      </c>
      <c r="E257" t="s">
        <v>1202</v>
      </c>
      <c r="F257" t="s">
        <v>2742</v>
      </c>
      <c r="G257">
        <v>4.4000000000000004</v>
      </c>
      <c r="H257" t="s">
        <v>2755</v>
      </c>
      <c r="I257" t="s">
        <v>2756</v>
      </c>
      <c r="J257" t="s">
        <v>1241</v>
      </c>
      <c r="N257" t="s">
        <v>1370</v>
      </c>
      <c r="O257" t="s">
        <v>272</v>
      </c>
      <c r="P257" t="s">
        <v>2757</v>
      </c>
      <c r="Q257">
        <v>0</v>
      </c>
      <c r="R257" t="s">
        <v>1251</v>
      </c>
      <c r="S257">
        <v>66</v>
      </c>
      <c r="T257">
        <v>76</v>
      </c>
      <c r="U257">
        <v>91</v>
      </c>
      <c r="V257">
        <v>106</v>
      </c>
      <c r="W257">
        <v>116</v>
      </c>
      <c r="X257">
        <v>116</v>
      </c>
      <c r="AF257" t="s">
        <v>605</v>
      </c>
      <c r="AH257">
        <v>0</v>
      </c>
      <c r="BP257">
        <v>65.2</v>
      </c>
      <c r="BQ257" s="772">
        <v>76.2</v>
      </c>
      <c r="BR257" t="s">
        <v>605</v>
      </c>
      <c r="BS257" t="s">
        <v>1213</v>
      </c>
      <c r="BT257">
        <v>0</v>
      </c>
      <c r="BU257" t="s">
        <v>1213</v>
      </c>
      <c r="BV257">
        <v>0</v>
      </c>
      <c r="BW257" t="s">
        <v>1213</v>
      </c>
      <c r="BX257">
        <v>0</v>
      </c>
      <c r="BY257" t="s">
        <v>1213</v>
      </c>
      <c r="BZ257" t="s">
        <v>2758</v>
      </c>
    </row>
    <row r="258" spans="1:79" x14ac:dyDescent="0.2">
      <c r="A258" t="s">
        <v>2715</v>
      </c>
      <c r="B258" t="s">
        <v>2759</v>
      </c>
      <c r="C258" t="s">
        <v>1112</v>
      </c>
      <c r="D258" t="s">
        <v>457</v>
      </c>
      <c r="E258" t="s">
        <v>1202</v>
      </c>
      <c r="F258" t="s">
        <v>2742</v>
      </c>
      <c r="G258">
        <v>4.5</v>
      </c>
      <c r="H258" t="s">
        <v>2760</v>
      </c>
      <c r="I258" t="s">
        <v>2761</v>
      </c>
      <c r="J258" t="s">
        <v>1241</v>
      </c>
      <c r="N258" t="s">
        <v>1386</v>
      </c>
      <c r="O258" t="s">
        <v>272</v>
      </c>
      <c r="P258" t="s">
        <v>2762</v>
      </c>
      <c r="Q258">
        <v>0</v>
      </c>
      <c r="R258" t="s">
        <v>1251</v>
      </c>
      <c r="S258">
        <v>0</v>
      </c>
      <c r="T258">
        <v>509</v>
      </c>
      <c r="U258">
        <v>1320</v>
      </c>
      <c r="V258">
        <v>2428</v>
      </c>
      <c r="W258">
        <v>3742</v>
      </c>
      <c r="X258">
        <v>5210</v>
      </c>
      <c r="AH258">
        <v>0</v>
      </c>
      <c r="BP258" t="s">
        <v>2763</v>
      </c>
      <c r="BQ258" s="772">
        <v>178</v>
      </c>
      <c r="BR258" t="s">
        <v>606</v>
      </c>
      <c r="BS258" t="s">
        <v>1213</v>
      </c>
      <c r="BT258">
        <v>0</v>
      </c>
      <c r="BU258" t="s">
        <v>1213</v>
      </c>
      <c r="BV258">
        <v>0</v>
      </c>
      <c r="BW258" t="s">
        <v>1213</v>
      </c>
      <c r="BX258">
        <v>0</v>
      </c>
      <c r="BY258" t="s">
        <v>1213</v>
      </c>
      <c r="BZ258" t="s">
        <v>2764</v>
      </c>
    </row>
    <row r="259" spans="1:79" x14ac:dyDescent="0.2">
      <c r="A259" t="s">
        <v>2715</v>
      </c>
      <c r="B259" t="s">
        <v>2765</v>
      </c>
      <c r="C259" t="s">
        <v>1112</v>
      </c>
      <c r="D259" t="s">
        <v>457</v>
      </c>
      <c r="E259" t="s">
        <v>1202</v>
      </c>
      <c r="F259" t="s">
        <v>2766</v>
      </c>
      <c r="G259">
        <v>5.0999999999999996</v>
      </c>
      <c r="H259" t="s">
        <v>2767</v>
      </c>
      <c r="I259" t="s">
        <v>2768</v>
      </c>
      <c r="J259" t="s">
        <v>1241</v>
      </c>
      <c r="N259" t="s">
        <v>1303</v>
      </c>
      <c r="O259" t="s">
        <v>264</v>
      </c>
      <c r="P259" t="s">
        <v>2769</v>
      </c>
      <c r="Q259">
        <v>0</v>
      </c>
      <c r="R259" t="s">
        <v>1251</v>
      </c>
      <c r="S259">
        <v>87</v>
      </c>
      <c r="T259">
        <v>90</v>
      </c>
      <c r="U259">
        <v>90</v>
      </c>
      <c r="V259">
        <v>90</v>
      </c>
      <c r="W259">
        <v>90</v>
      </c>
      <c r="X259">
        <v>90</v>
      </c>
      <c r="AH259">
        <v>0</v>
      </c>
      <c r="BP259" t="s">
        <v>2770</v>
      </c>
      <c r="BQ259" s="772">
        <v>93</v>
      </c>
      <c r="BR259" t="s">
        <v>605</v>
      </c>
      <c r="BS259" t="s">
        <v>1213</v>
      </c>
      <c r="BT259">
        <v>0</v>
      </c>
      <c r="BU259" t="s">
        <v>1213</v>
      </c>
      <c r="BV259">
        <v>0</v>
      </c>
      <c r="BW259" t="s">
        <v>1213</v>
      </c>
      <c r="BX259">
        <v>0</v>
      </c>
      <c r="BY259" t="s">
        <v>1213</v>
      </c>
      <c r="BZ259" t="s">
        <v>2771</v>
      </c>
    </row>
    <row r="260" spans="1:79" x14ac:dyDescent="0.2">
      <c r="A260" t="s">
        <v>2715</v>
      </c>
      <c r="B260" t="s">
        <v>2772</v>
      </c>
      <c r="C260" t="s">
        <v>1112</v>
      </c>
      <c r="D260" t="s">
        <v>457</v>
      </c>
      <c r="E260" t="s">
        <v>1202</v>
      </c>
      <c r="F260" t="s">
        <v>2766</v>
      </c>
      <c r="G260">
        <v>5.2</v>
      </c>
      <c r="H260" t="s">
        <v>2773</v>
      </c>
      <c r="I260" t="s">
        <v>2774</v>
      </c>
      <c r="J260" t="s">
        <v>1241</v>
      </c>
      <c r="N260" t="s">
        <v>1303</v>
      </c>
      <c r="O260" t="s">
        <v>272</v>
      </c>
      <c r="P260" t="s">
        <v>2775</v>
      </c>
      <c r="Q260">
        <v>0</v>
      </c>
      <c r="R260" t="s">
        <v>1251</v>
      </c>
      <c r="S260">
        <v>17000</v>
      </c>
      <c r="T260">
        <v>19600</v>
      </c>
      <c r="U260">
        <v>22200</v>
      </c>
      <c r="V260">
        <v>24800</v>
      </c>
      <c r="W260">
        <v>27400</v>
      </c>
      <c r="X260">
        <v>30000</v>
      </c>
      <c r="AH260">
        <v>0</v>
      </c>
      <c r="BP260">
        <v>17866</v>
      </c>
      <c r="BQ260" s="772">
        <v>19621</v>
      </c>
      <c r="BR260" t="s">
        <v>605</v>
      </c>
      <c r="BS260" t="s">
        <v>1213</v>
      </c>
      <c r="BT260">
        <v>0</v>
      </c>
      <c r="BU260" t="s">
        <v>1213</v>
      </c>
      <c r="BV260">
        <v>0</v>
      </c>
      <c r="BW260" t="s">
        <v>1213</v>
      </c>
      <c r="BX260">
        <v>0</v>
      </c>
      <c r="BY260" t="s">
        <v>1213</v>
      </c>
      <c r="BZ260" t="s">
        <v>2776</v>
      </c>
    </row>
    <row r="261" spans="1:79" x14ac:dyDescent="0.2">
      <c r="A261" t="s">
        <v>2715</v>
      </c>
      <c r="B261" t="s">
        <v>2777</v>
      </c>
      <c r="C261" t="s">
        <v>1112</v>
      </c>
      <c r="D261" t="s">
        <v>1288</v>
      </c>
      <c r="E261" t="s">
        <v>1289</v>
      </c>
      <c r="F261" t="s">
        <v>2778</v>
      </c>
      <c r="G261">
        <v>3.1</v>
      </c>
      <c r="H261" t="s">
        <v>2779</v>
      </c>
      <c r="I261" t="s">
        <v>2780</v>
      </c>
      <c r="J261" t="s">
        <v>1207</v>
      </c>
      <c r="K261" t="s">
        <v>1208</v>
      </c>
      <c r="M261" t="s">
        <v>606</v>
      </c>
      <c r="N261" t="s">
        <v>1294</v>
      </c>
      <c r="O261" t="s">
        <v>665</v>
      </c>
      <c r="P261" t="s">
        <v>1295</v>
      </c>
      <c r="Q261">
        <v>1</v>
      </c>
      <c r="R261" t="s">
        <v>1251</v>
      </c>
      <c r="S261">
        <v>88</v>
      </c>
      <c r="T261">
        <v>89</v>
      </c>
      <c r="U261">
        <v>90</v>
      </c>
      <c r="V261">
        <v>90</v>
      </c>
      <c r="W261">
        <v>90</v>
      </c>
      <c r="X261">
        <v>90</v>
      </c>
      <c r="AH261">
        <v>0</v>
      </c>
      <c r="AI261" t="s">
        <v>605</v>
      </c>
      <c r="AJ261" t="s">
        <v>605</v>
      </c>
      <c r="AK261" t="s">
        <v>605</v>
      </c>
      <c r="AL261" t="s">
        <v>605</v>
      </c>
      <c r="AM261" t="s">
        <v>605</v>
      </c>
      <c r="AN261" t="s">
        <v>1296</v>
      </c>
      <c r="AO261" t="s">
        <v>1296</v>
      </c>
      <c r="AP261" t="s">
        <v>1296</v>
      </c>
      <c r="AQ261" t="s">
        <v>1296</v>
      </c>
      <c r="AR261" t="s">
        <v>1296</v>
      </c>
      <c r="AS261" t="s">
        <v>1296</v>
      </c>
      <c r="AT261" t="s">
        <v>1296</v>
      </c>
      <c r="AU261" t="s">
        <v>1296</v>
      </c>
      <c r="AV261" t="s">
        <v>1296</v>
      </c>
      <c r="AW261" t="s">
        <v>1296</v>
      </c>
      <c r="AX261" t="s">
        <v>1296</v>
      </c>
      <c r="AY261" t="s">
        <v>1296</v>
      </c>
      <c r="AZ261" t="s">
        <v>1296</v>
      </c>
      <c r="BA261" t="s">
        <v>1296</v>
      </c>
      <c r="BB261" t="s">
        <v>1296</v>
      </c>
      <c r="BC261" t="s">
        <v>1296</v>
      </c>
      <c r="BD261" t="s">
        <v>1296</v>
      </c>
      <c r="BE261" t="s">
        <v>1296</v>
      </c>
      <c r="BF261" t="s">
        <v>1296</v>
      </c>
      <c r="BG261" t="s">
        <v>1296</v>
      </c>
      <c r="BH261" t="s">
        <v>1296</v>
      </c>
      <c r="BL261" t="s">
        <v>1296</v>
      </c>
      <c r="BN261">
        <v>1</v>
      </c>
      <c r="BO261" t="s">
        <v>1212</v>
      </c>
      <c r="BP261">
        <v>85</v>
      </c>
      <c r="BQ261" s="769">
        <v>86.3</v>
      </c>
      <c r="BR261" t="s">
        <v>606</v>
      </c>
      <c r="BS261" t="s">
        <v>1213</v>
      </c>
      <c r="BT261">
        <v>0</v>
      </c>
      <c r="BU261" t="s">
        <v>1213</v>
      </c>
      <c r="BV261">
        <v>0</v>
      </c>
      <c r="BW261" t="s">
        <v>1213</v>
      </c>
      <c r="BX261">
        <v>0</v>
      </c>
      <c r="BY261" t="s">
        <v>1213</v>
      </c>
      <c r="BZ261" t="s">
        <v>2781</v>
      </c>
      <c r="CA261" t="s">
        <v>1298</v>
      </c>
    </row>
    <row r="262" spans="1:79" x14ac:dyDescent="0.2">
      <c r="A262" t="s">
        <v>2715</v>
      </c>
      <c r="B262" t="s">
        <v>2782</v>
      </c>
      <c r="C262" t="s">
        <v>1112</v>
      </c>
      <c r="D262" t="s">
        <v>1288</v>
      </c>
      <c r="E262" t="s">
        <v>1289</v>
      </c>
      <c r="F262" t="s">
        <v>2778</v>
      </c>
      <c r="G262">
        <v>3.2</v>
      </c>
      <c r="H262" t="s">
        <v>2783</v>
      </c>
      <c r="I262" t="s">
        <v>2784</v>
      </c>
      <c r="J262" t="s">
        <v>1241</v>
      </c>
      <c r="N262" t="s">
        <v>1400</v>
      </c>
      <c r="O262" t="s">
        <v>264</v>
      </c>
      <c r="P262" t="s">
        <v>1401</v>
      </c>
      <c r="Q262">
        <v>0</v>
      </c>
      <c r="R262" t="s">
        <v>1251</v>
      </c>
      <c r="S262">
        <v>96</v>
      </c>
      <c r="T262">
        <v>98</v>
      </c>
      <c r="U262">
        <v>98</v>
      </c>
      <c r="V262">
        <v>98</v>
      </c>
      <c r="W262">
        <v>98</v>
      </c>
      <c r="X262">
        <v>98</v>
      </c>
      <c r="AH262">
        <v>0</v>
      </c>
      <c r="BP262" t="s">
        <v>2770</v>
      </c>
      <c r="BQ262" s="772">
        <v>98</v>
      </c>
      <c r="BR262" t="s">
        <v>605</v>
      </c>
      <c r="BS262" t="s">
        <v>1213</v>
      </c>
      <c r="BT262">
        <v>0</v>
      </c>
      <c r="BU262" t="s">
        <v>1213</v>
      </c>
      <c r="BV262">
        <v>0</v>
      </c>
      <c r="BW262" t="s">
        <v>1213</v>
      </c>
      <c r="BX262">
        <v>0</v>
      </c>
      <c r="BY262" t="s">
        <v>1213</v>
      </c>
      <c r="BZ262" t="s">
        <v>2785</v>
      </c>
    </row>
    <row r="263" spans="1:79" x14ac:dyDescent="0.2">
      <c r="A263" t="s">
        <v>2715</v>
      </c>
      <c r="B263" t="s">
        <v>2786</v>
      </c>
      <c r="C263" t="s">
        <v>1112</v>
      </c>
      <c r="D263" t="s">
        <v>1288</v>
      </c>
      <c r="E263" t="s">
        <v>1289</v>
      </c>
      <c r="F263" t="s">
        <v>2778</v>
      </c>
      <c r="G263">
        <v>3.3</v>
      </c>
      <c r="H263" t="s">
        <v>2787</v>
      </c>
      <c r="I263" t="s">
        <v>2788</v>
      </c>
      <c r="J263" t="s">
        <v>1241</v>
      </c>
      <c r="N263" t="s">
        <v>2325</v>
      </c>
      <c r="O263" t="s">
        <v>272</v>
      </c>
      <c r="P263" t="s">
        <v>2789</v>
      </c>
      <c r="Q263">
        <v>0</v>
      </c>
      <c r="R263" t="s">
        <v>1251</v>
      </c>
      <c r="S263">
        <v>300</v>
      </c>
      <c r="T263">
        <v>400</v>
      </c>
      <c r="U263">
        <v>400</v>
      </c>
      <c r="V263">
        <v>400</v>
      </c>
      <c r="W263">
        <v>400</v>
      </c>
      <c r="X263">
        <v>400</v>
      </c>
      <c r="AH263">
        <v>0</v>
      </c>
      <c r="BP263" t="s">
        <v>2770</v>
      </c>
      <c r="BQ263" s="772">
        <v>256.5</v>
      </c>
      <c r="BR263" t="s">
        <v>606</v>
      </c>
      <c r="BS263" t="s">
        <v>1213</v>
      </c>
      <c r="BT263">
        <v>0</v>
      </c>
      <c r="BU263" t="s">
        <v>1213</v>
      </c>
      <c r="BV263">
        <v>0</v>
      </c>
      <c r="BW263" t="s">
        <v>1213</v>
      </c>
      <c r="BX263">
        <v>0</v>
      </c>
      <c r="BY263" t="s">
        <v>1213</v>
      </c>
      <c r="BZ263" t="s">
        <v>2790</v>
      </c>
    </row>
    <row r="264" spans="1:79" x14ac:dyDescent="0.2">
      <c r="A264" t="s">
        <v>1090</v>
      </c>
      <c r="B264" t="s">
        <v>2791</v>
      </c>
      <c r="C264" t="s">
        <v>1077</v>
      </c>
      <c r="D264" t="s">
        <v>457</v>
      </c>
      <c r="E264" t="s">
        <v>1202</v>
      </c>
      <c r="F264" t="s">
        <v>2792</v>
      </c>
      <c r="G264" t="s">
        <v>1204</v>
      </c>
      <c r="H264" t="s">
        <v>2793</v>
      </c>
      <c r="I264" t="s">
        <v>2794</v>
      </c>
      <c r="J264" t="s">
        <v>1207</v>
      </c>
      <c r="K264" t="s">
        <v>1208</v>
      </c>
      <c r="L264" t="s">
        <v>605</v>
      </c>
      <c r="N264" t="s">
        <v>1172</v>
      </c>
      <c r="O264" t="s">
        <v>272</v>
      </c>
      <c r="P264" t="s">
        <v>2795</v>
      </c>
      <c r="Q264">
        <v>0</v>
      </c>
      <c r="R264" t="s">
        <v>1211</v>
      </c>
      <c r="S264">
        <v>13000</v>
      </c>
      <c r="T264">
        <v>11900</v>
      </c>
      <c r="U264">
        <v>10995</v>
      </c>
      <c r="V264">
        <v>9992</v>
      </c>
      <c r="W264">
        <v>9992</v>
      </c>
      <c r="X264">
        <v>9992</v>
      </c>
      <c r="Z264" t="s">
        <v>605</v>
      </c>
      <c r="AE264" t="s">
        <v>605</v>
      </c>
      <c r="AH264">
        <v>0</v>
      </c>
      <c r="AI264" t="s">
        <v>605</v>
      </c>
      <c r="AJ264" t="s">
        <v>605</v>
      </c>
      <c r="AK264" t="s">
        <v>605</v>
      </c>
      <c r="AL264" t="s">
        <v>605</v>
      </c>
      <c r="AM264" t="s">
        <v>605</v>
      </c>
      <c r="AN264">
        <v>999999</v>
      </c>
      <c r="AO264">
        <v>999999</v>
      </c>
      <c r="AP264">
        <v>999999</v>
      </c>
      <c r="AQ264">
        <v>999999</v>
      </c>
      <c r="AR264">
        <v>999999</v>
      </c>
      <c r="AS264">
        <v>11900</v>
      </c>
      <c r="AT264">
        <v>11800</v>
      </c>
      <c r="AU264">
        <v>9992</v>
      </c>
      <c r="AV264">
        <v>9992</v>
      </c>
      <c r="AW264">
        <v>9992</v>
      </c>
      <c r="AX264">
        <v>9992</v>
      </c>
      <c r="AY264">
        <v>9992</v>
      </c>
      <c r="AZ264">
        <v>9992</v>
      </c>
      <c r="BA264">
        <v>9992</v>
      </c>
      <c r="BB264">
        <v>9992</v>
      </c>
      <c r="BC264">
        <v>0</v>
      </c>
      <c r="BD264">
        <v>0</v>
      </c>
      <c r="BE264">
        <v>0</v>
      </c>
      <c r="BF264">
        <v>0</v>
      </c>
      <c r="BG264">
        <v>0</v>
      </c>
      <c r="BH264">
        <v>8.9999999999999998E-4</v>
      </c>
      <c r="BL264">
        <v>8.9999999999999998E-4</v>
      </c>
      <c r="BN264">
        <v>1</v>
      </c>
      <c r="BO264" t="s">
        <v>1212</v>
      </c>
      <c r="BP264">
        <v>14339</v>
      </c>
      <c r="BQ264" s="772">
        <v>13941</v>
      </c>
      <c r="BR264" t="s">
        <v>606</v>
      </c>
      <c r="BS264" t="s">
        <v>1107</v>
      </c>
      <c r="BT264">
        <v>-1.8369</v>
      </c>
      <c r="BU264" t="s">
        <v>1213</v>
      </c>
      <c r="BV264">
        <v>0</v>
      </c>
      <c r="BW264" t="s">
        <v>1213</v>
      </c>
      <c r="BX264">
        <v>0</v>
      </c>
      <c r="BY264" t="s">
        <v>1172</v>
      </c>
      <c r="BZ264" t="s">
        <v>2796</v>
      </c>
      <c r="CA264" t="s">
        <v>2797</v>
      </c>
    </row>
    <row r="265" spans="1:79" x14ac:dyDescent="0.2">
      <c r="A265" t="s">
        <v>1090</v>
      </c>
      <c r="B265" t="s">
        <v>2798</v>
      </c>
      <c r="C265" t="s">
        <v>1077</v>
      </c>
      <c r="D265" t="s">
        <v>457</v>
      </c>
      <c r="E265" t="s">
        <v>1202</v>
      </c>
      <c r="F265" t="s">
        <v>2792</v>
      </c>
      <c r="G265" t="s">
        <v>1216</v>
      </c>
      <c r="H265" t="s">
        <v>2799</v>
      </c>
      <c r="I265" t="s">
        <v>2800</v>
      </c>
      <c r="J265" t="s">
        <v>1219</v>
      </c>
      <c r="K265" t="s">
        <v>1208</v>
      </c>
      <c r="L265" t="s">
        <v>605</v>
      </c>
      <c r="N265" t="s">
        <v>1249</v>
      </c>
      <c r="O265" t="s">
        <v>264</v>
      </c>
      <c r="P265" t="s">
        <v>1250</v>
      </c>
      <c r="Q265">
        <v>3</v>
      </c>
      <c r="R265" t="s">
        <v>1251</v>
      </c>
      <c r="S265">
        <v>99.95</v>
      </c>
      <c r="T265">
        <v>99.97</v>
      </c>
      <c r="U265">
        <v>99.97</v>
      </c>
      <c r="V265">
        <v>100</v>
      </c>
      <c r="W265">
        <v>100</v>
      </c>
      <c r="X265">
        <v>100</v>
      </c>
      <c r="Y265" t="s">
        <v>605</v>
      </c>
      <c r="AE265" t="s">
        <v>605</v>
      </c>
      <c r="AH265">
        <v>0</v>
      </c>
      <c r="AI265" t="s">
        <v>605</v>
      </c>
      <c r="AJ265" t="s">
        <v>605</v>
      </c>
      <c r="AK265" t="s">
        <v>605</v>
      </c>
      <c r="AL265" t="s">
        <v>605</v>
      </c>
      <c r="AM265" t="s">
        <v>605</v>
      </c>
      <c r="AN265">
        <v>99.91</v>
      </c>
      <c r="AO265">
        <v>99.91</v>
      </c>
      <c r="AP265">
        <v>99.91</v>
      </c>
      <c r="AQ265">
        <v>99.91</v>
      </c>
      <c r="AR265">
        <v>99.91</v>
      </c>
      <c r="AS265">
        <v>99.944999999999993</v>
      </c>
      <c r="AT265">
        <v>99.944999999999993</v>
      </c>
      <c r="AU265">
        <v>99.95</v>
      </c>
      <c r="AV265">
        <v>99.95</v>
      </c>
      <c r="AW265">
        <v>99.95</v>
      </c>
      <c r="BH265">
        <v>1.7174</v>
      </c>
      <c r="BN265">
        <v>100</v>
      </c>
      <c r="BO265" t="s">
        <v>1598</v>
      </c>
      <c r="BP265">
        <v>99.94</v>
      </c>
      <c r="BQ265" s="782">
        <v>99.962000000000003</v>
      </c>
      <c r="BR265" t="s">
        <v>606</v>
      </c>
      <c r="BS265" t="s">
        <v>607</v>
      </c>
      <c r="BT265">
        <v>0</v>
      </c>
      <c r="BU265" t="s">
        <v>1213</v>
      </c>
      <c r="BV265">
        <v>0</v>
      </c>
      <c r="BW265" t="s">
        <v>1213</v>
      </c>
      <c r="BX265">
        <v>0</v>
      </c>
      <c r="BY265" t="s">
        <v>1171</v>
      </c>
      <c r="BZ265" t="s">
        <v>2801</v>
      </c>
      <c r="CA265" t="s">
        <v>2797</v>
      </c>
    </row>
    <row r="266" spans="1:79" x14ac:dyDescent="0.2">
      <c r="A266" t="s">
        <v>1090</v>
      </c>
      <c r="B266" t="s">
        <v>2802</v>
      </c>
      <c r="C266" t="s">
        <v>1077</v>
      </c>
      <c r="D266" t="s">
        <v>457</v>
      </c>
      <c r="E266" t="s">
        <v>1202</v>
      </c>
      <c r="F266" t="s">
        <v>2792</v>
      </c>
      <c r="G266" t="s">
        <v>1225</v>
      </c>
      <c r="H266" t="s">
        <v>2803</v>
      </c>
      <c r="I266" t="s">
        <v>2804</v>
      </c>
      <c r="J266" t="s">
        <v>1219</v>
      </c>
      <c r="K266" t="s">
        <v>1563</v>
      </c>
      <c r="M266" t="s">
        <v>606</v>
      </c>
      <c r="N266" t="s">
        <v>1272</v>
      </c>
      <c r="O266" t="s">
        <v>272</v>
      </c>
      <c r="P266" t="s">
        <v>2805</v>
      </c>
      <c r="Q266">
        <v>0</v>
      </c>
      <c r="R266" t="s">
        <v>1211</v>
      </c>
      <c r="S266" t="s">
        <v>612</v>
      </c>
      <c r="T266" t="s">
        <v>2806</v>
      </c>
      <c r="U266" t="s">
        <v>2806</v>
      </c>
      <c r="V266" t="s">
        <v>2806</v>
      </c>
      <c r="W266" t="s">
        <v>2807</v>
      </c>
      <c r="X266" t="s">
        <v>2807</v>
      </c>
      <c r="AE266" t="s">
        <v>605</v>
      </c>
      <c r="AH266">
        <v>0</v>
      </c>
      <c r="AI266" t="s">
        <v>605</v>
      </c>
      <c r="AJ266" t="s">
        <v>605</v>
      </c>
      <c r="AK266" t="s">
        <v>605</v>
      </c>
      <c r="AL266" t="s">
        <v>605</v>
      </c>
      <c r="AM266" t="s">
        <v>605</v>
      </c>
      <c r="AN266">
        <v>999999</v>
      </c>
      <c r="AO266">
        <v>999999</v>
      </c>
      <c r="AP266">
        <v>999999</v>
      </c>
      <c r="AQ266">
        <v>999999</v>
      </c>
      <c r="AR266">
        <v>999999</v>
      </c>
      <c r="AS266">
        <v>8</v>
      </c>
      <c r="AT266">
        <v>8</v>
      </c>
      <c r="AU266">
        <v>8</v>
      </c>
      <c r="AV266">
        <v>6</v>
      </c>
      <c r="AW266">
        <v>6</v>
      </c>
      <c r="BH266">
        <v>0.46300000000000002</v>
      </c>
      <c r="BN266">
        <v>1</v>
      </c>
      <c r="BO266" t="s">
        <v>1212</v>
      </c>
      <c r="BP266">
        <v>13</v>
      </c>
      <c r="BQ266" s="771">
        <v>5</v>
      </c>
      <c r="BR266" t="s">
        <v>605</v>
      </c>
      <c r="BS266" t="s">
        <v>1213</v>
      </c>
      <c r="BT266">
        <v>0</v>
      </c>
      <c r="BU266" t="s">
        <v>1213</v>
      </c>
      <c r="BV266">
        <v>0</v>
      </c>
      <c r="BW266" t="s">
        <v>1213</v>
      </c>
      <c r="BX266">
        <v>0</v>
      </c>
      <c r="BY266" t="s">
        <v>1213</v>
      </c>
      <c r="BZ266" t="s">
        <v>2808</v>
      </c>
    </row>
    <row r="267" spans="1:79" x14ac:dyDescent="0.2">
      <c r="A267" t="s">
        <v>1090</v>
      </c>
      <c r="B267" t="s">
        <v>2809</v>
      </c>
      <c r="C267" t="s">
        <v>1077</v>
      </c>
      <c r="D267" t="s">
        <v>457</v>
      </c>
      <c r="E267" t="s">
        <v>1202</v>
      </c>
      <c r="F267" t="s">
        <v>2792</v>
      </c>
      <c r="G267" t="s">
        <v>1232</v>
      </c>
      <c r="H267" t="s">
        <v>2810</v>
      </c>
      <c r="I267" t="s">
        <v>2811</v>
      </c>
      <c r="J267" t="s">
        <v>1207</v>
      </c>
      <c r="K267" t="s">
        <v>1208</v>
      </c>
      <c r="L267" t="s">
        <v>605</v>
      </c>
      <c r="M267" t="s">
        <v>606</v>
      </c>
      <c r="N267" t="s">
        <v>2812</v>
      </c>
      <c r="O267" t="s">
        <v>272</v>
      </c>
      <c r="P267" t="s">
        <v>2813</v>
      </c>
      <c r="Q267">
        <v>0</v>
      </c>
      <c r="R267" t="s">
        <v>1251</v>
      </c>
      <c r="W267">
        <v>12</v>
      </c>
      <c r="AF267" t="s">
        <v>605</v>
      </c>
      <c r="AH267">
        <v>0</v>
      </c>
      <c r="AL267" t="s">
        <v>605</v>
      </c>
      <c r="AQ267">
        <v>0</v>
      </c>
      <c r="AV267">
        <v>12</v>
      </c>
      <c r="BA267">
        <v>12</v>
      </c>
      <c r="BF267">
        <v>21</v>
      </c>
      <c r="BH267">
        <v>1.03</v>
      </c>
      <c r="BL267">
        <v>1.03</v>
      </c>
      <c r="BN267">
        <v>1</v>
      </c>
      <c r="BO267" t="s">
        <v>1212</v>
      </c>
      <c r="BP267">
        <v>0</v>
      </c>
      <c r="BQ267" s="772">
        <v>0</v>
      </c>
      <c r="BR267" t="s">
        <v>1213</v>
      </c>
      <c r="BS267" t="s">
        <v>1213</v>
      </c>
      <c r="BT267">
        <v>0</v>
      </c>
      <c r="BU267" t="s">
        <v>1213</v>
      </c>
      <c r="BV267">
        <v>0</v>
      </c>
      <c r="BW267" t="s">
        <v>1213</v>
      </c>
      <c r="BX267">
        <v>0</v>
      </c>
      <c r="BY267" t="s">
        <v>1213</v>
      </c>
      <c r="BZ267" t="s">
        <v>2814</v>
      </c>
      <c r="CA267" t="s">
        <v>2815</v>
      </c>
    </row>
    <row r="268" spans="1:79" x14ac:dyDescent="0.2">
      <c r="A268" t="s">
        <v>1090</v>
      </c>
      <c r="B268" t="s">
        <v>2816</v>
      </c>
      <c r="C268" t="s">
        <v>1077</v>
      </c>
      <c r="D268" t="s">
        <v>457</v>
      </c>
      <c r="E268" t="s">
        <v>1202</v>
      </c>
      <c r="F268" t="s">
        <v>2817</v>
      </c>
      <c r="G268" t="s">
        <v>1246</v>
      </c>
      <c r="H268" t="s">
        <v>2818</v>
      </c>
      <c r="I268" t="s">
        <v>2819</v>
      </c>
      <c r="J268" t="s">
        <v>1241</v>
      </c>
      <c r="N268" t="s">
        <v>1235</v>
      </c>
      <c r="O268" t="s">
        <v>272</v>
      </c>
      <c r="P268" t="s">
        <v>1221</v>
      </c>
      <c r="Q268">
        <v>0</v>
      </c>
      <c r="R268" t="s">
        <v>1211</v>
      </c>
      <c r="S268">
        <v>229</v>
      </c>
      <c r="T268">
        <v>225</v>
      </c>
      <c r="U268">
        <v>222</v>
      </c>
      <c r="V268">
        <v>219</v>
      </c>
      <c r="W268">
        <v>216</v>
      </c>
      <c r="X268">
        <v>213</v>
      </c>
      <c r="AH268">
        <v>0</v>
      </c>
      <c r="BP268">
        <v>230</v>
      </c>
      <c r="BQ268" s="772">
        <v>237</v>
      </c>
      <c r="BR268" t="s">
        <v>606</v>
      </c>
      <c r="BS268" t="s">
        <v>1213</v>
      </c>
      <c r="BT268">
        <v>0</v>
      </c>
      <c r="BU268" t="s">
        <v>1213</v>
      </c>
      <c r="BV268">
        <v>0</v>
      </c>
      <c r="BW268" t="s">
        <v>1213</v>
      </c>
      <c r="BX268">
        <v>0</v>
      </c>
      <c r="BY268" t="s">
        <v>1213</v>
      </c>
      <c r="BZ268" t="s">
        <v>2820</v>
      </c>
    </row>
    <row r="269" spans="1:79" x14ac:dyDescent="0.2">
      <c r="A269" t="s">
        <v>1090</v>
      </c>
      <c r="B269" t="s">
        <v>2821</v>
      </c>
      <c r="C269" t="s">
        <v>1077</v>
      </c>
      <c r="D269" t="s">
        <v>457</v>
      </c>
      <c r="E269" t="s">
        <v>1202</v>
      </c>
      <c r="F269" t="s">
        <v>2817</v>
      </c>
      <c r="G269" t="s">
        <v>1255</v>
      </c>
      <c r="H269" t="s">
        <v>2822</v>
      </c>
      <c r="I269" t="s">
        <v>2823</v>
      </c>
      <c r="J269" t="s">
        <v>1207</v>
      </c>
      <c r="K269" t="s">
        <v>1208</v>
      </c>
      <c r="L269" t="s">
        <v>605</v>
      </c>
      <c r="M269" t="s">
        <v>606</v>
      </c>
      <c r="N269" t="s">
        <v>1209</v>
      </c>
      <c r="O269" t="s">
        <v>272</v>
      </c>
      <c r="P269" t="s">
        <v>1210</v>
      </c>
      <c r="Q269">
        <v>0</v>
      </c>
      <c r="R269" t="s">
        <v>1211</v>
      </c>
      <c r="S269">
        <v>450</v>
      </c>
      <c r="T269">
        <v>444</v>
      </c>
      <c r="U269">
        <v>439</v>
      </c>
      <c r="V269">
        <v>434</v>
      </c>
      <c r="W269">
        <v>429</v>
      </c>
      <c r="X269">
        <v>424</v>
      </c>
      <c r="AE269" t="s">
        <v>605</v>
      </c>
      <c r="AH269">
        <v>0</v>
      </c>
      <c r="AI269" t="s">
        <v>605</v>
      </c>
      <c r="AJ269" t="s">
        <v>605</v>
      </c>
      <c r="AK269" t="s">
        <v>605</v>
      </c>
      <c r="AL269" t="s">
        <v>605</v>
      </c>
      <c r="AM269" t="s">
        <v>605</v>
      </c>
      <c r="AN269">
        <v>999999</v>
      </c>
      <c r="AO269">
        <v>999999</v>
      </c>
      <c r="AP269">
        <v>999999</v>
      </c>
      <c r="AQ269">
        <v>999999</v>
      </c>
      <c r="AR269">
        <v>999999</v>
      </c>
      <c r="AS269">
        <v>444</v>
      </c>
      <c r="AT269">
        <v>439</v>
      </c>
      <c r="AU269">
        <v>434</v>
      </c>
      <c r="AV269">
        <v>429</v>
      </c>
      <c r="AW269">
        <v>424</v>
      </c>
      <c r="AX269">
        <v>444</v>
      </c>
      <c r="AY269">
        <v>439</v>
      </c>
      <c r="AZ269">
        <v>434</v>
      </c>
      <c r="BA269">
        <v>429</v>
      </c>
      <c r="BB269">
        <v>424</v>
      </c>
      <c r="BC269">
        <v>0</v>
      </c>
      <c r="BD269">
        <v>0</v>
      </c>
      <c r="BE269">
        <v>0</v>
      </c>
      <c r="BF269">
        <v>0</v>
      </c>
      <c r="BG269">
        <v>0</v>
      </c>
      <c r="BH269">
        <v>0.123</v>
      </c>
      <c r="BI269">
        <v>0.2</v>
      </c>
      <c r="BL269">
        <v>0.123</v>
      </c>
      <c r="BN269">
        <v>1</v>
      </c>
      <c r="BO269" t="s">
        <v>1212</v>
      </c>
      <c r="BP269">
        <v>444</v>
      </c>
      <c r="BQ269" s="772">
        <v>434</v>
      </c>
      <c r="BR269" t="s">
        <v>605</v>
      </c>
      <c r="BS269" t="s">
        <v>611</v>
      </c>
      <c r="BT269">
        <v>1.23</v>
      </c>
      <c r="BU269" t="s">
        <v>1213</v>
      </c>
      <c r="BV269">
        <v>0</v>
      </c>
      <c r="BW269" t="s">
        <v>1213</v>
      </c>
      <c r="BX269">
        <v>0</v>
      </c>
      <c r="BY269" t="s">
        <v>1213</v>
      </c>
      <c r="BZ269" t="s">
        <v>2824</v>
      </c>
      <c r="CA269" t="s">
        <v>2825</v>
      </c>
    </row>
    <row r="270" spans="1:79" x14ac:dyDescent="0.2">
      <c r="A270" t="s">
        <v>1090</v>
      </c>
      <c r="B270" t="s">
        <v>2826</v>
      </c>
      <c r="C270" t="s">
        <v>1077</v>
      </c>
      <c r="D270" t="s">
        <v>457</v>
      </c>
      <c r="E270" t="s">
        <v>1202</v>
      </c>
      <c r="F270" t="s">
        <v>2817</v>
      </c>
      <c r="G270" t="s">
        <v>1810</v>
      </c>
      <c r="H270" t="s">
        <v>2827</v>
      </c>
      <c r="I270" t="s">
        <v>2828</v>
      </c>
      <c r="J270" t="s">
        <v>1207</v>
      </c>
      <c r="K270" t="s">
        <v>1208</v>
      </c>
      <c r="L270" t="s">
        <v>605</v>
      </c>
      <c r="N270" t="s">
        <v>1209</v>
      </c>
      <c r="O270" t="s">
        <v>264</v>
      </c>
      <c r="P270" t="s">
        <v>2829</v>
      </c>
      <c r="Q270">
        <v>0</v>
      </c>
      <c r="R270" t="s">
        <v>1251</v>
      </c>
      <c r="S270">
        <v>50</v>
      </c>
      <c r="T270">
        <v>70</v>
      </c>
      <c r="U270">
        <v>80</v>
      </c>
      <c r="V270">
        <v>90</v>
      </c>
      <c r="W270">
        <v>95</v>
      </c>
      <c r="X270">
        <v>100</v>
      </c>
      <c r="AE270" t="s">
        <v>605</v>
      </c>
      <c r="AH270">
        <v>0</v>
      </c>
      <c r="AI270" t="s">
        <v>605</v>
      </c>
      <c r="AJ270" t="s">
        <v>605</v>
      </c>
      <c r="AK270" t="s">
        <v>605</v>
      </c>
      <c r="AL270" t="s">
        <v>605</v>
      </c>
      <c r="AM270" t="s">
        <v>605</v>
      </c>
      <c r="AN270">
        <v>0</v>
      </c>
      <c r="AO270">
        <v>0</v>
      </c>
      <c r="AP270">
        <v>0</v>
      </c>
      <c r="AQ270">
        <v>0</v>
      </c>
      <c r="AR270">
        <v>0</v>
      </c>
      <c r="AS270">
        <v>60</v>
      </c>
      <c r="AT270">
        <v>70</v>
      </c>
      <c r="AU270">
        <v>80</v>
      </c>
      <c r="AV270">
        <v>85</v>
      </c>
      <c r="AW270">
        <v>90</v>
      </c>
      <c r="AX270">
        <v>70</v>
      </c>
      <c r="AY270">
        <v>80</v>
      </c>
      <c r="AZ270">
        <v>90</v>
      </c>
      <c r="BA270">
        <v>95</v>
      </c>
      <c r="BB270">
        <v>100</v>
      </c>
      <c r="BC270">
        <v>100</v>
      </c>
      <c r="BD270">
        <v>100</v>
      </c>
      <c r="BE270">
        <v>100</v>
      </c>
      <c r="BF270">
        <v>100</v>
      </c>
      <c r="BG270">
        <v>100</v>
      </c>
      <c r="BH270">
        <v>2.4663000000000001E-2</v>
      </c>
      <c r="BL270">
        <v>2.4663000000000001E-2</v>
      </c>
      <c r="BN270">
        <v>1</v>
      </c>
      <c r="BO270" t="s">
        <v>1212</v>
      </c>
      <c r="BP270">
        <v>43.6</v>
      </c>
      <c r="BQ270" s="772">
        <v>53</v>
      </c>
      <c r="BR270" t="s">
        <v>606</v>
      </c>
      <c r="BS270" t="s">
        <v>1107</v>
      </c>
      <c r="BT270">
        <v>-0.17264099999999999</v>
      </c>
      <c r="BU270" t="s">
        <v>1213</v>
      </c>
      <c r="BV270">
        <v>0</v>
      </c>
      <c r="BW270" t="s">
        <v>1213</v>
      </c>
      <c r="BX270">
        <v>0</v>
      </c>
      <c r="BY270" t="s">
        <v>1213</v>
      </c>
      <c r="BZ270" t="s">
        <v>2830</v>
      </c>
      <c r="CA270" t="s">
        <v>2797</v>
      </c>
    </row>
    <row r="271" spans="1:79" x14ac:dyDescent="0.2">
      <c r="A271" t="s">
        <v>1090</v>
      </c>
      <c r="B271" t="s">
        <v>2831</v>
      </c>
      <c r="C271" t="s">
        <v>1077</v>
      </c>
      <c r="D271" t="s">
        <v>457</v>
      </c>
      <c r="E271" t="s">
        <v>1202</v>
      </c>
      <c r="F271" t="s">
        <v>2817</v>
      </c>
      <c r="G271" t="s">
        <v>2832</v>
      </c>
      <c r="H271" t="s">
        <v>2833</v>
      </c>
      <c r="I271" t="s">
        <v>2834</v>
      </c>
      <c r="J271" t="s">
        <v>1207</v>
      </c>
      <c r="K271" t="s">
        <v>1208</v>
      </c>
      <c r="L271" t="s">
        <v>605</v>
      </c>
      <c r="N271" t="s">
        <v>1265</v>
      </c>
      <c r="O271" t="s">
        <v>1309</v>
      </c>
      <c r="P271" t="s">
        <v>1310</v>
      </c>
      <c r="Q271">
        <v>2</v>
      </c>
      <c r="R271" t="s">
        <v>1211</v>
      </c>
      <c r="S271">
        <v>15</v>
      </c>
      <c r="T271">
        <v>13.6</v>
      </c>
      <c r="U271">
        <v>12.2</v>
      </c>
      <c r="V271">
        <v>10.8</v>
      </c>
      <c r="W271">
        <v>9.4</v>
      </c>
      <c r="X271">
        <v>8</v>
      </c>
      <c r="AA271" t="s">
        <v>605</v>
      </c>
      <c r="AE271" t="s">
        <v>605</v>
      </c>
      <c r="AH271">
        <v>0</v>
      </c>
      <c r="AI271" t="s">
        <v>605</v>
      </c>
      <c r="AJ271" t="s">
        <v>605</v>
      </c>
      <c r="AK271" t="s">
        <v>605</v>
      </c>
      <c r="AL271" t="s">
        <v>605</v>
      </c>
      <c r="AM271" t="s">
        <v>605</v>
      </c>
      <c r="AN271">
        <v>999999.99</v>
      </c>
      <c r="AO271">
        <v>999999.99</v>
      </c>
      <c r="AP271">
        <v>999999.99</v>
      </c>
      <c r="AQ271">
        <v>999999.99</v>
      </c>
      <c r="AR271">
        <v>999999.99</v>
      </c>
      <c r="AS271">
        <v>14.5</v>
      </c>
      <c r="AT271">
        <v>14</v>
      </c>
      <c r="AU271">
        <v>12</v>
      </c>
      <c r="AV271">
        <v>12</v>
      </c>
      <c r="AW271">
        <v>12</v>
      </c>
      <c r="AX271">
        <v>12</v>
      </c>
      <c r="AY271">
        <v>12</v>
      </c>
      <c r="AZ271">
        <v>10.8</v>
      </c>
      <c r="BA271">
        <v>9.4</v>
      </c>
      <c r="BB271">
        <v>8</v>
      </c>
      <c r="BC271">
        <v>0</v>
      </c>
      <c r="BD271">
        <v>0</v>
      </c>
      <c r="BE271">
        <v>0</v>
      </c>
      <c r="BF271">
        <v>0</v>
      </c>
      <c r="BG271">
        <v>0</v>
      </c>
      <c r="BH271">
        <v>1.1000000000000001</v>
      </c>
      <c r="BL271">
        <v>1.1000000000000001</v>
      </c>
      <c r="BN271">
        <v>1</v>
      </c>
      <c r="BO271" t="s">
        <v>1212</v>
      </c>
      <c r="BP271">
        <v>9.9</v>
      </c>
      <c r="BQ271" s="773">
        <v>11.17</v>
      </c>
      <c r="BR271" t="s">
        <v>605</v>
      </c>
      <c r="BS271" t="s">
        <v>611</v>
      </c>
      <c r="BT271">
        <v>0.91300000000000003</v>
      </c>
      <c r="BU271" t="s">
        <v>1213</v>
      </c>
      <c r="BV271">
        <v>0</v>
      </c>
      <c r="BW271" t="s">
        <v>1213</v>
      </c>
      <c r="BX271">
        <v>0</v>
      </c>
      <c r="BY271" t="s">
        <v>1173</v>
      </c>
      <c r="BZ271" t="s">
        <v>2835</v>
      </c>
      <c r="CA271" t="s">
        <v>2797</v>
      </c>
    </row>
    <row r="272" spans="1:79" x14ac:dyDescent="0.2">
      <c r="A272" t="s">
        <v>1090</v>
      </c>
      <c r="B272" t="s">
        <v>2836</v>
      </c>
      <c r="C272" t="s">
        <v>1077</v>
      </c>
      <c r="D272" t="s">
        <v>457</v>
      </c>
      <c r="E272" t="s">
        <v>1202</v>
      </c>
      <c r="F272" t="s">
        <v>2817</v>
      </c>
      <c r="G272" t="s">
        <v>2837</v>
      </c>
      <c r="H272" t="s">
        <v>2838</v>
      </c>
      <c r="I272" t="s">
        <v>2839</v>
      </c>
      <c r="J272" t="s">
        <v>1207</v>
      </c>
      <c r="K272" t="s">
        <v>1208</v>
      </c>
      <c r="N272" t="s">
        <v>1331</v>
      </c>
      <c r="O272" t="s">
        <v>264</v>
      </c>
      <c r="P272" t="s">
        <v>2840</v>
      </c>
      <c r="Q272">
        <v>1</v>
      </c>
      <c r="R272" t="s">
        <v>1251</v>
      </c>
      <c r="S272">
        <v>77</v>
      </c>
      <c r="X272">
        <v>77.7</v>
      </c>
      <c r="AE272" t="s">
        <v>605</v>
      </c>
      <c r="AH272">
        <v>0</v>
      </c>
      <c r="AM272" t="s">
        <v>605</v>
      </c>
      <c r="AR272">
        <v>0</v>
      </c>
      <c r="AW272">
        <v>77.7</v>
      </c>
      <c r="BB272">
        <v>77.7</v>
      </c>
      <c r="BG272">
        <v>100</v>
      </c>
      <c r="BH272">
        <v>1.77</v>
      </c>
      <c r="BL272">
        <v>1.77</v>
      </c>
      <c r="BN272">
        <v>1</v>
      </c>
      <c r="BO272" t="s">
        <v>1212</v>
      </c>
      <c r="BP272">
        <v>77.099999999999994</v>
      </c>
      <c r="BQ272" s="769">
        <v>77</v>
      </c>
      <c r="BR272" t="s">
        <v>1213</v>
      </c>
      <c r="BS272" t="s">
        <v>1213</v>
      </c>
      <c r="BT272">
        <v>0</v>
      </c>
      <c r="BU272" t="s">
        <v>1213</v>
      </c>
      <c r="BV272">
        <v>0</v>
      </c>
      <c r="BW272" t="s">
        <v>1213</v>
      </c>
      <c r="BX272">
        <v>0</v>
      </c>
      <c r="BY272" t="s">
        <v>1213</v>
      </c>
      <c r="BZ272" t="s">
        <v>2841</v>
      </c>
      <c r="CA272" t="s">
        <v>2842</v>
      </c>
    </row>
    <row r="273" spans="1:79" x14ac:dyDescent="0.2">
      <c r="A273" t="s">
        <v>1090</v>
      </c>
      <c r="B273" t="s">
        <v>2843</v>
      </c>
      <c r="C273" t="s">
        <v>1077</v>
      </c>
      <c r="D273" t="s">
        <v>457</v>
      </c>
      <c r="E273" t="s">
        <v>1202</v>
      </c>
      <c r="F273" t="s">
        <v>2817</v>
      </c>
      <c r="G273" t="s">
        <v>2844</v>
      </c>
      <c r="H273" t="s">
        <v>2845</v>
      </c>
      <c r="I273" t="s">
        <v>2846</v>
      </c>
      <c r="J273" t="s">
        <v>1219</v>
      </c>
      <c r="K273" t="s">
        <v>1563</v>
      </c>
      <c r="M273" t="s">
        <v>606</v>
      </c>
      <c r="N273" t="s">
        <v>1272</v>
      </c>
      <c r="O273" t="s">
        <v>272</v>
      </c>
      <c r="P273" t="s">
        <v>1273</v>
      </c>
      <c r="Q273">
        <v>0</v>
      </c>
      <c r="R273" t="s">
        <v>1211</v>
      </c>
      <c r="S273" t="s">
        <v>612</v>
      </c>
      <c r="T273" t="s">
        <v>2847</v>
      </c>
      <c r="U273" t="s">
        <v>2847</v>
      </c>
      <c r="V273" t="s">
        <v>2847</v>
      </c>
      <c r="W273" t="s">
        <v>2847</v>
      </c>
      <c r="X273" t="s">
        <v>2847</v>
      </c>
      <c r="AE273" t="s">
        <v>605</v>
      </c>
      <c r="AH273">
        <v>0</v>
      </c>
      <c r="AI273" t="s">
        <v>605</v>
      </c>
      <c r="AJ273" t="s">
        <v>605</v>
      </c>
      <c r="AK273" t="s">
        <v>605</v>
      </c>
      <c r="AL273" t="s">
        <v>605</v>
      </c>
      <c r="AM273" t="s">
        <v>605</v>
      </c>
      <c r="AN273">
        <v>999999</v>
      </c>
      <c r="AO273">
        <v>999999</v>
      </c>
      <c r="AP273">
        <v>999999</v>
      </c>
      <c r="AQ273">
        <v>999999</v>
      </c>
      <c r="AR273">
        <v>999999</v>
      </c>
      <c r="AS273">
        <v>7758</v>
      </c>
      <c r="AT273">
        <v>7758</v>
      </c>
      <c r="AU273">
        <v>7758</v>
      </c>
      <c r="AV273">
        <v>7758</v>
      </c>
      <c r="AW273">
        <v>7758</v>
      </c>
      <c r="BH273">
        <v>2.307E-3</v>
      </c>
      <c r="BN273">
        <v>1</v>
      </c>
      <c r="BO273" t="s">
        <v>1212</v>
      </c>
      <c r="BP273">
        <v>6253</v>
      </c>
      <c r="BQ273" s="772">
        <v>4784</v>
      </c>
      <c r="BR273" t="s">
        <v>605</v>
      </c>
      <c r="BS273" t="s">
        <v>1213</v>
      </c>
      <c r="BT273">
        <v>0</v>
      </c>
      <c r="BU273" t="s">
        <v>1213</v>
      </c>
      <c r="BV273">
        <v>0</v>
      </c>
      <c r="BW273" t="s">
        <v>1213</v>
      </c>
      <c r="BX273">
        <v>0</v>
      </c>
      <c r="BY273" t="s">
        <v>1213</v>
      </c>
      <c r="BZ273" t="s">
        <v>2848</v>
      </c>
    </row>
    <row r="274" spans="1:79" x14ac:dyDescent="0.2">
      <c r="A274" t="s">
        <v>1090</v>
      </c>
      <c r="B274" t="s">
        <v>2849</v>
      </c>
      <c r="C274" t="s">
        <v>1077</v>
      </c>
      <c r="D274" t="s">
        <v>457</v>
      </c>
      <c r="E274" t="s">
        <v>1202</v>
      </c>
      <c r="F274" t="s">
        <v>2817</v>
      </c>
      <c r="G274" t="s">
        <v>2850</v>
      </c>
      <c r="H274" t="s">
        <v>2851</v>
      </c>
      <c r="I274" t="s">
        <v>2852</v>
      </c>
      <c r="J274" t="s">
        <v>1207</v>
      </c>
      <c r="K274" t="s">
        <v>1208</v>
      </c>
      <c r="L274" t="s">
        <v>605</v>
      </c>
      <c r="N274" t="s">
        <v>1315</v>
      </c>
      <c r="O274" t="s">
        <v>272</v>
      </c>
      <c r="P274" t="s">
        <v>2853</v>
      </c>
      <c r="Q274">
        <v>0</v>
      </c>
      <c r="R274" t="s">
        <v>1211</v>
      </c>
      <c r="S274">
        <v>300</v>
      </c>
      <c r="T274">
        <v>250</v>
      </c>
      <c r="U274">
        <v>250</v>
      </c>
      <c r="V274">
        <v>250</v>
      </c>
      <c r="W274">
        <v>250</v>
      </c>
      <c r="X274">
        <v>250</v>
      </c>
      <c r="AE274" t="s">
        <v>605</v>
      </c>
      <c r="AH274">
        <v>0</v>
      </c>
      <c r="AI274" t="s">
        <v>605</v>
      </c>
      <c r="AJ274" t="s">
        <v>605</v>
      </c>
      <c r="AK274" t="s">
        <v>605</v>
      </c>
      <c r="AL274" t="s">
        <v>605</v>
      </c>
      <c r="AM274" t="s">
        <v>605</v>
      </c>
      <c r="AN274">
        <v>999999</v>
      </c>
      <c r="AO274">
        <v>999999</v>
      </c>
      <c r="AP274">
        <v>999999</v>
      </c>
      <c r="AQ274">
        <v>999999</v>
      </c>
      <c r="AR274">
        <v>999999</v>
      </c>
      <c r="AS274">
        <v>250</v>
      </c>
      <c r="AT274">
        <v>250</v>
      </c>
      <c r="AU274">
        <v>250</v>
      </c>
      <c r="AV274">
        <v>250</v>
      </c>
      <c r="AW274">
        <v>250</v>
      </c>
      <c r="AX274">
        <v>250</v>
      </c>
      <c r="AY274">
        <v>250</v>
      </c>
      <c r="AZ274">
        <v>250</v>
      </c>
      <c r="BA274">
        <v>250</v>
      </c>
      <c r="BB274">
        <v>250</v>
      </c>
      <c r="BC274">
        <v>0</v>
      </c>
      <c r="BD274">
        <v>0</v>
      </c>
      <c r="BE274">
        <v>0</v>
      </c>
      <c r="BF274">
        <v>0</v>
      </c>
      <c r="BG274">
        <v>0</v>
      </c>
      <c r="BH274">
        <v>7.9000000000000001E-4</v>
      </c>
      <c r="BL274">
        <v>7.9000000000000001E-4</v>
      </c>
      <c r="BN274">
        <v>1</v>
      </c>
      <c r="BO274" t="s">
        <v>1212</v>
      </c>
      <c r="BP274">
        <v>230</v>
      </c>
      <c r="BQ274" s="772">
        <v>162</v>
      </c>
      <c r="BR274" t="s">
        <v>605</v>
      </c>
      <c r="BS274" t="s">
        <v>611</v>
      </c>
      <c r="BT274">
        <v>6.9519999999999998E-2</v>
      </c>
      <c r="BU274" t="s">
        <v>1213</v>
      </c>
      <c r="BV274">
        <v>0</v>
      </c>
      <c r="BW274" t="s">
        <v>1213</v>
      </c>
      <c r="BX274">
        <v>0</v>
      </c>
      <c r="BY274" t="s">
        <v>1213</v>
      </c>
      <c r="BZ274" t="s">
        <v>2854</v>
      </c>
      <c r="CA274" t="s">
        <v>2797</v>
      </c>
    </row>
    <row r="275" spans="1:79" x14ac:dyDescent="0.2">
      <c r="A275" t="s">
        <v>1090</v>
      </c>
      <c r="B275" t="s">
        <v>2855</v>
      </c>
      <c r="C275" t="s">
        <v>1077</v>
      </c>
      <c r="D275" t="s">
        <v>457</v>
      </c>
      <c r="E275" t="s">
        <v>1202</v>
      </c>
      <c r="F275" t="s">
        <v>2817</v>
      </c>
      <c r="G275" t="s">
        <v>2856</v>
      </c>
      <c r="H275" t="s">
        <v>2857</v>
      </c>
      <c r="I275" t="s">
        <v>2858</v>
      </c>
      <c r="J275" t="s">
        <v>1207</v>
      </c>
      <c r="K275" t="s">
        <v>1208</v>
      </c>
      <c r="L275" t="s">
        <v>605</v>
      </c>
      <c r="M275" t="s">
        <v>606</v>
      </c>
      <c r="N275" t="s">
        <v>1338</v>
      </c>
      <c r="O275" t="s">
        <v>272</v>
      </c>
      <c r="P275" t="s">
        <v>2859</v>
      </c>
      <c r="Q275">
        <v>0</v>
      </c>
      <c r="R275" t="s">
        <v>1211</v>
      </c>
      <c r="S275">
        <v>0</v>
      </c>
      <c r="T275">
        <v>0</v>
      </c>
      <c r="U275">
        <v>0</v>
      </c>
      <c r="V275">
        <v>0</v>
      </c>
      <c r="W275">
        <v>0</v>
      </c>
      <c r="X275">
        <v>0</v>
      </c>
      <c r="AH275">
        <v>0</v>
      </c>
      <c r="AI275" t="s">
        <v>605</v>
      </c>
      <c r="AJ275" t="s">
        <v>605</v>
      </c>
      <c r="AK275" t="s">
        <v>605</v>
      </c>
      <c r="AL275" t="s">
        <v>605</v>
      </c>
      <c r="AM275" t="s">
        <v>605</v>
      </c>
      <c r="AN275">
        <v>999999</v>
      </c>
      <c r="AO275">
        <v>999999</v>
      </c>
      <c r="AP275">
        <v>999999</v>
      </c>
      <c r="AQ275">
        <v>999999</v>
      </c>
      <c r="AR275">
        <v>999999</v>
      </c>
      <c r="AS275">
        <v>0</v>
      </c>
      <c r="AT275">
        <v>0</v>
      </c>
      <c r="AU275">
        <v>0</v>
      </c>
      <c r="AV275">
        <v>0</v>
      </c>
      <c r="AW275">
        <v>0</v>
      </c>
      <c r="AX275">
        <v>0</v>
      </c>
      <c r="AY275">
        <v>0</v>
      </c>
      <c r="AZ275">
        <v>0</v>
      </c>
      <c r="BA275">
        <v>0</v>
      </c>
      <c r="BB275">
        <v>0</v>
      </c>
      <c r="BC275">
        <v>0</v>
      </c>
      <c r="BD275">
        <v>0</v>
      </c>
      <c r="BE275">
        <v>0</v>
      </c>
      <c r="BF275">
        <v>0</v>
      </c>
      <c r="BG275">
        <v>0</v>
      </c>
      <c r="BH275">
        <v>7.5</v>
      </c>
      <c r="BI275">
        <v>18.75</v>
      </c>
      <c r="BL275">
        <v>1.36</v>
      </c>
      <c r="BN275">
        <v>1</v>
      </c>
      <c r="BO275" t="s">
        <v>1212</v>
      </c>
      <c r="BP275">
        <v>0</v>
      </c>
      <c r="BQ275" s="772">
        <v>0</v>
      </c>
      <c r="BR275" t="s">
        <v>605</v>
      </c>
      <c r="BS275" t="s">
        <v>1213</v>
      </c>
      <c r="BT275">
        <v>0</v>
      </c>
      <c r="BU275" t="s">
        <v>1213</v>
      </c>
      <c r="BV275">
        <v>0</v>
      </c>
      <c r="BW275" t="s">
        <v>1213</v>
      </c>
      <c r="BX275">
        <v>0</v>
      </c>
      <c r="BY275" t="s">
        <v>1213</v>
      </c>
      <c r="BZ275" t="s">
        <v>2860</v>
      </c>
      <c r="CA275" t="s">
        <v>2861</v>
      </c>
    </row>
    <row r="276" spans="1:79" x14ac:dyDescent="0.2">
      <c r="A276" t="s">
        <v>1090</v>
      </c>
      <c r="B276" t="s">
        <v>2862</v>
      </c>
      <c r="C276" t="s">
        <v>1077</v>
      </c>
      <c r="D276" t="s">
        <v>457</v>
      </c>
      <c r="E276" t="s">
        <v>1202</v>
      </c>
      <c r="F276" t="s">
        <v>2817</v>
      </c>
      <c r="G276" t="s">
        <v>2863</v>
      </c>
      <c r="H276" t="s">
        <v>2864</v>
      </c>
      <c r="I276" t="s">
        <v>2865</v>
      </c>
      <c r="J276" t="s">
        <v>1219</v>
      </c>
      <c r="K276" t="s">
        <v>1208</v>
      </c>
      <c r="M276" t="s">
        <v>606</v>
      </c>
      <c r="N276" t="s">
        <v>1331</v>
      </c>
      <c r="O276" t="s">
        <v>1507</v>
      </c>
      <c r="P276" t="s">
        <v>2866</v>
      </c>
      <c r="Q276" t="s">
        <v>1212</v>
      </c>
      <c r="S276" t="s">
        <v>1710</v>
      </c>
      <c r="W276" t="s">
        <v>2867</v>
      </c>
      <c r="X276" t="s">
        <v>2868</v>
      </c>
      <c r="AD276" t="s">
        <v>605</v>
      </c>
      <c r="AE276" t="s">
        <v>605</v>
      </c>
      <c r="AH276">
        <v>0</v>
      </c>
      <c r="AM276" t="s">
        <v>605</v>
      </c>
      <c r="BH276" t="s">
        <v>2492</v>
      </c>
      <c r="BI276" t="s">
        <v>2492</v>
      </c>
      <c r="BJ276" t="s">
        <v>2492</v>
      </c>
      <c r="BK276" t="s">
        <v>2492</v>
      </c>
      <c r="BN276">
        <v>1</v>
      </c>
      <c r="BO276" t="s">
        <v>1212</v>
      </c>
      <c r="BP276" t="s">
        <v>2869</v>
      </c>
      <c r="BQ276" s="771" t="s">
        <v>2869</v>
      </c>
      <c r="BR276" t="s">
        <v>1213</v>
      </c>
      <c r="BS276" t="s">
        <v>1213</v>
      </c>
      <c r="BT276">
        <v>0</v>
      </c>
      <c r="BU276" t="s">
        <v>1213</v>
      </c>
      <c r="BV276">
        <v>0</v>
      </c>
      <c r="BW276" t="s">
        <v>1213</v>
      </c>
      <c r="BX276">
        <v>0</v>
      </c>
      <c r="BY276" t="s">
        <v>1213</v>
      </c>
      <c r="BZ276" t="s">
        <v>2870</v>
      </c>
      <c r="CA276" t="s">
        <v>2871</v>
      </c>
    </row>
    <row r="277" spans="1:79" x14ac:dyDescent="0.2">
      <c r="A277" t="s">
        <v>1090</v>
      </c>
      <c r="B277" t="s">
        <v>2872</v>
      </c>
      <c r="C277" t="s">
        <v>1077</v>
      </c>
      <c r="D277" t="s">
        <v>457</v>
      </c>
      <c r="E277" t="s">
        <v>1202</v>
      </c>
      <c r="F277" t="s">
        <v>2817</v>
      </c>
      <c r="G277" t="s">
        <v>2873</v>
      </c>
      <c r="H277" t="s">
        <v>2874</v>
      </c>
      <c r="I277" t="s">
        <v>2875</v>
      </c>
      <c r="J277" t="s">
        <v>1219</v>
      </c>
      <c r="K277" t="s">
        <v>1563</v>
      </c>
      <c r="M277" t="s">
        <v>606</v>
      </c>
      <c r="N277" t="s">
        <v>1331</v>
      </c>
      <c r="O277" t="s">
        <v>1507</v>
      </c>
      <c r="P277" t="s">
        <v>2866</v>
      </c>
      <c r="Q277" t="s">
        <v>1212</v>
      </c>
      <c r="S277" t="s">
        <v>1710</v>
      </c>
      <c r="V277" t="s">
        <v>2867</v>
      </c>
      <c r="X277" t="s">
        <v>2868</v>
      </c>
      <c r="AD277" t="s">
        <v>605</v>
      </c>
      <c r="AE277" t="s">
        <v>605</v>
      </c>
      <c r="AH277">
        <v>0</v>
      </c>
      <c r="AM277" t="s">
        <v>605</v>
      </c>
      <c r="BH277" t="s">
        <v>2492</v>
      </c>
      <c r="BI277" t="s">
        <v>2492</v>
      </c>
      <c r="BJ277" t="s">
        <v>2492</v>
      </c>
      <c r="BK277" t="s">
        <v>2492</v>
      </c>
      <c r="BN277">
        <v>1</v>
      </c>
      <c r="BO277" t="s">
        <v>1212</v>
      </c>
      <c r="BP277" t="s">
        <v>2869</v>
      </c>
      <c r="BQ277" s="771" t="s">
        <v>2869</v>
      </c>
      <c r="BR277" t="s">
        <v>1213</v>
      </c>
      <c r="BS277" t="s">
        <v>1213</v>
      </c>
      <c r="BT277">
        <v>0</v>
      </c>
      <c r="BU277" t="s">
        <v>1213</v>
      </c>
      <c r="BV277">
        <v>0</v>
      </c>
      <c r="BW277" t="s">
        <v>1213</v>
      </c>
      <c r="BX277">
        <v>0</v>
      </c>
      <c r="BY277" t="s">
        <v>1213</v>
      </c>
      <c r="BZ277" t="s">
        <v>2876</v>
      </c>
      <c r="CA277" t="s">
        <v>2877</v>
      </c>
    </row>
    <row r="278" spans="1:79" x14ac:dyDescent="0.2">
      <c r="A278" t="s">
        <v>1090</v>
      </c>
      <c r="B278" t="s">
        <v>2878</v>
      </c>
      <c r="C278" t="s">
        <v>1077</v>
      </c>
      <c r="D278" t="s">
        <v>457</v>
      </c>
      <c r="E278" t="s">
        <v>1202</v>
      </c>
      <c r="F278" t="s">
        <v>2817</v>
      </c>
      <c r="G278" t="s">
        <v>2879</v>
      </c>
      <c r="H278" t="s">
        <v>2880</v>
      </c>
      <c r="I278" t="s">
        <v>2881</v>
      </c>
      <c r="J278" t="s">
        <v>1219</v>
      </c>
      <c r="K278" t="s">
        <v>1208</v>
      </c>
      <c r="M278" t="s">
        <v>606</v>
      </c>
      <c r="N278" t="s">
        <v>1331</v>
      </c>
      <c r="O278" t="s">
        <v>1507</v>
      </c>
      <c r="P278" t="s">
        <v>2866</v>
      </c>
      <c r="Q278" t="s">
        <v>1212</v>
      </c>
      <c r="S278" t="s">
        <v>1710</v>
      </c>
      <c r="V278" t="s">
        <v>2867</v>
      </c>
      <c r="W278" t="s">
        <v>2882</v>
      </c>
      <c r="X278" t="s">
        <v>2883</v>
      </c>
      <c r="AD278" t="s">
        <v>605</v>
      </c>
      <c r="AE278" t="s">
        <v>605</v>
      </c>
      <c r="AH278">
        <v>0</v>
      </c>
      <c r="AL278" t="s">
        <v>605</v>
      </c>
      <c r="AM278" t="s">
        <v>605</v>
      </c>
      <c r="BH278">
        <v>2.63</v>
      </c>
      <c r="BI278">
        <v>0.86</v>
      </c>
      <c r="BJ278">
        <v>0.34</v>
      </c>
      <c r="BN278">
        <v>1</v>
      </c>
      <c r="BO278" t="s">
        <v>1212</v>
      </c>
      <c r="BP278" t="s">
        <v>2869</v>
      </c>
      <c r="BQ278" s="771" t="s">
        <v>2869</v>
      </c>
      <c r="BR278" t="s">
        <v>1213</v>
      </c>
      <c r="BS278" t="s">
        <v>1213</v>
      </c>
      <c r="BT278">
        <v>0</v>
      </c>
      <c r="BU278" t="s">
        <v>1213</v>
      </c>
      <c r="BV278">
        <v>0</v>
      </c>
      <c r="BW278" t="s">
        <v>1213</v>
      </c>
      <c r="BX278">
        <v>0</v>
      </c>
      <c r="BY278" t="s">
        <v>1213</v>
      </c>
      <c r="BZ278" t="s">
        <v>2884</v>
      </c>
      <c r="CA278" t="s">
        <v>2885</v>
      </c>
    </row>
    <row r="279" spans="1:79" x14ac:dyDescent="0.2">
      <c r="A279" t="s">
        <v>1090</v>
      </c>
      <c r="B279" t="s">
        <v>2886</v>
      </c>
      <c r="C279" t="s">
        <v>1077</v>
      </c>
      <c r="D279" t="s">
        <v>457</v>
      </c>
      <c r="E279" t="s">
        <v>1202</v>
      </c>
      <c r="F279" t="s">
        <v>2817</v>
      </c>
      <c r="G279" t="s">
        <v>2887</v>
      </c>
      <c r="H279" t="s">
        <v>2888</v>
      </c>
      <c r="I279" t="s">
        <v>2889</v>
      </c>
      <c r="J279" t="s">
        <v>1219</v>
      </c>
      <c r="K279" t="s">
        <v>1563</v>
      </c>
      <c r="M279" t="s">
        <v>606</v>
      </c>
      <c r="N279" t="s">
        <v>1331</v>
      </c>
      <c r="O279" t="s">
        <v>1507</v>
      </c>
      <c r="P279" t="s">
        <v>2866</v>
      </c>
      <c r="Q279" t="s">
        <v>1212</v>
      </c>
      <c r="S279" t="s">
        <v>1710</v>
      </c>
      <c r="V279" t="s">
        <v>2867</v>
      </c>
      <c r="W279" t="s">
        <v>2882</v>
      </c>
      <c r="X279" t="s">
        <v>2883</v>
      </c>
      <c r="AD279" t="s">
        <v>605</v>
      </c>
      <c r="AE279" t="s">
        <v>605</v>
      </c>
      <c r="AH279">
        <v>0</v>
      </c>
      <c r="AL279" t="s">
        <v>605</v>
      </c>
      <c r="AM279" t="s">
        <v>605</v>
      </c>
      <c r="BH279">
        <v>0.497</v>
      </c>
      <c r="BI279">
        <v>0.16300000000000001</v>
      </c>
      <c r="BJ279">
        <v>6.4000000000000001E-2</v>
      </c>
      <c r="BN279">
        <v>1</v>
      </c>
      <c r="BO279" t="s">
        <v>1212</v>
      </c>
      <c r="BP279" t="s">
        <v>2869</v>
      </c>
      <c r="BQ279" s="771" t="s">
        <v>2869</v>
      </c>
      <c r="BR279" t="s">
        <v>1213</v>
      </c>
      <c r="BS279" t="s">
        <v>1213</v>
      </c>
      <c r="BT279">
        <v>0</v>
      </c>
      <c r="BU279" t="s">
        <v>1213</v>
      </c>
      <c r="BV279">
        <v>0</v>
      </c>
      <c r="BW279" t="s">
        <v>1213</v>
      </c>
      <c r="BX279">
        <v>0</v>
      </c>
      <c r="BY279" t="s">
        <v>1213</v>
      </c>
      <c r="BZ279" t="s">
        <v>2890</v>
      </c>
      <c r="CA279" t="s">
        <v>2891</v>
      </c>
    </row>
    <row r="280" spans="1:79" x14ac:dyDescent="0.2">
      <c r="A280" t="s">
        <v>1090</v>
      </c>
      <c r="B280" t="s">
        <v>2892</v>
      </c>
      <c r="C280" t="s">
        <v>1077</v>
      </c>
      <c r="D280" t="s">
        <v>457</v>
      </c>
      <c r="E280" t="s">
        <v>1202</v>
      </c>
      <c r="F280" t="s">
        <v>2817</v>
      </c>
      <c r="G280" t="s">
        <v>2893</v>
      </c>
      <c r="H280" t="s">
        <v>2894</v>
      </c>
      <c r="I280" t="s">
        <v>2895</v>
      </c>
      <c r="J280" t="s">
        <v>1219</v>
      </c>
      <c r="K280" t="s">
        <v>1208</v>
      </c>
      <c r="M280" t="s">
        <v>606</v>
      </c>
      <c r="N280" t="s">
        <v>1331</v>
      </c>
      <c r="O280" t="s">
        <v>1507</v>
      </c>
      <c r="P280" t="s">
        <v>2657</v>
      </c>
      <c r="Q280" t="s">
        <v>1212</v>
      </c>
      <c r="S280" t="s">
        <v>1710</v>
      </c>
      <c r="U280" t="s">
        <v>79</v>
      </c>
      <c r="AD280" t="s">
        <v>605</v>
      </c>
      <c r="AE280" t="s">
        <v>605</v>
      </c>
      <c r="AH280">
        <v>0</v>
      </c>
      <c r="AJ280" t="s">
        <v>605</v>
      </c>
      <c r="AK280" t="s">
        <v>605</v>
      </c>
      <c r="AL280" t="s">
        <v>605</v>
      </c>
      <c r="AM280" t="s">
        <v>605</v>
      </c>
      <c r="BH280">
        <v>2.0499999999999998</v>
      </c>
      <c r="BN280">
        <v>1</v>
      </c>
      <c r="BO280" t="s">
        <v>1212</v>
      </c>
      <c r="BP280" t="s">
        <v>2869</v>
      </c>
      <c r="BQ280" s="771" t="s">
        <v>2869</v>
      </c>
      <c r="BR280" t="s">
        <v>1213</v>
      </c>
      <c r="BS280" t="s">
        <v>1213</v>
      </c>
      <c r="BT280">
        <v>0</v>
      </c>
      <c r="BU280" t="s">
        <v>1213</v>
      </c>
      <c r="BV280">
        <v>0</v>
      </c>
      <c r="BW280" t="s">
        <v>1213</v>
      </c>
      <c r="BX280">
        <v>0</v>
      </c>
      <c r="BY280" t="s">
        <v>1213</v>
      </c>
      <c r="BZ280" t="s">
        <v>2896</v>
      </c>
      <c r="CA280" t="s">
        <v>2897</v>
      </c>
    </row>
    <row r="281" spans="1:79" x14ac:dyDescent="0.2">
      <c r="A281" t="s">
        <v>1090</v>
      </c>
      <c r="B281" t="s">
        <v>2898</v>
      </c>
      <c r="C281" t="s">
        <v>1077</v>
      </c>
      <c r="D281" t="s">
        <v>457</v>
      </c>
      <c r="E281" t="s">
        <v>1202</v>
      </c>
      <c r="F281" t="s">
        <v>2817</v>
      </c>
      <c r="G281" t="s">
        <v>2899</v>
      </c>
      <c r="H281" t="s">
        <v>2900</v>
      </c>
      <c r="I281" t="s">
        <v>2901</v>
      </c>
      <c r="J281" t="s">
        <v>1219</v>
      </c>
      <c r="K281" t="s">
        <v>1563</v>
      </c>
      <c r="M281" t="s">
        <v>606</v>
      </c>
      <c r="N281" t="s">
        <v>1331</v>
      </c>
      <c r="O281" t="s">
        <v>1507</v>
      </c>
      <c r="P281" t="s">
        <v>2657</v>
      </c>
      <c r="Q281" t="s">
        <v>1212</v>
      </c>
      <c r="S281" t="s">
        <v>1710</v>
      </c>
      <c r="U281" t="s">
        <v>79</v>
      </c>
      <c r="AD281" t="s">
        <v>605</v>
      </c>
      <c r="AE281" t="s">
        <v>605</v>
      </c>
      <c r="AH281">
        <v>0</v>
      </c>
      <c r="AJ281" t="s">
        <v>605</v>
      </c>
      <c r="BH281">
        <v>38.6</v>
      </c>
      <c r="BN281">
        <v>1</v>
      </c>
      <c r="BO281" t="s">
        <v>1212</v>
      </c>
      <c r="BP281" t="s">
        <v>2869</v>
      </c>
      <c r="BQ281" s="771" t="s">
        <v>2869</v>
      </c>
      <c r="BR281" t="s">
        <v>1213</v>
      </c>
      <c r="BS281" t="s">
        <v>1213</v>
      </c>
      <c r="BT281">
        <v>0</v>
      </c>
      <c r="BU281" t="s">
        <v>1213</v>
      </c>
      <c r="BV281">
        <v>0</v>
      </c>
      <c r="BW281" t="s">
        <v>1213</v>
      </c>
      <c r="BX281">
        <v>0</v>
      </c>
      <c r="BY281" t="s">
        <v>1213</v>
      </c>
      <c r="BZ281" t="s">
        <v>2902</v>
      </c>
      <c r="CA281" t="s">
        <v>2903</v>
      </c>
    </row>
    <row r="282" spans="1:79" x14ac:dyDescent="0.2">
      <c r="A282" t="s">
        <v>1090</v>
      </c>
      <c r="B282" t="s">
        <v>2904</v>
      </c>
      <c r="C282" t="s">
        <v>1077</v>
      </c>
      <c r="D282" t="s">
        <v>457</v>
      </c>
      <c r="E282" t="s">
        <v>1202</v>
      </c>
      <c r="F282" t="s">
        <v>2905</v>
      </c>
      <c r="G282" t="s">
        <v>1262</v>
      </c>
      <c r="H282" t="s">
        <v>2906</v>
      </c>
      <c r="I282" t="s">
        <v>2907</v>
      </c>
      <c r="J282" t="s">
        <v>1207</v>
      </c>
      <c r="K282" t="s">
        <v>1208</v>
      </c>
      <c r="L282" t="s">
        <v>605</v>
      </c>
      <c r="N282" t="s">
        <v>1303</v>
      </c>
      <c r="O282" t="s">
        <v>264</v>
      </c>
      <c r="P282" t="s">
        <v>1401</v>
      </c>
      <c r="Q282">
        <v>0</v>
      </c>
      <c r="R282" t="s">
        <v>1251</v>
      </c>
      <c r="S282">
        <v>45</v>
      </c>
      <c r="T282">
        <v>47</v>
      </c>
      <c r="U282">
        <v>47</v>
      </c>
      <c r="V282">
        <v>52</v>
      </c>
      <c r="W282">
        <v>53</v>
      </c>
      <c r="X282">
        <v>55</v>
      </c>
      <c r="AH282">
        <v>0</v>
      </c>
      <c r="AI282" t="s">
        <v>605</v>
      </c>
      <c r="AJ282" t="s">
        <v>605</v>
      </c>
      <c r="AK282" t="s">
        <v>605</v>
      </c>
      <c r="AL282" t="s">
        <v>605</v>
      </c>
      <c r="AM282" t="s">
        <v>605</v>
      </c>
      <c r="AN282">
        <v>0</v>
      </c>
      <c r="AO282">
        <v>0</v>
      </c>
      <c r="AP282">
        <v>0</v>
      </c>
      <c r="AQ282">
        <v>0</v>
      </c>
      <c r="AR282">
        <v>0</v>
      </c>
      <c r="AS282">
        <v>37</v>
      </c>
      <c r="AT282">
        <v>37</v>
      </c>
      <c r="AU282">
        <v>42</v>
      </c>
      <c r="AV282">
        <v>43</v>
      </c>
      <c r="AW282">
        <v>45</v>
      </c>
      <c r="AX282">
        <v>57</v>
      </c>
      <c r="AY282">
        <v>57</v>
      </c>
      <c r="AZ282">
        <v>62</v>
      </c>
      <c r="BA282">
        <v>63</v>
      </c>
      <c r="BB282">
        <v>65</v>
      </c>
      <c r="BC282">
        <v>100</v>
      </c>
      <c r="BD282">
        <v>100</v>
      </c>
      <c r="BE282">
        <v>100</v>
      </c>
      <c r="BF282">
        <v>100</v>
      </c>
      <c r="BG282">
        <v>100</v>
      </c>
      <c r="BH282">
        <v>0.125</v>
      </c>
      <c r="BL282">
        <v>0.125</v>
      </c>
      <c r="BN282">
        <v>1</v>
      </c>
      <c r="BO282" t="s">
        <v>1212</v>
      </c>
      <c r="BP282">
        <v>51</v>
      </c>
      <c r="BQ282" s="772">
        <v>57.5</v>
      </c>
      <c r="BR282" t="s">
        <v>605</v>
      </c>
      <c r="BS282" t="s">
        <v>611</v>
      </c>
      <c r="BT282">
        <v>0.125</v>
      </c>
      <c r="BU282" t="s">
        <v>1213</v>
      </c>
      <c r="BV282">
        <v>0</v>
      </c>
      <c r="BW282" t="s">
        <v>1213</v>
      </c>
      <c r="BX282">
        <v>0</v>
      </c>
      <c r="BY282" t="s">
        <v>1213</v>
      </c>
      <c r="BZ282" t="s">
        <v>2908</v>
      </c>
      <c r="CA282" t="s">
        <v>2797</v>
      </c>
    </row>
    <row r="283" spans="1:79" x14ac:dyDescent="0.2">
      <c r="A283" t="s">
        <v>1090</v>
      </c>
      <c r="B283" t="s">
        <v>2909</v>
      </c>
      <c r="C283" t="s">
        <v>1077</v>
      </c>
      <c r="D283" t="s">
        <v>457</v>
      </c>
      <c r="E283" t="s">
        <v>1202</v>
      </c>
      <c r="F283" t="s">
        <v>2910</v>
      </c>
      <c r="G283" t="s">
        <v>1343</v>
      </c>
      <c r="H283" t="s">
        <v>2911</v>
      </c>
      <c r="I283" t="s">
        <v>2912</v>
      </c>
      <c r="J283" t="s">
        <v>1207</v>
      </c>
      <c r="K283" t="s">
        <v>1208</v>
      </c>
      <c r="N283" t="s">
        <v>1377</v>
      </c>
      <c r="O283" t="s">
        <v>272</v>
      </c>
      <c r="P283" t="s">
        <v>2913</v>
      </c>
      <c r="Q283">
        <v>0</v>
      </c>
      <c r="R283" t="s">
        <v>1251</v>
      </c>
      <c r="X283">
        <v>31</v>
      </c>
      <c r="AF283" t="s">
        <v>605</v>
      </c>
      <c r="AH283">
        <v>0</v>
      </c>
      <c r="AM283" t="s">
        <v>605</v>
      </c>
      <c r="AR283">
        <v>0</v>
      </c>
      <c r="AW283">
        <v>31</v>
      </c>
      <c r="BB283">
        <v>31</v>
      </c>
      <c r="BG283">
        <v>999999</v>
      </c>
      <c r="BH283">
        <v>0.15</v>
      </c>
      <c r="BL283">
        <v>0.15</v>
      </c>
      <c r="BN283">
        <v>1</v>
      </c>
      <c r="BO283" t="s">
        <v>1212</v>
      </c>
      <c r="BP283">
        <v>0</v>
      </c>
      <c r="BQ283" s="772">
        <v>0</v>
      </c>
      <c r="BR283" t="s">
        <v>1213</v>
      </c>
      <c r="BS283" t="s">
        <v>1213</v>
      </c>
      <c r="BT283">
        <v>0</v>
      </c>
      <c r="BU283" t="s">
        <v>1213</v>
      </c>
      <c r="BV283">
        <v>0</v>
      </c>
      <c r="BW283" t="s">
        <v>1213</v>
      </c>
      <c r="BX283">
        <v>0</v>
      </c>
      <c r="BY283" t="s">
        <v>1213</v>
      </c>
      <c r="BZ283" t="s">
        <v>2914</v>
      </c>
    </row>
    <row r="284" spans="1:79" x14ac:dyDescent="0.2">
      <c r="A284" t="s">
        <v>1090</v>
      </c>
      <c r="B284" t="s">
        <v>2915</v>
      </c>
      <c r="C284" t="s">
        <v>1077</v>
      </c>
      <c r="D284" t="s">
        <v>457</v>
      </c>
      <c r="E284" t="s">
        <v>1202</v>
      </c>
      <c r="F284" t="s">
        <v>2910</v>
      </c>
      <c r="G284" t="s">
        <v>1349</v>
      </c>
      <c r="H284" t="s">
        <v>2916</v>
      </c>
      <c r="I284" t="s">
        <v>2917</v>
      </c>
      <c r="J284" t="s">
        <v>1241</v>
      </c>
      <c r="N284" t="s">
        <v>1377</v>
      </c>
      <c r="O284" t="s">
        <v>264</v>
      </c>
      <c r="P284" t="s">
        <v>2918</v>
      </c>
      <c r="Q284">
        <v>0</v>
      </c>
      <c r="R284" t="s">
        <v>1251</v>
      </c>
      <c r="S284" t="s">
        <v>612</v>
      </c>
      <c r="T284">
        <v>100</v>
      </c>
      <c r="U284">
        <v>100</v>
      </c>
      <c r="V284">
        <v>100</v>
      </c>
      <c r="W284">
        <v>100</v>
      </c>
      <c r="X284">
        <v>100</v>
      </c>
      <c r="AF284" t="s">
        <v>605</v>
      </c>
      <c r="AH284">
        <v>0</v>
      </c>
      <c r="BP284">
        <v>95.740000000000009</v>
      </c>
      <c r="BQ284" s="772">
        <v>97.508496246767137</v>
      </c>
      <c r="BR284" t="s">
        <v>606</v>
      </c>
      <c r="BS284" t="s">
        <v>1213</v>
      </c>
      <c r="BT284">
        <v>0</v>
      </c>
      <c r="BU284" t="s">
        <v>1213</v>
      </c>
      <c r="BV284">
        <v>0</v>
      </c>
      <c r="BW284" t="s">
        <v>1213</v>
      </c>
      <c r="BX284">
        <v>0</v>
      </c>
      <c r="BY284" t="s">
        <v>1213</v>
      </c>
      <c r="BZ284" t="s">
        <v>2919</v>
      </c>
    </row>
    <row r="285" spans="1:79" x14ac:dyDescent="0.2">
      <c r="A285" t="s">
        <v>1090</v>
      </c>
      <c r="B285" t="s">
        <v>2920</v>
      </c>
      <c r="C285" t="s">
        <v>1077</v>
      </c>
      <c r="D285" t="s">
        <v>457</v>
      </c>
      <c r="E285" t="s">
        <v>1202</v>
      </c>
      <c r="F285" t="s">
        <v>2910</v>
      </c>
      <c r="G285" t="s">
        <v>1354</v>
      </c>
      <c r="H285" t="s">
        <v>2921</v>
      </c>
      <c r="I285" t="s">
        <v>2922</v>
      </c>
      <c r="J285" t="s">
        <v>1241</v>
      </c>
      <c r="N285" t="s">
        <v>1370</v>
      </c>
      <c r="O285" t="s">
        <v>272</v>
      </c>
      <c r="P285" t="s">
        <v>2923</v>
      </c>
      <c r="Q285">
        <v>0</v>
      </c>
      <c r="R285" t="s">
        <v>1251</v>
      </c>
      <c r="S285">
        <v>334</v>
      </c>
      <c r="X285">
        <v>409</v>
      </c>
      <c r="AF285" t="s">
        <v>605</v>
      </c>
      <c r="AH285">
        <v>0</v>
      </c>
      <c r="BP285">
        <v>328</v>
      </c>
      <c r="BQ285" s="772">
        <v>322.89999999999998</v>
      </c>
      <c r="BR285" t="s">
        <v>1213</v>
      </c>
      <c r="BS285" t="s">
        <v>1213</v>
      </c>
      <c r="BT285">
        <v>0</v>
      </c>
      <c r="BU285" t="s">
        <v>1213</v>
      </c>
      <c r="BV285">
        <v>0</v>
      </c>
      <c r="BW285" t="s">
        <v>1213</v>
      </c>
      <c r="BX285">
        <v>0</v>
      </c>
      <c r="BY285" t="s">
        <v>1213</v>
      </c>
      <c r="BZ285" t="s">
        <v>2924</v>
      </c>
    </row>
    <row r="286" spans="1:79" x14ac:dyDescent="0.2">
      <c r="A286" t="s">
        <v>1090</v>
      </c>
      <c r="B286" t="s">
        <v>2925</v>
      </c>
      <c r="C286" t="s">
        <v>1077</v>
      </c>
      <c r="D286" t="s">
        <v>457</v>
      </c>
      <c r="E286" t="s">
        <v>1202</v>
      </c>
      <c r="F286" t="s">
        <v>2910</v>
      </c>
      <c r="G286" t="s">
        <v>1360</v>
      </c>
      <c r="H286" t="s">
        <v>2926</v>
      </c>
      <c r="I286" t="s">
        <v>2927</v>
      </c>
      <c r="J286" t="s">
        <v>1241</v>
      </c>
      <c r="N286" t="s">
        <v>1377</v>
      </c>
      <c r="O286" t="s">
        <v>272</v>
      </c>
      <c r="P286" t="s">
        <v>2928</v>
      </c>
      <c r="Q286">
        <v>0</v>
      </c>
      <c r="W286" t="s">
        <v>1719</v>
      </c>
      <c r="AF286" t="s">
        <v>605</v>
      </c>
      <c r="AH286">
        <v>0</v>
      </c>
      <c r="BP286">
        <v>0</v>
      </c>
      <c r="BQ286" s="771">
        <v>0</v>
      </c>
      <c r="BR286" t="s">
        <v>1213</v>
      </c>
      <c r="BS286" t="s">
        <v>1213</v>
      </c>
      <c r="BT286">
        <v>0</v>
      </c>
      <c r="BU286" t="s">
        <v>1213</v>
      </c>
      <c r="BV286">
        <v>0</v>
      </c>
      <c r="BW286" t="s">
        <v>1213</v>
      </c>
      <c r="BX286">
        <v>0</v>
      </c>
      <c r="BY286" t="s">
        <v>1213</v>
      </c>
      <c r="BZ286" t="s">
        <v>2929</v>
      </c>
    </row>
    <row r="287" spans="1:79" x14ac:dyDescent="0.2">
      <c r="A287" t="s">
        <v>1090</v>
      </c>
      <c r="B287" t="s">
        <v>2930</v>
      </c>
      <c r="C287" t="s">
        <v>1077</v>
      </c>
      <c r="D287" t="s">
        <v>457</v>
      </c>
      <c r="E287" t="s">
        <v>1202</v>
      </c>
      <c r="F287" t="s">
        <v>2931</v>
      </c>
      <c r="G287" t="s">
        <v>1367</v>
      </c>
      <c r="H287" t="s">
        <v>2932</v>
      </c>
      <c r="I287" t="s">
        <v>2933</v>
      </c>
      <c r="J287" t="s">
        <v>1207</v>
      </c>
      <c r="K287" t="s">
        <v>1208</v>
      </c>
      <c r="L287" t="s">
        <v>605</v>
      </c>
      <c r="N287" t="s">
        <v>1386</v>
      </c>
      <c r="O287" t="s">
        <v>272</v>
      </c>
      <c r="P287" t="s">
        <v>1904</v>
      </c>
      <c r="Q287">
        <v>0</v>
      </c>
      <c r="R287" t="s">
        <v>1211</v>
      </c>
      <c r="S287">
        <v>229</v>
      </c>
      <c r="T287">
        <v>228</v>
      </c>
      <c r="U287">
        <v>224</v>
      </c>
      <c r="V287">
        <v>222</v>
      </c>
      <c r="W287">
        <v>220</v>
      </c>
      <c r="X287">
        <v>216</v>
      </c>
      <c r="AH287">
        <v>0</v>
      </c>
      <c r="AI287" t="s">
        <v>605</v>
      </c>
      <c r="AJ287" t="s">
        <v>605</v>
      </c>
      <c r="AK287" t="s">
        <v>605</v>
      </c>
      <c r="AL287" t="s">
        <v>605</v>
      </c>
      <c r="AM287" t="s">
        <v>605</v>
      </c>
      <c r="AN287">
        <v>999999</v>
      </c>
      <c r="AO287">
        <v>999999</v>
      </c>
      <c r="AP287">
        <v>999999</v>
      </c>
      <c r="AQ287">
        <v>999999</v>
      </c>
      <c r="AR287">
        <v>999999</v>
      </c>
      <c r="AS287">
        <v>228</v>
      </c>
      <c r="AT287">
        <v>224</v>
      </c>
      <c r="AU287">
        <v>222</v>
      </c>
      <c r="AV287">
        <v>220</v>
      </c>
      <c r="AW287">
        <v>216</v>
      </c>
      <c r="AX287">
        <v>228</v>
      </c>
      <c r="AY287">
        <v>224</v>
      </c>
      <c r="AZ287">
        <v>222</v>
      </c>
      <c r="BA287">
        <v>220</v>
      </c>
      <c r="BB287">
        <v>216</v>
      </c>
      <c r="BC287">
        <v>0</v>
      </c>
      <c r="BD287">
        <v>0</v>
      </c>
      <c r="BE287">
        <v>0</v>
      </c>
      <c r="BF287">
        <v>0</v>
      </c>
      <c r="BG287">
        <v>0</v>
      </c>
      <c r="BH287">
        <v>1.4630000000000001E-2</v>
      </c>
      <c r="BL287">
        <v>1.4630000000000001E-2</v>
      </c>
      <c r="BN287">
        <v>1</v>
      </c>
      <c r="BO287" t="s">
        <v>1212</v>
      </c>
      <c r="BP287">
        <v>239.07913858581199</v>
      </c>
      <c r="BQ287" s="782">
        <v>246.63200000000001</v>
      </c>
      <c r="BR287" t="s">
        <v>606</v>
      </c>
      <c r="BS287" t="s">
        <v>1107</v>
      </c>
      <c r="BT287">
        <v>-0.27258616000000002</v>
      </c>
      <c r="BU287" t="s">
        <v>1213</v>
      </c>
      <c r="BV287">
        <v>0</v>
      </c>
      <c r="BW287" t="s">
        <v>1213</v>
      </c>
      <c r="BX287">
        <v>0</v>
      </c>
      <c r="BY287" t="s">
        <v>1213</v>
      </c>
      <c r="BZ287" t="s">
        <v>2934</v>
      </c>
      <c r="CA287" t="s">
        <v>2797</v>
      </c>
    </row>
    <row r="288" spans="1:79" x14ac:dyDescent="0.2">
      <c r="A288" t="s">
        <v>1090</v>
      </c>
      <c r="B288" t="s">
        <v>2935</v>
      </c>
      <c r="C288" t="s">
        <v>1077</v>
      </c>
      <c r="D288" t="s">
        <v>457</v>
      </c>
      <c r="E288" t="s">
        <v>1202</v>
      </c>
      <c r="F288" t="s">
        <v>2936</v>
      </c>
      <c r="G288" t="s">
        <v>1383</v>
      </c>
      <c r="H288" t="s">
        <v>2937</v>
      </c>
      <c r="I288" t="s">
        <v>2938</v>
      </c>
      <c r="J288" t="s">
        <v>1241</v>
      </c>
      <c r="N288" t="s">
        <v>2325</v>
      </c>
      <c r="O288" t="s">
        <v>272</v>
      </c>
      <c r="P288" t="s">
        <v>2939</v>
      </c>
      <c r="Q288">
        <v>0</v>
      </c>
      <c r="S288">
        <v>75000</v>
      </c>
      <c r="T288">
        <v>155000</v>
      </c>
      <c r="U288">
        <v>160000</v>
      </c>
      <c r="V288">
        <v>140000</v>
      </c>
      <c r="W288">
        <v>120000</v>
      </c>
      <c r="X288">
        <v>125000</v>
      </c>
      <c r="AH288">
        <v>0</v>
      </c>
      <c r="BP288">
        <v>52127</v>
      </c>
      <c r="BQ288" s="772">
        <v>117728</v>
      </c>
      <c r="BR288" t="s">
        <v>606</v>
      </c>
      <c r="BS288" t="s">
        <v>1213</v>
      </c>
      <c r="BT288">
        <v>0</v>
      </c>
      <c r="BU288" t="s">
        <v>1213</v>
      </c>
      <c r="BV288">
        <v>0</v>
      </c>
      <c r="BW288" t="s">
        <v>1213</v>
      </c>
      <c r="BX288">
        <v>0</v>
      </c>
      <c r="BY288" t="s">
        <v>1213</v>
      </c>
      <c r="BZ288" t="s">
        <v>2940</v>
      </c>
    </row>
    <row r="289" spans="1:79" x14ac:dyDescent="0.2">
      <c r="A289" t="s">
        <v>1090</v>
      </c>
      <c r="B289" t="s">
        <v>2941</v>
      </c>
      <c r="C289" t="s">
        <v>1077</v>
      </c>
      <c r="D289" t="s">
        <v>458</v>
      </c>
      <c r="E289" t="s">
        <v>1428</v>
      </c>
      <c r="F289" t="s">
        <v>2942</v>
      </c>
      <c r="G289" t="s">
        <v>1914</v>
      </c>
      <c r="H289" t="s">
        <v>2943</v>
      </c>
      <c r="I289" t="s">
        <v>2944</v>
      </c>
      <c r="J289" t="s">
        <v>1207</v>
      </c>
      <c r="K289" t="s">
        <v>1208</v>
      </c>
      <c r="L289" t="s">
        <v>605</v>
      </c>
      <c r="N289" t="s">
        <v>1432</v>
      </c>
      <c r="O289" t="s">
        <v>272</v>
      </c>
      <c r="P289" t="s">
        <v>2594</v>
      </c>
      <c r="Q289">
        <v>0</v>
      </c>
      <c r="R289" t="s">
        <v>1211</v>
      </c>
      <c r="S289">
        <v>1031</v>
      </c>
      <c r="T289">
        <v>1014</v>
      </c>
      <c r="U289">
        <v>989</v>
      </c>
      <c r="V289">
        <v>960</v>
      </c>
      <c r="W289">
        <v>927</v>
      </c>
      <c r="X289">
        <v>892</v>
      </c>
      <c r="AC289" t="s">
        <v>605</v>
      </c>
      <c r="AE289" t="s">
        <v>605</v>
      </c>
      <c r="AH289">
        <v>0</v>
      </c>
      <c r="AI289" t="s">
        <v>605</v>
      </c>
      <c r="AJ289" t="s">
        <v>605</v>
      </c>
      <c r="AK289" t="s">
        <v>605</v>
      </c>
      <c r="AL289" t="s">
        <v>605</v>
      </c>
      <c r="AM289" t="s">
        <v>605</v>
      </c>
      <c r="AN289">
        <v>999999</v>
      </c>
      <c r="AO289">
        <v>999999</v>
      </c>
      <c r="AP289">
        <v>999999</v>
      </c>
      <c r="AQ289">
        <v>999999</v>
      </c>
      <c r="AR289">
        <v>999999</v>
      </c>
      <c r="AS289">
        <v>1014</v>
      </c>
      <c r="AT289">
        <v>989</v>
      </c>
      <c r="AU289">
        <v>960</v>
      </c>
      <c r="AV289">
        <v>927</v>
      </c>
      <c r="AW289">
        <v>892</v>
      </c>
      <c r="AX289">
        <v>1014</v>
      </c>
      <c r="AY289">
        <v>989</v>
      </c>
      <c r="AZ289">
        <v>960</v>
      </c>
      <c r="BA289">
        <v>927</v>
      </c>
      <c r="BB289">
        <v>892</v>
      </c>
      <c r="BC289">
        <v>0</v>
      </c>
      <c r="BD289">
        <v>0</v>
      </c>
      <c r="BE289">
        <v>0</v>
      </c>
      <c r="BF289">
        <v>0</v>
      </c>
      <c r="BG289">
        <v>0</v>
      </c>
      <c r="BH289">
        <v>4.2819999999999997E-2</v>
      </c>
      <c r="BL289">
        <v>4.2819999999999997E-2</v>
      </c>
      <c r="BN289">
        <v>1</v>
      </c>
      <c r="BO289" t="s">
        <v>1212</v>
      </c>
      <c r="BP289">
        <v>1168</v>
      </c>
      <c r="BQ289" s="772">
        <v>804</v>
      </c>
      <c r="BR289" t="s">
        <v>605</v>
      </c>
      <c r="BS289" t="s">
        <v>611</v>
      </c>
      <c r="BT289">
        <v>8.9921999999999986</v>
      </c>
      <c r="BU289" t="s">
        <v>1213</v>
      </c>
      <c r="BV289">
        <v>0</v>
      </c>
      <c r="BW289" t="s">
        <v>1213</v>
      </c>
      <c r="BX289">
        <v>0</v>
      </c>
      <c r="BY289" t="s">
        <v>1175</v>
      </c>
      <c r="BZ289" t="s">
        <v>2945</v>
      </c>
      <c r="CA289" t="s">
        <v>2797</v>
      </c>
    </row>
    <row r="290" spans="1:79" x14ac:dyDescent="0.2">
      <c r="A290" t="s">
        <v>1090</v>
      </c>
      <c r="B290" t="s">
        <v>2946</v>
      </c>
      <c r="C290" t="s">
        <v>1077</v>
      </c>
      <c r="D290" t="s">
        <v>458</v>
      </c>
      <c r="E290" t="s">
        <v>1428</v>
      </c>
      <c r="F290" t="s">
        <v>2942</v>
      </c>
      <c r="G290" t="s">
        <v>1429</v>
      </c>
      <c r="H290" t="s">
        <v>2947</v>
      </c>
      <c r="I290" t="s">
        <v>2948</v>
      </c>
      <c r="J290" t="s">
        <v>1207</v>
      </c>
      <c r="K290" t="s">
        <v>1208</v>
      </c>
      <c r="L290" t="s">
        <v>605</v>
      </c>
      <c r="N290" t="s">
        <v>1432</v>
      </c>
      <c r="O290" t="s">
        <v>272</v>
      </c>
      <c r="P290" t="s">
        <v>2600</v>
      </c>
      <c r="Q290">
        <v>0</v>
      </c>
      <c r="R290" t="s">
        <v>1211</v>
      </c>
      <c r="S290">
        <v>7714</v>
      </c>
      <c r="T290">
        <v>7639</v>
      </c>
      <c r="U290">
        <v>7548</v>
      </c>
      <c r="V290">
        <v>7447</v>
      </c>
      <c r="W290">
        <v>7336</v>
      </c>
      <c r="X290">
        <v>7220</v>
      </c>
      <c r="AE290" t="s">
        <v>605</v>
      </c>
      <c r="AH290">
        <v>0</v>
      </c>
      <c r="AI290" t="s">
        <v>605</v>
      </c>
      <c r="AJ290" t="s">
        <v>605</v>
      </c>
      <c r="AK290" t="s">
        <v>605</v>
      </c>
      <c r="AL290" t="s">
        <v>605</v>
      </c>
      <c r="AM290" t="s">
        <v>605</v>
      </c>
      <c r="AN290">
        <v>999999</v>
      </c>
      <c r="AO290">
        <v>999999</v>
      </c>
      <c r="AP290">
        <v>999999</v>
      </c>
      <c r="AQ290">
        <v>999999</v>
      </c>
      <c r="AR290">
        <v>999999</v>
      </c>
      <c r="AS290">
        <v>7639</v>
      </c>
      <c r="AT290">
        <v>7548</v>
      </c>
      <c r="AU290">
        <v>7447</v>
      </c>
      <c r="AV290">
        <v>7336</v>
      </c>
      <c r="AW290">
        <v>7220</v>
      </c>
      <c r="AX290">
        <v>7452</v>
      </c>
      <c r="AY290">
        <v>7452</v>
      </c>
      <c r="AZ290">
        <v>7447</v>
      </c>
      <c r="BA290">
        <v>7336</v>
      </c>
      <c r="BB290">
        <v>7220</v>
      </c>
      <c r="BC290">
        <v>0</v>
      </c>
      <c r="BD290">
        <v>0</v>
      </c>
      <c r="BE290">
        <v>0</v>
      </c>
      <c r="BF290">
        <v>0</v>
      </c>
      <c r="BG290">
        <v>0</v>
      </c>
      <c r="BH290">
        <v>1.9779000000000001E-2</v>
      </c>
      <c r="BL290">
        <v>1.9779000000000001E-2</v>
      </c>
      <c r="BN290">
        <v>1</v>
      </c>
      <c r="BO290" t="s">
        <v>1212</v>
      </c>
      <c r="BP290">
        <v>9896</v>
      </c>
      <c r="BQ290" s="772">
        <v>7142</v>
      </c>
      <c r="BR290" t="s">
        <v>605</v>
      </c>
      <c r="BS290" t="s">
        <v>611</v>
      </c>
      <c r="BT290">
        <v>6.1314900000000003</v>
      </c>
      <c r="BU290" t="s">
        <v>1213</v>
      </c>
      <c r="BV290">
        <v>0</v>
      </c>
      <c r="BW290" t="s">
        <v>1213</v>
      </c>
      <c r="BX290">
        <v>0</v>
      </c>
      <c r="BY290" t="s">
        <v>1213</v>
      </c>
      <c r="BZ290" t="s">
        <v>2949</v>
      </c>
      <c r="CA290" t="s">
        <v>2797</v>
      </c>
    </row>
    <row r="291" spans="1:79" x14ac:dyDescent="0.2">
      <c r="A291" t="s">
        <v>1090</v>
      </c>
      <c r="B291" t="s">
        <v>2950</v>
      </c>
      <c r="C291" t="s">
        <v>1077</v>
      </c>
      <c r="D291" t="s">
        <v>458</v>
      </c>
      <c r="E291" t="s">
        <v>1428</v>
      </c>
      <c r="F291" t="s">
        <v>2942</v>
      </c>
      <c r="G291" t="s">
        <v>1436</v>
      </c>
      <c r="H291" t="s">
        <v>2951</v>
      </c>
      <c r="I291" t="s">
        <v>2952</v>
      </c>
      <c r="J291" t="s">
        <v>1207</v>
      </c>
      <c r="K291" t="s">
        <v>1208</v>
      </c>
      <c r="N291" t="s">
        <v>2245</v>
      </c>
      <c r="O291" t="s">
        <v>272</v>
      </c>
      <c r="P291" t="s">
        <v>2953</v>
      </c>
      <c r="Q291">
        <v>0</v>
      </c>
      <c r="R291" t="s">
        <v>1251</v>
      </c>
      <c r="S291">
        <v>7</v>
      </c>
      <c r="X291">
        <v>21</v>
      </c>
      <c r="AH291">
        <v>0</v>
      </c>
      <c r="AM291" t="s">
        <v>605</v>
      </c>
      <c r="AR291">
        <v>0</v>
      </c>
      <c r="AW291">
        <v>21</v>
      </c>
      <c r="BB291">
        <v>21</v>
      </c>
      <c r="BG291">
        <v>999999</v>
      </c>
      <c r="BH291">
        <v>6.1171999999999997E-2</v>
      </c>
      <c r="BL291">
        <v>6.1171999999999997E-2</v>
      </c>
      <c r="BN291">
        <v>1</v>
      </c>
      <c r="BO291" t="s">
        <v>1212</v>
      </c>
      <c r="BP291">
        <v>0</v>
      </c>
      <c r="BQ291" s="772">
        <v>0</v>
      </c>
      <c r="BR291" t="s">
        <v>1213</v>
      </c>
      <c r="BS291" t="s">
        <v>1213</v>
      </c>
      <c r="BT291">
        <v>0</v>
      </c>
      <c r="BU291" t="s">
        <v>1213</v>
      </c>
      <c r="BV291">
        <v>0</v>
      </c>
      <c r="BW291" t="s">
        <v>1213</v>
      </c>
      <c r="BX291">
        <v>0</v>
      </c>
      <c r="BY291" t="s">
        <v>1213</v>
      </c>
      <c r="BZ291" t="s">
        <v>2954</v>
      </c>
    </row>
    <row r="292" spans="1:79" x14ac:dyDescent="0.2">
      <c r="A292" t="s">
        <v>1090</v>
      </c>
      <c r="B292" t="s">
        <v>2955</v>
      </c>
      <c r="C292" t="s">
        <v>1077</v>
      </c>
      <c r="D292" t="s">
        <v>458</v>
      </c>
      <c r="E292" t="s">
        <v>1428</v>
      </c>
      <c r="F292" t="s">
        <v>2942</v>
      </c>
      <c r="G292" t="s">
        <v>1442</v>
      </c>
      <c r="H292" t="s">
        <v>2956</v>
      </c>
      <c r="I292" t="s">
        <v>2957</v>
      </c>
      <c r="J292" t="s">
        <v>1219</v>
      </c>
      <c r="K292" t="s">
        <v>1563</v>
      </c>
      <c r="N292" t="s">
        <v>1495</v>
      </c>
      <c r="O292" t="s">
        <v>272</v>
      </c>
      <c r="P292" t="s">
        <v>2958</v>
      </c>
      <c r="Q292">
        <v>0</v>
      </c>
      <c r="R292" t="s">
        <v>1211</v>
      </c>
      <c r="S292" t="s">
        <v>1566</v>
      </c>
      <c r="T292" t="s">
        <v>2959</v>
      </c>
      <c r="U292" t="s">
        <v>2960</v>
      </c>
      <c r="V292" t="s">
        <v>2961</v>
      </c>
      <c r="W292" t="s">
        <v>2962</v>
      </c>
      <c r="X292" t="s">
        <v>2963</v>
      </c>
      <c r="AE292" t="s">
        <v>605</v>
      </c>
      <c r="AH292">
        <v>0</v>
      </c>
      <c r="AI292" t="s">
        <v>605</v>
      </c>
      <c r="AJ292" t="s">
        <v>605</v>
      </c>
      <c r="AK292" t="s">
        <v>605</v>
      </c>
      <c r="AL292" t="s">
        <v>605</v>
      </c>
      <c r="AM292" t="s">
        <v>605</v>
      </c>
      <c r="AN292">
        <v>999999</v>
      </c>
      <c r="AO292">
        <v>999999</v>
      </c>
      <c r="AP292">
        <v>999999</v>
      </c>
      <c r="AQ292">
        <v>999999</v>
      </c>
      <c r="AR292">
        <v>999999</v>
      </c>
      <c r="AS292">
        <v>50470</v>
      </c>
      <c r="AT292">
        <v>50078</v>
      </c>
      <c r="AU292">
        <v>49685</v>
      </c>
      <c r="AV292">
        <v>49293</v>
      </c>
      <c r="AW292">
        <v>48900</v>
      </c>
      <c r="BH292">
        <v>2.0790000000000001E-3</v>
      </c>
      <c r="BN292">
        <v>1</v>
      </c>
      <c r="BO292" t="s">
        <v>1212</v>
      </c>
      <c r="BP292">
        <v>45920</v>
      </c>
      <c r="BQ292" s="772">
        <v>44107</v>
      </c>
      <c r="BR292" t="s">
        <v>605</v>
      </c>
      <c r="BS292" t="s">
        <v>1213</v>
      </c>
      <c r="BT292">
        <v>0</v>
      </c>
      <c r="BU292" t="s">
        <v>1213</v>
      </c>
      <c r="BV292">
        <v>0</v>
      </c>
      <c r="BW292" t="s">
        <v>1213</v>
      </c>
      <c r="BX292">
        <v>0</v>
      </c>
      <c r="BY292" t="s">
        <v>1213</v>
      </c>
      <c r="BZ292" t="s">
        <v>2964</v>
      </c>
    </row>
    <row r="293" spans="1:79" x14ac:dyDescent="0.2">
      <c r="A293" t="s">
        <v>1090</v>
      </c>
      <c r="B293" t="s">
        <v>2965</v>
      </c>
      <c r="C293" t="s">
        <v>1077</v>
      </c>
      <c r="D293" t="s">
        <v>458</v>
      </c>
      <c r="E293" t="s">
        <v>1428</v>
      </c>
      <c r="F293" t="s">
        <v>2942</v>
      </c>
      <c r="G293" t="s">
        <v>2966</v>
      </c>
      <c r="H293" t="s">
        <v>2967</v>
      </c>
      <c r="I293" t="s">
        <v>2968</v>
      </c>
      <c r="J293" t="s">
        <v>1241</v>
      </c>
      <c r="N293" t="s">
        <v>1377</v>
      </c>
      <c r="O293" t="s">
        <v>272</v>
      </c>
      <c r="P293" t="s">
        <v>2969</v>
      </c>
      <c r="Q293">
        <v>0</v>
      </c>
      <c r="R293" t="s">
        <v>1211</v>
      </c>
      <c r="S293">
        <v>595</v>
      </c>
      <c r="X293">
        <v>312</v>
      </c>
      <c r="AH293">
        <v>0</v>
      </c>
      <c r="BP293">
        <v>0</v>
      </c>
      <c r="BQ293" s="772">
        <v>35</v>
      </c>
      <c r="BR293" t="s">
        <v>1213</v>
      </c>
      <c r="BS293" t="s">
        <v>1213</v>
      </c>
      <c r="BT293">
        <v>0</v>
      </c>
      <c r="BU293" t="s">
        <v>1213</v>
      </c>
      <c r="BV293">
        <v>0</v>
      </c>
      <c r="BW293" t="s">
        <v>1213</v>
      </c>
      <c r="BX293">
        <v>0</v>
      </c>
      <c r="BY293" t="s">
        <v>1213</v>
      </c>
      <c r="BZ293" t="s">
        <v>2970</v>
      </c>
    </row>
    <row r="294" spans="1:79" x14ac:dyDescent="0.2">
      <c r="A294" t="s">
        <v>1090</v>
      </c>
      <c r="B294" t="s">
        <v>2971</v>
      </c>
      <c r="C294" t="s">
        <v>1077</v>
      </c>
      <c r="D294" t="s">
        <v>458</v>
      </c>
      <c r="E294" t="s">
        <v>1428</v>
      </c>
      <c r="F294" t="s">
        <v>2905</v>
      </c>
      <c r="G294" t="s">
        <v>1449</v>
      </c>
      <c r="H294" t="s">
        <v>2972</v>
      </c>
      <c r="I294" t="s">
        <v>2973</v>
      </c>
      <c r="J294" t="s">
        <v>1207</v>
      </c>
      <c r="K294" t="s">
        <v>1208</v>
      </c>
      <c r="L294" t="s">
        <v>605</v>
      </c>
      <c r="N294" t="s">
        <v>1303</v>
      </c>
      <c r="O294" t="s">
        <v>264</v>
      </c>
      <c r="P294" t="s">
        <v>1401</v>
      </c>
      <c r="Q294">
        <v>0</v>
      </c>
      <c r="R294" t="s">
        <v>1251</v>
      </c>
      <c r="S294">
        <v>45</v>
      </c>
      <c r="T294">
        <v>47</v>
      </c>
      <c r="U294">
        <v>47</v>
      </c>
      <c r="V294">
        <v>52</v>
      </c>
      <c r="W294">
        <v>53</v>
      </c>
      <c r="X294">
        <v>55</v>
      </c>
      <c r="AH294">
        <v>0</v>
      </c>
      <c r="AI294" t="s">
        <v>605</v>
      </c>
      <c r="AJ294" t="s">
        <v>605</v>
      </c>
      <c r="AK294" t="s">
        <v>605</v>
      </c>
      <c r="AL294" t="s">
        <v>605</v>
      </c>
      <c r="AM294" t="s">
        <v>605</v>
      </c>
      <c r="AN294">
        <v>0</v>
      </c>
      <c r="AO294">
        <v>0</v>
      </c>
      <c r="AP294">
        <v>0</v>
      </c>
      <c r="AQ294">
        <v>0</v>
      </c>
      <c r="AR294">
        <v>0</v>
      </c>
      <c r="AS294">
        <v>37</v>
      </c>
      <c r="AT294">
        <v>37</v>
      </c>
      <c r="AU294">
        <v>42</v>
      </c>
      <c r="AV294">
        <v>43</v>
      </c>
      <c r="AW294">
        <v>45</v>
      </c>
      <c r="AX294">
        <v>57</v>
      </c>
      <c r="AY294">
        <v>57</v>
      </c>
      <c r="AZ294">
        <v>62</v>
      </c>
      <c r="BA294">
        <v>63</v>
      </c>
      <c r="BB294">
        <v>65</v>
      </c>
      <c r="BC294">
        <v>100</v>
      </c>
      <c r="BD294">
        <v>100</v>
      </c>
      <c r="BE294">
        <v>100</v>
      </c>
      <c r="BF294">
        <v>100</v>
      </c>
      <c r="BG294">
        <v>100</v>
      </c>
      <c r="BH294">
        <v>0.125</v>
      </c>
      <c r="BL294">
        <v>0.125</v>
      </c>
      <c r="BN294">
        <v>1</v>
      </c>
      <c r="BO294" t="s">
        <v>1212</v>
      </c>
      <c r="BP294">
        <v>51</v>
      </c>
      <c r="BQ294" s="772">
        <v>57.5</v>
      </c>
      <c r="BR294" t="s">
        <v>605</v>
      </c>
      <c r="BS294" t="s">
        <v>611</v>
      </c>
      <c r="BT294">
        <v>0.125</v>
      </c>
      <c r="BU294" t="s">
        <v>1213</v>
      </c>
      <c r="BV294">
        <v>0</v>
      </c>
      <c r="BW294" t="s">
        <v>1213</v>
      </c>
      <c r="BX294">
        <v>0</v>
      </c>
      <c r="BY294" t="s">
        <v>1213</v>
      </c>
      <c r="BZ294" t="s">
        <v>2974</v>
      </c>
      <c r="CA294" t="s">
        <v>2797</v>
      </c>
    </row>
    <row r="295" spans="1:79" x14ac:dyDescent="0.2">
      <c r="A295" t="s">
        <v>1090</v>
      </c>
      <c r="B295" t="s">
        <v>2975</v>
      </c>
      <c r="C295" t="s">
        <v>1077</v>
      </c>
      <c r="D295" t="s">
        <v>458</v>
      </c>
      <c r="E295" t="s">
        <v>1428</v>
      </c>
      <c r="F295" t="s">
        <v>2910</v>
      </c>
      <c r="G295" t="s">
        <v>1454</v>
      </c>
      <c r="H295" t="s">
        <v>2976</v>
      </c>
      <c r="I295" t="s">
        <v>2977</v>
      </c>
      <c r="J295" t="s">
        <v>1207</v>
      </c>
      <c r="K295" t="s">
        <v>1208</v>
      </c>
      <c r="N295" t="s">
        <v>1377</v>
      </c>
      <c r="O295" t="s">
        <v>272</v>
      </c>
      <c r="P295" t="s">
        <v>2978</v>
      </c>
      <c r="Q295">
        <v>0</v>
      </c>
      <c r="R295" t="s">
        <v>1251</v>
      </c>
      <c r="X295">
        <v>202</v>
      </c>
      <c r="AF295" t="s">
        <v>605</v>
      </c>
      <c r="AH295">
        <v>0</v>
      </c>
      <c r="AM295" t="s">
        <v>605</v>
      </c>
      <c r="AR295">
        <v>0</v>
      </c>
      <c r="AW295">
        <v>202</v>
      </c>
      <c r="BB295">
        <v>202</v>
      </c>
      <c r="BG295">
        <v>999999</v>
      </c>
      <c r="BH295">
        <v>0.15</v>
      </c>
      <c r="BL295">
        <v>0.15</v>
      </c>
      <c r="BN295">
        <v>1</v>
      </c>
      <c r="BO295" t="s">
        <v>1212</v>
      </c>
      <c r="BP295">
        <v>0</v>
      </c>
      <c r="BQ295" s="772">
        <v>0</v>
      </c>
      <c r="BR295" t="s">
        <v>1213</v>
      </c>
      <c r="BS295" t="s">
        <v>1213</v>
      </c>
      <c r="BT295">
        <v>0</v>
      </c>
      <c r="BU295" t="s">
        <v>1213</v>
      </c>
      <c r="BV295">
        <v>0</v>
      </c>
      <c r="BW295" t="s">
        <v>1213</v>
      </c>
      <c r="BX295">
        <v>0</v>
      </c>
      <c r="BY295" t="s">
        <v>1213</v>
      </c>
      <c r="BZ295" t="s">
        <v>2979</v>
      </c>
    </row>
    <row r="296" spans="1:79" x14ac:dyDescent="0.2">
      <c r="A296" t="s">
        <v>1090</v>
      </c>
      <c r="B296" t="s">
        <v>2980</v>
      </c>
      <c r="C296" t="s">
        <v>1077</v>
      </c>
      <c r="D296" t="s">
        <v>458</v>
      </c>
      <c r="E296" t="s">
        <v>1428</v>
      </c>
      <c r="F296" t="s">
        <v>2910</v>
      </c>
      <c r="G296" t="s">
        <v>1460</v>
      </c>
      <c r="H296" t="s">
        <v>2981</v>
      </c>
      <c r="I296" t="s">
        <v>2982</v>
      </c>
      <c r="J296" t="s">
        <v>1207</v>
      </c>
      <c r="K296" t="s">
        <v>1208</v>
      </c>
      <c r="L296" t="s">
        <v>605</v>
      </c>
      <c r="N296" t="s">
        <v>1468</v>
      </c>
      <c r="O296" t="s">
        <v>272</v>
      </c>
      <c r="P296" t="s">
        <v>1469</v>
      </c>
      <c r="Q296">
        <v>0</v>
      </c>
      <c r="R296" t="s">
        <v>1211</v>
      </c>
      <c r="S296">
        <v>457</v>
      </c>
      <c r="T296">
        <v>429</v>
      </c>
      <c r="U296">
        <v>402</v>
      </c>
      <c r="V296">
        <v>374</v>
      </c>
      <c r="W296">
        <v>374</v>
      </c>
      <c r="X296">
        <v>374</v>
      </c>
      <c r="AB296" t="s">
        <v>605</v>
      </c>
      <c r="AE296" t="s">
        <v>605</v>
      </c>
      <c r="AH296">
        <v>0</v>
      </c>
      <c r="AI296" t="s">
        <v>605</v>
      </c>
      <c r="AJ296" t="s">
        <v>605</v>
      </c>
      <c r="AK296" t="s">
        <v>605</v>
      </c>
      <c r="AL296" t="s">
        <v>605</v>
      </c>
      <c r="AM296" t="s">
        <v>605</v>
      </c>
      <c r="AN296">
        <v>999999</v>
      </c>
      <c r="AO296">
        <v>999999</v>
      </c>
      <c r="AP296">
        <v>999999</v>
      </c>
      <c r="AQ296">
        <v>999999</v>
      </c>
      <c r="AR296">
        <v>999999</v>
      </c>
      <c r="AS296">
        <v>457</v>
      </c>
      <c r="AT296">
        <v>457</v>
      </c>
      <c r="AU296">
        <v>374</v>
      </c>
      <c r="AV296">
        <v>374</v>
      </c>
      <c r="AW296">
        <v>374</v>
      </c>
      <c r="AX296">
        <v>374</v>
      </c>
      <c r="AY296">
        <v>374</v>
      </c>
      <c r="AZ296">
        <v>374</v>
      </c>
      <c r="BA296">
        <v>374</v>
      </c>
      <c r="BB296">
        <v>374</v>
      </c>
      <c r="BC296">
        <v>0</v>
      </c>
      <c r="BD296">
        <v>0</v>
      </c>
      <c r="BE296">
        <v>0</v>
      </c>
      <c r="BF296">
        <v>0</v>
      </c>
      <c r="BG296">
        <v>0</v>
      </c>
      <c r="BH296">
        <v>5.3900000000000003E-2</v>
      </c>
      <c r="BL296">
        <v>5.3900000000000003E-2</v>
      </c>
      <c r="BN296">
        <v>1</v>
      </c>
      <c r="BO296" t="s">
        <v>1212</v>
      </c>
      <c r="BP296">
        <v>369</v>
      </c>
      <c r="BQ296" s="772">
        <v>293</v>
      </c>
      <c r="BR296" t="s">
        <v>605</v>
      </c>
      <c r="BS296" t="s">
        <v>611</v>
      </c>
      <c r="BT296">
        <v>4.3658999999999999</v>
      </c>
      <c r="BU296" t="s">
        <v>1213</v>
      </c>
      <c r="BV296">
        <v>0</v>
      </c>
      <c r="BW296" t="s">
        <v>1213</v>
      </c>
      <c r="BX296">
        <v>0</v>
      </c>
      <c r="BY296" t="s">
        <v>1174</v>
      </c>
      <c r="BZ296" t="s">
        <v>2983</v>
      </c>
      <c r="CA296" t="s">
        <v>2797</v>
      </c>
    </row>
    <row r="297" spans="1:79" x14ac:dyDescent="0.2">
      <c r="A297" t="s">
        <v>1090</v>
      </c>
      <c r="B297" t="s">
        <v>2984</v>
      </c>
      <c r="C297" t="s">
        <v>1077</v>
      </c>
      <c r="D297" t="s">
        <v>458</v>
      </c>
      <c r="E297" t="s">
        <v>1428</v>
      </c>
      <c r="F297" t="s">
        <v>2910</v>
      </c>
      <c r="G297" t="s">
        <v>1465</v>
      </c>
      <c r="H297" t="s">
        <v>2985</v>
      </c>
      <c r="I297" t="s">
        <v>2986</v>
      </c>
      <c r="J297" t="s">
        <v>1219</v>
      </c>
      <c r="K297" t="s">
        <v>1563</v>
      </c>
      <c r="M297" t="s">
        <v>606</v>
      </c>
      <c r="N297" t="s">
        <v>1377</v>
      </c>
      <c r="O297" t="s">
        <v>264</v>
      </c>
      <c r="P297" t="s">
        <v>2618</v>
      </c>
      <c r="Q297">
        <v>2</v>
      </c>
      <c r="R297" t="s">
        <v>1251</v>
      </c>
      <c r="S297" t="s">
        <v>612</v>
      </c>
      <c r="T297">
        <v>100</v>
      </c>
      <c r="U297">
        <v>100</v>
      </c>
      <c r="V297">
        <v>100</v>
      </c>
      <c r="W297">
        <v>100</v>
      </c>
      <c r="X297">
        <v>100</v>
      </c>
      <c r="AE297" t="s">
        <v>605</v>
      </c>
      <c r="AF297" t="s">
        <v>605</v>
      </c>
      <c r="AH297">
        <v>4</v>
      </c>
      <c r="AI297" t="s">
        <v>605</v>
      </c>
      <c r="AJ297" t="s">
        <v>605</v>
      </c>
      <c r="AK297" t="s">
        <v>605</v>
      </c>
      <c r="AL297" t="s">
        <v>605</v>
      </c>
      <c r="AM297" t="s">
        <v>605</v>
      </c>
      <c r="AN297">
        <v>0</v>
      </c>
      <c r="AO297">
        <v>0</v>
      </c>
      <c r="AP297">
        <v>0</v>
      </c>
      <c r="AQ297">
        <v>0</v>
      </c>
      <c r="AR297">
        <v>0</v>
      </c>
      <c r="AS297">
        <v>95.3</v>
      </c>
      <c r="AT297">
        <v>95.3</v>
      </c>
      <c r="AU297">
        <v>95.3</v>
      </c>
      <c r="AV297">
        <v>95.3</v>
      </c>
      <c r="AW297">
        <v>95.3</v>
      </c>
      <c r="BH297">
        <v>1.4</v>
      </c>
      <c r="BN297">
        <v>1</v>
      </c>
      <c r="BO297" t="s">
        <v>1212</v>
      </c>
      <c r="BP297">
        <v>95.740000000000009</v>
      </c>
      <c r="BQ297" s="773">
        <v>97.508496246767137</v>
      </c>
      <c r="BR297" t="s">
        <v>606</v>
      </c>
      <c r="BS297" t="s">
        <v>1213</v>
      </c>
      <c r="BT297">
        <v>0</v>
      </c>
      <c r="BU297" t="s">
        <v>607</v>
      </c>
      <c r="BV297">
        <v>0</v>
      </c>
      <c r="BW297" t="s">
        <v>1213</v>
      </c>
      <c r="BX297">
        <v>0</v>
      </c>
      <c r="BY297" t="s">
        <v>1213</v>
      </c>
      <c r="BZ297" t="s">
        <v>2987</v>
      </c>
    </row>
    <row r="298" spans="1:79" x14ac:dyDescent="0.2">
      <c r="A298" t="s">
        <v>1090</v>
      </c>
      <c r="B298" t="s">
        <v>2988</v>
      </c>
      <c r="C298" t="s">
        <v>1077</v>
      </c>
      <c r="D298" t="s">
        <v>458</v>
      </c>
      <c r="E298" t="s">
        <v>1428</v>
      </c>
      <c r="F298" t="s">
        <v>2910</v>
      </c>
      <c r="G298" t="s">
        <v>1472</v>
      </c>
      <c r="H298" t="s">
        <v>2989</v>
      </c>
      <c r="I298" t="s">
        <v>2990</v>
      </c>
      <c r="J298" t="s">
        <v>1207</v>
      </c>
      <c r="K298" t="s">
        <v>1208</v>
      </c>
      <c r="N298" t="s">
        <v>1370</v>
      </c>
      <c r="O298" t="s">
        <v>272</v>
      </c>
      <c r="P298" t="s">
        <v>2923</v>
      </c>
      <c r="Q298">
        <v>0</v>
      </c>
      <c r="R298" t="s">
        <v>1251</v>
      </c>
      <c r="S298">
        <v>334</v>
      </c>
      <c r="X298">
        <v>409</v>
      </c>
      <c r="AF298" t="s">
        <v>605</v>
      </c>
      <c r="AH298">
        <v>0</v>
      </c>
      <c r="AM298" t="s">
        <v>605</v>
      </c>
      <c r="AR298">
        <v>0</v>
      </c>
      <c r="AW298">
        <v>409</v>
      </c>
      <c r="BB298">
        <v>409</v>
      </c>
      <c r="BG298">
        <v>999999</v>
      </c>
      <c r="BH298">
        <v>9.5600000000000004E-4</v>
      </c>
      <c r="BL298">
        <v>9.5600000000000004E-4</v>
      </c>
      <c r="BN298">
        <v>1</v>
      </c>
      <c r="BO298" t="s">
        <v>1212</v>
      </c>
      <c r="BP298">
        <v>328</v>
      </c>
      <c r="BQ298" s="772">
        <v>322.89999999999998</v>
      </c>
      <c r="BR298" t="s">
        <v>1213</v>
      </c>
      <c r="BS298" t="s">
        <v>1213</v>
      </c>
      <c r="BT298">
        <v>0</v>
      </c>
      <c r="BU298" t="s">
        <v>1213</v>
      </c>
      <c r="BV298">
        <v>0</v>
      </c>
      <c r="BW298" t="s">
        <v>1213</v>
      </c>
      <c r="BX298">
        <v>0</v>
      </c>
      <c r="BY298" t="s">
        <v>1213</v>
      </c>
      <c r="BZ298" t="s">
        <v>2991</v>
      </c>
    </row>
    <row r="299" spans="1:79" x14ac:dyDescent="0.2">
      <c r="A299" t="s">
        <v>1090</v>
      </c>
      <c r="B299" t="s">
        <v>2992</v>
      </c>
      <c r="C299" t="s">
        <v>1077</v>
      </c>
      <c r="D299" t="s">
        <v>458</v>
      </c>
      <c r="E299" t="s">
        <v>1428</v>
      </c>
      <c r="F299" t="s">
        <v>2910</v>
      </c>
      <c r="G299" t="s">
        <v>2993</v>
      </c>
      <c r="H299" t="s">
        <v>2994</v>
      </c>
      <c r="I299" t="s">
        <v>2995</v>
      </c>
      <c r="J299" t="s">
        <v>2996</v>
      </c>
      <c r="K299" t="s">
        <v>1208</v>
      </c>
      <c r="N299" t="s">
        <v>1445</v>
      </c>
      <c r="O299" t="s">
        <v>272</v>
      </c>
      <c r="P299" t="s">
        <v>2997</v>
      </c>
      <c r="Q299">
        <v>0</v>
      </c>
      <c r="X299">
        <v>0</v>
      </c>
      <c r="AH299">
        <v>0</v>
      </c>
      <c r="AM299" t="s">
        <v>605</v>
      </c>
      <c r="BB299">
        <v>0</v>
      </c>
      <c r="BG299">
        <v>999999</v>
      </c>
      <c r="BL299">
        <v>2.8546999999999999E-2</v>
      </c>
      <c r="BN299">
        <v>1</v>
      </c>
      <c r="BO299" t="s">
        <v>1212</v>
      </c>
      <c r="BP299">
        <v>0</v>
      </c>
      <c r="BQ299" s="772">
        <v>0</v>
      </c>
      <c r="BR299" t="s">
        <v>1213</v>
      </c>
      <c r="BS299" t="s">
        <v>1213</v>
      </c>
      <c r="BT299">
        <v>0</v>
      </c>
      <c r="BU299" t="s">
        <v>1213</v>
      </c>
      <c r="BV299">
        <v>0</v>
      </c>
      <c r="BW299" t="s">
        <v>1213</v>
      </c>
      <c r="BX299">
        <v>0</v>
      </c>
      <c r="BY299" t="s">
        <v>1213</v>
      </c>
      <c r="BZ299" t="s">
        <v>2998</v>
      </c>
    </row>
    <row r="300" spans="1:79" x14ac:dyDescent="0.2">
      <c r="A300" t="s">
        <v>1090</v>
      </c>
      <c r="B300" t="s">
        <v>2999</v>
      </c>
      <c r="C300" t="s">
        <v>1077</v>
      </c>
      <c r="D300" t="s">
        <v>458</v>
      </c>
      <c r="E300" t="s">
        <v>1428</v>
      </c>
      <c r="F300" t="s">
        <v>2910</v>
      </c>
      <c r="G300" t="s">
        <v>3000</v>
      </c>
      <c r="H300" t="s">
        <v>3001</v>
      </c>
      <c r="I300" t="s">
        <v>3002</v>
      </c>
      <c r="J300" t="s">
        <v>1241</v>
      </c>
      <c r="N300" t="s">
        <v>1468</v>
      </c>
      <c r="O300" t="s">
        <v>272</v>
      </c>
      <c r="P300" t="s">
        <v>2646</v>
      </c>
      <c r="Q300">
        <v>0</v>
      </c>
      <c r="R300" t="s">
        <v>1211</v>
      </c>
      <c r="S300">
        <v>8</v>
      </c>
      <c r="T300">
        <v>8</v>
      </c>
      <c r="U300">
        <v>6</v>
      </c>
      <c r="V300">
        <v>4</v>
      </c>
      <c r="W300">
        <v>2</v>
      </c>
      <c r="X300">
        <v>0</v>
      </c>
      <c r="AE300" t="s">
        <v>605</v>
      </c>
      <c r="AH300">
        <v>0</v>
      </c>
      <c r="BP300">
        <v>10</v>
      </c>
      <c r="BQ300" s="772">
        <v>2</v>
      </c>
      <c r="BR300" t="s">
        <v>605</v>
      </c>
      <c r="BS300" t="s">
        <v>1213</v>
      </c>
      <c r="BT300">
        <v>0</v>
      </c>
      <c r="BU300" t="s">
        <v>1213</v>
      </c>
      <c r="BV300">
        <v>0</v>
      </c>
      <c r="BW300" t="s">
        <v>1213</v>
      </c>
      <c r="BX300">
        <v>0</v>
      </c>
      <c r="BY300" t="s">
        <v>1213</v>
      </c>
      <c r="BZ300" t="s">
        <v>3003</v>
      </c>
    </row>
    <row r="301" spans="1:79" ht="25.5" x14ac:dyDescent="0.2">
      <c r="A301" t="s">
        <v>1090</v>
      </c>
      <c r="B301" t="s">
        <v>3004</v>
      </c>
      <c r="C301" t="s">
        <v>1077</v>
      </c>
      <c r="D301" t="s">
        <v>458</v>
      </c>
      <c r="E301" t="s">
        <v>1428</v>
      </c>
      <c r="F301" t="s">
        <v>2910</v>
      </c>
      <c r="G301" t="s">
        <v>3005</v>
      </c>
      <c r="H301" t="s">
        <v>3006</v>
      </c>
      <c r="I301" t="s">
        <v>3007</v>
      </c>
      <c r="J301" t="s">
        <v>1207</v>
      </c>
      <c r="K301" t="s">
        <v>1208</v>
      </c>
      <c r="N301" t="s">
        <v>1377</v>
      </c>
      <c r="O301" t="s">
        <v>272</v>
      </c>
      <c r="P301" t="s">
        <v>3008</v>
      </c>
      <c r="Q301">
        <v>0</v>
      </c>
      <c r="R301" t="s">
        <v>1251</v>
      </c>
      <c r="X301">
        <v>3</v>
      </c>
      <c r="AE301" t="s">
        <v>605</v>
      </c>
      <c r="AF301" t="s">
        <v>605</v>
      </c>
      <c r="AH301">
        <v>4</v>
      </c>
      <c r="AM301" t="s">
        <v>605</v>
      </c>
      <c r="AR301">
        <v>0</v>
      </c>
      <c r="AW301">
        <v>3</v>
      </c>
      <c r="BB301">
        <v>3</v>
      </c>
      <c r="BG301">
        <v>999999</v>
      </c>
      <c r="BH301">
        <v>2.4</v>
      </c>
      <c r="BL301">
        <v>2.4</v>
      </c>
      <c r="BN301">
        <v>1</v>
      </c>
      <c r="BO301" t="s">
        <v>1212</v>
      </c>
      <c r="BP301" t="s">
        <v>3009</v>
      </c>
      <c r="BQ301" s="772" t="s">
        <v>3009</v>
      </c>
      <c r="BR301" t="s">
        <v>1213</v>
      </c>
      <c r="BS301" t="s">
        <v>1213</v>
      </c>
      <c r="BT301">
        <v>0</v>
      </c>
      <c r="BU301" t="s">
        <v>1213</v>
      </c>
      <c r="BV301">
        <v>0</v>
      </c>
      <c r="BW301" t="s">
        <v>1213</v>
      </c>
      <c r="BX301">
        <v>0</v>
      </c>
      <c r="BY301" t="s">
        <v>1213</v>
      </c>
      <c r="BZ301" t="s">
        <v>3010</v>
      </c>
      <c r="CA301" t="s">
        <v>3011</v>
      </c>
    </row>
    <row r="302" spans="1:79" x14ac:dyDescent="0.2">
      <c r="A302" t="s">
        <v>1090</v>
      </c>
      <c r="B302" t="s">
        <v>3012</v>
      </c>
      <c r="C302" t="s">
        <v>1077</v>
      </c>
      <c r="D302" t="s">
        <v>458</v>
      </c>
      <c r="E302" t="s">
        <v>1428</v>
      </c>
      <c r="F302" t="s">
        <v>2910</v>
      </c>
      <c r="G302" t="s">
        <v>3013</v>
      </c>
      <c r="H302" t="s">
        <v>3014</v>
      </c>
      <c r="I302" t="s">
        <v>3015</v>
      </c>
      <c r="J302" t="s">
        <v>1241</v>
      </c>
      <c r="N302" t="s">
        <v>1468</v>
      </c>
      <c r="O302" t="s">
        <v>272</v>
      </c>
      <c r="P302" t="s">
        <v>3016</v>
      </c>
      <c r="Q302">
        <v>0</v>
      </c>
      <c r="R302" t="s">
        <v>1211</v>
      </c>
      <c r="S302">
        <v>246</v>
      </c>
      <c r="T302">
        <v>225</v>
      </c>
      <c r="U302">
        <v>203</v>
      </c>
      <c r="V302">
        <v>182</v>
      </c>
      <c r="W302">
        <v>182</v>
      </c>
      <c r="X302">
        <v>182</v>
      </c>
      <c r="AB302" t="s">
        <v>605</v>
      </c>
      <c r="AE302" t="s">
        <v>605</v>
      </c>
      <c r="AH302">
        <v>0</v>
      </c>
      <c r="BP302">
        <v>200</v>
      </c>
      <c r="BQ302" s="772">
        <v>186</v>
      </c>
      <c r="BR302" t="s">
        <v>605</v>
      </c>
      <c r="BS302" t="s">
        <v>1213</v>
      </c>
      <c r="BT302">
        <v>0</v>
      </c>
      <c r="BU302" t="s">
        <v>1213</v>
      </c>
      <c r="BV302">
        <v>0</v>
      </c>
      <c r="BW302" t="s">
        <v>1213</v>
      </c>
      <c r="BX302">
        <v>0</v>
      </c>
      <c r="BY302" t="s">
        <v>1174</v>
      </c>
      <c r="BZ302" t="s">
        <v>3017</v>
      </c>
    </row>
    <row r="303" spans="1:79" x14ac:dyDescent="0.2">
      <c r="A303" t="s">
        <v>1090</v>
      </c>
      <c r="B303" t="s">
        <v>3018</v>
      </c>
      <c r="C303" t="s">
        <v>1077</v>
      </c>
      <c r="D303" t="s">
        <v>458</v>
      </c>
      <c r="E303" t="s">
        <v>1428</v>
      </c>
      <c r="F303" t="s">
        <v>2931</v>
      </c>
      <c r="G303" t="s">
        <v>1477</v>
      </c>
      <c r="H303" t="s">
        <v>3019</v>
      </c>
      <c r="I303" t="s">
        <v>3020</v>
      </c>
      <c r="J303" t="s">
        <v>1207</v>
      </c>
      <c r="K303" t="s">
        <v>1208</v>
      </c>
      <c r="L303" t="s">
        <v>605</v>
      </c>
      <c r="N303" t="s">
        <v>1386</v>
      </c>
      <c r="O303" t="s">
        <v>272</v>
      </c>
      <c r="P303" t="s">
        <v>1904</v>
      </c>
      <c r="Q303">
        <v>0</v>
      </c>
      <c r="R303" t="s">
        <v>1211</v>
      </c>
      <c r="S303">
        <v>259</v>
      </c>
      <c r="T303">
        <v>248</v>
      </c>
      <c r="U303">
        <v>245</v>
      </c>
      <c r="V303">
        <v>238</v>
      </c>
      <c r="W303">
        <v>237</v>
      </c>
      <c r="X303">
        <v>242</v>
      </c>
      <c r="AH303">
        <v>0</v>
      </c>
      <c r="AI303" t="s">
        <v>605</v>
      </c>
      <c r="AJ303" t="s">
        <v>605</v>
      </c>
      <c r="AK303" t="s">
        <v>605</v>
      </c>
      <c r="AL303" t="s">
        <v>605</v>
      </c>
      <c r="AM303" t="s">
        <v>605</v>
      </c>
      <c r="AN303">
        <v>999999</v>
      </c>
      <c r="AO303">
        <v>999999</v>
      </c>
      <c r="AP303">
        <v>999999</v>
      </c>
      <c r="AQ303">
        <v>999999</v>
      </c>
      <c r="AR303">
        <v>999999</v>
      </c>
      <c r="AS303">
        <v>248</v>
      </c>
      <c r="AT303">
        <v>245</v>
      </c>
      <c r="AU303">
        <v>238</v>
      </c>
      <c r="AV303">
        <v>237</v>
      </c>
      <c r="AW303">
        <v>242</v>
      </c>
      <c r="AX303">
        <v>248</v>
      </c>
      <c r="AY303">
        <v>245</v>
      </c>
      <c r="AZ303">
        <v>238</v>
      </c>
      <c r="BA303">
        <v>237</v>
      </c>
      <c r="BB303">
        <v>242</v>
      </c>
      <c r="BC303">
        <v>0</v>
      </c>
      <c r="BD303">
        <v>0</v>
      </c>
      <c r="BE303">
        <v>0</v>
      </c>
      <c r="BF303">
        <v>0</v>
      </c>
      <c r="BG303">
        <v>0</v>
      </c>
      <c r="BH303">
        <v>1.4630000000000001E-2</v>
      </c>
      <c r="BL303">
        <v>1.4630000000000001E-2</v>
      </c>
      <c r="BN303">
        <v>1</v>
      </c>
      <c r="BO303" t="s">
        <v>1212</v>
      </c>
      <c r="BP303">
        <v>251.55677182362288</v>
      </c>
      <c r="BQ303" s="782">
        <v>237.56399999999999</v>
      </c>
      <c r="BR303" t="s">
        <v>605</v>
      </c>
      <c r="BS303" t="s">
        <v>611</v>
      </c>
      <c r="BT303">
        <v>0.15267868000000001</v>
      </c>
      <c r="BU303" t="s">
        <v>1213</v>
      </c>
      <c r="BV303">
        <v>0</v>
      </c>
      <c r="BW303" t="s">
        <v>1213</v>
      </c>
      <c r="BX303">
        <v>0</v>
      </c>
      <c r="BY303" t="s">
        <v>1213</v>
      </c>
      <c r="BZ303" t="s">
        <v>3021</v>
      </c>
      <c r="CA303" t="s">
        <v>2797</v>
      </c>
    </row>
    <row r="304" spans="1:79" x14ac:dyDescent="0.2">
      <c r="A304" t="s">
        <v>1090</v>
      </c>
      <c r="B304" t="s">
        <v>3022</v>
      </c>
      <c r="C304" t="s">
        <v>1077</v>
      </c>
      <c r="D304" t="s">
        <v>458</v>
      </c>
      <c r="E304" t="s">
        <v>1428</v>
      </c>
      <c r="F304" t="s">
        <v>2936</v>
      </c>
      <c r="G304" t="s">
        <v>1487</v>
      </c>
      <c r="H304" t="s">
        <v>3023</v>
      </c>
      <c r="I304" t="s">
        <v>3024</v>
      </c>
      <c r="J304" t="s">
        <v>1241</v>
      </c>
      <c r="N304" t="s">
        <v>2325</v>
      </c>
      <c r="O304" t="s">
        <v>272</v>
      </c>
      <c r="P304" t="s">
        <v>2939</v>
      </c>
      <c r="Q304">
        <v>0</v>
      </c>
      <c r="S304">
        <v>75000</v>
      </c>
      <c r="T304">
        <v>155000</v>
      </c>
      <c r="U304">
        <v>160000</v>
      </c>
      <c r="V304">
        <v>140000</v>
      </c>
      <c r="W304">
        <v>120000</v>
      </c>
      <c r="X304">
        <v>125000</v>
      </c>
      <c r="AH304">
        <v>0</v>
      </c>
      <c r="BP304">
        <v>52127</v>
      </c>
      <c r="BQ304" s="772">
        <v>117728</v>
      </c>
      <c r="BR304" t="s">
        <v>606</v>
      </c>
      <c r="BS304" t="s">
        <v>1213</v>
      </c>
      <c r="BT304">
        <v>0</v>
      </c>
      <c r="BU304" t="s">
        <v>1213</v>
      </c>
      <c r="BV304">
        <v>0</v>
      </c>
      <c r="BW304" t="s">
        <v>1213</v>
      </c>
      <c r="BX304">
        <v>0</v>
      </c>
      <c r="BY304" t="s">
        <v>1213</v>
      </c>
      <c r="BZ304" t="s">
        <v>3025</v>
      </c>
    </row>
    <row r="305" spans="1:79" x14ac:dyDescent="0.2">
      <c r="A305" t="s">
        <v>1090</v>
      </c>
      <c r="B305" t="s">
        <v>3026</v>
      </c>
      <c r="C305" t="s">
        <v>1077</v>
      </c>
      <c r="D305" t="s">
        <v>1288</v>
      </c>
      <c r="E305" t="s">
        <v>1289</v>
      </c>
      <c r="F305" t="s">
        <v>3027</v>
      </c>
      <c r="G305" t="s">
        <v>1291</v>
      </c>
      <c r="H305" t="s">
        <v>3028</v>
      </c>
      <c r="I305" t="s">
        <v>3029</v>
      </c>
      <c r="J305" t="s">
        <v>1241</v>
      </c>
      <c r="N305" t="s">
        <v>1400</v>
      </c>
      <c r="O305" t="s">
        <v>1507</v>
      </c>
      <c r="P305" t="s">
        <v>3030</v>
      </c>
      <c r="Q305" t="s">
        <v>1212</v>
      </c>
      <c r="S305" t="s">
        <v>3031</v>
      </c>
      <c r="T305" t="s">
        <v>3031</v>
      </c>
      <c r="U305" t="s">
        <v>3031</v>
      </c>
      <c r="V305" t="s">
        <v>2168</v>
      </c>
      <c r="W305" t="s">
        <v>2168</v>
      </c>
      <c r="X305" t="s">
        <v>2168</v>
      </c>
      <c r="AH305">
        <v>0</v>
      </c>
      <c r="BP305" t="s">
        <v>3031</v>
      </c>
      <c r="BQ305" s="771" t="s">
        <v>3031</v>
      </c>
      <c r="BR305" t="s">
        <v>605</v>
      </c>
      <c r="BS305" t="s">
        <v>1213</v>
      </c>
      <c r="BT305">
        <v>0</v>
      </c>
      <c r="BU305" t="s">
        <v>1213</v>
      </c>
      <c r="BV305">
        <v>0</v>
      </c>
      <c r="BW305" t="s">
        <v>1213</v>
      </c>
      <c r="BX305">
        <v>0</v>
      </c>
      <c r="BY305" t="s">
        <v>1213</v>
      </c>
      <c r="BZ305" t="s">
        <v>3032</v>
      </c>
    </row>
    <row r="306" spans="1:79" x14ac:dyDescent="0.2">
      <c r="A306" t="s">
        <v>1090</v>
      </c>
      <c r="B306" t="s">
        <v>3033</v>
      </c>
      <c r="C306" t="s">
        <v>1077</v>
      </c>
      <c r="D306" t="s">
        <v>1288</v>
      </c>
      <c r="E306" t="s">
        <v>1289</v>
      </c>
      <c r="F306" t="s">
        <v>3027</v>
      </c>
      <c r="G306" t="s">
        <v>1300</v>
      </c>
      <c r="H306" t="s">
        <v>3034</v>
      </c>
      <c r="I306" t="s">
        <v>3035</v>
      </c>
      <c r="J306" t="s">
        <v>1207</v>
      </c>
      <c r="K306" t="s">
        <v>1208</v>
      </c>
      <c r="M306" t="s">
        <v>606</v>
      </c>
      <c r="N306" t="s">
        <v>1294</v>
      </c>
      <c r="O306" t="s">
        <v>1507</v>
      </c>
      <c r="P306" t="s">
        <v>1668</v>
      </c>
      <c r="Q306" t="s">
        <v>1212</v>
      </c>
      <c r="R306" t="s">
        <v>1251</v>
      </c>
      <c r="S306" t="s">
        <v>3031</v>
      </c>
      <c r="T306" t="s">
        <v>2168</v>
      </c>
      <c r="U306" t="s">
        <v>2168</v>
      </c>
      <c r="V306" t="s">
        <v>2168</v>
      </c>
      <c r="W306" t="s">
        <v>2168</v>
      </c>
      <c r="X306" t="s">
        <v>2168</v>
      </c>
      <c r="AH306">
        <v>0</v>
      </c>
      <c r="AI306" t="s">
        <v>605</v>
      </c>
      <c r="AJ306" t="s">
        <v>605</v>
      </c>
      <c r="AK306" t="s">
        <v>605</v>
      </c>
      <c r="AL306" t="s">
        <v>605</v>
      </c>
      <c r="AM306" t="s">
        <v>605</v>
      </c>
      <c r="AN306" t="s">
        <v>1296</v>
      </c>
      <c r="AO306" t="s">
        <v>1296</v>
      </c>
      <c r="AP306" t="s">
        <v>1296</v>
      </c>
      <c r="AQ306" t="s">
        <v>1296</v>
      </c>
      <c r="AR306" t="s">
        <v>1296</v>
      </c>
      <c r="AS306" t="s">
        <v>1296</v>
      </c>
      <c r="AT306" t="s">
        <v>1296</v>
      </c>
      <c r="AU306" t="s">
        <v>1296</v>
      </c>
      <c r="AV306" t="s">
        <v>1296</v>
      </c>
      <c r="AW306" t="s">
        <v>1296</v>
      </c>
      <c r="AX306" t="s">
        <v>1296</v>
      </c>
      <c r="AY306" t="s">
        <v>1296</v>
      </c>
      <c r="AZ306" t="s">
        <v>1296</v>
      </c>
      <c r="BA306" t="s">
        <v>1296</v>
      </c>
      <c r="BB306" t="s">
        <v>1296</v>
      </c>
      <c r="BC306" t="s">
        <v>1296</v>
      </c>
      <c r="BD306" t="s">
        <v>1296</v>
      </c>
      <c r="BE306" t="s">
        <v>1296</v>
      </c>
      <c r="BF306" t="s">
        <v>1296</v>
      </c>
      <c r="BG306" t="s">
        <v>1296</v>
      </c>
      <c r="BH306" t="s">
        <v>1296</v>
      </c>
      <c r="BL306" t="s">
        <v>1296</v>
      </c>
      <c r="BN306">
        <v>1</v>
      </c>
      <c r="BO306" t="s">
        <v>1212</v>
      </c>
      <c r="BP306" t="s">
        <v>2137</v>
      </c>
      <c r="BQ306" s="771">
        <v>83.7</v>
      </c>
      <c r="BR306" t="s">
        <v>1213</v>
      </c>
      <c r="BS306" t="s">
        <v>1213</v>
      </c>
      <c r="BT306">
        <v>0</v>
      </c>
      <c r="BU306" t="s">
        <v>1213</v>
      </c>
      <c r="BV306">
        <v>0</v>
      </c>
      <c r="BW306" t="s">
        <v>1213</v>
      </c>
      <c r="BX306">
        <v>0</v>
      </c>
      <c r="BY306" t="s">
        <v>1213</v>
      </c>
      <c r="BZ306" t="s">
        <v>3036</v>
      </c>
      <c r="CA306" t="s">
        <v>1298</v>
      </c>
    </row>
    <row r="307" spans="1:79" x14ac:dyDescent="0.2">
      <c r="A307" t="s">
        <v>1090</v>
      </c>
      <c r="B307" t="s">
        <v>3037</v>
      </c>
      <c r="C307" t="s">
        <v>1077</v>
      </c>
      <c r="D307" t="s">
        <v>1288</v>
      </c>
      <c r="E307" t="s">
        <v>1289</v>
      </c>
      <c r="F307" t="s">
        <v>3038</v>
      </c>
      <c r="G307" t="s">
        <v>1526</v>
      </c>
      <c r="H307" t="s">
        <v>3039</v>
      </c>
      <c r="I307" t="s">
        <v>3040</v>
      </c>
      <c r="J307" t="s">
        <v>1241</v>
      </c>
      <c r="N307" t="s">
        <v>1303</v>
      </c>
      <c r="O307" t="s">
        <v>272</v>
      </c>
      <c r="P307" t="s">
        <v>2775</v>
      </c>
      <c r="Q307">
        <v>0</v>
      </c>
      <c r="R307" t="s">
        <v>1251</v>
      </c>
      <c r="S307">
        <v>11500</v>
      </c>
      <c r="T307">
        <v>35000</v>
      </c>
      <c r="U307">
        <v>50000</v>
      </c>
      <c r="V307">
        <v>50000</v>
      </c>
      <c r="W307">
        <v>50000</v>
      </c>
      <c r="X307">
        <v>50000</v>
      </c>
      <c r="AH307">
        <v>0</v>
      </c>
      <c r="BP307" t="s">
        <v>2137</v>
      </c>
      <c r="BQ307" s="772">
        <v>24110</v>
      </c>
      <c r="BR307" t="s">
        <v>606</v>
      </c>
      <c r="BS307" t="s">
        <v>1213</v>
      </c>
      <c r="BT307">
        <v>0</v>
      </c>
      <c r="BU307" t="s">
        <v>1213</v>
      </c>
      <c r="BV307">
        <v>0</v>
      </c>
      <c r="BW307" t="s">
        <v>1213</v>
      </c>
      <c r="BX307">
        <v>0</v>
      </c>
      <c r="BY307" t="s">
        <v>1213</v>
      </c>
      <c r="BZ307" t="s">
        <v>3041</v>
      </c>
    </row>
    <row r="308" spans="1:79" x14ac:dyDescent="0.2">
      <c r="A308" t="s">
        <v>1090</v>
      </c>
      <c r="B308" t="s">
        <v>3042</v>
      </c>
      <c r="C308" t="s">
        <v>1077</v>
      </c>
      <c r="D308" t="s">
        <v>1288</v>
      </c>
      <c r="E308" t="s">
        <v>1289</v>
      </c>
      <c r="F308" t="s">
        <v>3038</v>
      </c>
      <c r="G308" t="s">
        <v>1531</v>
      </c>
      <c r="H308" t="s">
        <v>3043</v>
      </c>
      <c r="I308" t="s">
        <v>3044</v>
      </c>
      <c r="J308" t="s">
        <v>1241</v>
      </c>
      <c r="N308" t="s">
        <v>1303</v>
      </c>
      <c r="O308" t="s">
        <v>264</v>
      </c>
      <c r="P308" t="s">
        <v>3045</v>
      </c>
      <c r="Q308">
        <v>2</v>
      </c>
      <c r="R308" t="s">
        <v>1211</v>
      </c>
      <c r="S308">
        <v>2.69</v>
      </c>
      <c r="T308">
        <v>2.7</v>
      </c>
      <c r="U308">
        <v>2.7</v>
      </c>
      <c r="V308">
        <v>2.7</v>
      </c>
      <c r="W308">
        <v>2.7</v>
      </c>
      <c r="X308">
        <v>2.7</v>
      </c>
      <c r="AH308">
        <v>0</v>
      </c>
      <c r="BP308">
        <v>2.2000000000000002</v>
      </c>
      <c r="BQ308" s="773">
        <v>1.8</v>
      </c>
      <c r="BR308" t="s">
        <v>605</v>
      </c>
      <c r="BS308" t="s">
        <v>1213</v>
      </c>
      <c r="BT308">
        <v>0</v>
      </c>
      <c r="BU308" t="s">
        <v>1213</v>
      </c>
      <c r="BV308">
        <v>0</v>
      </c>
      <c r="BW308" t="s">
        <v>1213</v>
      </c>
      <c r="BX308">
        <v>0</v>
      </c>
      <c r="BY308" t="s">
        <v>1213</v>
      </c>
      <c r="BZ308" t="s">
        <v>3046</v>
      </c>
    </row>
    <row r="309" spans="1:79" x14ac:dyDescent="0.2">
      <c r="A309" t="s">
        <v>1093</v>
      </c>
      <c r="B309" t="s">
        <v>3047</v>
      </c>
      <c r="C309" t="s">
        <v>1077</v>
      </c>
      <c r="D309" t="s">
        <v>457</v>
      </c>
      <c r="E309" t="s">
        <v>1202</v>
      </c>
      <c r="F309" t="s">
        <v>3048</v>
      </c>
      <c r="G309" t="s">
        <v>1204</v>
      </c>
      <c r="H309" t="s">
        <v>3049</v>
      </c>
      <c r="I309" t="s">
        <v>3050</v>
      </c>
      <c r="J309" t="s">
        <v>1219</v>
      </c>
      <c r="K309" t="s">
        <v>1208</v>
      </c>
      <c r="L309" t="s">
        <v>605</v>
      </c>
      <c r="N309" t="s">
        <v>1249</v>
      </c>
      <c r="O309" t="s">
        <v>264</v>
      </c>
      <c r="P309" t="s">
        <v>1250</v>
      </c>
      <c r="Q309">
        <v>2</v>
      </c>
      <c r="R309" t="s">
        <v>1251</v>
      </c>
      <c r="S309">
        <v>99.98</v>
      </c>
      <c r="T309">
        <v>99.98</v>
      </c>
      <c r="U309">
        <v>99.98</v>
      </c>
      <c r="V309">
        <v>99.98</v>
      </c>
      <c r="W309">
        <v>99.98</v>
      </c>
      <c r="X309">
        <v>99.98</v>
      </c>
      <c r="Y309" t="s">
        <v>605</v>
      </c>
      <c r="AE309" t="s">
        <v>605</v>
      </c>
      <c r="AH309">
        <v>0</v>
      </c>
      <c r="AI309" t="s">
        <v>605</v>
      </c>
      <c r="AJ309" t="s">
        <v>605</v>
      </c>
      <c r="AK309" t="s">
        <v>605</v>
      </c>
      <c r="AL309" t="s">
        <v>605</v>
      </c>
      <c r="AM309" t="s">
        <v>605</v>
      </c>
      <c r="AN309">
        <v>90</v>
      </c>
      <c r="AO309">
        <v>90</v>
      </c>
      <c r="AP309">
        <v>90</v>
      </c>
      <c r="AQ309">
        <v>90</v>
      </c>
      <c r="AR309">
        <v>90</v>
      </c>
      <c r="AS309">
        <v>99.9</v>
      </c>
      <c r="AT309">
        <v>99.9</v>
      </c>
      <c r="AU309">
        <v>99.9</v>
      </c>
      <c r="AV309">
        <v>99.9</v>
      </c>
      <c r="AW309">
        <v>99.9</v>
      </c>
      <c r="BH309">
        <v>0.05</v>
      </c>
      <c r="BN309">
        <v>1</v>
      </c>
      <c r="BO309" t="s">
        <v>1212</v>
      </c>
      <c r="BP309">
        <v>99.96</v>
      </c>
      <c r="BQ309" s="773">
        <v>99.97</v>
      </c>
      <c r="BR309" t="s">
        <v>606</v>
      </c>
      <c r="BS309" t="s">
        <v>1213</v>
      </c>
      <c r="BT309">
        <v>0</v>
      </c>
      <c r="BU309" t="s">
        <v>1213</v>
      </c>
      <c r="BV309">
        <v>0</v>
      </c>
      <c r="BW309" t="s">
        <v>1213</v>
      </c>
      <c r="BX309">
        <v>0</v>
      </c>
      <c r="BY309" t="s">
        <v>1171</v>
      </c>
      <c r="BZ309" t="s">
        <v>3051</v>
      </c>
      <c r="CA309" t="s">
        <v>2797</v>
      </c>
    </row>
    <row r="310" spans="1:79" x14ac:dyDescent="0.2">
      <c r="A310" t="s">
        <v>1093</v>
      </c>
      <c r="B310" t="s">
        <v>3052</v>
      </c>
      <c r="C310" t="s">
        <v>1077</v>
      </c>
      <c r="D310" t="s">
        <v>457</v>
      </c>
      <c r="E310" t="s">
        <v>1202</v>
      </c>
      <c r="F310" t="s">
        <v>3048</v>
      </c>
      <c r="G310" t="s">
        <v>1216</v>
      </c>
      <c r="H310" t="s">
        <v>3053</v>
      </c>
      <c r="I310" t="s">
        <v>3054</v>
      </c>
      <c r="J310" t="s">
        <v>1207</v>
      </c>
      <c r="K310" t="s">
        <v>1208</v>
      </c>
      <c r="L310" t="s">
        <v>605</v>
      </c>
      <c r="M310" t="s">
        <v>606</v>
      </c>
      <c r="N310" t="s">
        <v>1172</v>
      </c>
      <c r="O310" t="s">
        <v>272</v>
      </c>
      <c r="P310" t="s">
        <v>3055</v>
      </c>
      <c r="Q310">
        <v>2</v>
      </c>
      <c r="R310" t="s">
        <v>1211</v>
      </c>
      <c r="S310">
        <v>4.5</v>
      </c>
      <c r="T310">
        <v>4.2</v>
      </c>
      <c r="U310">
        <v>3.9</v>
      </c>
      <c r="V310">
        <v>3.6</v>
      </c>
      <c r="W310">
        <v>3.3</v>
      </c>
      <c r="X310">
        <v>3</v>
      </c>
      <c r="Z310" t="s">
        <v>605</v>
      </c>
      <c r="AE310" t="s">
        <v>605</v>
      </c>
      <c r="AH310">
        <v>0</v>
      </c>
      <c r="AI310" t="s">
        <v>605</v>
      </c>
      <c r="AJ310" t="s">
        <v>605</v>
      </c>
      <c r="AK310" t="s">
        <v>605</v>
      </c>
      <c r="AL310" t="s">
        <v>605</v>
      </c>
      <c r="AM310" t="s">
        <v>605</v>
      </c>
      <c r="AN310">
        <v>8</v>
      </c>
      <c r="AO310">
        <v>8</v>
      </c>
      <c r="AP310">
        <v>8</v>
      </c>
      <c r="AQ310">
        <v>8</v>
      </c>
      <c r="AR310">
        <v>8</v>
      </c>
      <c r="AS310">
        <v>4.2</v>
      </c>
      <c r="AT310">
        <v>3.9</v>
      </c>
      <c r="AU310">
        <v>3.6</v>
      </c>
      <c r="AV310">
        <v>3.3</v>
      </c>
      <c r="AW310">
        <v>3</v>
      </c>
      <c r="AX310">
        <v>2.02</v>
      </c>
      <c r="AY310">
        <v>2.02</v>
      </c>
      <c r="AZ310">
        <v>2.02</v>
      </c>
      <c r="BA310">
        <v>2.02</v>
      </c>
      <c r="BB310">
        <v>2.02</v>
      </c>
      <c r="BC310">
        <v>1.5</v>
      </c>
      <c r="BD310">
        <v>1.5</v>
      </c>
      <c r="BE310">
        <v>1.5</v>
      </c>
      <c r="BF310">
        <v>1.5</v>
      </c>
      <c r="BG310">
        <v>1.5</v>
      </c>
      <c r="BH310">
        <v>0.65700000000000003</v>
      </c>
      <c r="BI310">
        <v>0.879</v>
      </c>
      <c r="BL310">
        <v>0.94399999999999995</v>
      </c>
      <c r="BN310">
        <v>1</v>
      </c>
      <c r="BO310" t="s">
        <v>1212</v>
      </c>
      <c r="BP310">
        <v>3.42</v>
      </c>
      <c r="BQ310" s="773">
        <v>2.92</v>
      </c>
      <c r="BR310" t="s">
        <v>605</v>
      </c>
      <c r="BS310" t="s">
        <v>1213</v>
      </c>
      <c r="BT310">
        <v>0</v>
      </c>
      <c r="BU310" t="s">
        <v>1213</v>
      </c>
      <c r="BV310">
        <v>0</v>
      </c>
      <c r="BW310" t="s">
        <v>607</v>
      </c>
      <c r="BX310">
        <v>0</v>
      </c>
      <c r="BY310" t="s">
        <v>1172</v>
      </c>
      <c r="BZ310" t="s">
        <v>3056</v>
      </c>
      <c r="CA310" t="s">
        <v>3057</v>
      </c>
    </row>
    <row r="311" spans="1:79" x14ac:dyDescent="0.2">
      <c r="A311" t="s">
        <v>1093</v>
      </c>
      <c r="B311" t="s">
        <v>3058</v>
      </c>
      <c r="C311" t="s">
        <v>1077</v>
      </c>
      <c r="D311" t="s">
        <v>457</v>
      </c>
      <c r="E311" t="s">
        <v>1202</v>
      </c>
      <c r="F311" t="s">
        <v>3048</v>
      </c>
      <c r="G311" t="s">
        <v>1225</v>
      </c>
      <c r="H311" t="s">
        <v>3059</v>
      </c>
      <c r="I311" t="s">
        <v>3060</v>
      </c>
      <c r="J311" t="s">
        <v>1219</v>
      </c>
      <c r="K311" t="s">
        <v>1563</v>
      </c>
      <c r="M311" t="s">
        <v>606</v>
      </c>
      <c r="N311" t="s">
        <v>1272</v>
      </c>
      <c r="O311" t="s">
        <v>1410</v>
      </c>
      <c r="P311" t="s">
        <v>1564</v>
      </c>
      <c r="Q311" t="s">
        <v>1212</v>
      </c>
      <c r="S311" t="s">
        <v>612</v>
      </c>
      <c r="T311" t="s">
        <v>612</v>
      </c>
      <c r="U311" t="s">
        <v>612</v>
      </c>
      <c r="V311" t="s">
        <v>612</v>
      </c>
      <c r="W311" t="s">
        <v>612</v>
      </c>
      <c r="X311" t="s">
        <v>612</v>
      </c>
      <c r="AE311" t="s">
        <v>605</v>
      </c>
      <c r="AH311">
        <v>6</v>
      </c>
      <c r="AI311" t="s">
        <v>605</v>
      </c>
      <c r="AJ311" t="s">
        <v>605</v>
      </c>
      <c r="AK311" t="s">
        <v>605</v>
      </c>
      <c r="AL311" t="s">
        <v>605</v>
      </c>
      <c r="AM311" t="s">
        <v>605</v>
      </c>
      <c r="AN311" t="s">
        <v>1565</v>
      </c>
      <c r="AO311" t="s">
        <v>1565</v>
      </c>
      <c r="AP311" t="s">
        <v>1565</v>
      </c>
      <c r="AQ311" t="s">
        <v>1565</v>
      </c>
      <c r="AR311" t="s">
        <v>1565</v>
      </c>
      <c r="AS311" t="s">
        <v>1566</v>
      </c>
      <c r="AT311" t="s">
        <v>1566</v>
      </c>
      <c r="AU311" t="s">
        <v>1566</v>
      </c>
      <c r="AV311" t="s">
        <v>1566</v>
      </c>
      <c r="AW311" t="s">
        <v>1566</v>
      </c>
      <c r="BH311">
        <v>0.45800000000000002</v>
      </c>
      <c r="BN311">
        <v>1</v>
      </c>
      <c r="BO311" t="s">
        <v>1212</v>
      </c>
      <c r="BP311" t="s">
        <v>3061</v>
      </c>
      <c r="BQ311" s="783" t="s">
        <v>3061</v>
      </c>
      <c r="BR311" t="s">
        <v>605</v>
      </c>
      <c r="BS311" t="s">
        <v>1213</v>
      </c>
      <c r="BT311">
        <v>0</v>
      </c>
      <c r="BU311" t="s">
        <v>1213</v>
      </c>
      <c r="BV311">
        <v>0</v>
      </c>
      <c r="BW311" t="s">
        <v>1213</v>
      </c>
      <c r="BX311">
        <v>0</v>
      </c>
      <c r="BY311" t="s">
        <v>1213</v>
      </c>
      <c r="BZ311" t="s">
        <v>3062</v>
      </c>
      <c r="CA311" t="s">
        <v>3063</v>
      </c>
    </row>
    <row r="312" spans="1:79" x14ac:dyDescent="0.2">
      <c r="A312" t="s">
        <v>1093</v>
      </c>
      <c r="B312" t="s">
        <v>3064</v>
      </c>
      <c r="C312" t="s">
        <v>1077</v>
      </c>
      <c r="D312" t="s">
        <v>457</v>
      </c>
      <c r="E312" t="s">
        <v>1202</v>
      </c>
      <c r="F312" t="s">
        <v>3048</v>
      </c>
      <c r="G312" t="s">
        <v>1232</v>
      </c>
      <c r="H312" t="s">
        <v>3065</v>
      </c>
      <c r="I312" t="s">
        <v>3066</v>
      </c>
      <c r="J312" t="s">
        <v>1219</v>
      </c>
      <c r="K312" t="s">
        <v>1563</v>
      </c>
      <c r="M312" t="s">
        <v>606</v>
      </c>
      <c r="N312" t="s">
        <v>1272</v>
      </c>
      <c r="O312" t="s">
        <v>1410</v>
      </c>
      <c r="P312" t="s">
        <v>1564</v>
      </c>
      <c r="Q312" t="s">
        <v>1212</v>
      </c>
      <c r="S312" t="s">
        <v>612</v>
      </c>
      <c r="T312" t="s">
        <v>612</v>
      </c>
      <c r="U312" t="s">
        <v>612</v>
      </c>
      <c r="V312" t="s">
        <v>612</v>
      </c>
      <c r="W312" t="s">
        <v>612</v>
      </c>
      <c r="X312" t="s">
        <v>612</v>
      </c>
      <c r="AE312" t="s">
        <v>605</v>
      </c>
      <c r="AH312">
        <v>5</v>
      </c>
      <c r="AI312" t="s">
        <v>605</v>
      </c>
      <c r="AJ312" t="s">
        <v>605</v>
      </c>
      <c r="AK312" t="s">
        <v>605</v>
      </c>
      <c r="AL312" t="s">
        <v>605</v>
      </c>
      <c r="AM312" t="s">
        <v>605</v>
      </c>
      <c r="AN312" t="s">
        <v>1565</v>
      </c>
      <c r="AO312" t="s">
        <v>1565</v>
      </c>
      <c r="AP312" t="s">
        <v>1565</v>
      </c>
      <c r="AQ312" t="s">
        <v>1565</v>
      </c>
      <c r="AR312" t="s">
        <v>1565</v>
      </c>
      <c r="AS312" t="s">
        <v>1566</v>
      </c>
      <c r="AT312" t="s">
        <v>1566</v>
      </c>
      <c r="AU312" t="s">
        <v>1566</v>
      </c>
      <c r="AV312" t="s">
        <v>1566</v>
      </c>
      <c r="AW312" t="s">
        <v>1566</v>
      </c>
      <c r="BH312">
        <v>1.2689999999999999</v>
      </c>
      <c r="BN312">
        <v>1</v>
      </c>
      <c r="BO312" t="s">
        <v>1212</v>
      </c>
      <c r="BP312" t="s">
        <v>3061</v>
      </c>
      <c r="BQ312" s="783" t="s">
        <v>3061</v>
      </c>
      <c r="BR312" t="s">
        <v>605</v>
      </c>
      <c r="BS312" t="s">
        <v>1213</v>
      </c>
      <c r="BT312">
        <v>0</v>
      </c>
      <c r="BU312" t="s">
        <v>1213</v>
      </c>
      <c r="BV312">
        <v>0</v>
      </c>
      <c r="BW312" t="s">
        <v>1213</v>
      </c>
      <c r="BX312">
        <v>0</v>
      </c>
      <c r="BY312" t="s">
        <v>1213</v>
      </c>
      <c r="BZ312" t="s">
        <v>3067</v>
      </c>
      <c r="CA312" t="s">
        <v>3068</v>
      </c>
    </row>
    <row r="313" spans="1:79" x14ac:dyDescent="0.2">
      <c r="A313" t="s">
        <v>1093</v>
      </c>
      <c r="B313" t="s">
        <v>3069</v>
      </c>
      <c r="C313" t="s">
        <v>1077</v>
      </c>
      <c r="D313" t="s">
        <v>457</v>
      </c>
      <c r="E313" t="s">
        <v>1202</v>
      </c>
      <c r="F313" t="s">
        <v>3048</v>
      </c>
      <c r="G313" t="s">
        <v>1238</v>
      </c>
      <c r="H313" t="s">
        <v>3070</v>
      </c>
      <c r="I313" t="s">
        <v>3071</v>
      </c>
      <c r="J313" t="s">
        <v>1207</v>
      </c>
      <c r="K313" t="s">
        <v>1563</v>
      </c>
      <c r="M313" t="s">
        <v>606</v>
      </c>
      <c r="N313" t="s">
        <v>1265</v>
      </c>
      <c r="O313" t="s">
        <v>1309</v>
      </c>
      <c r="P313" t="s">
        <v>1727</v>
      </c>
      <c r="Q313">
        <v>3</v>
      </c>
      <c r="R313" t="s">
        <v>1211</v>
      </c>
      <c r="S313">
        <v>0.27</v>
      </c>
      <c r="T313">
        <v>0.25600000000000001</v>
      </c>
      <c r="U313">
        <v>0.24199999999999999</v>
      </c>
      <c r="V313">
        <v>0.22800000000000001</v>
      </c>
      <c r="W313">
        <v>0.214</v>
      </c>
      <c r="X313">
        <v>0.2</v>
      </c>
      <c r="AA313" t="s">
        <v>605</v>
      </c>
      <c r="AE313" t="s">
        <v>605</v>
      </c>
      <c r="AH313">
        <v>0</v>
      </c>
      <c r="AI313" t="s">
        <v>605</v>
      </c>
      <c r="AJ313" t="s">
        <v>605</v>
      </c>
      <c r="AK313" t="s">
        <v>605</v>
      </c>
      <c r="AL313" t="s">
        <v>605</v>
      </c>
      <c r="AM313" t="s">
        <v>605</v>
      </c>
      <c r="AN313">
        <v>0.8</v>
      </c>
      <c r="AO313">
        <v>0.8</v>
      </c>
      <c r="AP313">
        <v>0.8</v>
      </c>
      <c r="AQ313">
        <v>0.8</v>
      </c>
      <c r="AR313">
        <v>0.8</v>
      </c>
      <c r="AS313">
        <v>0.25600000000000001</v>
      </c>
      <c r="AT313">
        <v>0.24199999999999999</v>
      </c>
      <c r="AU313">
        <v>0.22800000000000001</v>
      </c>
      <c r="AV313">
        <v>0.214</v>
      </c>
      <c r="AW313">
        <v>0.2</v>
      </c>
      <c r="AX313">
        <v>0.25600000000000001</v>
      </c>
      <c r="AY313">
        <v>0.24199999999999999</v>
      </c>
      <c r="AZ313">
        <v>0.22800000000000001</v>
      </c>
      <c r="BA313">
        <v>0.214</v>
      </c>
      <c r="BB313">
        <v>0.2</v>
      </c>
      <c r="BC313">
        <v>0.1</v>
      </c>
      <c r="BD313">
        <v>0.1</v>
      </c>
      <c r="BE313">
        <v>0.1</v>
      </c>
      <c r="BF313">
        <v>0.1</v>
      </c>
      <c r="BG313">
        <v>0.1</v>
      </c>
      <c r="BH313">
        <v>5.5529999999999999</v>
      </c>
      <c r="BI313">
        <v>8.2240000000000002</v>
      </c>
      <c r="BL313">
        <v>6.5030000000000001</v>
      </c>
      <c r="BN313">
        <v>1</v>
      </c>
      <c r="BO313" t="s">
        <v>1212</v>
      </c>
      <c r="BP313">
        <v>0.38100000000000001</v>
      </c>
      <c r="BQ313" s="782">
        <v>0.41899999999999998</v>
      </c>
      <c r="BR313" t="s">
        <v>606</v>
      </c>
      <c r="BS313" t="s">
        <v>1213</v>
      </c>
      <c r="BT313">
        <v>0</v>
      </c>
      <c r="BU313" t="s">
        <v>1107</v>
      </c>
      <c r="BV313">
        <v>-0.94253299999999995</v>
      </c>
      <c r="BW313" t="s">
        <v>1107</v>
      </c>
      <c r="BX313">
        <v>-0.94253299999999995</v>
      </c>
      <c r="BY313" t="s">
        <v>1173</v>
      </c>
      <c r="BZ313" t="s">
        <v>3072</v>
      </c>
      <c r="CA313" t="s">
        <v>3073</v>
      </c>
    </row>
    <row r="314" spans="1:79" x14ac:dyDescent="0.2">
      <c r="A314" t="s">
        <v>1093</v>
      </c>
      <c r="B314" t="s">
        <v>3074</v>
      </c>
      <c r="C314" t="s">
        <v>1077</v>
      </c>
      <c r="D314" t="s">
        <v>457</v>
      </c>
      <c r="E314" t="s">
        <v>1202</v>
      </c>
      <c r="F314" t="s">
        <v>3075</v>
      </c>
      <c r="G314" t="s">
        <v>1246</v>
      </c>
      <c r="H314" t="s">
        <v>3076</v>
      </c>
      <c r="I314" t="s">
        <v>3077</v>
      </c>
      <c r="J314" t="s">
        <v>1207</v>
      </c>
      <c r="K314" t="s">
        <v>1208</v>
      </c>
      <c r="L314" t="s">
        <v>605</v>
      </c>
      <c r="M314" t="s">
        <v>606</v>
      </c>
      <c r="N314" t="s">
        <v>1338</v>
      </c>
      <c r="O314" t="s">
        <v>272</v>
      </c>
      <c r="P314" t="s">
        <v>3078</v>
      </c>
      <c r="Q314">
        <v>0</v>
      </c>
      <c r="R314" t="s">
        <v>1211</v>
      </c>
      <c r="S314">
        <v>0</v>
      </c>
      <c r="T314">
        <v>0</v>
      </c>
      <c r="U314">
        <v>0</v>
      </c>
      <c r="V314">
        <v>0</v>
      </c>
      <c r="W314">
        <v>0</v>
      </c>
      <c r="X314">
        <v>0</v>
      </c>
      <c r="AH314">
        <v>0</v>
      </c>
      <c r="AI314" t="s">
        <v>605</v>
      </c>
      <c r="AJ314" t="s">
        <v>605</v>
      </c>
      <c r="AK314" t="s">
        <v>605</v>
      </c>
      <c r="AL314" t="s">
        <v>605</v>
      </c>
      <c r="AM314" t="s">
        <v>605</v>
      </c>
      <c r="AR314">
        <v>2</v>
      </c>
      <c r="AW314">
        <v>1</v>
      </c>
      <c r="AX314">
        <v>0</v>
      </c>
      <c r="AY314">
        <v>0</v>
      </c>
      <c r="AZ314">
        <v>0</v>
      </c>
      <c r="BA314">
        <v>0</v>
      </c>
      <c r="BB314">
        <v>0</v>
      </c>
      <c r="BC314">
        <v>0</v>
      </c>
      <c r="BD314">
        <v>0</v>
      </c>
      <c r="BE314">
        <v>0</v>
      </c>
      <c r="BF314">
        <v>0</v>
      </c>
      <c r="BG314">
        <v>0</v>
      </c>
      <c r="BH314">
        <v>3.206</v>
      </c>
      <c r="BL314">
        <v>1.6240000000000001</v>
      </c>
      <c r="BN314">
        <v>1</v>
      </c>
      <c r="BO314" t="s">
        <v>1212</v>
      </c>
      <c r="BP314">
        <v>0</v>
      </c>
      <c r="BQ314" s="772">
        <v>0</v>
      </c>
      <c r="BR314" t="s">
        <v>605</v>
      </c>
      <c r="BS314" t="s">
        <v>611</v>
      </c>
      <c r="BT314">
        <v>1.6240000000000001</v>
      </c>
      <c r="BU314" t="s">
        <v>1213</v>
      </c>
      <c r="BV314">
        <v>0</v>
      </c>
      <c r="BW314" t="s">
        <v>611</v>
      </c>
      <c r="BX314">
        <v>8.1199999999999992</v>
      </c>
      <c r="BY314" t="s">
        <v>1213</v>
      </c>
      <c r="BZ314" t="s">
        <v>3079</v>
      </c>
      <c r="CA314" t="s">
        <v>3080</v>
      </c>
    </row>
    <row r="315" spans="1:79" x14ac:dyDescent="0.2">
      <c r="A315" t="s">
        <v>1093</v>
      </c>
      <c r="B315" t="s">
        <v>3081</v>
      </c>
      <c r="C315" t="s">
        <v>1077</v>
      </c>
      <c r="D315" t="s">
        <v>457</v>
      </c>
      <c r="E315" t="s">
        <v>1202</v>
      </c>
      <c r="F315" t="s">
        <v>3075</v>
      </c>
      <c r="G315" t="s">
        <v>1255</v>
      </c>
      <c r="H315" t="s">
        <v>3082</v>
      </c>
      <c r="I315" t="s">
        <v>3083</v>
      </c>
      <c r="J315" t="s">
        <v>1241</v>
      </c>
      <c r="N315" t="s">
        <v>1331</v>
      </c>
      <c r="O315" t="s">
        <v>1507</v>
      </c>
      <c r="P315" t="s">
        <v>3084</v>
      </c>
      <c r="Q315" t="s">
        <v>1212</v>
      </c>
      <c r="S315" t="s">
        <v>3085</v>
      </c>
      <c r="X315" t="s">
        <v>3086</v>
      </c>
      <c r="AE315" t="s">
        <v>605</v>
      </c>
      <c r="AH315">
        <v>0</v>
      </c>
      <c r="BP315" t="s">
        <v>3087</v>
      </c>
      <c r="BQ315" s="771" t="s">
        <v>3087</v>
      </c>
      <c r="BR315" t="s">
        <v>1213</v>
      </c>
      <c r="BS315" t="s">
        <v>1213</v>
      </c>
      <c r="BT315">
        <v>0</v>
      </c>
      <c r="BU315" t="s">
        <v>1213</v>
      </c>
      <c r="BV315">
        <v>0</v>
      </c>
      <c r="BW315" t="s">
        <v>1213</v>
      </c>
      <c r="BX315">
        <v>0</v>
      </c>
      <c r="BY315" t="s">
        <v>1213</v>
      </c>
      <c r="BZ315" t="s">
        <v>3088</v>
      </c>
      <c r="CA315" t="s">
        <v>3089</v>
      </c>
    </row>
    <row r="316" spans="1:79" x14ac:dyDescent="0.2">
      <c r="A316" t="s">
        <v>1093</v>
      </c>
      <c r="B316" t="s">
        <v>3090</v>
      </c>
      <c r="C316" t="s">
        <v>1077</v>
      </c>
      <c r="D316" t="s">
        <v>457</v>
      </c>
      <c r="E316" t="s">
        <v>1202</v>
      </c>
      <c r="F316" t="s">
        <v>3075</v>
      </c>
      <c r="G316" t="s">
        <v>1810</v>
      </c>
      <c r="H316" t="s">
        <v>3091</v>
      </c>
      <c r="I316" t="s">
        <v>3092</v>
      </c>
      <c r="J316" t="s">
        <v>1207</v>
      </c>
      <c r="K316" t="s">
        <v>1208</v>
      </c>
      <c r="L316" t="s">
        <v>605</v>
      </c>
      <c r="N316" t="s">
        <v>1209</v>
      </c>
      <c r="O316" t="s">
        <v>272</v>
      </c>
      <c r="P316" t="s">
        <v>1210</v>
      </c>
      <c r="Q316">
        <v>0</v>
      </c>
      <c r="R316" t="s">
        <v>1211</v>
      </c>
      <c r="S316">
        <v>84</v>
      </c>
      <c r="T316">
        <v>84</v>
      </c>
      <c r="U316">
        <v>84</v>
      </c>
      <c r="V316">
        <v>84</v>
      </c>
      <c r="W316">
        <v>84</v>
      </c>
      <c r="X316">
        <v>84</v>
      </c>
      <c r="AE316" t="s">
        <v>605</v>
      </c>
      <c r="AH316">
        <v>0</v>
      </c>
      <c r="AI316" t="s">
        <v>605</v>
      </c>
      <c r="AJ316" t="s">
        <v>605</v>
      </c>
      <c r="AK316" t="s">
        <v>605</v>
      </c>
      <c r="AL316" t="s">
        <v>605</v>
      </c>
      <c r="AM316" t="s">
        <v>605</v>
      </c>
      <c r="AN316">
        <v>97</v>
      </c>
      <c r="AO316">
        <v>97</v>
      </c>
      <c r="AP316">
        <v>97</v>
      </c>
      <c r="AQ316">
        <v>97</v>
      </c>
      <c r="AR316">
        <v>97</v>
      </c>
      <c r="AS316">
        <v>84</v>
      </c>
      <c r="AT316">
        <v>84</v>
      </c>
      <c r="AU316">
        <v>84</v>
      </c>
      <c r="AV316">
        <v>84</v>
      </c>
      <c r="AW316">
        <v>84</v>
      </c>
      <c r="AX316">
        <v>84</v>
      </c>
      <c r="AY316">
        <v>84</v>
      </c>
      <c r="AZ316">
        <v>84</v>
      </c>
      <c r="BA316">
        <v>84</v>
      </c>
      <c r="BB316">
        <v>84</v>
      </c>
      <c r="BC316">
        <v>64</v>
      </c>
      <c r="BD316">
        <v>64</v>
      </c>
      <c r="BE316">
        <v>64</v>
      </c>
      <c r="BF316">
        <v>64</v>
      </c>
      <c r="BG316">
        <v>64</v>
      </c>
      <c r="BH316">
        <v>0.57699999999999996</v>
      </c>
      <c r="BL316">
        <v>0.40300000000000002</v>
      </c>
      <c r="BN316">
        <v>1</v>
      </c>
      <c r="BO316" t="s">
        <v>1212</v>
      </c>
      <c r="BP316">
        <v>84</v>
      </c>
      <c r="BQ316" s="772">
        <v>84</v>
      </c>
      <c r="BR316" t="s">
        <v>605</v>
      </c>
      <c r="BS316" t="s">
        <v>1213</v>
      </c>
      <c r="BT316">
        <v>0</v>
      </c>
      <c r="BU316" t="s">
        <v>1213</v>
      </c>
      <c r="BV316">
        <v>0</v>
      </c>
      <c r="BW316" t="s">
        <v>610</v>
      </c>
      <c r="BX316">
        <v>0</v>
      </c>
      <c r="BY316" t="s">
        <v>1213</v>
      </c>
      <c r="BZ316" t="s">
        <v>3093</v>
      </c>
      <c r="CA316" t="s">
        <v>3094</v>
      </c>
    </row>
    <row r="317" spans="1:79" x14ac:dyDescent="0.2">
      <c r="A317" t="s">
        <v>1093</v>
      </c>
      <c r="B317" t="s">
        <v>3095</v>
      </c>
      <c r="C317" t="s">
        <v>1077</v>
      </c>
      <c r="D317" t="s">
        <v>457</v>
      </c>
      <c r="E317" t="s">
        <v>1202</v>
      </c>
      <c r="F317" t="s">
        <v>3075</v>
      </c>
      <c r="G317" t="s">
        <v>2832</v>
      </c>
      <c r="H317" t="s">
        <v>3096</v>
      </c>
      <c r="I317" t="s">
        <v>3097</v>
      </c>
      <c r="J317" t="s">
        <v>1241</v>
      </c>
      <c r="N317" t="s">
        <v>1209</v>
      </c>
      <c r="O317" t="s">
        <v>272</v>
      </c>
      <c r="P317" t="s">
        <v>3098</v>
      </c>
      <c r="Q317">
        <v>0</v>
      </c>
      <c r="R317" t="s">
        <v>1211</v>
      </c>
      <c r="S317" t="s">
        <v>3099</v>
      </c>
      <c r="X317" t="s">
        <v>3100</v>
      </c>
      <c r="AE317" t="s">
        <v>605</v>
      </c>
      <c r="AH317">
        <v>0</v>
      </c>
      <c r="BP317">
        <v>2.83</v>
      </c>
      <c r="BQ317" s="772">
        <v>2.8</v>
      </c>
      <c r="BR317" t="s">
        <v>1213</v>
      </c>
      <c r="BS317" t="s">
        <v>1213</v>
      </c>
      <c r="BT317">
        <v>0</v>
      </c>
      <c r="BU317" t="s">
        <v>1213</v>
      </c>
      <c r="BV317">
        <v>0</v>
      </c>
      <c r="BW317" t="s">
        <v>1213</v>
      </c>
      <c r="BX317">
        <v>0</v>
      </c>
      <c r="BY317" t="s">
        <v>1213</v>
      </c>
      <c r="BZ317" t="s">
        <v>3101</v>
      </c>
    </row>
    <row r="318" spans="1:79" x14ac:dyDescent="0.2">
      <c r="A318" t="s">
        <v>1093</v>
      </c>
      <c r="B318" t="s">
        <v>3102</v>
      </c>
      <c r="C318" t="s">
        <v>1077</v>
      </c>
      <c r="D318" t="s">
        <v>457</v>
      </c>
      <c r="E318" t="s">
        <v>1202</v>
      </c>
      <c r="F318" t="s">
        <v>3075</v>
      </c>
      <c r="G318" t="s">
        <v>2837</v>
      </c>
      <c r="H318" t="s">
        <v>3103</v>
      </c>
      <c r="I318" t="s">
        <v>3104</v>
      </c>
      <c r="J318" t="s">
        <v>1241</v>
      </c>
      <c r="N318" t="s">
        <v>1228</v>
      </c>
      <c r="O318" t="s">
        <v>665</v>
      </c>
      <c r="P318" t="s">
        <v>1346</v>
      </c>
      <c r="Q318">
        <v>0</v>
      </c>
      <c r="R318" t="s">
        <v>1251</v>
      </c>
      <c r="S318">
        <v>100</v>
      </c>
      <c r="X318">
        <v>100</v>
      </c>
      <c r="AH318">
        <v>0</v>
      </c>
      <c r="BP318">
        <v>100</v>
      </c>
      <c r="BQ318" s="772">
        <v>100</v>
      </c>
      <c r="BR318" t="s">
        <v>1213</v>
      </c>
      <c r="BS318" t="s">
        <v>1213</v>
      </c>
      <c r="BT318">
        <v>0</v>
      </c>
      <c r="BU318" t="s">
        <v>1213</v>
      </c>
      <c r="BV318">
        <v>0</v>
      </c>
      <c r="BW318" t="s">
        <v>1213</v>
      </c>
      <c r="BX318">
        <v>0</v>
      </c>
      <c r="BY318" t="s">
        <v>1213</v>
      </c>
      <c r="BZ318" t="s">
        <v>3105</v>
      </c>
    </row>
    <row r="319" spans="1:79" x14ac:dyDescent="0.2">
      <c r="A319" t="s">
        <v>1093</v>
      </c>
      <c r="B319" t="s">
        <v>3106</v>
      </c>
      <c r="C319" t="s">
        <v>1077</v>
      </c>
      <c r="D319" t="s">
        <v>457</v>
      </c>
      <c r="E319" t="s">
        <v>1202</v>
      </c>
      <c r="F319" t="s">
        <v>3107</v>
      </c>
      <c r="G319" t="s">
        <v>1262</v>
      </c>
      <c r="H319" t="s">
        <v>3108</v>
      </c>
      <c r="I319" t="s">
        <v>3109</v>
      </c>
      <c r="J319" t="s">
        <v>1207</v>
      </c>
      <c r="K319" t="s">
        <v>1563</v>
      </c>
      <c r="N319" t="s">
        <v>1331</v>
      </c>
      <c r="O319" t="s">
        <v>272</v>
      </c>
      <c r="P319" t="s">
        <v>3110</v>
      </c>
      <c r="Q319">
        <v>0</v>
      </c>
      <c r="R319" t="s">
        <v>1211</v>
      </c>
      <c r="S319">
        <v>0</v>
      </c>
      <c r="X319">
        <v>0</v>
      </c>
      <c r="AE319" t="s">
        <v>605</v>
      </c>
      <c r="AH319">
        <v>0</v>
      </c>
      <c r="AM319" t="s">
        <v>605</v>
      </c>
      <c r="AR319">
        <v>193035</v>
      </c>
      <c r="AW319">
        <v>38607</v>
      </c>
      <c r="BB319">
        <v>38607</v>
      </c>
      <c r="BG319">
        <v>0</v>
      </c>
      <c r="BH319">
        <v>6.2400000000000004E-6</v>
      </c>
      <c r="BL319">
        <v>6.2400000000000004E-6</v>
      </c>
      <c r="BN319">
        <v>1</v>
      </c>
      <c r="BO319" t="s">
        <v>1212</v>
      </c>
      <c r="BP319">
        <v>0</v>
      </c>
      <c r="BQ319" s="772">
        <v>0</v>
      </c>
      <c r="BR319" t="s">
        <v>1213</v>
      </c>
      <c r="BS319" t="s">
        <v>1213</v>
      </c>
      <c r="BT319">
        <v>0</v>
      </c>
      <c r="BU319" t="s">
        <v>1213</v>
      </c>
      <c r="BV319">
        <v>0</v>
      </c>
      <c r="BW319" t="s">
        <v>1213</v>
      </c>
      <c r="BX319">
        <v>0</v>
      </c>
      <c r="BY319" t="s">
        <v>1213</v>
      </c>
      <c r="BZ319" t="s">
        <v>3111</v>
      </c>
      <c r="CA319" t="s">
        <v>3112</v>
      </c>
    </row>
    <row r="320" spans="1:79" x14ac:dyDescent="0.2">
      <c r="A320" t="s">
        <v>1093</v>
      </c>
      <c r="B320" t="s">
        <v>3113</v>
      </c>
      <c r="C320" t="s">
        <v>1077</v>
      </c>
      <c r="D320" t="s">
        <v>457</v>
      </c>
      <c r="E320" t="s">
        <v>1202</v>
      </c>
      <c r="F320" t="s">
        <v>3114</v>
      </c>
      <c r="G320" t="s">
        <v>1343</v>
      </c>
      <c r="H320" t="s">
        <v>3115</v>
      </c>
      <c r="I320" t="s">
        <v>3116</v>
      </c>
      <c r="J320" t="s">
        <v>1207</v>
      </c>
      <c r="K320" t="s">
        <v>1208</v>
      </c>
      <c r="L320" t="s">
        <v>605</v>
      </c>
      <c r="N320" t="s">
        <v>1400</v>
      </c>
      <c r="O320" t="s">
        <v>264</v>
      </c>
      <c r="P320" t="s">
        <v>2676</v>
      </c>
      <c r="Q320">
        <v>1</v>
      </c>
      <c r="R320" t="s">
        <v>1251</v>
      </c>
      <c r="S320">
        <v>90</v>
      </c>
      <c r="T320">
        <v>91</v>
      </c>
      <c r="U320">
        <v>92</v>
      </c>
      <c r="V320">
        <v>93</v>
      </c>
      <c r="W320">
        <v>94</v>
      </c>
      <c r="X320">
        <v>95</v>
      </c>
      <c r="AH320">
        <v>0</v>
      </c>
      <c r="AI320" t="s">
        <v>605</v>
      </c>
      <c r="AJ320" t="s">
        <v>605</v>
      </c>
      <c r="AK320" t="s">
        <v>605</v>
      </c>
      <c r="AL320" t="s">
        <v>605</v>
      </c>
      <c r="AM320" t="s">
        <v>605</v>
      </c>
      <c r="AN320">
        <v>75</v>
      </c>
      <c r="AO320">
        <v>75</v>
      </c>
      <c r="AP320">
        <v>75</v>
      </c>
      <c r="AQ320">
        <v>75</v>
      </c>
      <c r="AR320">
        <v>75</v>
      </c>
      <c r="AS320">
        <v>91</v>
      </c>
      <c r="AT320">
        <v>92</v>
      </c>
      <c r="AU320">
        <v>93</v>
      </c>
      <c r="AV320">
        <v>94</v>
      </c>
      <c r="AW320">
        <v>95</v>
      </c>
      <c r="AX320">
        <v>91</v>
      </c>
      <c r="AY320">
        <v>92</v>
      </c>
      <c r="AZ320">
        <v>93</v>
      </c>
      <c r="BA320">
        <v>94</v>
      </c>
      <c r="BB320">
        <v>95</v>
      </c>
      <c r="BC320">
        <v>100</v>
      </c>
      <c r="BD320">
        <v>100</v>
      </c>
      <c r="BE320">
        <v>100</v>
      </c>
      <c r="BF320">
        <v>100</v>
      </c>
      <c r="BG320">
        <v>100</v>
      </c>
      <c r="BH320">
        <v>4.2999999999999997E-2</v>
      </c>
      <c r="BL320">
        <v>4.2999999999999997E-2</v>
      </c>
      <c r="BN320">
        <v>1</v>
      </c>
      <c r="BO320" t="s">
        <v>1212</v>
      </c>
      <c r="BP320">
        <v>93.5</v>
      </c>
      <c r="BQ320" s="769">
        <v>94.8</v>
      </c>
      <c r="BR320" t="s">
        <v>605</v>
      </c>
      <c r="BS320" t="s">
        <v>611</v>
      </c>
      <c r="BT320">
        <v>0.16339999999999999</v>
      </c>
      <c r="BU320" t="s">
        <v>1213</v>
      </c>
      <c r="BV320">
        <v>0</v>
      </c>
      <c r="BW320" t="s">
        <v>611</v>
      </c>
      <c r="BX320">
        <v>0.16339999999999999</v>
      </c>
      <c r="BY320" t="s">
        <v>1213</v>
      </c>
      <c r="BZ320" t="s">
        <v>3117</v>
      </c>
      <c r="CA320" t="s">
        <v>2797</v>
      </c>
    </row>
    <row r="321" spans="1:79" x14ac:dyDescent="0.2">
      <c r="A321" t="s">
        <v>1093</v>
      </c>
      <c r="B321" t="s">
        <v>3118</v>
      </c>
      <c r="C321" t="s">
        <v>1077</v>
      </c>
      <c r="D321" t="s">
        <v>457</v>
      </c>
      <c r="E321" t="s">
        <v>1202</v>
      </c>
      <c r="F321" t="s">
        <v>3119</v>
      </c>
      <c r="G321" t="s">
        <v>1367</v>
      </c>
      <c r="H321" t="s">
        <v>3120</v>
      </c>
      <c r="I321" t="s">
        <v>3121</v>
      </c>
      <c r="J321" t="s">
        <v>1241</v>
      </c>
      <c r="N321" t="s">
        <v>1235</v>
      </c>
      <c r="O321" t="s">
        <v>272</v>
      </c>
      <c r="P321" t="s">
        <v>3122</v>
      </c>
      <c r="Q321">
        <v>0</v>
      </c>
      <c r="R321" t="s">
        <v>1211</v>
      </c>
      <c r="S321">
        <v>0</v>
      </c>
      <c r="X321">
        <v>0</v>
      </c>
      <c r="AF321" t="s">
        <v>605</v>
      </c>
      <c r="AH321">
        <v>0</v>
      </c>
      <c r="BP321">
        <v>0</v>
      </c>
      <c r="BQ321" s="772">
        <v>0</v>
      </c>
      <c r="BR321" t="s">
        <v>1213</v>
      </c>
      <c r="BS321" t="s">
        <v>1213</v>
      </c>
      <c r="BT321">
        <v>0</v>
      </c>
      <c r="BU321" t="s">
        <v>1213</v>
      </c>
      <c r="BV321">
        <v>0</v>
      </c>
      <c r="BW321" t="s">
        <v>1213</v>
      </c>
      <c r="BX321">
        <v>0</v>
      </c>
      <c r="BY321" t="s">
        <v>1213</v>
      </c>
      <c r="BZ321" t="s">
        <v>3123</v>
      </c>
    </row>
    <row r="322" spans="1:79" x14ac:dyDescent="0.2">
      <c r="A322" t="s">
        <v>1093</v>
      </c>
      <c r="B322" t="s">
        <v>3124</v>
      </c>
      <c r="C322" t="s">
        <v>1077</v>
      </c>
      <c r="D322" t="s">
        <v>457</v>
      </c>
      <c r="E322" t="s">
        <v>1202</v>
      </c>
      <c r="F322" t="s">
        <v>3119</v>
      </c>
      <c r="G322" t="s">
        <v>1374</v>
      </c>
      <c r="H322" t="s">
        <v>3125</v>
      </c>
      <c r="I322" t="s">
        <v>3126</v>
      </c>
      <c r="J322" t="s">
        <v>1219</v>
      </c>
      <c r="K322" t="s">
        <v>1563</v>
      </c>
      <c r="M322" t="s">
        <v>606</v>
      </c>
      <c r="N322" t="s">
        <v>1235</v>
      </c>
      <c r="O322" t="s">
        <v>1410</v>
      </c>
      <c r="P322" t="s">
        <v>3127</v>
      </c>
      <c r="Q322" t="s">
        <v>1212</v>
      </c>
      <c r="S322" t="s">
        <v>3128</v>
      </c>
      <c r="T322" t="s">
        <v>3128</v>
      </c>
      <c r="U322" t="s">
        <v>3128</v>
      </c>
      <c r="V322" t="s">
        <v>3128</v>
      </c>
      <c r="W322" t="s">
        <v>3128</v>
      </c>
      <c r="X322" t="s">
        <v>3128</v>
      </c>
      <c r="AF322" t="s">
        <v>605</v>
      </c>
      <c r="AH322">
        <v>0</v>
      </c>
      <c r="AM322" t="s">
        <v>605</v>
      </c>
      <c r="AN322" t="s">
        <v>3129</v>
      </c>
      <c r="AO322" t="s">
        <v>3129</v>
      </c>
      <c r="AP322" t="s">
        <v>3129</v>
      </c>
      <c r="AQ322" t="s">
        <v>3129</v>
      </c>
      <c r="AR322" t="s">
        <v>3129</v>
      </c>
      <c r="AS322" t="s">
        <v>3128</v>
      </c>
      <c r="AT322" t="s">
        <v>3128</v>
      </c>
      <c r="AU322" t="s">
        <v>3128</v>
      </c>
      <c r="AV322" t="s">
        <v>3128</v>
      </c>
      <c r="AW322" t="s">
        <v>3128</v>
      </c>
      <c r="BH322">
        <v>1.054</v>
      </c>
      <c r="BN322">
        <v>1</v>
      </c>
      <c r="BO322" t="s">
        <v>1212</v>
      </c>
      <c r="BP322" t="s">
        <v>3130</v>
      </c>
      <c r="BQ322" s="771" t="s">
        <v>3130</v>
      </c>
      <c r="BR322" t="s">
        <v>605</v>
      </c>
      <c r="BS322" t="s">
        <v>1213</v>
      </c>
      <c r="BT322">
        <v>0</v>
      </c>
      <c r="BU322" t="s">
        <v>1213</v>
      </c>
      <c r="BV322">
        <v>0</v>
      </c>
      <c r="BW322" t="s">
        <v>1213</v>
      </c>
      <c r="BX322">
        <v>0</v>
      </c>
      <c r="BY322" t="s">
        <v>1213</v>
      </c>
      <c r="BZ322" t="s">
        <v>3131</v>
      </c>
      <c r="CA322" t="s">
        <v>3132</v>
      </c>
    </row>
    <row r="323" spans="1:79" x14ac:dyDescent="0.2">
      <c r="A323" t="s">
        <v>1093</v>
      </c>
      <c r="B323" t="s">
        <v>3133</v>
      </c>
      <c r="C323" t="s">
        <v>1077</v>
      </c>
      <c r="D323" t="s">
        <v>457</v>
      </c>
      <c r="E323" t="s">
        <v>1202</v>
      </c>
      <c r="F323" t="s">
        <v>3119</v>
      </c>
      <c r="G323" t="s">
        <v>3134</v>
      </c>
      <c r="H323" t="s">
        <v>3135</v>
      </c>
      <c r="I323" t="s">
        <v>3136</v>
      </c>
      <c r="J323" t="s">
        <v>1241</v>
      </c>
      <c r="N323" t="s">
        <v>2812</v>
      </c>
      <c r="O323" t="s">
        <v>272</v>
      </c>
      <c r="P323" t="s">
        <v>3137</v>
      </c>
      <c r="Q323">
        <v>0</v>
      </c>
      <c r="R323" t="s">
        <v>1251</v>
      </c>
      <c r="S323">
        <v>4942</v>
      </c>
      <c r="X323">
        <v>8154</v>
      </c>
      <c r="AF323" t="s">
        <v>605</v>
      </c>
      <c r="AH323">
        <v>0</v>
      </c>
      <c r="BP323">
        <v>4942</v>
      </c>
      <c r="BQ323" s="772">
        <v>5673</v>
      </c>
      <c r="BR323" t="s">
        <v>1213</v>
      </c>
      <c r="BS323" t="s">
        <v>1213</v>
      </c>
      <c r="BT323">
        <v>0</v>
      </c>
      <c r="BU323" t="s">
        <v>1213</v>
      </c>
      <c r="BV323">
        <v>0</v>
      </c>
      <c r="BW323" t="s">
        <v>1213</v>
      </c>
      <c r="BX323">
        <v>0</v>
      </c>
      <c r="BY323" t="s">
        <v>1213</v>
      </c>
      <c r="BZ323" t="s">
        <v>3138</v>
      </c>
    </row>
    <row r="324" spans="1:79" x14ac:dyDescent="0.2">
      <c r="A324" t="s">
        <v>1093</v>
      </c>
      <c r="B324" t="s">
        <v>3139</v>
      </c>
      <c r="C324" t="s">
        <v>1077</v>
      </c>
      <c r="D324" t="s">
        <v>457</v>
      </c>
      <c r="E324" t="s">
        <v>1202</v>
      </c>
      <c r="F324" t="s">
        <v>3119</v>
      </c>
      <c r="G324" t="s">
        <v>3140</v>
      </c>
      <c r="H324" t="s">
        <v>3141</v>
      </c>
      <c r="I324" t="s">
        <v>3142</v>
      </c>
      <c r="J324" t="s">
        <v>1241</v>
      </c>
      <c r="N324" t="s">
        <v>2812</v>
      </c>
      <c r="O324" t="s">
        <v>272</v>
      </c>
      <c r="P324" t="s">
        <v>3143</v>
      </c>
      <c r="Q324">
        <v>0</v>
      </c>
      <c r="R324" t="s">
        <v>1251</v>
      </c>
      <c r="S324">
        <v>650</v>
      </c>
      <c r="X324">
        <v>1400</v>
      </c>
      <c r="AF324" t="s">
        <v>605</v>
      </c>
      <c r="AH324">
        <v>0</v>
      </c>
      <c r="BP324">
        <v>743</v>
      </c>
      <c r="BQ324" s="772">
        <v>849</v>
      </c>
      <c r="BR324" t="s">
        <v>1213</v>
      </c>
      <c r="BS324" t="s">
        <v>1213</v>
      </c>
      <c r="BT324">
        <v>0</v>
      </c>
      <c r="BU324" t="s">
        <v>1213</v>
      </c>
      <c r="BV324">
        <v>0</v>
      </c>
      <c r="BW324" t="s">
        <v>1213</v>
      </c>
      <c r="BX324">
        <v>0</v>
      </c>
      <c r="BY324" t="s">
        <v>1213</v>
      </c>
      <c r="BZ324" t="s">
        <v>3144</v>
      </c>
    </row>
    <row r="325" spans="1:79" x14ac:dyDescent="0.2">
      <c r="A325" t="s">
        <v>1093</v>
      </c>
      <c r="B325" t="s">
        <v>3145</v>
      </c>
      <c r="C325" t="s">
        <v>1077</v>
      </c>
      <c r="D325" t="s">
        <v>457</v>
      </c>
      <c r="E325" t="s">
        <v>1202</v>
      </c>
      <c r="F325" t="s">
        <v>3119</v>
      </c>
      <c r="G325" t="s">
        <v>3146</v>
      </c>
      <c r="H325" t="s">
        <v>3147</v>
      </c>
      <c r="I325" t="s">
        <v>3148</v>
      </c>
      <c r="J325" t="s">
        <v>1219</v>
      </c>
      <c r="K325" t="s">
        <v>1208</v>
      </c>
      <c r="L325" t="s">
        <v>605</v>
      </c>
      <c r="N325" t="s">
        <v>1468</v>
      </c>
      <c r="O325" t="s">
        <v>272</v>
      </c>
      <c r="P325" t="s">
        <v>2646</v>
      </c>
      <c r="Q325">
        <v>0</v>
      </c>
      <c r="R325" t="s">
        <v>1211</v>
      </c>
      <c r="S325">
        <v>0</v>
      </c>
      <c r="T325">
        <v>0</v>
      </c>
      <c r="U325">
        <v>0</v>
      </c>
      <c r="V325">
        <v>0</v>
      </c>
      <c r="W325">
        <v>0</v>
      </c>
      <c r="X325">
        <v>0</v>
      </c>
      <c r="AE325" t="s">
        <v>605</v>
      </c>
      <c r="AH325">
        <v>0</v>
      </c>
      <c r="AI325" t="s">
        <v>605</v>
      </c>
      <c r="AJ325" t="s">
        <v>605</v>
      </c>
      <c r="AK325" t="s">
        <v>605</v>
      </c>
      <c r="AL325" t="s">
        <v>605</v>
      </c>
      <c r="AM325" t="s">
        <v>605</v>
      </c>
      <c r="AN325">
        <v>2</v>
      </c>
      <c r="AO325">
        <v>2</v>
      </c>
      <c r="AP325">
        <v>2</v>
      </c>
      <c r="AQ325">
        <v>2</v>
      </c>
      <c r="AR325">
        <v>2</v>
      </c>
      <c r="AS325">
        <v>0</v>
      </c>
      <c r="AT325">
        <v>0</v>
      </c>
      <c r="AU325">
        <v>0</v>
      </c>
      <c r="AV325">
        <v>0</v>
      </c>
      <c r="AW325">
        <v>0</v>
      </c>
      <c r="BH325">
        <v>0.35599999999999998</v>
      </c>
      <c r="BN325">
        <v>1</v>
      </c>
      <c r="BO325" t="s">
        <v>1212</v>
      </c>
      <c r="BP325">
        <v>0</v>
      </c>
      <c r="BQ325" s="772">
        <v>0</v>
      </c>
      <c r="BR325" t="s">
        <v>605</v>
      </c>
      <c r="BS325" t="s">
        <v>1213</v>
      </c>
      <c r="BT325">
        <v>0</v>
      </c>
      <c r="BU325" t="s">
        <v>1213</v>
      </c>
      <c r="BV325">
        <v>0</v>
      </c>
      <c r="BW325" t="s">
        <v>607</v>
      </c>
      <c r="BX325">
        <v>0</v>
      </c>
      <c r="BY325" t="s">
        <v>1213</v>
      </c>
      <c r="BZ325" t="s">
        <v>3149</v>
      </c>
      <c r="CA325" t="s">
        <v>2797</v>
      </c>
    </row>
    <row r="326" spans="1:79" x14ac:dyDescent="0.2">
      <c r="A326" t="s">
        <v>1093</v>
      </c>
      <c r="B326" t="s">
        <v>3150</v>
      </c>
      <c r="C326" t="s">
        <v>1077</v>
      </c>
      <c r="D326" t="s">
        <v>457</v>
      </c>
      <c r="E326" t="s">
        <v>1202</v>
      </c>
      <c r="F326" t="s">
        <v>3119</v>
      </c>
      <c r="G326" t="s">
        <v>3151</v>
      </c>
      <c r="H326" t="s">
        <v>3152</v>
      </c>
      <c r="I326" t="s">
        <v>3153</v>
      </c>
      <c r="J326" t="s">
        <v>1219</v>
      </c>
      <c r="K326" t="s">
        <v>1208</v>
      </c>
      <c r="L326" t="s">
        <v>605</v>
      </c>
      <c r="N326" t="s">
        <v>1468</v>
      </c>
      <c r="O326" t="s">
        <v>272</v>
      </c>
      <c r="P326" t="s">
        <v>3154</v>
      </c>
      <c r="Q326">
        <v>0</v>
      </c>
      <c r="R326" t="s">
        <v>1211</v>
      </c>
      <c r="S326">
        <v>2</v>
      </c>
      <c r="T326">
        <v>2</v>
      </c>
      <c r="U326">
        <v>2</v>
      </c>
      <c r="V326">
        <v>2</v>
      </c>
      <c r="W326">
        <v>2</v>
      </c>
      <c r="X326">
        <v>2</v>
      </c>
      <c r="AE326" t="s">
        <v>605</v>
      </c>
      <c r="AH326">
        <v>0</v>
      </c>
      <c r="AI326" t="s">
        <v>605</v>
      </c>
      <c r="AJ326" t="s">
        <v>605</v>
      </c>
      <c r="AK326" t="s">
        <v>605</v>
      </c>
      <c r="AL326" t="s">
        <v>605</v>
      </c>
      <c r="AM326" t="s">
        <v>605</v>
      </c>
      <c r="AN326">
        <v>4</v>
      </c>
      <c r="AO326">
        <v>4</v>
      </c>
      <c r="AP326">
        <v>4</v>
      </c>
      <c r="AQ326">
        <v>4</v>
      </c>
      <c r="AR326">
        <v>4</v>
      </c>
      <c r="AS326">
        <v>2</v>
      </c>
      <c r="AT326">
        <v>2</v>
      </c>
      <c r="AU326">
        <v>2</v>
      </c>
      <c r="AV326">
        <v>2</v>
      </c>
      <c r="AW326">
        <v>2</v>
      </c>
      <c r="BH326">
        <v>1.0999999999999999E-2</v>
      </c>
      <c r="BN326">
        <v>1</v>
      </c>
      <c r="BO326" t="s">
        <v>1212</v>
      </c>
      <c r="BP326">
        <v>3</v>
      </c>
      <c r="BQ326" s="772">
        <v>5</v>
      </c>
      <c r="BR326" t="s">
        <v>606</v>
      </c>
      <c r="BS326" t="s">
        <v>1107</v>
      </c>
      <c r="BT326">
        <v>-2.1999999999999999E-2</v>
      </c>
      <c r="BU326" t="s">
        <v>1213</v>
      </c>
      <c r="BV326">
        <v>0</v>
      </c>
      <c r="BW326" t="s">
        <v>1107</v>
      </c>
      <c r="BX326">
        <v>-2.1999999999999999E-2</v>
      </c>
      <c r="BY326" t="s">
        <v>1213</v>
      </c>
      <c r="BZ326" t="s">
        <v>3155</v>
      </c>
      <c r="CA326" t="s">
        <v>2797</v>
      </c>
    </row>
    <row r="327" spans="1:79" x14ac:dyDescent="0.2">
      <c r="A327" t="s">
        <v>1093</v>
      </c>
      <c r="B327" t="s">
        <v>3156</v>
      </c>
      <c r="C327" t="s">
        <v>1077</v>
      </c>
      <c r="D327" t="s">
        <v>457</v>
      </c>
      <c r="E327" t="s">
        <v>1202</v>
      </c>
      <c r="F327" t="s">
        <v>3119</v>
      </c>
      <c r="G327" t="s">
        <v>3157</v>
      </c>
      <c r="H327" t="s">
        <v>3158</v>
      </c>
      <c r="I327" t="s">
        <v>3159</v>
      </c>
      <c r="J327" t="s">
        <v>1241</v>
      </c>
      <c r="N327" t="s">
        <v>1386</v>
      </c>
      <c r="O327" t="s">
        <v>272</v>
      </c>
      <c r="P327" t="s">
        <v>1904</v>
      </c>
      <c r="Q327">
        <v>1</v>
      </c>
      <c r="R327" t="s">
        <v>1211</v>
      </c>
      <c r="S327">
        <v>49.5</v>
      </c>
      <c r="X327">
        <v>48</v>
      </c>
      <c r="AH327">
        <v>0</v>
      </c>
      <c r="BP327">
        <v>56.7</v>
      </c>
      <c r="BQ327" s="769">
        <v>61.8</v>
      </c>
      <c r="BR327" t="s">
        <v>1213</v>
      </c>
      <c r="BS327" t="s">
        <v>1213</v>
      </c>
      <c r="BT327">
        <v>0</v>
      </c>
      <c r="BU327" t="s">
        <v>1213</v>
      </c>
      <c r="BV327">
        <v>0</v>
      </c>
      <c r="BW327" t="s">
        <v>1213</v>
      </c>
      <c r="BX327">
        <v>0</v>
      </c>
      <c r="BY327" t="s">
        <v>1213</v>
      </c>
      <c r="BZ327" t="s">
        <v>3160</v>
      </c>
    </row>
    <row r="328" spans="1:79" x14ac:dyDescent="0.2">
      <c r="A328" t="s">
        <v>1093</v>
      </c>
      <c r="B328" t="s">
        <v>3161</v>
      </c>
      <c r="C328" t="s">
        <v>1077</v>
      </c>
      <c r="D328" t="s">
        <v>457</v>
      </c>
      <c r="E328" t="s">
        <v>1202</v>
      </c>
      <c r="F328" t="s">
        <v>3119</v>
      </c>
      <c r="G328" t="s">
        <v>3162</v>
      </c>
      <c r="H328" t="s">
        <v>3163</v>
      </c>
      <c r="I328" t="s">
        <v>3164</v>
      </c>
      <c r="J328" t="s">
        <v>1241</v>
      </c>
      <c r="N328" t="s">
        <v>1386</v>
      </c>
      <c r="O328" t="s">
        <v>264</v>
      </c>
      <c r="P328" t="s">
        <v>2624</v>
      </c>
      <c r="Q328">
        <v>2</v>
      </c>
      <c r="R328" t="s">
        <v>1251</v>
      </c>
      <c r="S328">
        <v>8.36</v>
      </c>
      <c r="X328">
        <v>12.2</v>
      </c>
      <c r="AH328">
        <v>0</v>
      </c>
      <c r="BP328">
        <v>5.75</v>
      </c>
      <c r="BQ328" s="773">
        <v>7.14</v>
      </c>
      <c r="BR328" t="s">
        <v>1213</v>
      </c>
      <c r="BS328" t="s">
        <v>1213</v>
      </c>
      <c r="BT328">
        <v>0</v>
      </c>
      <c r="BU328" t="s">
        <v>1213</v>
      </c>
      <c r="BV328">
        <v>0</v>
      </c>
      <c r="BW328" t="s">
        <v>1213</v>
      </c>
      <c r="BX328">
        <v>0</v>
      </c>
      <c r="BY328" t="s">
        <v>1213</v>
      </c>
      <c r="BZ328" t="s">
        <v>3165</v>
      </c>
    </row>
    <row r="329" spans="1:79" x14ac:dyDescent="0.2">
      <c r="A329" t="s">
        <v>1093</v>
      </c>
      <c r="B329" t="s">
        <v>3166</v>
      </c>
      <c r="C329" t="s">
        <v>1077</v>
      </c>
      <c r="D329" t="s">
        <v>457</v>
      </c>
      <c r="E329" t="s">
        <v>1202</v>
      </c>
      <c r="F329" t="s">
        <v>3167</v>
      </c>
      <c r="G329" t="s">
        <v>1383</v>
      </c>
      <c r="H329" t="s">
        <v>3168</v>
      </c>
      <c r="I329" t="s">
        <v>3169</v>
      </c>
      <c r="J329" t="s">
        <v>1219</v>
      </c>
      <c r="K329" t="s">
        <v>1563</v>
      </c>
      <c r="N329" t="s">
        <v>1619</v>
      </c>
      <c r="O329" t="s">
        <v>264</v>
      </c>
      <c r="P329" t="s">
        <v>3170</v>
      </c>
      <c r="Q329">
        <v>1</v>
      </c>
      <c r="R329" t="s">
        <v>1251</v>
      </c>
      <c r="S329">
        <v>79</v>
      </c>
      <c r="T329">
        <v>80.400000000000006</v>
      </c>
      <c r="U329">
        <v>81.599999999999994</v>
      </c>
      <c r="V329">
        <v>82.8</v>
      </c>
      <c r="W329">
        <v>83.8</v>
      </c>
      <c r="X329">
        <v>84.7</v>
      </c>
      <c r="AH329">
        <v>0</v>
      </c>
      <c r="AI329" t="s">
        <v>605</v>
      </c>
      <c r="AJ329" t="s">
        <v>605</v>
      </c>
      <c r="AK329" t="s">
        <v>605</v>
      </c>
      <c r="AL329" t="s">
        <v>605</v>
      </c>
      <c r="AM329" t="s">
        <v>605</v>
      </c>
      <c r="AN329">
        <v>79</v>
      </c>
      <c r="AO329">
        <v>79</v>
      </c>
      <c r="AP329">
        <v>79</v>
      </c>
      <c r="AQ329">
        <v>79</v>
      </c>
      <c r="AR329">
        <v>79</v>
      </c>
      <c r="AS329">
        <v>79.400000000000006</v>
      </c>
      <c r="AT329">
        <v>80.599999999999994</v>
      </c>
      <c r="AU329">
        <v>81.8</v>
      </c>
      <c r="AV329">
        <v>82.8</v>
      </c>
      <c r="AW329">
        <v>83.7</v>
      </c>
      <c r="BH329">
        <v>0.71199999999999997</v>
      </c>
      <c r="BN329">
        <v>1</v>
      </c>
      <c r="BO329" t="s">
        <v>1212</v>
      </c>
      <c r="BP329">
        <v>78.099999999999994</v>
      </c>
      <c r="BQ329" s="769">
        <v>79.099999999999994</v>
      </c>
      <c r="BR329" t="s">
        <v>606</v>
      </c>
      <c r="BS329" t="s">
        <v>1213</v>
      </c>
      <c r="BT329">
        <v>0</v>
      </c>
      <c r="BU329" t="s">
        <v>1107</v>
      </c>
      <c r="BV329">
        <v>-0.21360000000000001</v>
      </c>
      <c r="BW329" t="s">
        <v>1107</v>
      </c>
      <c r="BX329">
        <v>-0.21360000000000001</v>
      </c>
      <c r="BY329" t="s">
        <v>1213</v>
      </c>
      <c r="BZ329" t="s">
        <v>3171</v>
      </c>
      <c r="CA329" t="s">
        <v>3172</v>
      </c>
    </row>
    <row r="330" spans="1:79" x14ac:dyDescent="0.2">
      <c r="A330" t="s">
        <v>1093</v>
      </c>
      <c r="B330" t="s">
        <v>3173</v>
      </c>
      <c r="C330" t="s">
        <v>1077</v>
      </c>
      <c r="D330" t="s">
        <v>458</v>
      </c>
      <c r="E330" t="s">
        <v>1428</v>
      </c>
      <c r="F330" t="s">
        <v>3174</v>
      </c>
      <c r="G330" t="s">
        <v>1914</v>
      </c>
      <c r="H330" t="s">
        <v>3175</v>
      </c>
      <c r="I330" t="s">
        <v>3176</v>
      </c>
      <c r="J330" t="s">
        <v>1207</v>
      </c>
      <c r="K330" t="s">
        <v>1563</v>
      </c>
      <c r="N330" t="s">
        <v>1432</v>
      </c>
      <c r="O330" t="s">
        <v>272</v>
      </c>
      <c r="P330" t="s">
        <v>2594</v>
      </c>
      <c r="Q330">
        <v>0</v>
      </c>
      <c r="R330" t="s">
        <v>1211</v>
      </c>
      <c r="S330">
        <v>157</v>
      </c>
      <c r="T330">
        <v>153</v>
      </c>
      <c r="U330">
        <v>148</v>
      </c>
      <c r="V330">
        <v>144</v>
      </c>
      <c r="W330">
        <v>139</v>
      </c>
      <c r="X330">
        <v>135</v>
      </c>
      <c r="AC330" t="s">
        <v>605</v>
      </c>
      <c r="AE330" t="s">
        <v>605</v>
      </c>
      <c r="AH330">
        <v>0</v>
      </c>
      <c r="AI330" t="s">
        <v>605</v>
      </c>
      <c r="AJ330" t="s">
        <v>605</v>
      </c>
      <c r="AK330" t="s">
        <v>605</v>
      </c>
      <c r="AL330" t="s">
        <v>605</v>
      </c>
      <c r="AM330" t="s">
        <v>605</v>
      </c>
      <c r="AN330">
        <v>212</v>
      </c>
      <c r="AO330">
        <v>212</v>
      </c>
      <c r="AP330">
        <v>212</v>
      </c>
      <c r="AQ330">
        <v>212</v>
      </c>
      <c r="AR330">
        <v>212</v>
      </c>
      <c r="AS330">
        <v>193</v>
      </c>
      <c r="AT330">
        <v>188</v>
      </c>
      <c r="AU330">
        <v>184</v>
      </c>
      <c r="AV330">
        <v>179</v>
      </c>
      <c r="AW330">
        <v>175</v>
      </c>
      <c r="AX330">
        <v>153</v>
      </c>
      <c r="AY330">
        <v>148</v>
      </c>
      <c r="AZ330">
        <v>144</v>
      </c>
      <c r="BA330">
        <v>139</v>
      </c>
      <c r="BB330">
        <v>135</v>
      </c>
      <c r="BC330">
        <v>107</v>
      </c>
      <c r="BD330">
        <v>107</v>
      </c>
      <c r="BE330">
        <v>107</v>
      </c>
      <c r="BF330">
        <v>107</v>
      </c>
      <c r="BG330">
        <v>107</v>
      </c>
      <c r="BH330">
        <v>8.8999999999999996E-2</v>
      </c>
      <c r="BL330">
        <v>6.8000000000000005E-2</v>
      </c>
      <c r="BN330">
        <v>1</v>
      </c>
      <c r="BO330" t="s">
        <v>1212</v>
      </c>
      <c r="BP330">
        <v>182</v>
      </c>
      <c r="BQ330" s="772">
        <v>189</v>
      </c>
      <c r="BR330" t="s">
        <v>606</v>
      </c>
      <c r="BS330" t="s">
        <v>1213</v>
      </c>
      <c r="BT330">
        <v>0</v>
      </c>
      <c r="BU330" t="s">
        <v>607</v>
      </c>
      <c r="BV330">
        <v>0</v>
      </c>
      <c r="BW330" t="s">
        <v>1213</v>
      </c>
      <c r="BX330">
        <v>0</v>
      </c>
      <c r="BY330" t="s">
        <v>1175</v>
      </c>
      <c r="BZ330" t="s">
        <v>3177</v>
      </c>
    </row>
    <row r="331" spans="1:79" x14ac:dyDescent="0.2">
      <c r="A331" t="s">
        <v>1093</v>
      </c>
      <c r="B331" t="s">
        <v>3178</v>
      </c>
      <c r="C331" t="s">
        <v>1077</v>
      </c>
      <c r="D331" t="s">
        <v>458</v>
      </c>
      <c r="E331" t="s">
        <v>1428</v>
      </c>
      <c r="F331" t="s">
        <v>3174</v>
      </c>
      <c r="G331" t="s">
        <v>1429</v>
      </c>
      <c r="H331" t="s">
        <v>3179</v>
      </c>
      <c r="I331" t="s">
        <v>3180</v>
      </c>
      <c r="J331" t="s">
        <v>1207</v>
      </c>
      <c r="K331" t="s">
        <v>1563</v>
      </c>
      <c r="N331" t="s">
        <v>1432</v>
      </c>
      <c r="O331" t="s">
        <v>272</v>
      </c>
      <c r="P331" t="s">
        <v>2600</v>
      </c>
      <c r="Q331">
        <v>0</v>
      </c>
      <c r="R331" t="s">
        <v>1211</v>
      </c>
      <c r="S331">
        <v>3500</v>
      </c>
      <c r="T331">
        <v>3440</v>
      </c>
      <c r="U331">
        <v>3380</v>
      </c>
      <c r="V331">
        <v>3320</v>
      </c>
      <c r="W331">
        <v>3260</v>
      </c>
      <c r="X331">
        <v>3200</v>
      </c>
      <c r="AE331" t="s">
        <v>605</v>
      </c>
      <c r="AH331">
        <v>0</v>
      </c>
      <c r="AI331" t="s">
        <v>605</v>
      </c>
      <c r="AJ331" t="s">
        <v>605</v>
      </c>
      <c r="AK331" t="s">
        <v>605</v>
      </c>
      <c r="AL331" t="s">
        <v>605</v>
      </c>
      <c r="AM331" t="s">
        <v>605</v>
      </c>
      <c r="AN331">
        <v>3800</v>
      </c>
      <c r="AO331">
        <v>3800</v>
      </c>
      <c r="AP331">
        <v>3800</v>
      </c>
      <c r="AQ331">
        <v>3800</v>
      </c>
      <c r="AR331">
        <v>3800</v>
      </c>
      <c r="AS331">
        <v>3490</v>
      </c>
      <c r="AT331">
        <v>3430</v>
      </c>
      <c r="AU331">
        <v>3370</v>
      </c>
      <c r="AV331">
        <v>3310</v>
      </c>
      <c r="AW331">
        <v>3250</v>
      </c>
      <c r="AX331">
        <v>3390</v>
      </c>
      <c r="AY331">
        <v>3330</v>
      </c>
      <c r="AZ331">
        <v>3270</v>
      </c>
      <c r="BA331">
        <v>3210</v>
      </c>
      <c r="BB331">
        <v>3150</v>
      </c>
      <c r="BC331">
        <v>3150</v>
      </c>
      <c r="BD331">
        <v>3150</v>
      </c>
      <c r="BE331">
        <v>3150</v>
      </c>
      <c r="BF331">
        <v>3150</v>
      </c>
      <c r="BG331">
        <v>3150</v>
      </c>
      <c r="BH331">
        <v>1E-3</v>
      </c>
      <c r="BI331">
        <v>4.0000000000000001E-3</v>
      </c>
      <c r="BL331">
        <v>2.3E-3</v>
      </c>
      <c r="BN331">
        <v>1</v>
      </c>
      <c r="BO331" t="s">
        <v>1212</v>
      </c>
      <c r="BP331">
        <v>3179</v>
      </c>
      <c r="BQ331" s="772">
        <v>3702</v>
      </c>
      <c r="BR331" t="s">
        <v>606</v>
      </c>
      <c r="BS331" t="s">
        <v>1213</v>
      </c>
      <c r="BT331">
        <v>0</v>
      </c>
      <c r="BU331" t="s">
        <v>1107</v>
      </c>
      <c r="BV331">
        <v>-0.24199999999999999</v>
      </c>
      <c r="BW331" t="s">
        <v>1107</v>
      </c>
      <c r="BX331">
        <v>-0.24199999999999999</v>
      </c>
      <c r="BY331" t="s">
        <v>1213</v>
      </c>
      <c r="BZ331" t="s">
        <v>3181</v>
      </c>
    </row>
    <row r="332" spans="1:79" x14ac:dyDescent="0.2">
      <c r="A332" t="s">
        <v>1093</v>
      </c>
      <c r="B332" t="s">
        <v>3182</v>
      </c>
      <c r="C332" t="s">
        <v>1077</v>
      </c>
      <c r="D332" t="s">
        <v>458</v>
      </c>
      <c r="E332" t="s">
        <v>1428</v>
      </c>
      <c r="F332" t="s">
        <v>3174</v>
      </c>
      <c r="G332" t="s">
        <v>1436</v>
      </c>
      <c r="H332" t="s">
        <v>3183</v>
      </c>
      <c r="I332" t="s">
        <v>3184</v>
      </c>
      <c r="J332" t="s">
        <v>1207</v>
      </c>
      <c r="K332" t="s">
        <v>1563</v>
      </c>
      <c r="N332" t="s">
        <v>2611</v>
      </c>
      <c r="O332" t="s">
        <v>272</v>
      </c>
      <c r="P332" t="s">
        <v>3185</v>
      </c>
      <c r="Q332">
        <v>0</v>
      </c>
      <c r="R332" t="s">
        <v>1211</v>
      </c>
      <c r="S332">
        <v>410</v>
      </c>
      <c r="T332">
        <v>388</v>
      </c>
      <c r="U332">
        <v>366</v>
      </c>
      <c r="V332">
        <v>344</v>
      </c>
      <c r="W332">
        <v>322</v>
      </c>
      <c r="X332">
        <v>300</v>
      </c>
      <c r="AE332" t="s">
        <v>605</v>
      </c>
      <c r="AH332">
        <v>0</v>
      </c>
      <c r="AI332" t="s">
        <v>605</v>
      </c>
      <c r="AJ332" t="s">
        <v>605</v>
      </c>
      <c r="AK332" t="s">
        <v>605</v>
      </c>
      <c r="AL332" t="s">
        <v>605</v>
      </c>
      <c r="AM332" t="s">
        <v>605</v>
      </c>
      <c r="AN332">
        <v>500</v>
      </c>
      <c r="AO332">
        <v>500</v>
      </c>
      <c r="AP332">
        <v>500</v>
      </c>
      <c r="AQ332">
        <v>500</v>
      </c>
      <c r="AR332">
        <v>500</v>
      </c>
      <c r="AS332">
        <v>388</v>
      </c>
      <c r="AT332">
        <v>366</v>
      </c>
      <c r="AU332">
        <v>344</v>
      </c>
      <c r="AV332">
        <v>322</v>
      </c>
      <c r="AW332">
        <v>300</v>
      </c>
      <c r="AX332">
        <v>388</v>
      </c>
      <c r="AY332">
        <v>366</v>
      </c>
      <c r="AZ332">
        <v>344</v>
      </c>
      <c r="BA332">
        <v>322</v>
      </c>
      <c r="BB332">
        <v>300</v>
      </c>
      <c r="BC332">
        <v>0</v>
      </c>
      <c r="BD332">
        <v>0</v>
      </c>
      <c r="BE332">
        <v>0</v>
      </c>
      <c r="BF332">
        <v>0</v>
      </c>
      <c r="BG332">
        <v>0</v>
      </c>
      <c r="BH332">
        <v>5.3E-3</v>
      </c>
      <c r="BI332">
        <v>3.5999999999999999E-3</v>
      </c>
      <c r="BL332">
        <v>2.2000000000000001E-3</v>
      </c>
      <c r="BN332">
        <v>1</v>
      </c>
      <c r="BO332" t="s">
        <v>1212</v>
      </c>
      <c r="BP332">
        <v>333</v>
      </c>
      <c r="BQ332" s="772">
        <v>230</v>
      </c>
      <c r="BR332" t="s">
        <v>605</v>
      </c>
      <c r="BS332" t="s">
        <v>1213</v>
      </c>
      <c r="BT332">
        <v>0</v>
      </c>
      <c r="BU332" t="s">
        <v>611</v>
      </c>
      <c r="BV332">
        <v>0.34760000000000002</v>
      </c>
      <c r="BW332" t="s">
        <v>611</v>
      </c>
      <c r="BX332">
        <v>0.34760000000000002</v>
      </c>
      <c r="BY332" t="s">
        <v>1213</v>
      </c>
      <c r="BZ332" t="s">
        <v>3186</v>
      </c>
    </row>
    <row r="333" spans="1:79" x14ac:dyDescent="0.2">
      <c r="A333" t="s">
        <v>1093</v>
      </c>
      <c r="B333" t="s">
        <v>3187</v>
      </c>
      <c r="C333" t="s">
        <v>1077</v>
      </c>
      <c r="D333" t="s">
        <v>458</v>
      </c>
      <c r="E333" t="s">
        <v>1428</v>
      </c>
      <c r="F333" t="s">
        <v>3174</v>
      </c>
      <c r="G333" t="s">
        <v>1442</v>
      </c>
      <c r="H333" t="s">
        <v>3188</v>
      </c>
      <c r="I333" t="s">
        <v>3189</v>
      </c>
      <c r="J333" t="s">
        <v>1219</v>
      </c>
      <c r="K333" t="s">
        <v>1563</v>
      </c>
      <c r="M333" t="s">
        <v>606</v>
      </c>
      <c r="N333" t="s">
        <v>1495</v>
      </c>
      <c r="O333" t="s">
        <v>1410</v>
      </c>
      <c r="P333" t="s">
        <v>1564</v>
      </c>
      <c r="Q333" t="s">
        <v>1212</v>
      </c>
      <c r="S333" t="s">
        <v>612</v>
      </c>
      <c r="T333" t="s">
        <v>612</v>
      </c>
      <c r="U333" t="s">
        <v>612</v>
      </c>
      <c r="V333" t="s">
        <v>612</v>
      </c>
      <c r="W333" t="s">
        <v>612</v>
      </c>
      <c r="X333" t="s">
        <v>612</v>
      </c>
      <c r="AE333" t="s">
        <v>605</v>
      </c>
      <c r="AH333">
        <v>6</v>
      </c>
      <c r="AI333" t="s">
        <v>605</v>
      </c>
      <c r="AJ333" t="s">
        <v>605</v>
      </c>
      <c r="AK333" t="s">
        <v>605</v>
      </c>
      <c r="AL333" t="s">
        <v>605</v>
      </c>
      <c r="AM333" t="s">
        <v>605</v>
      </c>
      <c r="AN333" t="s">
        <v>1565</v>
      </c>
      <c r="AO333" t="s">
        <v>1565</v>
      </c>
      <c r="AP333" t="s">
        <v>1565</v>
      </c>
      <c r="AQ333" t="s">
        <v>1565</v>
      </c>
      <c r="AR333" t="s">
        <v>1565</v>
      </c>
      <c r="AS333" t="s">
        <v>1566</v>
      </c>
      <c r="AT333" t="s">
        <v>1566</v>
      </c>
      <c r="AU333" t="s">
        <v>1566</v>
      </c>
      <c r="AV333" t="s">
        <v>1566</v>
      </c>
      <c r="AW333" t="s">
        <v>1566</v>
      </c>
      <c r="BH333">
        <v>0.68799999999999994</v>
      </c>
      <c r="BN333">
        <v>1</v>
      </c>
      <c r="BO333" t="s">
        <v>1212</v>
      </c>
      <c r="BP333" t="s">
        <v>3061</v>
      </c>
      <c r="BQ333" s="783" t="s">
        <v>3061</v>
      </c>
      <c r="BR333" t="s">
        <v>605</v>
      </c>
      <c r="BS333" t="s">
        <v>1213</v>
      </c>
      <c r="BT333">
        <v>0</v>
      </c>
      <c r="BU333" t="s">
        <v>1213</v>
      </c>
      <c r="BV333">
        <v>0</v>
      </c>
      <c r="BW333" t="s">
        <v>1213</v>
      </c>
      <c r="BX333">
        <v>0</v>
      </c>
      <c r="BY333" t="s">
        <v>1213</v>
      </c>
      <c r="BZ333" t="s">
        <v>3190</v>
      </c>
      <c r="CA333" t="s">
        <v>3191</v>
      </c>
    </row>
    <row r="334" spans="1:79" x14ac:dyDescent="0.2">
      <c r="A334" t="s">
        <v>1093</v>
      </c>
      <c r="B334" t="s">
        <v>3192</v>
      </c>
      <c r="C334" t="s">
        <v>1077</v>
      </c>
      <c r="D334" t="s">
        <v>458</v>
      </c>
      <c r="E334" t="s">
        <v>1428</v>
      </c>
      <c r="F334" t="s">
        <v>3174</v>
      </c>
      <c r="G334" t="s">
        <v>2966</v>
      </c>
      <c r="H334" t="s">
        <v>3193</v>
      </c>
      <c r="I334" t="s">
        <v>3194</v>
      </c>
      <c r="J334" t="s">
        <v>1219</v>
      </c>
      <c r="K334" t="s">
        <v>1563</v>
      </c>
      <c r="M334" t="s">
        <v>606</v>
      </c>
      <c r="N334" t="s">
        <v>1495</v>
      </c>
      <c r="O334" t="s">
        <v>1410</v>
      </c>
      <c r="P334" t="s">
        <v>1564</v>
      </c>
      <c r="Q334" t="s">
        <v>1212</v>
      </c>
      <c r="S334" t="s">
        <v>612</v>
      </c>
      <c r="T334" t="s">
        <v>612</v>
      </c>
      <c r="U334" t="s">
        <v>612</v>
      </c>
      <c r="V334" t="s">
        <v>612</v>
      </c>
      <c r="W334" t="s">
        <v>612</v>
      </c>
      <c r="X334" t="s">
        <v>612</v>
      </c>
      <c r="AE334" t="s">
        <v>605</v>
      </c>
      <c r="AH334">
        <v>3</v>
      </c>
      <c r="AI334" t="s">
        <v>605</v>
      </c>
      <c r="AJ334" t="s">
        <v>605</v>
      </c>
      <c r="AK334" t="s">
        <v>605</v>
      </c>
      <c r="AL334" t="s">
        <v>605</v>
      </c>
      <c r="AM334" t="s">
        <v>605</v>
      </c>
      <c r="AN334" t="s">
        <v>1565</v>
      </c>
      <c r="AO334" t="s">
        <v>1565</v>
      </c>
      <c r="AP334" t="s">
        <v>1565</v>
      </c>
      <c r="AQ334" t="s">
        <v>1565</v>
      </c>
      <c r="AR334" t="s">
        <v>1565</v>
      </c>
      <c r="AS334" t="s">
        <v>1566</v>
      </c>
      <c r="AT334" t="s">
        <v>1566</v>
      </c>
      <c r="AU334" t="s">
        <v>1566</v>
      </c>
      <c r="AV334" t="s">
        <v>1566</v>
      </c>
      <c r="AW334" t="s">
        <v>1566</v>
      </c>
      <c r="BH334">
        <v>1.359</v>
      </c>
      <c r="BN334">
        <v>1</v>
      </c>
      <c r="BO334" t="s">
        <v>1212</v>
      </c>
      <c r="BP334" t="s">
        <v>3061</v>
      </c>
      <c r="BQ334" s="783" t="s">
        <v>3061</v>
      </c>
      <c r="BR334" t="s">
        <v>605</v>
      </c>
      <c r="BS334" t="s">
        <v>1213</v>
      </c>
      <c r="BT334">
        <v>0</v>
      </c>
      <c r="BU334" t="s">
        <v>1213</v>
      </c>
      <c r="BV334">
        <v>0</v>
      </c>
      <c r="BW334" t="s">
        <v>1213</v>
      </c>
      <c r="BX334">
        <v>0</v>
      </c>
      <c r="BY334" t="s">
        <v>1213</v>
      </c>
      <c r="BZ334" t="s">
        <v>3195</v>
      </c>
      <c r="CA334" t="s">
        <v>3196</v>
      </c>
    </row>
    <row r="335" spans="1:79" x14ac:dyDescent="0.2">
      <c r="A335" t="s">
        <v>1093</v>
      </c>
      <c r="B335" t="s">
        <v>3197</v>
      </c>
      <c r="C335" t="s">
        <v>1077</v>
      </c>
      <c r="D335" t="s">
        <v>458</v>
      </c>
      <c r="E335" t="s">
        <v>1428</v>
      </c>
      <c r="F335" t="s">
        <v>3174</v>
      </c>
      <c r="G335" t="s">
        <v>3198</v>
      </c>
      <c r="H335" t="s">
        <v>3199</v>
      </c>
      <c r="I335" t="s">
        <v>3200</v>
      </c>
      <c r="J335" t="s">
        <v>1241</v>
      </c>
      <c r="N335" t="s">
        <v>302</v>
      </c>
      <c r="O335" t="s">
        <v>264</v>
      </c>
      <c r="P335" t="s">
        <v>3201</v>
      </c>
      <c r="Q335" t="s">
        <v>1212</v>
      </c>
      <c r="R335" t="s">
        <v>1251</v>
      </c>
      <c r="S335">
        <v>100</v>
      </c>
      <c r="T335">
        <v>100</v>
      </c>
      <c r="U335">
        <v>100</v>
      </c>
      <c r="V335">
        <v>100</v>
      </c>
      <c r="W335">
        <v>100</v>
      </c>
      <c r="X335">
        <v>100</v>
      </c>
      <c r="AH335">
        <v>0</v>
      </c>
      <c r="BP335">
        <v>100</v>
      </c>
      <c r="BQ335" s="772">
        <v>99.94</v>
      </c>
      <c r="BR335" t="s">
        <v>606</v>
      </c>
      <c r="BS335" t="s">
        <v>1213</v>
      </c>
      <c r="BT335">
        <v>0</v>
      </c>
      <c r="BU335" t="s">
        <v>1213</v>
      </c>
      <c r="BV335">
        <v>0</v>
      </c>
      <c r="BW335" t="s">
        <v>1213</v>
      </c>
      <c r="BX335">
        <v>0</v>
      </c>
      <c r="BY335" t="s">
        <v>1213</v>
      </c>
      <c r="BZ335" t="s">
        <v>3202</v>
      </c>
    </row>
    <row r="336" spans="1:79" x14ac:dyDescent="0.2">
      <c r="A336" t="s">
        <v>1093</v>
      </c>
      <c r="B336" t="s">
        <v>3203</v>
      </c>
      <c r="C336" t="s">
        <v>1077</v>
      </c>
      <c r="D336" t="s">
        <v>458</v>
      </c>
      <c r="E336" t="s">
        <v>1428</v>
      </c>
      <c r="F336" t="s">
        <v>3114</v>
      </c>
      <c r="G336" t="s">
        <v>1449</v>
      </c>
      <c r="H336" t="s">
        <v>3204</v>
      </c>
      <c r="I336" t="s">
        <v>3205</v>
      </c>
      <c r="J336" t="s">
        <v>1207</v>
      </c>
      <c r="K336" t="s">
        <v>1208</v>
      </c>
      <c r="L336" t="s">
        <v>605</v>
      </c>
      <c r="N336" t="s">
        <v>1400</v>
      </c>
      <c r="O336" t="s">
        <v>264</v>
      </c>
      <c r="P336" t="s">
        <v>2676</v>
      </c>
      <c r="Q336">
        <v>1</v>
      </c>
      <c r="R336" t="s">
        <v>1251</v>
      </c>
      <c r="S336">
        <v>90</v>
      </c>
      <c r="T336">
        <v>91</v>
      </c>
      <c r="U336">
        <v>92</v>
      </c>
      <c r="V336">
        <v>93</v>
      </c>
      <c r="W336">
        <v>94</v>
      </c>
      <c r="X336">
        <v>95</v>
      </c>
      <c r="AH336">
        <v>0</v>
      </c>
      <c r="AI336" t="s">
        <v>605</v>
      </c>
      <c r="AJ336" t="s">
        <v>605</v>
      </c>
      <c r="AK336" t="s">
        <v>605</v>
      </c>
      <c r="AL336" t="s">
        <v>605</v>
      </c>
      <c r="AM336" t="s">
        <v>605</v>
      </c>
      <c r="AN336">
        <v>75</v>
      </c>
      <c r="AO336">
        <v>75</v>
      </c>
      <c r="AP336">
        <v>75</v>
      </c>
      <c r="AQ336">
        <v>75</v>
      </c>
      <c r="AR336">
        <v>75</v>
      </c>
      <c r="AS336">
        <v>91</v>
      </c>
      <c r="AT336">
        <v>92</v>
      </c>
      <c r="AU336">
        <v>93</v>
      </c>
      <c r="AV336">
        <v>94</v>
      </c>
      <c r="AW336">
        <v>95</v>
      </c>
      <c r="AX336">
        <v>91</v>
      </c>
      <c r="AY336">
        <v>92</v>
      </c>
      <c r="AZ336">
        <v>93</v>
      </c>
      <c r="BA336">
        <v>94</v>
      </c>
      <c r="BB336">
        <v>95</v>
      </c>
      <c r="BC336">
        <v>100</v>
      </c>
      <c r="BD336">
        <v>100</v>
      </c>
      <c r="BE336">
        <v>100</v>
      </c>
      <c r="BF336">
        <v>100</v>
      </c>
      <c r="BG336">
        <v>100</v>
      </c>
      <c r="BH336">
        <v>5.0999999999999997E-2</v>
      </c>
      <c r="BL336">
        <v>4.2000000000000003E-2</v>
      </c>
      <c r="BN336">
        <v>1</v>
      </c>
      <c r="BO336" t="s">
        <v>1212</v>
      </c>
      <c r="BP336">
        <v>87.1</v>
      </c>
      <c r="BQ336" s="769">
        <v>88.2</v>
      </c>
      <c r="BR336" t="s">
        <v>606</v>
      </c>
      <c r="BS336" t="s">
        <v>1107</v>
      </c>
      <c r="BT336">
        <v>-0.14280000000000001</v>
      </c>
      <c r="BU336" t="s">
        <v>1213</v>
      </c>
      <c r="BV336">
        <v>0</v>
      </c>
      <c r="BW336" t="s">
        <v>1107</v>
      </c>
      <c r="BX336">
        <v>-0.14280000000000001</v>
      </c>
      <c r="BY336" t="s">
        <v>1213</v>
      </c>
      <c r="BZ336" t="s">
        <v>3206</v>
      </c>
      <c r="CA336" t="s">
        <v>2797</v>
      </c>
    </row>
    <row r="337" spans="1:79" x14ac:dyDescent="0.2">
      <c r="A337" t="s">
        <v>1093</v>
      </c>
      <c r="B337" t="s">
        <v>3207</v>
      </c>
      <c r="C337" t="s">
        <v>1077</v>
      </c>
      <c r="D337" t="s">
        <v>458</v>
      </c>
      <c r="E337" t="s">
        <v>1428</v>
      </c>
      <c r="F337" t="s">
        <v>3119</v>
      </c>
      <c r="G337" t="s">
        <v>1454</v>
      </c>
      <c r="H337" t="s">
        <v>3208</v>
      </c>
      <c r="I337" t="s">
        <v>3209</v>
      </c>
      <c r="J337" t="s">
        <v>1219</v>
      </c>
      <c r="K337" t="s">
        <v>1208</v>
      </c>
      <c r="M337" t="s">
        <v>606</v>
      </c>
      <c r="N337" t="s">
        <v>1377</v>
      </c>
      <c r="O337" t="s">
        <v>264</v>
      </c>
      <c r="P337" t="s">
        <v>3210</v>
      </c>
      <c r="Q337">
        <v>1</v>
      </c>
      <c r="R337" t="s">
        <v>1251</v>
      </c>
      <c r="S337">
        <v>97.5</v>
      </c>
      <c r="T337">
        <v>98</v>
      </c>
      <c r="V337">
        <v>99</v>
      </c>
      <c r="X337">
        <v>100</v>
      </c>
      <c r="AE337" t="s">
        <v>605</v>
      </c>
      <c r="AH337">
        <v>0</v>
      </c>
      <c r="AM337" t="s">
        <v>605</v>
      </c>
      <c r="AR337">
        <v>80</v>
      </c>
      <c r="AW337">
        <v>99</v>
      </c>
      <c r="BH337">
        <v>1.4E-2</v>
      </c>
      <c r="BI337">
        <v>0.29599999999999999</v>
      </c>
      <c r="BN337">
        <v>1</v>
      </c>
      <c r="BO337" t="s">
        <v>1212</v>
      </c>
      <c r="BP337">
        <v>96.1</v>
      </c>
      <c r="BQ337" s="769">
        <v>95.8</v>
      </c>
      <c r="BR337" t="s">
        <v>606</v>
      </c>
      <c r="BS337" t="s">
        <v>1213</v>
      </c>
      <c r="BT337">
        <v>0</v>
      </c>
      <c r="BU337" t="s">
        <v>1213</v>
      </c>
      <c r="BV337">
        <v>0</v>
      </c>
      <c r="BW337" t="s">
        <v>1213</v>
      </c>
      <c r="BX337">
        <v>0</v>
      </c>
      <c r="BY337" t="s">
        <v>1213</v>
      </c>
      <c r="BZ337" t="s">
        <v>3211</v>
      </c>
      <c r="CA337" t="s">
        <v>3212</v>
      </c>
    </row>
    <row r="338" spans="1:79" x14ac:dyDescent="0.2">
      <c r="A338" t="s">
        <v>1093</v>
      </c>
      <c r="B338" t="s">
        <v>3213</v>
      </c>
      <c r="C338" t="s">
        <v>1077</v>
      </c>
      <c r="D338" t="s">
        <v>458</v>
      </c>
      <c r="E338" t="s">
        <v>1428</v>
      </c>
      <c r="F338" t="s">
        <v>3119</v>
      </c>
      <c r="G338" t="s">
        <v>1460</v>
      </c>
      <c r="H338" t="s">
        <v>3214</v>
      </c>
      <c r="I338" t="s">
        <v>3215</v>
      </c>
      <c r="J338" t="s">
        <v>1241</v>
      </c>
      <c r="N338" t="s">
        <v>1377</v>
      </c>
      <c r="O338" t="s">
        <v>264</v>
      </c>
      <c r="P338" t="s">
        <v>3216</v>
      </c>
      <c r="Q338">
        <v>1</v>
      </c>
      <c r="R338" t="s">
        <v>1251</v>
      </c>
      <c r="S338">
        <v>99.9</v>
      </c>
      <c r="X338">
        <v>100</v>
      </c>
      <c r="AE338" t="s">
        <v>605</v>
      </c>
      <c r="AH338">
        <v>0</v>
      </c>
      <c r="BP338">
        <v>99.2</v>
      </c>
      <c r="BQ338" s="769">
        <v>99.13</v>
      </c>
      <c r="BR338" t="s">
        <v>1213</v>
      </c>
      <c r="BS338" t="s">
        <v>1213</v>
      </c>
      <c r="BT338">
        <v>0</v>
      </c>
      <c r="BU338" t="s">
        <v>1213</v>
      </c>
      <c r="BV338">
        <v>0</v>
      </c>
      <c r="BW338" t="s">
        <v>1213</v>
      </c>
      <c r="BX338">
        <v>0</v>
      </c>
      <c r="BY338" t="s">
        <v>1213</v>
      </c>
      <c r="BZ338" t="s">
        <v>3217</v>
      </c>
    </row>
    <row r="339" spans="1:79" x14ac:dyDescent="0.2">
      <c r="A339" t="s">
        <v>1093</v>
      </c>
      <c r="B339" t="s">
        <v>3218</v>
      </c>
      <c r="C339" t="s">
        <v>1077</v>
      </c>
      <c r="D339" t="s">
        <v>458</v>
      </c>
      <c r="E339" t="s">
        <v>1428</v>
      </c>
      <c r="F339" t="s">
        <v>3119</v>
      </c>
      <c r="G339" t="s">
        <v>1465</v>
      </c>
      <c r="H339" t="s">
        <v>3219</v>
      </c>
      <c r="I339" t="s">
        <v>3220</v>
      </c>
      <c r="J339" t="s">
        <v>1219</v>
      </c>
      <c r="K339" t="s">
        <v>1208</v>
      </c>
      <c r="L339" t="s">
        <v>605</v>
      </c>
      <c r="M339" t="s">
        <v>606</v>
      </c>
      <c r="N339" t="s">
        <v>1377</v>
      </c>
      <c r="O339" t="s">
        <v>264</v>
      </c>
      <c r="P339" t="s">
        <v>3221</v>
      </c>
      <c r="Q339">
        <v>1</v>
      </c>
      <c r="R339" t="s">
        <v>1251</v>
      </c>
      <c r="S339">
        <v>95</v>
      </c>
      <c r="T339">
        <v>100</v>
      </c>
      <c r="U339">
        <v>100</v>
      </c>
      <c r="V339">
        <v>100</v>
      </c>
      <c r="W339">
        <v>100</v>
      </c>
      <c r="X339">
        <v>100</v>
      </c>
      <c r="AE339" t="s">
        <v>605</v>
      </c>
      <c r="AH339">
        <v>0</v>
      </c>
      <c r="AI339" t="s">
        <v>605</v>
      </c>
      <c r="AJ339" t="s">
        <v>605</v>
      </c>
      <c r="AK339" t="s">
        <v>605</v>
      </c>
      <c r="AL339" t="s">
        <v>605</v>
      </c>
      <c r="AM339" t="s">
        <v>605</v>
      </c>
      <c r="AN339" t="s">
        <v>3222</v>
      </c>
      <c r="AO339" t="s">
        <v>3222</v>
      </c>
      <c r="AP339" t="s">
        <v>3222</v>
      </c>
      <c r="AQ339" t="s">
        <v>3222</v>
      </c>
      <c r="AR339" t="s">
        <v>3222</v>
      </c>
      <c r="AS339">
        <v>95</v>
      </c>
      <c r="AT339">
        <v>95</v>
      </c>
      <c r="AU339">
        <v>95</v>
      </c>
      <c r="AV339">
        <v>95</v>
      </c>
      <c r="AW339">
        <v>95</v>
      </c>
      <c r="BH339">
        <v>0.25</v>
      </c>
      <c r="BN339">
        <v>1</v>
      </c>
      <c r="BO339" t="s">
        <v>1212</v>
      </c>
      <c r="BP339">
        <v>91.4</v>
      </c>
      <c r="BQ339" s="769">
        <v>99.09</v>
      </c>
      <c r="BR339" t="s">
        <v>606</v>
      </c>
      <c r="BS339" t="s">
        <v>607</v>
      </c>
      <c r="BT339">
        <v>0</v>
      </c>
      <c r="BU339" t="s">
        <v>1213</v>
      </c>
      <c r="BV339">
        <v>0</v>
      </c>
      <c r="BW339" t="s">
        <v>1213</v>
      </c>
      <c r="BX339">
        <v>0</v>
      </c>
      <c r="BY339" t="s">
        <v>1213</v>
      </c>
      <c r="BZ339" t="s">
        <v>3223</v>
      </c>
      <c r="CA339" t="s">
        <v>2797</v>
      </c>
    </row>
    <row r="340" spans="1:79" x14ac:dyDescent="0.2">
      <c r="A340" t="s">
        <v>1093</v>
      </c>
      <c r="B340" t="s">
        <v>3224</v>
      </c>
      <c r="C340" t="s">
        <v>1077</v>
      </c>
      <c r="D340" t="s">
        <v>458</v>
      </c>
      <c r="E340" t="s">
        <v>1428</v>
      </c>
      <c r="F340" t="s">
        <v>3119</v>
      </c>
      <c r="G340" t="s">
        <v>1472</v>
      </c>
      <c r="H340" t="s">
        <v>3225</v>
      </c>
      <c r="I340" t="s">
        <v>3226</v>
      </c>
      <c r="J340" t="s">
        <v>1219</v>
      </c>
      <c r="K340" t="s">
        <v>1208</v>
      </c>
      <c r="L340" t="s">
        <v>605</v>
      </c>
      <c r="N340" t="s">
        <v>1468</v>
      </c>
      <c r="O340" t="s">
        <v>272</v>
      </c>
      <c r="P340" t="s">
        <v>2646</v>
      </c>
      <c r="Q340">
        <v>0</v>
      </c>
      <c r="R340" t="s">
        <v>1211</v>
      </c>
      <c r="S340">
        <v>2</v>
      </c>
      <c r="T340">
        <v>0</v>
      </c>
      <c r="U340">
        <v>0</v>
      </c>
      <c r="V340">
        <v>0</v>
      </c>
      <c r="W340">
        <v>0</v>
      </c>
      <c r="X340">
        <v>0</v>
      </c>
      <c r="AE340" t="s">
        <v>605</v>
      </c>
      <c r="AH340">
        <v>0</v>
      </c>
      <c r="AI340" t="s">
        <v>605</v>
      </c>
      <c r="AJ340" t="s">
        <v>605</v>
      </c>
      <c r="AK340" t="s">
        <v>605</v>
      </c>
      <c r="AL340" t="s">
        <v>605</v>
      </c>
      <c r="AM340" t="s">
        <v>605</v>
      </c>
      <c r="AN340">
        <v>8</v>
      </c>
      <c r="AO340">
        <v>8</v>
      </c>
      <c r="AP340">
        <v>8</v>
      </c>
      <c r="AQ340">
        <v>8</v>
      </c>
      <c r="AR340">
        <v>8</v>
      </c>
      <c r="AS340">
        <v>2</v>
      </c>
      <c r="AT340">
        <v>2</v>
      </c>
      <c r="AU340">
        <v>2</v>
      </c>
      <c r="AV340">
        <v>2</v>
      </c>
      <c r="AW340">
        <v>2</v>
      </c>
      <c r="BH340">
        <v>0.34599999999999997</v>
      </c>
      <c r="BN340">
        <v>1</v>
      </c>
      <c r="BO340" t="s">
        <v>1212</v>
      </c>
      <c r="BP340">
        <v>3</v>
      </c>
      <c r="BQ340" s="772">
        <v>7</v>
      </c>
      <c r="BR340" t="s">
        <v>606</v>
      </c>
      <c r="BS340" t="s">
        <v>1107</v>
      </c>
      <c r="BT340">
        <v>-1.73</v>
      </c>
      <c r="BU340" t="s">
        <v>1213</v>
      </c>
      <c r="BV340">
        <v>0</v>
      </c>
      <c r="BW340" t="s">
        <v>1107</v>
      </c>
      <c r="BX340">
        <v>-1.73</v>
      </c>
      <c r="BY340" t="s">
        <v>1213</v>
      </c>
      <c r="BZ340" t="s">
        <v>3227</v>
      </c>
      <c r="CA340" t="s">
        <v>2797</v>
      </c>
    </row>
    <row r="341" spans="1:79" x14ac:dyDescent="0.2">
      <c r="A341" t="s">
        <v>1093</v>
      </c>
      <c r="B341" t="s">
        <v>3228</v>
      </c>
      <c r="C341" t="s">
        <v>1077</v>
      </c>
      <c r="D341" t="s">
        <v>458</v>
      </c>
      <c r="E341" t="s">
        <v>1428</v>
      </c>
      <c r="F341" t="s">
        <v>3119</v>
      </c>
      <c r="G341" t="s">
        <v>2993</v>
      </c>
      <c r="H341" t="s">
        <v>3229</v>
      </c>
      <c r="I341" t="s">
        <v>3230</v>
      </c>
      <c r="J341" t="s">
        <v>1219</v>
      </c>
      <c r="K341" t="s">
        <v>1208</v>
      </c>
      <c r="L341" t="s">
        <v>605</v>
      </c>
      <c r="M341" t="s">
        <v>606</v>
      </c>
      <c r="N341" t="s">
        <v>1468</v>
      </c>
      <c r="O341" t="s">
        <v>272</v>
      </c>
      <c r="P341" t="s">
        <v>3154</v>
      </c>
      <c r="Q341">
        <v>0</v>
      </c>
      <c r="R341" t="s">
        <v>1211</v>
      </c>
      <c r="S341">
        <v>248</v>
      </c>
      <c r="T341">
        <v>238</v>
      </c>
      <c r="U341">
        <v>228</v>
      </c>
      <c r="V341">
        <v>218</v>
      </c>
      <c r="W341">
        <v>208</v>
      </c>
      <c r="X341">
        <v>198</v>
      </c>
      <c r="AE341" t="s">
        <v>605</v>
      </c>
      <c r="AH341">
        <v>0</v>
      </c>
      <c r="AI341" t="s">
        <v>605</v>
      </c>
      <c r="AJ341" t="s">
        <v>605</v>
      </c>
      <c r="AK341" t="s">
        <v>605</v>
      </c>
      <c r="AL341" t="s">
        <v>605</v>
      </c>
      <c r="AM341" t="s">
        <v>605</v>
      </c>
      <c r="AN341">
        <v>262</v>
      </c>
      <c r="AO341">
        <v>262</v>
      </c>
      <c r="AP341">
        <v>262</v>
      </c>
      <c r="AQ341">
        <v>262</v>
      </c>
      <c r="AR341">
        <v>262</v>
      </c>
      <c r="AS341">
        <v>238</v>
      </c>
      <c r="AT341">
        <v>228</v>
      </c>
      <c r="AU341">
        <v>218</v>
      </c>
      <c r="AV341">
        <v>208</v>
      </c>
      <c r="AW341">
        <v>198</v>
      </c>
      <c r="BH341">
        <v>1.03E-2</v>
      </c>
      <c r="BI341">
        <v>1.9300000000000001E-2</v>
      </c>
      <c r="BN341">
        <v>1</v>
      </c>
      <c r="BO341" t="s">
        <v>1212</v>
      </c>
      <c r="BP341">
        <v>315</v>
      </c>
      <c r="BQ341" s="772">
        <v>222</v>
      </c>
      <c r="BR341" t="s">
        <v>605</v>
      </c>
      <c r="BS341" t="s">
        <v>1213</v>
      </c>
      <c r="BT341">
        <v>0</v>
      </c>
      <c r="BU341" t="s">
        <v>1213</v>
      </c>
      <c r="BV341">
        <v>0</v>
      </c>
      <c r="BW341" t="s">
        <v>607</v>
      </c>
      <c r="BX341">
        <v>0</v>
      </c>
      <c r="BY341" t="s">
        <v>1213</v>
      </c>
      <c r="BZ341" t="s">
        <v>3231</v>
      </c>
      <c r="CA341" t="s">
        <v>2797</v>
      </c>
    </row>
    <row r="342" spans="1:79" x14ac:dyDescent="0.2">
      <c r="A342" t="s">
        <v>1093</v>
      </c>
      <c r="B342" t="s">
        <v>3232</v>
      </c>
      <c r="C342" t="s">
        <v>1077</v>
      </c>
      <c r="D342" t="s">
        <v>458</v>
      </c>
      <c r="E342" t="s">
        <v>1428</v>
      </c>
      <c r="F342" t="s">
        <v>3119</v>
      </c>
      <c r="G342" t="s">
        <v>3000</v>
      </c>
      <c r="H342" t="s">
        <v>3233</v>
      </c>
      <c r="I342" t="s">
        <v>3234</v>
      </c>
      <c r="J342" t="s">
        <v>1241</v>
      </c>
      <c r="N342" t="s">
        <v>1386</v>
      </c>
      <c r="O342" t="s">
        <v>272</v>
      </c>
      <c r="P342" t="s">
        <v>1904</v>
      </c>
      <c r="Q342">
        <v>1</v>
      </c>
      <c r="R342" t="s">
        <v>1211</v>
      </c>
      <c r="S342">
        <v>100.5</v>
      </c>
      <c r="X342">
        <v>102</v>
      </c>
      <c r="AH342">
        <v>0</v>
      </c>
      <c r="BP342">
        <v>93.5</v>
      </c>
      <c r="BQ342" s="769">
        <v>98.6</v>
      </c>
      <c r="BR342" t="s">
        <v>1213</v>
      </c>
      <c r="BS342" t="s">
        <v>1213</v>
      </c>
      <c r="BT342">
        <v>0</v>
      </c>
      <c r="BU342" t="s">
        <v>1213</v>
      </c>
      <c r="BV342">
        <v>0</v>
      </c>
      <c r="BW342" t="s">
        <v>1213</v>
      </c>
      <c r="BX342">
        <v>0</v>
      </c>
      <c r="BY342" t="s">
        <v>1213</v>
      </c>
      <c r="BZ342" t="s">
        <v>3235</v>
      </c>
    </row>
    <row r="343" spans="1:79" x14ac:dyDescent="0.2">
      <c r="A343" t="s">
        <v>1093</v>
      </c>
      <c r="B343" t="s">
        <v>3236</v>
      </c>
      <c r="C343" t="s">
        <v>1077</v>
      </c>
      <c r="D343" t="s">
        <v>458</v>
      </c>
      <c r="E343" t="s">
        <v>1428</v>
      </c>
      <c r="F343" t="s">
        <v>3119</v>
      </c>
      <c r="G343" t="s">
        <v>3005</v>
      </c>
      <c r="H343" t="s">
        <v>3237</v>
      </c>
      <c r="I343" t="s">
        <v>3238</v>
      </c>
      <c r="J343" t="s">
        <v>1241</v>
      </c>
      <c r="N343" t="s">
        <v>1386</v>
      </c>
      <c r="O343" t="s">
        <v>264</v>
      </c>
      <c r="P343" t="s">
        <v>2624</v>
      </c>
      <c r="Q343">
        <v>2</v>
      </c>
      <c r="R343" t="s">
        <v>1251</v>
      </c>
      <c r="S343">
        <v>2.64</v>
      </c>
      <c r="X343">
        <v>7.8</v>
      </c>
      <c r="AH343">
        <v>0</v>
      </c>
      <c r="BP343">
        <v>1.4</v>
      </c>
      <c r="BQ343" s="773">
        <v>2.4</v>
      </c>
      <c r="BR343" t="s">
        <v>1213</v>
      </c>
      <c r="BS343" t="s">
        <v>1213</v>
      </c>
      <c r="BT343">
        <v>0</v>
      </c>
      <c r="BU343" t="s">
        <v>1213</v>
      </c>
      <c r="BV343">
        <v>0</v>
      </c>
      <c r="BW343" t="s">
        <v>1213</v>
      </c>
      <c r="BX343">
        <v>0</v>
      </c>
      <c r="BY343" t="s">
        <v>1213</v>
      </c>
      <c r="BZ343" t="s">
        <v>3239</v>
      </c>
    </row>
    <row r="344" spans="1:79" x14ac:dyDescent="0.2">
      <c r="A344" t="s">
        <v>1093</v>
      </c>
      <c r="B344" t="s">
        <v>3240</v>
      </c>
      <c r="C344" t="s">
        <v>1077</v>
      </c>
      <c r="D344" t="s">
        <v>458</v>
      </c>
      <c r="E344" t="s">
        <v>1428</v>
      </c>
      <c r="F344" t="s">
        <v>3241</v>
      </c>
      <c r="G344" t="s">
        <v>1477</v>
      </c>
      <c r="H344" t="s">
        <v>3242</v>
      </c>
      <c r="I344" t="s">
        <v>3243</v>
      </c>
      <c r="J344" t="s">
        <v>1207</v>
      </c>
      <c r="K344" t="s">
        <v>1563</v>
      </c>
      <c r="N344" t="s">
        <v>1377</v>
      </c>
      <c r="O344" t="s">
        <v>272</v>
      </c>
      <c r="P344" t="s">
        <v>3244</v>
      </c>
      <c r="Q344">
        <v>0</v>
      </c>
      <c r="R344" t="s">
        <v>1251</v>
      </c>
      <c r="S344">
        <v>-15</v>
      </c>
      <c r="T344">
        <v>-12</v>
      </c>
      <c r="U344">
        <v>-9</v>
      </c>
      <c r="V344">
        <v>-6</v>
      </c>
      <c r="W344">
        <v>-3</v>
      </c>
      <c r="X344">
        <v>0</v>
      </c>
      <c r="AF344" t="s">
        <v>605</v>
      </c>
      <c r="AH344">
        <v>0</v>
      </c>
      <c r="AI344" t="s">
        <v>605</v>
      </c>
      <c r="AJ344" t="s">
        <v>605</v>
      </c>
      <c r="AK344" t="s">
        <v>605</v>
      </c>
      <c r="AL344" t="s">
        <v>605</v>
      </c>
      <c r="AM344" t="s">
        <v>605</v>
      </c>
      <c r="AN344">
        <v>-15</v>
      </c>
      <c r="AO344">
        <v>-15</v>
      </c>
      <c r="AP344">
        <v>-15</v>
      </c>
      <c r="AQ344">
        <v>-15</v>
      </c>
      <c r="AR344">
        <v>-15</v>
      </c>
      <c r="AS344">
        <v>-15</v>
      </c>
      <c r="AT344">
        <v>-13</v>
      </c>
      <c r="AU344">
        <v>-10</v>
      </c>
      <c r="AV344">
        <v>-7</v>
      </c>
      <c r="AW344">
        <v>-4</v>
      </c>
      <c r="AX344">
        <v>-12</v>
      </c>
      <c r="AY344">
        <v>-9</v>
      </c>
      <c r="AZ344">
        <v>-6</v>
      </c>
      <c r="BA344">
        <v>-3</v>
      </c>
      <c r="BB344">
        <v>0</v>
      </c>
      <c r="BC344">
        <v>20</v>
      </c>
      <c r="BD344">
        <v>20</v>
      </c>
      <c r="BE344">
        <v>20</v>
      </c>
      <c r="BF344">
        <v>20</v>
      </c>
      <c r="BG344">
        <v>20</v>
      </c>
      <c r="BH344">
        <v>0.10299999999999999</v>
      </c>
      <c r="BL344">
        <v>0.249</v>
      </c>
      <c r="BN344">
        <v>1</v>
      </c>
      <c r="BO344" t="s">
        <v>1212</v>
      </c>
      <c r="BP344">
        <v>-6</v>
      </c>
      <c r="BQ344" s="772">
        <v>0</v>
      </c>
      <c r="BR344" t="s">
        <v>605</v>
      </c>
      <c r="BS344" t="s">
        <v>1213</v>
      </c>
      <c r="BT344">
        <v>0</v>
      </c>
      <c r="BU344" t="s">
        <v>611</v>
      </c>
      <c r="BV344">
        <v>2.988</v>
      </c>
      <c r="BW344" t="s">
        <v>611</v>
      </c>
      <c r="BX344">
        <v>7.47</v>
      </c>
      <c r="BY344" t="s">
        <v>1213</v>
      </c>
      <c r="BZ344" t="s">
        <v>3245</v>
      </c>
    </row>
    <row r="345" spans="1:79" x14ac:dyDescent="0.2">
      <c r="A345" t="s">
        <v>1093</v>
      </c>
      <c r="B345" t="s">
        <v>3246</v>
      </c>
      <c r="C345" t="s">
        <v>1077</v>
      </c>
      <c r="D345" t="s">
        <v>458</v>
      </c>
      <c r="E345" t="s">
        <v>1428</v>
      </c>
      <c r="F345" t="s">
        <v>3241</v>
      </c>
      <c r="G345" t="s">
        <v>1482</v>
      </c>
      <c r="H345" t="s">
        <v>3247</v>
      </c>
      <c r="I345" t="s">
        <v>3248</v>
      </c>
      <c r="J345" t="s">
        <v>1241</v>
      </c>
      <c r="N345" t="s">
        <v>1377</v>
      </c>
      <c r="O345" t="s">
        <v>272</v>
      </c>
      <c r="P345" t="s">
        <v>3249</v>
      </c>
      <c r="Q345">
        <v>0</v>
      </c>
      <c r="R345" t="s">
        <v>1211</v>
      </c>
      <c r="S345" t="s">
        <v>3250</v>
      </c>
      <c r="T345" t="s">
        <v>3251</v>
      </c>
      <c r="U345" t="s">
        <v>3251</v>
      </c>
      <c r="V345" t="s">
        <v>3251</v>
      </c>
      <c r="W345" t="s">
        <v>3251</v>
      </c>
      <c r="X345" t="s">
        <v>3251</v>
      </c>
      <c r="AF345" t="s">
        <v>605</v>
      </c>
      <c r="AH345">
        <v>0</v>
      </c>
      <c r="BP345" t="s">
        <v>952</v>
      </c>
      <c r="BQ345" s="784" t="s">
        <v>952</v>
      </c>
      <c r="BR345" t="s">
        <v>1213</v>
      </c>
      <c r="BS345" t="s">
        <v>1213</v>
      </c>
      <c r="BT345">
        <v>0</v>
      </c>
      <c r="BU345" t="s">
        <v>1213</v>
      </c>
      <c r="BV345">
        <v>0</v>
      </c>
      <c r="BW345" t="s">
        <v>1213</v>
      </c>
      <c r="BX345">
        <v>0</v>
      </c>
      <c r="BY345" t="s">
        <v>1213</v>
      </c>
      <c r="BZ345" t="s">
        <v>3252</v>
      </c>
    </row>
    <row r="346" spans="1:79" x14ac:dyDescent="0.2">
      <c r="A346" t="s">
        <v>1093</v>
      </c>
      <c r="B346" t="s">
        <v>3253</v>
      </c>
      <c r="C346" t="s">
        <v>1077</v>
      </c>
      <c r="D346" t="s">
        <v>458</v>
      </c>
      <c r="E346" t="s">
        <v>1428</v>
      </c>
      <c r="F346" t="s">
        <v>3241</v>
      </c>
      <c r="G346" t="s">
        <v>2024</v>
      </c>
      <c r="H346" t="s">
        <v>3254</v>
      </c>
      <c r="I346" t="s">
        <v>3255</v>
      </c>
      <c r="J346" t="s">
        <v>1241</v>
      </c>
      <c r="N346" t="s">
        <v>1377</v>
      </c>
      <c r="O346" t="s">
        <v>272</v>
      </c>
      <c r="P346" t="s">
        <v>3256</v>
      </c>
      <c r="Q346">
        <v>0</v>
      </c>
      <c r="R346" t="s">
        <v>1251</v>
      </c>
      <c r="S346">
        <v>0</v>
      </c>
      <c r="X346">
        <v>650</v>
      </c>
      <c r="AF346" t="s">
        <v>605</v>
      </c>
      <c r="AH346">
        <v>0</v>
      </c>
      <c r="BP346" t="s">
        <v>952</v>
      </c>
      <c r="BQ346" s="772">
        <v>62</v>
      </c>
      <c r="BR346" t="s">
        <v>1213</v>
      </c>
      <c r="BS346" t="s">
        <v>1213</v>
      </c>
      <c r="BT346">
        <v>0</v>
      </c>
      <c r="BU346" t="s">
        <v>1213</v>
      </c>
      <c r="BV346">
        <v>0</v>
      </c>
      <c r="BW346" t="s">
        <v>1213</v>
      </c>
      <c r="BX346">
        <v>0</v>
      </c>
      <c r="BY346" t="s">
        <v>1213</v>
      </c>
      <c r="BZ346" t="s">
        <v>3257</v>
      </c>
    </row>
    <row r="347" spans="1:79" x14ac:dyDescent="0.2">
      <c r="A347" t="s">
        <v>1093</v>
      </c>
      <c r="B347" t="s">
        <v>3258</v>
      </c>
      <c r="C347" t="s">
        <v>1077</v>
      </c>
      <c r="D347" t="s">
        <v>1288</v>
      </c>
      <c r="E347" t="s">
        <v>1289</v>
      </c>
      <c r="F347" t="s">
        <v>3114</v>
      </c>
      <c r="G347" t="s">
        <v>1291</v>
      </c>
      <c r="H347" t="s">
        <v>3259</v>
      </c>
      <c r="I347" t="s">
        <v>3260</v>
      </c>
      <c r="J347" t="s">
        <v>1241</v>
      </c>
      <c r="N347" t="s">
        <v>1400</v>
      </c>
      <c r="O347" t="s">
        <v>264</v>
      </c>
      <c r="P347" t="s">
        <v>1401</v>
      </c>
      <c r="Q347">
        <v>1</v>
      </c>
      <c r="R347" t="s">
        <v>1251</v>
      </c>
      <c r="S347">
        <v>86</v>
      </c>
      <c r="X347">
        <v>90</v>
      </c>
      <c r="AH347">
        <v>0</v>
      </c>
      <c r="BP347">
        <v>90</v>
      </c>
      <c r="BQ347" s="769">
        <v>89</v>
      </c>
      <c r="BR347" t="s">
        <v>1213</v>
      </c>
      <c r="BS347" t="s">
        <v>1213</v>
      </c>
      <c r="BT347">
        <v>0</v>
      </c>
      <c r="BU347" t="s">
        <v>1213</v>
      </c>
      <c r="BV347">
        <v>0</v>
      </c>
      <c r="BW347" t="s">
        <v>1213</v>
      </c>
      <c r="BX347">
        <v>0</v>
      </c>
      <c r="BY347" t="s">
        <v>1213</v>
      </c>
      <c r="BZ347" t="s">
        <v>3261</v>
      </c>
    </row>
    <row r="348" spans="1:79" x14ac:dyDescent="0.2">
      <c r="A348" t="s">
        <v>1093</v>
      </c>
      <c r="B348" t="s">
        <v>3262</v>
      </c>
      <c r="C348" t="s">
        <v>1077</v>
      </c>
      <c r="D348" t="s">
        <v>1288</v>
      </c>
      <c r="E348" t="s">
        <v>1289</v>
      </c>
      <c r="F348" t="s">
        <v>3114</v>
      </c>
      <c r="G348" t="s">
        <v>1300</v>
      </c>
      <c r="H348" t="s">
        <v>3263</v>
      </c>
      <c r="I348" t="s">
        <v>1514</v>
      </c>
      <c r="J348" t="s">
        <v>1207</v>
      </c>
      <c r="K348" t="s">
        <v>1208</v>
      </c>
      <c r="M348" t="s">
        <v>606</v>
      </c>
      <c r="N348" t="s">
        <v>1294</v>
      </c>
      <c r="O348" t="s">
        <v>665</v>
      </c>
      <c r="P348" t="s">
        <v>1295</v>
      </c>
      <c r="Q348">
        <v>1</v>
      </c>
      <c r="R348" t="s">
        <v>1251</v>
      </c>
      <c r="S348">
        <v>77</v>
      </c>
      <c r="X348">
        <v>85</v>
      </c>
      <c r="AH348">
        <v>0</v>
      </c>
      <c r="AI348" t="s">
        <v>605</v>
      </c>
      <c r="AJ348" t="s">
        <v>605</v>
      </c>
      <c r="AK348" t="s">
        <v>605</v>
      </c>
      <c r="AL348" t="s">
        <v>605</v>
      </c>
      <c r="AM348" t="s">
        <v>605</v>
      </c>
      <c r="AN348" t="s">
        <v>1296</v>
      </c>
      <c r="AO348" t="s">
        <v>1296</v>
      </c>
      <c r="AP348" t="s">
        <v>1296</v>
      </c>
      <c r="AQ348" t="s">
        <v>1296</v>
      </c>
      <c r="AR348" t="s">
        <v>1296</v>
      </c>
      <c r="AS348" t="s">
        <v>1296</v>
      </c>
      <c r="AT348" t="s">
        <v>1296</v>
      </c>
      <c r="AU348" t="s">
        <v>1296</v>
      </c>
      <c r="AV348" t="s">
        <v>1296</v>
      </c>
      <c r="AW348" t="s">
        <v>1296</v>
      </c>
      <c r="AX348" t="s">
        <v>1296</v>
      </c>
      <c r="AY348" t="s">
        <v>1296</v>
      </c>
      <c r="AZ348" t="s">
        <v>1296</v>
      </c>
      <c r="BA348" t="s">
        <v>1296</v>
      </c>
      <c r="BB348" t="s">
        <v>1296</v>
      </c>
      <c r="BC348" t="s">
        <v>1296</v>
      </c>
      <c r="BD348" t="s">
        <v>1296</v>
      </c>
      <c r="BE348" t="s">
        <v>1296</v>
      </c>
      <c r="BF348" t="s">
        <v>1296</v>
      </c>
      <c r="BG348" t="s">
        <v>1296</v>
      </c>
      <c r="BH348" t="s">
        <v>1296</v>
      </c>
      <c r="BL348" t="s">
        <v>1296</v>
      </c>
      <c r="BN348">
        <v>1</v>
      </c>
      <c r="BO348" t="s">
        <v>1212</v>
      </c>
      <c r="BP348">
        <v>74.8</v>
      </c>
      <c r="BQ348" s="769">
        <v>78.599999999999994</v>
      </c>
      <c r="BR348" t="s">
        <v>1213</v>
      </c>
      <c r="BS348" t="s">
        <v>1213</v>
      </c>
      <c r="BT348">
        <v>0</v>
      </c>
      <c r="BU348" t="s">
        <v>1213</v>
      </c>
      <c r="BV348">
        <v>0</v>
      </c>
      <c r="BW348" t="s">
        <v>1213</v>
      </c>
      <c r="BX348">
        <v>0</v>
      </c>
      <c r="BY348" t="s">
        <v>1213</v>
      </c>
      <c r="BZ348" t="s">
        <v>3264</v>
      </c>
      <c r="CA348" t="s">
        <v>1298</v>
      </c>
    </row>
    <row r="349" spans="1:79" x14ac:dyDescent="0.2">
      <c r="A349" t="s">
        <v>1093</v>
      </c>
      <c r="B349" t="s">
        <v>3265</v>
      </c>
      <c r="C349" t="s">
        <v>1077</v>
      </c>
      <c r="D349" t="s">
        <v>1288</v>
      </c>
      <c r="E349" t="s">
        <v>1289</v>
      </c>
      <c r="F349" t="s">
        <v>3114</v>
      </c>
      <c r="G349" t="s">
        <v>1517</v>
      </c>
      <c r="H349" t="s">
        <v>3266</v>
      </c>
      <c r="I349" t="s">
        <v>3267</v>
      </c>
      <c r="J349" t="s">
        <v>1241</v>
      </c>
      <c r="N349" t="s">
        <v>1303</v>
      </c>
      <c r="O349" t="s">
        <v>264</v>
      </c>
      <c r="P349" t="s">
        <v>1401</v>
      </c>
      <c r="Q349">
        <v>1</v>
      </c>
      <c r="R349" t="s">
        <v>1251</v>
      </c>
      <c r="S349">
        <v>47</v>
      </c>
      <c r="X349">
        <v>90</v>
      </c>
      <c r="AH349">
        <v>0</v>
      </c>
      <c r="BP349">
        <v>57.8</v>
      </c>
      <c r="BQ349" s="769">
        <v>59</v>
      </c>
      <c r="BR349" t="s">
        <v>1213</v>
      </c>
      <c r="BS349" t="s">
        <v>1213</v>
      </c>
      <c r="BT349">
        <v>0</v>
      </c>
      <c r="BU349" t="s">
        <v>1213</v>
      </c>
      <c r="BV349">
        <v>0</v>
      </c>
      <c r="BW349" t="s">
        <v>1213</v>
      </c>
      <c r="BX349">
        <v>0</v>
      </c>
      <c r="BY349" t="s">
        <v>1213</v>
      </c>
      <c r="BZ349" t="s">
        <v>3268</v>
      </c>
    </row>
    <row r="350" spans="1:79" x14ac:dyDescent="0.2">
      <c r="A350" t="s">
        <v>1093</v>
      </c>
      <c r="B350" t="s">
        <v>3269</v>
      </c>
      <c r="C350" t="s">
        <v>1077</v>
      </c>
      <c r="D350" t="s">
        <v>1288</v>
      </c>
      <c r="E350" t="s">
        <v>1289</v>
      </c>
      <c r="F350" t="s">
        <v>3167</v>
      </c>
      <c r="G350" t="s">
        <v>1526</v>
      </c>
      <c r="H350" t="s">
        <v>3270</v>
      </c>
      <c r="I350" t="s">
        <v>3271</v>
      </c>
      <c r="J350" t="s">
        <v>1241</v>
      </c>
      <c r="N350" t="s">
        <v>1303</v>
      </c>
      <c r="O350" t="s">
        <v>272</v>
      </c>
      <c r="P350" t="s">
        <v>3272</v>
      </c>
      <c r="Q350">
        <v>0</v>
      </c>
      <c r="R350" t="s">
        <v>1251</v>
      </c>
      <c r="S350">
        <v>21500</v>
      </c>
      <c r="X350">
        <v>23210</v>
      </c>
      <c r="AH350">
        <v>0</v>
      </c>
      <c r="BP350">
        <v>24899</v>
      </c>
      <c r="BQ350" s="772">
        <v>26837</v>
      </c>
      <c r="BR350" t="s">
        <v>1213</v>
      </c>
      <c r="BS350" t="s">
        <v>1213</v>
      </c>
      <c r="BT350">
        <v>0</v>
      </c>
      <c r="BU350" t="s">
        <v>1213</v>
      </c>
      <c r="BV350">
        <v>0</v>
      </c>
      <c r="BW350" t="s">
        <v>1213</v>
      </c>
      <c r="BX350">
        <v>0</v>
      </c>
      <c r="BY350" t="s">
        <v>1213</v>
      </c>
      <c r="BZ350" t="s">
        <v>3273</v>
      </c>
    </row>
    <row r="351" spans="1:79" x14ac:dyDescent="0.2">
      <c r="A351" t="s">
        <v>1100</v>
      </c>
      <c r="B351" t="s">
        <v>3274</v>
      </c>
      <c r="C351" t="s">
        <v>1077</v>
      </c>
      <c r="D351" t="s">
        <v>457</v>
      </c>
      <c r="E351" t="s">
        <v>1202</v>
      </c>
      <c r="F351" t="s">
        <v>3275</v>
      </c>
      <c r="G351" t="s">
        <v>3276</v>
      </c>
      <c r="H351" t="s">
        <v>3277</v>
      </c>
      <c r="I351" t="s">
        <v>3278</v>
      </c>
      <c r="J351" t="s">
        <v>1241</v>
      </c>
      <c r="N351" t="s">
        <v>1400</v>
      </c>
      <c r="O351" t="s">
        <v>264</v>
      </c>
      <c r="P351" t="s">
        <v>3279</v>
      </c>
      <c r="Q351">
        <v>0</v>
      </c>
      <c r="R351" t="s">
        <v>1251</v>
      </c>
      <c r="S351">
        <v>90</v>
      </c>
      <c r="T351">
        <v>95</v>
      </c>
      <c r="U351">
        <v>95</v>
      </c>
      <c r="V351">
        <v>95</v>
      </c>
      <c r="W351">
        <v>95</v>
      </c>
      <c r="X351">
        <v>95</v>
      </c>
      <c r="AH351">
        <v>0</v>
      </c>
      <c r="BP351">
        <v>89.87</v>
      </c>
      <c r="BQ351" s="772">
        <v>91.25</v>
      </c>
      <c r="BR351" t="s">
        <v>606</v>
      </c>
      <c r="BS351" t="s">
        <v>1213</v>
      </c>
      <c r="BT351">
        <v>0</v>
      </c>
      <c r="BU351" t="s">
        <v>1213</v>
      </c>
      <c r="BV351">
        <v>0</v>
      </c>
      <c r="BW351" t="s">
        <v>1213</v>
      </c>
      <c r="BX351">
        <v>0</v>
      </c>
      <c r="BY351" t="s">
        <v>1213</v>
      </c>
      <c r="BZ351" t="s">
        <v>3280</v>
      </c>
    </row>
    <row r="352" spans="1:79" x14ac:dyDescent="0.2">
      <c r="A352" t="s">
        <v>1100</v>
      </c>
      <c r="B352" t="s">
        <v>3281</v>
      </c>
      <c r="C352" t="s">
        <v>1077</v>
      </c>
      <c r="D352" t="s">
        <v>457</v>
      </c>
      <c r="E352" t="s">
        <v>1202</v>
      </c>
      <c r="F352" t="s">
        <v>3275</v>
      </c>
      <c r="G352" t="s">
        <v>3282</v>
      </c>
      <c r="H352" t="s">
        <v>3283</v>
      </c>
      <c r="I352" t="s">
        <v>3284</v>
      </c>
      <c r="J352" t="s">
        <v>1241</v>
      </c>
      <c r="N352" t="s">
        <v>1400</v>
      </c>
      <c r="O352" t="s">
        <v>272</v>
      </c>
      <c r="P352" t="s">
        <v>3285</v>
      </c>
      <c r="Q352">
        <v>2</v>
      </c>
      <c r="R352" t="s">
        <v>1211</v>
      </c>
      <c r="S352">
        <v>11.66</v>
      </c>
      <c r="T352">
        <v>10.64</v>
      </c>
      <c r="U352">
        <v>9.61</v>
      </c>
      <c r="V352">
        <v>8.58</v>
      </c>
      <c r="W352">
        <v>7.55</v>
      </c>
      <c r="X352">
        <v>6.53</v>
      </c>
      <c r="AH352">
        <v>0</v>
      </c>
      <c r="BP352">
        <v>11.53</v>
      </c>
      <c r="BQ352" s="773">
        <v>8.84</v>
      </c>
      <c r="BR352" t="s">
        <v>605</v>
      </c>
      <c r="BS352" t="s">
        <v>1213</v>
      </c>
      <c r="BT352">
        <v>0</v>
      </c>
      <c r="BU352" t="s">
        <v>1213</v>
      </c>
      <c r="BV352">
        <v>0</v>
      </c>
      <c r="BW352" t="s">
        <v>1213</v>
      </c>
      <c r="BX352">
        <v>0</v>
      </c>
      <c r="BY352" t="s">
        <v>1213</v>
      </c>
      <c r="BZ352" t="s">
        <v>3286</v>
      </c>
    </row>
    <row r="353" spans="1:79" x14ac:dyDescent="0.2">
      <c r="A353" t="s">
        <v>1100</v>
      </c>
      <c r="B353" t="s">
        <v>3287</v>
      </c>
      <c r="C353" t="s">
        <v>1077</v>
      </c>
      <c r="D353" t="s">
        <v>457</v>
      </c>
      <c r="E353" t="s">
        <v>1202</v>
      </c>
      <c r="F353" t="s">
        <v>3275</v>
      </c>
      <c r="G353" t="s">
        <v>3288</v>
      </c>
      <c r="H353" t="s">
        <v>3289</v>
      </c>
      <c r="I353" t="s">
        <v>3290</v>
      </c>
      <c r="J353" t="s">
        <v>1241</v>
      </c>
      <c r="N353" t="s">
        <v>1400</v>
      </c>
      <c r="O353" t="s">
        <v>665</v>
      </c>
      <c r="P353" t="s">
        <v>3291</v>
      </c>
      <c r="Q353">
        <v>2</v>
      </c>
      <c r="R353" t="s">
        <v>1251</v>
      </c>
      <c r="S353">
        <v>4.0999999999999996</v>
      </c>
      <c r="T353">
        <v>4.3499999999999996</v>
      </c>
      <c r="U353">
        <v>4.45</v>
      </c>
      <c r="V353">
        <v>4.5</v>
      </c>
      <c r="W353">
        <v>4.55</v>
      </c>
      <c r="X353">
        <v>4.5999999999999996</v>
      </c>
      <c r="AH353">
        <v>0</v>
      </c>
      <c r="BP353">
        <v>3.97</v>
      </c>
      <c r="BQ353" s="773">
        <v>4.4400000000000004</v>
      </c>
      <c r="BR353" t="s">
        <v>605</v>
      </c>
      <c r="BS353" t="s">
        <v>1213</v>
      </c>
      <c r="BT353">
        <v>0</v>
      </c>
      <c r="BU353" t="s">
        <v>1213</v>
      </c>
      <c r="BV353">
        <v>0</v>
      </c>
      <c r="BW353" t="s">
        <v>1213</v>
      </c>
      <c r="BX353">
        <v>0</v>
      </c>
      <c r="BY353" t="s">
        <v>1213</v>
      </c>
      <c r="BZ353" t="s">
        <v>3292</v>
      </c>
    </row>
    <row r="354" spans="1:79" ht="25.5" x14ac:dyDescent="0.2">
      <c r="A354" t="s">
        <v>1100</v>
      </c>
      <c r="B354" t="s">
        <v>3293</v>
      </c>
      <c r="C354" t="s">
        <v>1077</v>
      </c>
      <c r="D354" t="s">
        <v>457</v>
      </c>
      <c r="E354" t="s">
        <v>1202</v>
      </c>
      <c r="F354" t="s">
        <v>3275</v>
      </c>
      <c r="G354" t="s">
        <v>3294</v>
      </c>
      <c r="H354" t="s">
        <v>3295</v>
      </c>
      <c r="I354" t="s">
        <v>3296</v>
      </c>
      <c r="J354" t="s">
        <v>1219</v>
      </c>
      <c r="K354" t="s">
        <v>1208</v>
      </c>
      <c r="N354" t="s">
        <v>1220</v>
      </c>
      <c r="O354" t="s">
        <v>272</v>
      </c>
      <c r="P354" t="s">
        <v>3297</v>
      </c>
      <c r="Q354">
        <v>2</v>
      </c>
      <c r="R354" t="s">
        <v>1251</v>
      </c>
      <c r="S354">
        <v>4.24</v>
      </c>
      <c r="X354">
        <v>15.45</v>
      </c>
      <c r="AH354">
        <v>0</v>
      </c>
      <c r="AM354" t="s">
        <v>605</v>
      </c>
      <c r="AR354">
        <v>11.7</v>
      </c>
      <c r="AW354">
        <v>15.45</v>
      </c>
      <c r="BH354">
        <v>0.88500000000000001</v>
      </c>
      <c r="BN354">
        <v>1</v>
      </c>
      <c r="BO354" t="s">
        <v>1212</v>
      </c>
      <c r="BP354" t="s">
        <v>3298</v>
      </c>
      <c r="BQ354" s="773" t="s">
        <v>3298</v>
      </c>
      <c r="BR354" t="s">
        <v>1213</v>
      </c>
      <c r="BS354" t="s">
        <v>1213</v>
      </c>
      <c r="BT354">
        <v>0</v>
      </c>
      <c r="BU354" t="s">
        <v>1213</v>
      </c>
      <c r="BV354">
        <v>0</v>
      </c>
      <c r="BW354" t="s">
        <v>1213</v>
      </c>
      <c r="BX354">
        <v>0</v>
      </c>
      <c r="BY354" t="s">
        <v>1213</v>
      </c>
      <c r="BZ354" t="s">
        <v>3299</v>
      </c>
      <c r="CA354" t="s">
        <v>3300</v>
      </c>
    </row>
    <row r="355" spans="1:79" x14ac:dyDescent="0.2">
      <c r="A355" t="s">
        <v>1100</v>
      </c>
      <c r="B355" t="s">
        <v>3301</v>
      </c>
      <c r="C355" t="s">
        <v>1077</v>
      </c>
      <c r="D355" t="s">
        <v>457</v>
      </c>
      <c r="E355" t="s">
        <v>1202</v>
      </c>
      <c r="F355" t="s">
        <v>3275</v>
      </c>
      <c r="G355" t="s">
        <v>3302</v>
      </c>
      <c r="H355" t="s">
        <v>3303</v>
      </c>
      <c r="I355" t="s">
        <v>3304</v>
      </c>
      <c r="J355" t="s">
        <v>1241</v>
      </c>
      <c r="N355" t="s">
        <v>1209</v>
      </c>
      <c r="O355" t="s">
        <v>272</v>
      </c>
      <c r="P355" t="s">
        <v>3305</v>
      </c>
      <c r="Q355">
        <v>0</v>
      </c>
      <c r="R355" t="s">
        <v>3306</v>
      </c>
      <c r="S355" t="s">
        <v>3307</v>
      </c>
      <c r="T355">
        <v>1170</v>
      </c>
      <c r="U355">
        <v>1450</v>
      </c>
      <c r="V355">
        <v>1410</v>
      </c>
      <c r="W355">
        <v>900</v>
      </c>
      <c r="X355">
        <v>890</v>
      </c>
      <c r="AE355" t="s">
        <v>605</v>
      </c>
      <c r="AH355">
        <v>0</v>
      </c>
      <c r="BP355" t="s">
        <v>3298</v>
      </c>
      <c r="BQ355" s="772">
        <v>1404</v>
      </c>
      <c r="BR355" t="s">
        <v>605</v>
      </c>
      <c r="BS355" t="s">
        <v>1213</v>
      </c>
      <c r="BT355">
        <v>0</v>
      </c>
      <c r="BU355" t="s">
        <v>1213</v>
      </c>
      <c r="BV355">
        <v>0</v>
      </c>
      <c r="BW355" t="s">
        <v>1213</v>
      </c>
      <c r="BX355">
        <v>0</v>
      </c>
      <c r="BY355" t="s">
        <v>1213</v>
      </c>
      <c r="BZ355" t="s">
        <v>3308</v>
      </c>
    </row>
    <row r="356" spans="1:79" x14ac:dyDescent="0.2">
      <c r="A356" t="s">
        <v>1100</v>
      </c>
      <c r="B356" t="s">
        <v>3309</v>
      </c>
      <c r="C356" t="s">
        <v>1077</v>
      </c>
      <c r="D356" t="s">
        <v>457</v>
      </c>
      <c r="E356" t="s">
        <v>1202</v>
      </c>
      <c r="F356" t="s">
        <v>3310</v>
      </c>
      <c r="G356" t="s">
        <v>3311</v>
      </c>
      <c r="H356" t="s">
        <v>3312</v>
      </c>
      <c r="I356" t="s">
        <v>3313</v>
      </c>
      <c r="J356" t="s">
        <v>1219</v>
      </c>
      <c r="K356" t="s">
        <v>1208</v>
      </c>
      <c r="M356" t="s">
        <v>606</v>
      </c>
      <c r="N356" t="s">
        <v>1272</v>
      </c>
      <c r="O356" t="s">
        <v>1410</v>
      </c>
      <c r="P356" t="s">
        <v>1564</v>
      </c>
      <c r="Q356" t="s">
        <v>1212</v>
      </c>
      <c r="S356" t="s">
        <v>612</v>
      </c>
      <c r="T356" t="s">
        <v>612</v>
      </c>
      <c r="U356" t="s">
        <v>612</v>
      </c>
      <c r="V356" t="s">
        <v>612</v>
      </c>
      <c r="W356" t="s">
        <v>612</v>
      </c>
      <c r="X356" t="s">
        <v>612</v>
      </c>
      <c r="AE356" t="s">
        <v>605</v>
      </c>
      <c r="AH356">
        <v>6</v>
      </c>
      <c r="AI356" t="s">
        <v>605</v>
      </c>
      <c r="AJ356" t="s">
        <v>605</v>
      </c>
      <c r="AK356" t="s">
        <v>605</v>
      </c>
      <c r="AL356" t="s">
        <v>605</v>
      </c>
      <c r="AM356" t="s">
        <v>605</v>
      </c>
      <c r="AN356" t="s">
        <v>1565</v>
      </c>
      <c r="AO356" t="s">
        <v>1565</v>
      </c>
      <c r="AP356" t="s">
        <v>1565</v>
      </c>
      <c r="AQ356" t="s">
        <v>1565</v>
      </c>
      <c r="AR356" t="s">
        <v>1565</v>
      </c>
      <c r="AS356" t="s">
        <v>1566</v>
      </c>
      <c r="AT356" t="s">
        <v>1566</v>
      </c>
      <c r="AU356" t="s">
        <v>1566</v>
      </c>
      <c r="AV356" t="s">
        <v>1566</v>
      </c>
      <c r="AW356" t="s">
        <v>1566</v>
      </c>
      <c r="BH356">
        <v>4.6749999999999998</v>
      </c>
      <c r="BN356">
        <v>1</v>
      </c>
      <c r="BO356" t="s">
        <v>1212</v>
      </c>
      <c r="BP356" t="s">
        <v>612</v>
      </c>
      <c r="BQ356" s="771" t="s">
        <v>1566</v>
      </c>
      <c r="BR356" t="s">
        <v>606</v>
      </c>
      <c r="BS356" t="s">
        <v>1213</v>
      </c>
      <c r="BT356">
        <v>0</v>
      </c>
      <c r="BU356" t="s">
        <v>1107</v>
      </c>
      <c r="BV356">
        <v>-4.6749999999999998</v>
      </c>
      <c r="BW356" t="s">
        <v>1107</v>
      </c>
      <c r="BX356">
        <v>-4.6749999999999998</v>
      </c>
      <c r="BY356" t="s">
        <v>1213</v>
      </c>
      <c r="BZ356" t="s">
        <v>3314</v>
      </c>
      <c r="CA356" t="s">
        <v>3315</v>
      </c>
    </row>
    <row r="357" spans="1:79" x14ac:dyDescent="0.2">
      <c r="A357" t="s">
        <v>1100</v>
      </c>
      <c r="B357" t="s">
        <v>3316</v>
      </c>
      <c r="C357" t="s">
        <v>1077</v>
      </c>
      <c r="D357" t="s">
        <v>457</v>
      </c>
      <c r="E357" t="s">
        <v>1202</v>
      </c>
      <c r="F357" t="s">
        <v>3310</v>
      </c>
      <c r="G357" t="s">
        <v>3317</v>
      </c>
      <c r="H357" t="s">
        <v>3318</v>
      </c>
      <c r="I357" t="s">
        <v>3319</v>
      </c>
      <c r="J357" t="s">
        <v>1219</v>
      </c>
      <c r="K357" t="s">
        <v>1208</v>
      </c>
      <c r="M357" t="s">
        <v>606</v>
      </c>
      <c r="N357" t="s">
        <v>1272</v>
      </c>
      <c r="O357" t="s">
        <v>1410</v>
      </c>
      <c r="P357" t="s">
        <v>1564</v>
      </c>
      <c r="Q357" t="s">
        <v>1212</v>
      </c>
      <c r="S357" t="s">
        <v>612</v>
      </c>
      <c r="T357" t="s">
        <v>612</v>
      </c>
      <c r="U357" t="s">
        <v>612</v>
      </c>
      <c r="V357" t="s">
        <v>612</v>
      </c>
      <c r="W357" t="s">
        <v>612</v>
      </c>
      <c r="X357" t="s">
        <v>612</v>
      </c>
      <c r="AE357" t="s">
        <v>605</v>
      </c>
      <c r="AH357">
        <v>7</v>
      </c>
      <c r="AI357" t="s">
        <v>605</v>
      </c>
      <c r="AJ357" t="s">
        <v>605</v>
      </c>
      <c r="AK357" t="s">
        <v>605</v>
      </c>
      <c r="AL357" t="s">
        <v>605</v>
      </c>
      <c r="AM357" t="s">
        <v>605</v>
      </c>
      <c r="AN357" t="s">
        <v>1565</v>
      </c>
      <c r="AO357" t="s">
        <v>1565</v>
      </c>
      <c r="AP357" t="s">
        <v>1565</v>
      </c>
      <c r="AQ357" t="s">
        <v>1565</v>
      </c>
      <c r="AR357" t="s">
        <v>1565</v>
      </c>
      <c r="AS357" t="s">
        <v>1566</v>
      </c>
      <c r="AT357" t="s">
        <v>1566</v>
      </c>
      <c r="AU357" t="s">
        <v>1566</v>
      </c>
      <c r="AV357" t="s">
        <v>1566</v>
      </c>
      <c r="AW357" t="s">
        <v>1566</v>
      </c>
      <c r="BH357">
        <v>4.6749999999999998</v>
      </c>
      <c r="BN357">
        <v>1</v>
      </c>
      <c r="BO357" t="s">
        <v>1212</v>
      </c>
      <c r="BP357" t="s">
        <v>612</v>
      </c>
      <c r="BQ357" s="771" t="s">
        <v>612</v>
      </c>
      <c r="BR357" t="s">
        <v>605</v>
      </c>
      <c r="BS357" t="s">
        <v>1213</v>
      </c>
      <c r="BT357">
        <v>0</v>
      </c>
      <c r="BU357" t="s">
        <v>1213</v>
      </c>
      <c r="BV357">
        <v>0</v>
      </c>
      <c r="BW357" t="s">
        <v>1213</v>
      </c>
      <c r="BX357">
        <v>0</v>
      </c>
      <c r="BY357" t="s">
        <v>1213</v>
      </c>
      <c r="BZ357" t="s">
        <v>3320</v>
      </c>
      <c r="CA357" t="s">
        <v>3321</v>
      </c>
    </row>
    <row r="358" spans="1:79" x14ac:dyDescent="0.2">
      <c r="A358" t="s">
        <v>1100</v>
      </c>
      <c r="B358" t="s">
        <v>3322</v>
      </c>
      <c r="C358" t="s">
        <v>1077</v>
      </c>
      <c r="D358" t="s">
        <v>457</v>
      </c>
      <c r="E358" t="s">
        <v>1202</v>
      </c>
      <c r="F358" t="s">
        <v>3310</v>
      </c>
      <c r="G358" t="s">
        <v>3323</v>
      </c>
      <c r="H358" t="s">
        <v>3324</v>
      </c>
      <c r="I358" t="s">
        <v>3325</v>
      </c>
      <c r="J358" t="s">
        <v>1219</v>
      </c>
      <c r="K358" t="s">
        <v>1208</v>
      </c>
      <c r="N358" t="s">
        <v>1249</v>
      </c>
      <c r="O358" t="s">
        <v>264</v>
      </c>
      <c r="P358" t="s">
        <v>1250</v>
      </c>
      <c r="Q358">
        <v>2</v>
      </c>
      <c r="R358" t="s">
        <v>1251</v>
      </c>
      <c r="S358">
        <v>99.94</v>
      </c>
      <c r="T358">
        <v>99.94</v>
      </c>
      <c r="U358">
        <v>99.94</v>
      </c>
      <c r="V358">
        <v>100</v>
      </c>
      <c r="W358">
        <v>100</v>
      </c>
      <c r="X358">
        <v>100</v>
      </c>
      <c r="Y358" t="s">
        <v>605</v>
      </c>
      <c r="AE358" t="s">
        <v>605</v>
      </c>
      <c r="AH358">
        <v>0</v>
      </c>
      <c r="AI358" t="s">
        <v>605</v>
      </c>
      <c r="AJ358" t="s">
        <v>605</v>
      </c>
      <c r="AK358" t="s">
        <v>605</v>
      </c>
      <c r="AL358" t="s">
        <v>605</v>
      </c>
      <c r="AM358" t="s">
        <v>605</v>
      </c>
      <c r="AN358">
        <v>99.91</v>
      </c>
      <c r="AO358">
        <v>99.91</v>
      </c>
      <c r="AP358">
        <v>99.93</v>
      </c>
      <c r="AQ358">
        <v>99.93</v>
      </c>
      <c r="AR358">
        <v>99.93</v>
      </c>
      <c r="AS358">
        <v>99.93</v>
      </c>
      <c r="AT358">
        <v>99.93</v>
      </c>
      <c r="AU358">
        <v>99.95</v>
      </c>
      <c r="AV358">
        <v>99.95</v>
      </c>
      <c r="AW358">
        <v>99.95</v>
      </c>
      <c r="BH358">
        <v>3.915</v>
      </c>
      <c r="BN358">
        <v>100</v>
      </c>
      <c r="BO358" t="s">
        <v>1598</v>
      </c>
      <c r="BP358">
        <v>99.96</v>
      </c>
      <c r="BQ358" s="773">
        <v>99.956000000000003</v>
      </c>
      <c r="BR358" t="s">
        <v>605</v>
      </c>
      <c r="BS358" t="s">
        <v>1213</v>
      </c>
      <c r="BT358">
        <v>0</v>
      </c>
      <c r="BU358" t="s">
        <v>1213</v>
      </c>
      <c r="BV358">
        <v>0</v>
      </c>
      <c r="BW358" t="s">
        <v>1213</v>
      </c>
      <c r="BX358">
        <v>0</v>
      </c>
      <c r="BY358" t="s">
        <v>1171</v>
      </c>
      <c r="BZ358" t="s">
        <v>3326</v>
      </c>
    </row>
    <row r="359" spans="1:79" x14ac:dyDescent="0.2">
      <c r="A359" t="s">
        <v>1100</v>
      </c>
      <c r="B359" t="s">
        <v>3327</v>
      </c>
      <c r="C359" t="s">
        <v>1077</v>
      </c>
      <c r="D359" t="s">
        <v>457</v>
      </c>
      <c r="E359" t="s">
        <v>1202</v>
      </c>
      <c r="F359" t="s">
        <v>3310</v>
      </c>
      <c r="G359" t="s">
        <v>3328</v>
      </c>
      <c r="H359" t="s">
        <v>3329</v>
      </c>
      <c r="I359" t="s">
        <v>3330</v>
      </c>
      <c r="J359" t="s">
        <v>1241</v>
      </c>
      <c r="N359" t="s">
        <v>1315</v>
      </c>
      <c r="O359" t="s">
        <v>272</v>
      </c>
      <c r="P359" t="s">
        <v>3331</v>
      </c>
      <c r="Q359">
        <v>0</v>
      </c>
      <c r="R359" t="s">
        <v>1211</v>
      </c>
      <c r="S359">
        <v>34</v>
      </c>
      <c r="T359">
        <v>34</v>
      </c>
      <c r="U359">
        <v>34</v>
      </c>
      <c r="V359">
        <v>34</v>
      </c>
      <c r="W359">
        <v>34</v>
      </c>
      <c r="X359">
        <v>34</v>
      </c>
      <c r="AE359" t="s">
        <v>605</v>
      </c>
      <c r="AH359">
        <v>0</v>
      </c>
      <c r="BP359">
        <v>0</v>
      </c>
      <c r="BQ359" s="772">
        <v>0</v>
      </c>
      <c r="BR359" t="s">
        <v>605</v>
      </c>
      <c r="BS359" t="s">
        <v>1213</v>
      </c>
      <c r="BT359">
        <v>0</v>
      </c>
      <c r="BU359" t="s">
        <v>1213</v>
      </c>
      <c r="BV359">
        <v>0</v>
      </c>
      <c r="BW359" t="s">
        <v>1213</v>
      </c>
      <c r="BX359">
        <v>0</v>
      </c>
      <c r="BY359" t="s">
        <v>1213</v>
      </c>
      <c r="BZ359" t="s">
        <v>3332</v>
      </c>
    </row>
    <row r="360" spans="1:79" x14ac:dyDescent="0.2">
      <c r="A360" t="s">
        <v>1100</v>
      </c>
      <c r="B360" t="s">
        <v>3333</v>
      </c>
      <c r="C360" t="s">
        <v>1077</v>
      </c>
      <c r="D360" t="s">
        <v>457</v>
      </c>
      <c r="E360" t="s">
        <v>1202</v>
      </c>
      <c r="F360" t="s">
        <v>3310</v>
      </c>
      <c r="G360" t="s">
        <v>3334</v>
      </c>
      <c r="H360" t="s">
        <v>3335</v>
      </c>
      <c r="I360" t="s">
        <v>3336</v>
      </c>
      <c r="J360" t="s">
        <v>1207</v>
      </c>
      <c r="K360" t="s">
        <v>1208</v>
      </c>
      <c r="N360" t="s">
        <v>1265</v>
      </c>
      <c r="O360" t="s">
        <v>1309</v>
      </c>
      <c r="P360" t="s">
        <v>3337</v>
      </c>
      <c r="Q360">
        <v>2</v>
      </c>
      <c r="R360" t="s">
        <v>1211</v>
      </c>
      <c r="S360">
        <v>0.13</v>
      </c>
      <c r="T360">
        <v>0.13</v>
      </c>
      <c r="U360">
        <v>0.13</v>
      </c>
      <c r="V360">
        <v>0.13</v>
      </c>
      <c r="W360">
        <v>0.13</v>
      </c>
      <c r="X360">
        <v>0.13</v>
      </c>
      <c r="AA360" t="s">
        <v>605</v>
      </c>
      <c r="AE360" t="s">
        <v>605</v>
      </c>
      <c r="AH360">
        <v>0</v>
      </c>
      <c r="AI360" t="s">
        <v>605</v>
      </c>
      <c r="AJ360" t="s">
        <v>605</v>
      </c>
      <c r="AK360" t="s">
        <v>605</v>
      </c>
      <c r="AL360" t="s">
        <v>605</v>
      </c>
      <c r="AM360" t="s">
        <v>605</v>
      </c>
      <c r="AN360">
        <v>0.15</v>
      </c>
      <c r="AO360">
        <v>0.15</v>
      </c>
      <c r="AP360">
        <v>0.15</v>
      </c>
      <c r="AQ360">
        <v>0.15</v>
      </c>
      <c r="AR360">
        <v>0.15</v>
      </c>
      <c r="AS360">
        <v>0.13</v>
      </c>
      <c r="AT360">
        <v>0.13</v>
      </c>
      <c r="AU360">
        <v>0.13</v>
      </c>
      <c r="AV360">
        <v>0.13</v>
      </c>
      <c r="AW360">
        <v>0.13</v>
      </c>
      <c r="AX360">
        <v>0.13</v>
      </c>
      <c r="AY360">
        <v>0.13</v>
      </c>
      <c r="AZ360">
        <v>0.13</v>
      </c>
      <c r="BA360">
        <v>0.13</v>
      </c>
      <c r="BB360">
        <v>0.13</v>
      </c>
      <c r="BC360">
        <v>0.1</v>
      </c>
      <c r="BD360">
        <v>0.1</v>
      </c>
      <c r="BE360">
        <v>0.1</v>
      </c>
      <c r="BF360">
        <v>0.1</v>
      </c>
      <c r="BG360">
        <v>0.1</v>
      </c>
      <c r="BH360">
        <v>5.335</v>
      </c>
      <c r="BL360">
        <v>3.125</v>
      </c>
      <c r="BN360">
        <v>100</v>
      </c>
      <c r="BO360" t="s">
        <v>1728</v>
      </c>
      <c r="BP360" t="s">
        <v>3298</v>
      </c>
      <c r="BQ360" s="773">
        <v>0.122</v>
      </c>
      <c r="BR360" t="s">
        <v>605</v>
      </c>
      <c r="BS360" t="s">
        <v>1213</v>
      </c>
      <c r="BT360">
        <v>0</v>
      </c>
      <c r="BU360" t="s">
        <v>611</v>
      </c>
      <c r="BV360">
        <v>3.125</v>
      </c>
      <c r="BW360" t="s">
        <v>611</v>
      </c>
      <c r="BX360">
        <v>3.125</v>
      </c>
      <c r="BY360" t="s">
        <v>1173</v>
      </c>
      <c r="BZ360" t="s">
        <v>3338</v>
      </c>
    </row>
    <row r="361" spans="1:79" x14ac:dyDescent="0.2">
      <c r="A361" t="s">
        <v>1100</v>
      </c>
      <c r="B361" t="s">
        <v>3339</v>
      </c>
      <c r="C361" t="s">
        <v>1077</v>
      </c>
      <c r="D361" t="s">
        <v>457</v>
      </c>
      <c r="E361" t="s">
        <v>1202</v>
      </c>
      <c r="F361" t="s">
        <v>3310</v>
      </c>
      <c r="G361" t="s">
        <v>3340</v>
      </c>
      <c r="H361" t="s">
        <v>3341</v>
      </c>
      <c r="I361" t="s">
        <v>3342</v>
      </c>
      <c r="J361" t="s">
        <v>1219</v>
      </c>
      <c r="K361" t="s">
        <v>1208</v>
      </c>
      <c r="N361" t="s">
        <v>1228</v>
      </c>
      <c r="O361" t="s">
        <v>665</v>
      </c>
      <c r="P361" t="s">
        <v>1346</v>
      </c>
      <c r="Q361">
        <v>0</v>
      </c>
      <c r="R361" t="s">
        <v>1251</v>
      </c>
      <c r="S361">
        <v>100</v>
      </c>
      <c r="T361">
        <v>100</v>
      </c>
      <c r="U361">
        <v>100</v>
      </c>
      <c r="V361">
        <v>100</v>
      </c>
      <c r="W361">
        <v>100</v>
      </c>
      <c r="X361">
        <v>100</v>
      </c>
      <c r="AH361">
        <v>0</v>
      </c>
      <c r="AI361" t="s">
        <v>605</v>
      </c>
      <c r="AJ361" t="s">
        <v>605</v>
      </c>
      <c r="AK361" t="s">
        <v>605</v>
      </c>
      <c r="AL361" t="s">
        <v>605</v>
      </c>
      <c r="AM361" t="s">
        <v>605</v>
      </c>
      <c r="AN361">
        <v>97</v>
      </c>
      <c r="AO361">
        <v>97</v>
      </c>
      <c r="AP361">
        <v>97</v>
      </c>
      <c r="AQ361">
        <v>97</v>
      </c>
      <c r="AR361">
        <v>97</v>
      </c>
      <c r="AS361">
        <v>100</v>
      </c>
      <c r="AT361">
        <v>100</v>
      </c>
      <c r="AU361">
        <v>100</v>
      </c>
      <c r="AV361">
        <v>100</v>
      </c>
      <c r="AW361">
        <v>100</v>
      </c>
      <c r="BH361">
        <v>2.2650000000000001</v>
      </c>
      <c r="BN361">
        <v>1</v>
      </c>
      <c r="BO361" t="s">
        <v>1212</v>
      </c>
      <c r="BP361">
        <v>100</v>
      </c>
      <c r="BQ361" s="772">
        <v>100</v>
      </c>
      <c r="BR361" t="s">
        <v>605</v>
      </c>
      <c r="BS361" t="s">
        <v>1213</v>
      </c>
      <c r="BT361">
        <v>0</v>
      </c>
      <c r="BU361" t="s">
        <v>1213</v>
      </c>
      <c r="BV361">
        <v>0</v>
      </c>
      <c r="BW361" t="s">
        <v>1213</v>
      </c>
      <c r="BX361">
        <v>0</v>
      </c>
      <c r="BY361" t="s">
        <v>1213</v>
      </c>
      <c r="BZ361" t="s">
        <v>3343</v>
      </c>
    </row>
    <row r="362" spans="1:79" x14ac:dyDescent="0.2">
      <c r="A362" t="s">
        <v>1100</v>
      </c>
      <c r="B362" t="s">
        <v>3344</v>
      </c>
      <c r="C362" t="s">
        <v>1077</v>
      </c>
      <c r="D362" t="s">
        <v>457</v>
      </c>
      <c r="E362" t="s">
        <v>1202</v>
      </c>
      <c r="F362" t="s">
        <v>3310</v>
      </c>
      <c r="G362" t="s">
        <v>3345</v>
      </c>
      <c r="H362" t="s">
        <v>3346</v>
      </c>
      <c r="I362" t="s">
        <v>3347</v>
      </c>
      <c r="J362" t="s">
        <v>1219</v>
      </c>
      <c r="K362" t="s">
        <v>1208</v>
      </c>
      <c r="M362" t="s">
        <v>606</v>
      </c>
      <c r="N362" t="s">
        <v>2472</v>
      </c>
      <c r="O362" t="s">
        <v>264</v>
      </c>
      <c r="P362" t="s">
        <v>3348</v>
      </c>
      <c r="Q362">
        <v>0</v>
      </c>
      <c r="R362" t="s">
        <v>1251</v>
      </c>
      <c r="S362">
        <v>100</v>
      </c>
      <c r="X362">
        <v>100</v>
      </c>
      <c r="AD362" t="s">
        <v>605</v>
      </c>
      <c r="AE362" t="s">
        <v>605</v>
      </c>
      <c r="AH362">
        <v>0</v>
      </c>
      <c r="AM362" t="s">
        <v>605</v>
      </c>
      <c r="AR362">
        <v>0</v>
      </c>
      <c r="AW362">
        <v>100</v>
      </c>
      <c r="BH362">
        <v>0.40939999999999999</v>
      </c>
      <c r="BN362">
        <v>1</v>
      </c>
      <c r="BO362" t="s">
        <v>1212</v>
      </c>
      <c r="BP362" t="s">
        <v>3298</v>
      </c>
      <c r="BQ362" s="772">
        <v>0</v>
      </c>
      <c r="BR362" t="s">
        <v>1213</v>
      </c>
      <c r="BS362" t="s">
        <v>1213</v>
      </c>
      <c r="BT362">
        <v>0</v>
      </c>
      <c r="BU362" t="s">
        <v>1213</v>
      </c>
      <c r="BV362">
        <v>0</v>
      </c>
      <c r="BW362" t="s">
        <v>1213</v>
      </c>
      <c r="BX362">
        <v>0</v>
      </c>
      <c r="BY362" t="s">
        <v>1213</v>
      </c>
      <c r="BZ362" t="s">
        <v>3349</v>
      </c>
      <c r="CA362" t="s">
        <v>3350</v>
      </c>
    </row>
    <row r="363" spans="1:79" ht="25.5" x14ac:dyDescent="0.2">
      <c r="A363" t="s">
        <v>1100</v>
      </c>
      <c r="B363" t="s">
        <v>3351</v>
      </c>
      <c r="C363" t="s">
        <v>1077</v>
      </c>
      <c r="D363" t="s">
        <v>457</v>
      </c>
      <c r="E363" t="s">
        <v>1202</v>
      </c>
      <c r="F363" t="s">
        <v>3310</v>
      </c>
      <c r="G363" t="s">
        <v>3352</v>
      </c>
      <c r="H363" t="s">
        <v>3353</v>
      </c>
      <c r="I363" t="s">
        <v>3354</v>
      </c>
      <c r="J363" t="s">
        <v>1207</v>
      </c>
      <c r="K363" t="s">
        <v>1208</v>
      </c>
      <c r="N363" t="s">
        <v>1331</v>
      </c>
      <c r="O363" t="s">
        <v>272</v>
      </c>
      <c r="P363" t="s">
        <v>3355</v>
      </c>
      <c r="Q363">
        <v>0</v>
      </c>
      <c r="R363" t="s">
        <v>1251</v>
      </c>
      <c r="S363" t="s">
        <v>1710</v>
      </c>
      <c r="X363">
        <v>1015</v>
      </c>
      <c r="AE363" t="s">
        <v>605</v>
      </c>
      <c r="AH363">
        <v>0</v>
      </c>
      <c r="AM363" t="s">
        <v>605</v>
      </c>
      <c r="AR363">
        <v>812</v>
      </c>
      <c r="AW363">
        <v>1015</v>
      </c>
      <c r="BB363">
        <v>1015</v>
      </c>
      <c r="BG363">
        <v>1218</v>
      </c>
      <c r="BH363">
        <v>5.0000000000000001E-3</v>
      </c>
      <c r="BL363">
        <v>5.0000000000000001E-3</v>
      </c>
      <c r="BN363">
        <v>1</v>
      </c>
      <c r="BO363" t="s">
        <v>1212</v>
      </c>
      <c r="BP363" t="s">
        <v>3298</v>
      </c>
      <c r="BQ363" s="771" t="s">
        <v>3298</v>
      </c>
      <c r="BR363" t="s">
        <v>1213</v>
      </c>
      <c r="BS363" t="s">
        <v>1213</v>
      </c>
      <c r="BT363">
        <v>0</v>
      </c>
      <c r="BU363" t="s">
        <v>1213</v>
      </c>
      <c r="BV363">
        <v>0</v>
      </c>
      <c r="BW363" t="s">
        <v>1213</v>
      </c>
      <c r="BX363">
        <v>0</v>
      </c>
      <c r="BY363" t="s">
        <v>1213</v>
      </c>
      <c r="BZ363" t="s">
        <v>3356</v>
      </c>
    </row>
    <row r="364" spans="1:79" x14ac:dyDescent="0.2">
      <c r="A364" t="s">
        <v>1100</v>
      </c>
      <c r="B364" t="s">
        <v>3357</v>
      </c>
      <c r="C364" t="s">
        <v>1077</v>
      </c>
      <c r="D364" t="s">
        <v>457</v>
      </c>
      <c r="E364" t="s">
        <v>1202</v>
      </c>
      <c r="F364" t="s">
        <v>3358</v>
      </c>
      <c r="G364" t="s">
        <v>3359</v>
      </c>
      <c r="H364" t="s">
        <v>3360</v>
      </c>
      <c r="I364" t="s">
        <v>3361</v>
      </c>
      <c r="J364" t="s">
        <v>1241</v>
      </c>
      <c r="N364" t="s">
        <v>1386</v>
      </c>
      <c r="O364" t="s">
        <v>272</v>
      </c>
      <c r="P364" t="s">
        <v>1904</v>
      </c>
      <c r="Q364">
        <v>1</v>
      </c>
      <c r="R364" t="s">
        <v>1211</v>
      </c>
      <c r="S364">
        <v>247.8</v>
      </c>
      <c r="T364">
        <v>227</v>
      </c>
      <c r="U364">
        <v>185</v>
      </c>
      <c r="V364">
        <v>166.1</v>
      </c>
      <c r="W364">
        <v>146.6</v>
      </c>
      <c r="X364">
        <v>136.19999999999999</v>
      </c>
      <c r="AH364">
        <v>0</v>
      </c>
      <c r="BP364" t="s">
        <v>3298</v>
      </c>
      <c r="BQ364" s="769">
        <v>284.78500000000003</v>
      </c>
      <c r="BR364" t="s">
        <v>606</v>
      </c>
      <c r="BS364" t="s">
        <v>1213</v>
      </c>
      <c r="BT364">
        <v>0</v>
      </c>
      <c r="BU364" t="s">
        <v>1213</v>
      </c>
      <c r="BV364">
        <v>0</v>
      </c>
      <c r="BW364" t="s">
        <v>1213</v>
      </c>
      <c r="BX364">
        <v>0</v>
      </c>
      <c r="BY364" t="s">
        <v>1213</v>
      </c>
      <c r="BZ364" t="s">
        <v>3362</v>
      </c>
    </row>
    <row r="365" spans="1:79" x14ac:dyDescent="0.2">
      <c r="A365" t="s">
        <v>1100</v>
      </c>
      <c r="B365" t="s">
        <v>3363</v>
      </c>
      <c r="C365" t="s">
        <v>1077</v>
      </c>
      <c r="D365" t="s">
        <v>457</v>
      </c>
      <c r="E365" t="s">
        <v>1202</v>
      </c>
      <c r="F365" t="s">
        <v>3358</v>
      </c>
      <c r="G365" t="s">
        <v>3364</v>
      </c>
      <c r="H365" t="s">
        <v>3365</v>
      </c>
      <c r="I365" t="s">
        <v>3366</v>
      </c>
      <c r="J365" t="s">
        <v>1207</v>
      </c>
      <c r="K365" t="s">
        <v>1208</v>
      </c>
      <c r="N365" t="s">
        <v>1209</v>
      </c>
      <c r="O365" t="s">
        <v>272</v>
      </c>
      <c r="P365" t="s">
        <v>3367</v>
      </c>
      <c r="Q365">
        <v>0</v>
      </c>
      <c r="R365" t="s">
        <v>1211</v>
      </c>
      <c r="S365">
        <v>665</v>
      </c>
      <c r="T365">
        <v>649</v>
      </c>
      <c r="U365">
        <v>630</v>
      </c>
      <c r="V365">
        <v>620</v>
      </c>
      <c r="W365">
        <v>612</v>
      </c>
      <c r="X365">
        <v>606</v>
      </c>
      <c r="AE365" t="s">
        <v>605</v>
      </c>
      <c r="AH365">
        <v>0</v>
      </c>
      <c r="AI365" t="s">
        <v>605</v>
      </c>
      <c r="AJ365" t="s">
        <v>605</v>
      </c>
      <c r="AK365" t="s">
        <v>605</v>
      </c>
      <c r="AL365" t="s">
        <v>605</v>
      </c>
      <c r="AM365" t="s">
        <v>605</v>
      </c>
      <c r="AN365">
        <v>657</v>
      </c>
      <c r="AO365">
        <v>649</v>
      </c>
      <c r="AP365">
        <v>649</v>
      </c>
      <c r="AQ365">
        <v>649</v>
      </c>
      <c r="AR365">
        <v>649</v>
      </c>
      <c r="AS365">
        <v>649</v>
      </c>
      <c r="AT365">
        <v>630</v>
      </c>
      <c r="AU365">
        <v>620</v>
      </c>
      <c r="AV365">
        <v>612</v>
      </c>
      <c r="AW365">
        <v>606</v>
      </c>
      <c r="AX365">
        <v>637</v>
      </c>
      <c r="AY365">
        <v>619</v>
      </c>
      <c r="AZ365">
        <v>609</v>
      </c>
      <c r="BA365">
        <v>600</v>
      </c>
      <c r="BB365">
        <v>594</v>
      </c>
      <c r="BC365">
        <v>626</v>
      </c>
      <c r="BD365">
        <v>607</v>
      </c>
      <c r="BE365">
        <v>596</v>
      </c>
      <c r="BF365">
        <v>588</v>
      </c>
      <c r="BG365">
        <v>582</v>
      </c>
      <c r="BH365">
        <v>0.45</v>
      </c>
      <c r="BL365">
        <v>0.27</v>
      </c>
      <c r="BN365">
        <v>1</v>
      </c>
      <c r="BO365" t="s">
        <v>1212</v>
      </c>
      <c r="BP365">
        <v>653.96</v>
      </c>
      <c r="BQ365" s="772">
        <v>642.46</v>
      </c>
      <c r="BR365" t="s">
        <v>605</v>
      </c>
      <c r="BS365" t="s">
        <v>1213</v>
      </c>
      <c r="BT365">
        <v>0</v>
      </c>
      <c r="BU365" t="s">
        <v>610</v>
      </c>
      <c r="BV365">
        <v>0</v>
      </c>
      <c r="BW365" t="s">
        <v>610</v>
      </c>
      <c r="BX365">
        <v>0</v>
      </c>
      <c r="BY365" t="s">
        <v>1213</v>
      </c>
      <c r="BZ365" t="s">
        <v>3368</v>
      </c>
    </row>
    <row r="366" spans="1:79" ht="25.5" x14ac:dyDescent="0.2">
      <c r="A366" t="s">
        <v>1100</v>
      </c>
      <c r="B366" t="s">
        <v>3369</v>
      </c>
      <c r="C366" t="s">
        <v>1077</v>
      </c>
      <c r="D366" t="s">
        <v>457</v>
      </c>
      <c r="E366" t="s">
        <v>1202</v>
      </c>
      <c r="F366" t="s">
        <v>3358</v>
      </c>
      <c r="G366" t="s">
        <v>3370</v>
      </c>
      <c r="H366" t="s">
        <v>3371</v>
      </c>
      <c r="I366" t="s">
        <v>3372</v>
      </c>
      <c r="J366" t="s">
        <v>1241</v>
      </c>
      <c r="N366" t="s">
        <v>1235</v>
      </c>
      <c r="O366" t="s">
        <v>1242</v>
      </c>
      <c r="P366" t="s">
        <v>3373</v>
      </c>
      <c r="Q366" t="s">
        <v>1242</v>
      </c>
      <c r="S366" t="s">
        <v>1710</v>
      </c>
      <c r="T366" t="s">
        <v>1242</v>
      </c>
      <c r="U366" t="s">
        <v>1242</v>
      </c>
      <c r="V366" t="s">
        <v>1242</v>
      </c>
      <c r="W366" t="s">
        <v>1242</v>
      </c>
      <c r="X366" t="s">
        <v>1242</v>
      </c>
      <c r="AG366" t="s">
        <v>605</v>
      </c>
      <c r="AH366">
        <v>0</v>
      </c>
      <c r="BP366" t="s">
        <v>3298</v>
      </c>
      <c r="BQ366" s="771" t="s">
        <v>3298</v>
      </c>
      <c r="BR366" t="s">
        <v>1213</v>
      </c>
      <c r="BS366" t="s">
        <v>1213</v>
      </c>
      <c r="BT366">
        <v>0</v>
      </c>
      <c r="BU366" t="s">
        <v>1213</v>
      </c>
      <c r="BV366">
        <v>0</v>
      </c>
      <c r="BW366" t="s">
        <v>1213</v>
      </c>
      <c r="BX366">
        <v>0</v>
      </c>
      <c r="BY366" t="s">
        <v>1213</v>
      </c>
      <c r="BZ366" t="s">
        <v>3374</v>
      </c>
    </row>
    <row r="367" spans="1:79" x14ac:dyDescent="0.2">
      <c r="A367" t="s">
        <v>1100</v>
      </c>
      <c r="B367" t="s">
        <v>3375</v>
      </c>
      <c r="C367" t="s">
        <v>1077</v>
      </c>
      <c r="D367" t="s">
        <v>457</v>
      </c>
      <c r="E367" t="s">
        <v>1202</v>
      </c>
      <c r="F367" t="s">
        <v>3358</v>
      </c>
      <c r="G367" t="s">
        <v>3376</v>
      </c>
      <c r="H367" t="s">
        <v>3377</v>
      </c>
      <c r="I367" t="s">
        <v>3378</v>
      </c>
      <c r="J367" t="s">
        <v>1241</v>
      </c>
      <c r="N367" t="s">
        <v>2325</v>
      </c>
      <c r="O367" t="s">
        <v>272</v>
      </c>
      <c r="P367" t="s">
        <v>3379</v>
      </c>
      <c r="Q367">
        <v>0</v>
      </c>
      <c r="R367" t="s">
        <v>1251</v>
      </c>
      <c r="S367">
        <v>14000</v>
      </c>
      <c r="T367">
        <v>15000</v>
      </c>
      <c r="U367">
        <v>16000</v>
      </c>
      <c r="V367">
        <v>17000</v>
      </c>
      <c r="W367">
        <v>18000</v>
      </c>
      <c r="X367">
        <v>20000</v>
      </c>
      <c r="AH367">
        <v>0</v>
      </c>
      <c r="BP367" t="s">
        <v>3298</v>
      </c>
      <c r="BQ367" s="772">
        <v>17491</v>
      </c>
      <c r="BR367" t="s">
        <v>605</v>
      </c>
      <c r="BS367" t="s">
        <v>1213</v>
      </c>
      <c r="BT367">
        <v>0</v>
      </c>
      <c r="BU367" t="s">
        <v>1213</v>
      </c>
      <c r="BV367">
        <v>0</v>
      </c>
      <c r="BW367" t="s">
        <v>1213</v>
      </c>
      <c r="BX367">
        <v>0</v>
      </c>
      <c r="BY367" t="s">
        <v>1213</v>
      </c>
      <c r="BZ367" t="s">
        <v>3380</v>
      </c>
    </row>
    <row r="368" spans="1:79" x14ac:dyDescent="0.2">
      <c r="A368" t="s">
        <v>1100</v>
      </c>
      <c r="B368" t="s">
        <v>3381</v>
      </c>
      <c r="C368" t="s">
        <v>1077</v>
      </c>
      <c r="D368" t="s">
        <v>457</v>
      </c>
      <c r="E368" t="s">
        <v>1202</v>
      </c>
      <c r="F368" t="s">
        <v>3358</v>
      </c>
      <c r="G368" t="s">
        <v>3382</v>
      </c>
      <c r="H368" t="s">
        <v>3383</v>
      </c>
      <c r="I368" t="s">
        <v>3384</v>
      </c>
      <c r="J368" t="s">
        <v>1219</v>
      </c>
      <c r="K368" t="s">
        <v>1563</v>
      </c>
      <c r="M368" t="s">
        <v>606</v>
      </c>
      <c r="N368" t="s">
        <v>1377</v>
      </c>
      <c r="O368" t="s">
        <v>264</v>
      </c>
      <c r="P368" t="s">
        <v>3385</v>
      </c>
      <c r="Q368">
        <v>0</v>
      </c>
      <c r="R368" t="s">
        <v>1251</v>
      </c>
      <c r="S368" t="s">
        <v>1710</v>
      </c>
      <c r="X368">
        <v>100</v>
      </c>
      <c r="AD368" t="s">
        <v>605</v>
      </c>
      <c r="AF368" t="s">
        <v>605</v>
      </c>
      <c r="AH368">
        <v>0</v>
      </c>
      <c r="AM368" t="s">
        <v>605</v>
      </c>
      <c r="AR368">
        <v>0</v>
      </c>
      <c r="AW368">
        <v>100</v>
      </c>
      <c r="BH368">
        <v>0.40939999999999999</v>
      </c>
      <c r="BN368">
        <v>1</v>
      </c>
      <c r="BO368" t="s">
        <v>1212</v>
      </c>
      <c r="BP368" t="s">
        <v>3298</v>
      </c>
      <c r="BQ368" s="771">
        <v>0</v>
      </c>
      <c r="BR368" t="s">
        <v>1213</v>
      </c>
      <c r="BS368" t="s">
        <v>1213</v>
      </c>
      <c r="BT368">
        <v>0</v>
      </c>
      <c r="BU368" t="s">
        <v>1213</v>
      </c>
      <c r="BV368">
        <v>0</v>
      </c>
      <c r="BW368" t="s">
        <v>1213</v>
      </c>
      <c r="BX368">
        <v>0</v>
      </c>
      <c r="BY368" t="s">
        <v>1213</v>
      </c>
      <c r="BZ368" t="s">
        <v>3386</v>
      </c>
      <c r="CA368" t="s">
        <v>3387</v>
      </c>
    </row>
    <row r="369" spans="1:79" x14ac:dyDescent="0.2">
      <c r="A369" t="s">
        <v>1100</v>
      </c>
      <c r="B369" t="s">
        <v>3388</v>
      </c>
      <c r="C369" t="s">
        <v>1077</v>
      </c>
      <c r="D369" t="s">
        <v>457</v>
      </c>
      <c r="E369" t="s">
        <v>1202</v>
      </c>
      <c r="F369" t="s">
        <v>3389</v>
      </c>
      <c r="G369" t="s">
        <v>3390</v>
      </c>
      <c r="H369" t="s">
        <v>3391</v>
      </c>
      <c r="I369" t="s">
        <v>3392</v>
      </c>
      <c r="J369" t="s">
        <v>1241</v>
      </c>
      <c r="N369" t="s">
        <v>1386</v>
      </c>
      <c r="O369" t="s">
        <v>272</v>
      </c>
      <c r="P369" t="s">
        <v>3393</v>
      </c>
      <c r="Q369">
        <v>0</v>
      </c>
      <c r="R369" t="s">
        <v>1211</v>
      </c>
      <c r="S369">
        <v>505</v>
      </c>
      <c r="T369">
        <v>494</v>
      </c>
      <c r="U369">
        <v>483</v>
      </c>
      <c r="V369">
        <v>472</v>
      </c>
      <c r="W369">
        <v>472</v>
      </c>
      <c r="X369">
        <v>476</v>
      </c>
      <c r="AH369">
        <v>0</v>
      </c>
      <c r="BP369" t="s">
        <v>3298</v>
      </c>
      <c r="BQ369" s="772">
        <v>495.80599999999998</v>
      </c>
      <c r="BR369" t="s">
        <v>606</v>
      </c>
      <c r="BS369" t="s">
        <v>1213</v>
      </c>
      <c r="BT369">
        <v>0</v>
      </c>
      <c r="BU369" t="s">
        <v>1213</v>
      </c>
      <c r="BV369">
        <v>0</v>
      </c>
      <c r="BW369" t="s">
        <v>1213</v>
      </c>
      <c r="BX369">
        <v>0</v>
      </c>
      <c r="BY369" t="s">
        <v>1213</v>
      </c>
      <c r="BZ369" t="s">
        <v>3394</v>
      </c>
    </row>
    <row r="370" spans="1:79" x14ac:dyDescent="0.2">
      <c r="A370" t="s">
        <v>1100</v>
      </c>
      <c r="B370" t="s">
        <v>3395</v>
      </c>
      <c r="C370" t="s">
        <v>1077</v>
      </c>
      <c r="D370" t="s">
        <v>458</v>
      </c>
      <c r="E370" t="s">
        <v>1428</v>
      </c>
      <c r="F370" t="s">
        <v>3275</v>
      </c>
      <c r="G370" t="s">
        <v>3396</v>
      </c>
      <c r="H370" t="s">
        <v>3397</v>
      </c>
      <c r="I370" t="s">
        <v>3398</v>
      </c>
      <c r="J370" t="s">
        <v>1241</v>
      </c>
      <c r="N370" t="s">
        <v>1400</v>
      </c>
      <c r="O370" t="s">
        <v>264</v>
      </c>
      <c r="P370" t="s">
        <v>3279</v>
      </c>
      <c r="Q370">
        <v>0</v>
      </c>
      <c r="R370" t="s">
        <v>1251</v>
      </c>
      <c r="S370">
        <v>90</v>
      </c>
      <c r="T370">
        <v>95</v>
      </c>
      <c r="U370">
        <v>95</v>
      </c>
      <c r="V370">
        <v>95</v>
      </c>
      <c r="W370">
        <v>95</v>
      </c>
      <c r="X370">
        <v>95</v>
      </c>
      <c r="AH370">
        <v>0</v>
      </c>
      <c r="BP370">
        <v>86.57</v>
      </c>
      <c r="BQ370" s="772">
        <v>86.72</v>
      </c>
      <c r="BR370" t="s">
        <v>606</v>
      </c>
      <c r="BS370" t="s">
        <v>1213</v>
      </c>
      <c r="BT370">
        <v>0</v>
      </c>
      <c r="BU370" t="s">
        <v>1213</v>
      </c>
      <c r="BV370">
        <v>0</v>
      </c>
      <c r="BW370" t="s">
        <v>1213</v>
      </c>
      <c r="BX370">
        <v>0</v>
      </c>
      <c r="BY370" t="s">
        <v>1213</v>
      </c>
      <c r="BZ370" t="s">
        <v>3399</v>
      </c>
    </row>
    <row r="371" spans="1:79" x14ac:dyDescent="0.2">
      <c r="A371" t="s">
        <v>1100</v>
      </c>
      <c r="B371" t="s">
        <v>3400</v>
      </c>
      <c r="C371" t="s">
        <v>1077</v>
      </c>
      <c r="D371" t="s">
        <v>458</v>
      </c>
      <c r="E371" t="s">
        <v>1428</v>
      </c>
      <c r="F371" t="s">
        <v>3275</v>
      </c>
      <c r="G371" t="s">
        <v>3401</v>
      </c>
      <c r="H371" t="s">
        <v>3402</v>
      </c>
      <c r="I371" t="s">
        <v>3403</v>
      </c>
      <c r="J371" t="s">
        <v>1241</v>
      </c>
      <c r="N371" t="s">
        <v>1400</v>
      </c>
      <c r="O371" t="s">
        <v>272</v>
      </c>
      <c r="P371" t="s">
        <v>3285</v>
      </c>
      <c r="Q371">
        <v>2</v>
      </c>
      <c r="R371" t="s">
        <v>1211</v>
      </c>
      <c r="S371">
        <v>8.0500000000000007</v>
      </c>
      <c r="T371">
        <v>7.6</v>
      </c>
      <c r="U371">
        <v>7.15</v>
      </c>
      <c r="V371">
        <v>6.7</v>
      </c>
      <c r="W371">
        <v>6.25</v>
      </c>
      <c r="X371">
        <v>5.8</v>
      </c>
      <c r="AH371">
        <v>0</v>
      </c>
      <c r="BP371">
        <v>8.8000000000000007</v>
      </c>
      <c r="BQ371" s="773">
        <v>6.46</v>
      </c>
      <c r="BR371" t="s">
        <v>605</v>
      </c>
      <c r="BS371" t="s">
        <v>1213</v>
      </c>
      <c r="BT371">
        <v>0</v>
      </c>
      <c r="BU371" t="s">
        <v>1213</v>
      </c>
      <c r="BV371">
        <v>0</v>
      </c>
      <c r="BW371" t="s">
        <v>1213</v>
      </c>
      <c r="BX371">
        <v>0</v>
      </c>
      <c r="BY371" t="s">
        <v>1213</v>
      </c>
      <c r="BZ371" t="s">
        <v>3404</v>
      </c>
    </row>
    <row r="372" spans="1:79" x14ac:dyDescent="0.2">
      <c r="A372" t="s">
        <v>1100</v>
      </c>
      <c r="B372" t="s">
        <v>3405</v>
      </c>
      <c r="C372" t="s">
        <v>1077</v>
      </c>
      <c r="D372" t="s">
        <v>458</v>
      </c>
      <c r="E372" t="s">
        <v>1428</v>
      </c>
      <c r="F372" t="s">
        <v>3275</v>
      </c>
      <c r="G372" t="s">
        <v>3406</v>
      </c>
      <c r="H372" t="s">
        <v>3407</v>
      </c>
      <c r="I372" t="s">
        <v>3408</v>
      </c>
      <c r="J372" t="s">
        <v>1241</v>
      </c>
      <c r="N372" t="s">
        <v>1400</v>
      </c>
      <c r="O372" t="s">
        <v>665</v>
      </c>
      <c r="P372" t="s">
        <v>3291</v>
      </c>
      <c r="Q372">
        <v>2</v>
      </c>
      <c r="R372" t="s">
        <v>1251</v>
      </c>
      <c r="S372">
        <v>4.3</v>
      </c>
      <c r="T372">
        <v>4.55</v>
      </c>
      <c r="U372">
        <v>4.5999999999999996</v>
      </c>
      <c r="V372">
        <v>4.6500000000000004</v>
      </c>
      <c r="W372">
        <v>4.6500000000000004</v>
      </c>
      <c r="X372">
        <v>4.7</v>
      </c>
      <c r="AH372">
        <v>0</v>
      </c>
      <c r="BP372">
        <v>4.21</v>
      </c>
      <c r="BQ372" s="773">
        <v>4.5</v>
      </c>
      <c r="BR372" t="s">
        <v>606</v>
      </c>
      <c r="BS372" t="s">
        <v>1213</v>
      </c>
      <c r="BT372">
        <v>0</v>
      </c>
      <c r="BU372" t="s">
        <v>1213</v>
      </c>
      <c r="BV372">
        <v>0</v>
      </c>
      <c r="BW372" t="s">
        <v>1213</v>
      </c>
      <c r="BX372">
        <v>0</v>
      </c>
      <c r="BY372" t="s">
        <v>1213</v>
      </c>
      <c r="BZ372" t="s">
        <v>3409</v>
      </c>
    </row>
    <row r="373" spans="1:79" x14ac:dyDescent="0.2">
      <c r="A373" t="s">
        <v>1100</v>
      </c>
      <c r="B373" t="s">
        <v>3410</v>
      </c>
      <c r="C373" t="s">
        <v>1077</v>
      </c>
      <c r="D373" t="s">
        <v>458</v>
      </c>
      <c r="E373" t="s">
        <v>1428</v>
      </c>
      <c r="F373" t="s">
        <v>3411</v>
      </c>
      <c r="G373" t="s">
        <v>3412</v>
      </c>
      <c r="H373" t="s">
        <v>3413</v>
      </c>
      <c r="I373" t="s">
        <v>3414</v>
      </c>
      <c r="J373" t="s">
        <v>1219</v>
      </c>
      <c r="K373" t="s">
        <v>1208</v>
      </c>
      <c r="M373" t="s">
        <v>606</v>
      </c>
      <c r="N373" t="s">
        <v>1495</v>
      </c>
      <c r="O373" t="s">
        <v>1410</v>
      </c>
      <c r="P373" t="s">
        <v>1564</v>
      </c>
      <c r="Q373" t="s">
        <v>1212</v>
      </c>
      <c r="S373" t="s">
        <v>612</v>
      </c>
      <c r="T373" t="s">
        <v>612</v>
      </c>
      <c r="U373" t="s">
        <v>612</v>
      </c>
      <c r="V373" t="s">
        <v>612</v>
      </c>
      <c r="W373" t="s">
        <v>612</v>
      </c>
      <c r="X373" t="s">
        <v>612</v>
      </c>
      <c r="AE373" t="s">
        <v>605</v>
      </c>
      <c r="AH373">
        <v>3</v>
      </c>
      <c r="AI373" t="s">
        <v>605</v>
      </c>
      <c r="AJ373" t="s">
        <v>605</v>
      </c>
      <c r="AK373" t="s">
        <v>605</v>
      </c>
      <c r="AL373" t="s">
        <v>605</v>
      </c>
      <c r="AM373" t="s">
        <v>605</v>
      </c>
      <c r="AN373" t="s">
        <v>1565</v>
      </c>
      <c r="AO373" t="s">
        <v>1565</v>
      </c>
      <c r="AP373" t="s">
        <v>1565</v>
      </c>
      <c r="AQ373" t="s">
        <v>1565</v>
      </c>
      <c r="AR373" t="s">
        <v>1565</v>
      </c>
      <c r="AS373" t="s">
        <v>1566</v>
      </c>
      <c r="AT373" t="s">
        <v>1566</v>
      </c>
      <c r="AU373" t="s">
        <v>1566</v>
      </c>
      <c r="AV373" t="s">
        <v>1566</v>
      </c>
      <c r="AW373" t="s">
        <v>1566</v>
      </c>
      <c r="BH373">
        <v>4.5350000000000001</v>
      </c>
      <c r="BN373">
        <v>1</v>
      </c>
      <c r="BO373" t="s">
        <v>1212</v>
      </c>
      <c r="BP373" t="s">
        <v>612</v>
      </c>
      <c r="BQ373" s="771" t="s">
        <v>612</v>
      </c>
      <c r="BR373" t="s">
        <v>605</v>
      </c>
      <c r="BS373" t="s">
        <v>1213</v>
      </c>
      <c r="BT373">
        <v>0</v>
      </c>
      <c r="BU373" t="s">
        <v>1213</v>
      </c>
      <c r="BV373">
        <v>0</v>
      </c>
      <c r="BW373" t="s">
        <v>1213</v>
      </c>
      <c r="BX373">
        <v>0</v>
      </c>
      <c r="BY373" t="s">
        <v>1213</v>
      </c>
      <c r="BZ373" t="s">
        <v>3415</v>
      </c>
      <c r="CA373" t="s">
        <v>3416</v>
      </c>
    </row>
    <row r="374" spans="1:79" x14ac:dyDescent="0.2">
      <c r="A374" t="s">
        <v>1100</v>
      </c>
      <c r="B374" t="s">
        <v>3417</v>
      </c>
      <c r="C374" t="s">
        <v>1077</v>
      </c>
      <c r="D374" t="s">
        <v>458</v>
      </c>
      <c r="E374" t="s">
        <v>1428</v>
      </c>
      <c r="F374" t="s">
        <v>3411</v>
      </c>
      <c r="G374" t="s">
        <v>3418</v>
      </c>
      <c r="H374" t="s">
        <v>3419</v>
      </c>
      <c r="I374" t="s">
        <v>3420</v>
      </c>
      <c r="J374" t="s">
        <v>1219</v>
      </c>
      <c r="K374" t="s">
        <v>1208</v>
      </c>
      <c r="M374" t="s">
        <v>606</v>
      </c>
      <c r="N374" t="s">
        <v>1495</v>
      </c>
      <c r="O374" t="s">
        <v>1410</v>
      </c>
      <c r="P374" t="s">
        <v>1564</v>
      </c>
      <c r="Q374" t="s">
        <v>1212</v>
      </c>
      <c r="S374" t="s">
        <v>612</v>
      </c>
      <c r="T374" t="s">
        <v>612</v>
      </c>
      <c r="U374" t="s">
        <v>612</v>
      </c>
      <c r="V374" t="s">
        <v>612</v>
      </c>
      <c r="W374" t="s">
        <v>612</v>
      </c>
      <c r="X374" t="s">
        <v>612</v>
      </c>
      <c r="AE374" t="s">
        <v>605</v>
      </c>
      <c r="AH374">
        <v>4</v>
      </c>
      <c r="AI374" t="s">
        <v>605</v>
      </c>
      <c r="AJ374" t="s">
        <v>605</v>
      </c>
      <c r="AK374" t="s">
        <v>605</v>
      </c>
      <c r="AL374" t="s">
        <v>605</v>
      </c>
      <c r="AM374" t="s">
        <v>605</v>
      </c>
      <c r="AN374" t="s">
        <v>1565</v>
      </c>
      <c r="AO374" t="s">
        <v>1565</v>
      </c>
      <c r="AP374" t="s">
        <v>1565</v>
      </c>
      <c r="AQ374" t="s">
        <v>1565</v>
      </c>
      <c r="AR374" t="s">
        <v>1565</v>
      </c>
      <c r="AS374" t="s">
        <v>1566</v>
      </c>
      <c r="AT374" t="s">
        <v>1566</v>
      </c>
      <c r="AU374" t="s">
        <v>1566</v>
      </c>
      <c r="AV374" t="s">
        <v>1566</v>
      </c>
      <c r="AW374" t="s">
        <v>1566</v>
      </c>
      <c r="BH374">
        <v>4.5350000000000001</v>
      </c>
      <c r="BN374">
        <v>1</v>
      </c>
      <c r="BO374" t="s">
        <v>1212</v>
      </c>
      <c r="BP374" t="s">
        <v>1565</v>
      </c>
      <c r="BQ374" s="771" t="s">
        <v>612</v>
      </c>
      <c r="BR374" t="s">
        <v>605</v>
      </c>
      <c r="BS374" t="s">
        <v>1213</v>
      </c>
      <c r="BT374">
        <v>0</v>
      </c>
      <c r="BU374" t="s">
        <v>1213</v>
      </c>
      <c r="BV374">
        <v>0</v>
      </c>
      <c r="BW374" t="s">
        <v>1213</v>
      </c>
      <c r="BX374">
        <v>0</v>
      </c>
      <c r="BY374" t="s">
        <v>1213</v>
      </c>
      <c r="BZ374" t="s">
        <v>3421</v>
      </c>
      <c r="CA374" t="s">
        <v>3422</v>
      </c>
    </row>
    <row r="375" spans="1:79" ht="25.5" x14ac:dyDescent="0.2">
      <c r="A375" t="s">
        <v>1100</v>
      </c>
      <c r="B375" t="s">
        <v>3423</v>
      </c>
      <c r="C375" t="s">
        <v>1077</v>
      </c>
      <c r="D375" t="s">
        <v>458</v>
      </c>
      <c r="E375" t="s">
        <v>1428</v>
      </c>
      <c r="F375" t="s">
        <v>3411</v>
      </c>
      <c r="G375" t="s">
        <v>3424</v>
      </c>
      <c r="H375" t="s">
        <v>3425</v>
      </c>
      <c r="I375" t="s">
        <v>3426</v>
      </c>
      <c r="J375" t="s">
        <v>1207</v>
      </c>
      <c r="K375" t="s">
        <v>1563</v>
      </c>
      <c r="M375" t="s">
        <v>606</v>
      </c>
      <c r="N375" t="s">
        <v>1432</v>
      </c>
      <c r="O375" t="s">
        <v>272</v>
      </c>
      <c r="P375" t="s">
        <v>3427</v>
      </c>
      <c r="Q375">
        <v>0</v>
      </c>
      <c r="R375" t="s">
        <v>1251</v>
      </c>
      <c r="S375" t="s">
        <v>1710</v>
      </c>
      <c r="X375">
        <v>2127</v>
      </c>
      <c r="AD375" t="s">
        <v>605</v>
      </c>
      <c r="AE375" t="s">
        <v>605</v>
      </c>
      <c r="AH375">
        <v>0</v>
      </c>
      <c r="AM375" t="s">
        <v>605</v>
      </c>
      <c r="AR375">
        <v>1459</v>
      </c>
      <c r="AW375">
        <v>2127</v>
      </c>
      <c r="BB375">
        <v>2127</v>
      </c>
      <c r="BG375">
        <v>2753</v>
      </c>
      <c r="BH375" t="s">
        <v>2492</v>
      </c>
      <c r="BL375" t="s">
        <v>2492</v>
      </c>
      <c r="BN375">
        <v>1</v>
      </c>
      <c r="BO375" t="s">
        <v>1212</v>
      </c>
      <c r="BP375" t="s">
        <v>3298</v>
      </c>
      <c r="BQ375" s="771" t="s">
        <v>3298</v>
      </c>
      <c r="BR375" t="s">
        <v>1213</v>
      </c>
      <c r="BS375" t="s">
        <v>1213</v>
      </c>
      <c r="BT375">
        <v>0</v>
      </c>
      <c r="BU375" t="s">
        <v>1213</v>
      </c>
      <c r="BV375">
        <v>0</v>
      </c>
      <c r="BW375" t="s">
        <v>1213</v>
      </c>
      <c r="BX375">
        <v>0</v>
      </c>
      <c r="BY375" t="s">
        <v>1213</v>
      </c>
      <c r="BZ375" t="s">
        <v>3428</v>
      </c>
      <c r="CA375" t="s">
        <v>3429</v>
      </c>
    </row>
    <row r="376" spans="1:79" x14ac:dyDescent="0.2">
      <c r="A376" t="s">
        <v>1100</v>
      </c>
      <c r="B376" t="s">
        <v>3430</v>
      </c>
      <c r="C376" t="s">
        <v>1077</v>
      </c>
      <c r="D376" t="s">
        <v>458</v>
      </c>
      <c r="E376" t="s">
        <v>1428</v>
      </c>
      <c r="F376" t="s">
        <v>3411</v>
      </c>
      <c r="G376" t="s">
        <v>3431</v>
      </c>
      <c r="H376" t="s">
        <v>3432</v>
      </c>
      <c r="I376" t="s">
        <v>3433</v>
      </c>
      <c r="J376" t="s">
        <v>1207</v>
      </c>
      <c r="K376" t="s">
        <v>1208</v>
      </c>
      <c r="N376" t="s">
        <v>1432</v>
      </c>
      <c r="O376" t="s">
        <v>272</v>
      </c>
      <c r="P376" t="s">
        <v>3434</v>
      </c>
      <c r="Q376">
        <v>0</v>
      </c>
      <c r="R376" t="s">
        <v>1211</v>
      </c>
      <c r="S376">
        <v>1209</v>
      </c>
      <c r="T376">
        <v>1168</v>
      </c>
      <c r="U376">
        <v>1126</v>
      </c>
      <c r="V376">
        <v>1085</v>
      </c>
      <c r="W376">
        <v>1085</v>
      </c>
      <c r="X376">
        <v>1085</v>
      </c>
      <c r="AC376" t="s">
        <v>605</v>
      </c>
      <c r="AE376" t="s">
        <v>605</v>
      </c>
      <c r="AH376">
        <v>0</v>
      </c>
      <c r="AI376" t="s">
        <v>605</v>
      </c>
      <c r="AJ376" t="s">
        <v>605</v>
      </c>
      <c r="AK376" t="s">
        <v>605</v>
      </c>
      <c r="AL376" t="s">
        <v>605</v>
      </c>
      <c r="AM376" t="s">
        <v>605</v>
      </c>
      <c r="AN376">
        <v>1339</v>
      </c>
      <c r="AO376">
        <v>1339</v>
      </c>
      <c r="AP376">
        <v>1215</v>
      </c>
      <c r="AQ376">
        <v>1215</v>
      </c>
      <c r="AR376">
        <v>1215</v>
      </c>
      <c r="AS376">
        <v>1209</v>
      </c>
      <c r="AT376">
        <v>1209</v>
      </c>
      <c r="AU376">
        <v>1085</v>
      </c>
      <c r="AV376">
        <v>1085</v>
      </c>
      <c r="AW376">
        <v>1085</v>
      </c>
      <c r="AX376">
        <v>1085</v>
      </c>
      <c r="AY376">
        <v>1085</v>
      </c>
      <c r="AZ376">
        <v>1085</v>
      </c>
      <c r="BA376">
        <v>1085</v>
      </c>
      <c r="BB376">
        <v>1085</v>
      </c>
      <c r="BC376">
        <v>955</v>
      </c>
      <c r="BD376">
        <v>955</v>
      </c>
      <c r="BE376">
        <v>955</v>
      </c>
      <c r="BF376">
        <v>955</v>
      </c>
      <c r="BG376">
        <v>955</v>
      </c>
      <c r="BH376">
        <v>0.09</v>
      </c>
      <c r="BL376">
        <v>5.5E-2</v>
      </c>
      <c r="BN376">
        <v>1</v>
      </c>
      <c r="BO376" t="s">
        <v>1212</v>
      </c>
      <c r="BP376">
        <v>1017</v>
      </c>
      <c r="BQ376" s="772">
        <v>1410</v>
      </c>
      <c r="BR376" t="s">
        <v>606</v>
      </c>
      <c r="BS376" t="s">
        <v>1213</v>
      </c>
      <c r="BT376">
        <v>0</v>
      </c>
      <c r="BU376" t="s">
        <v>1107</v>
      </c>
      <c r="BV376">
        <v>-11.7</v>
      </c>
      <c r="BW376" t="s">
        <v>1107</v>
      </c>
      <c r="BX376">
        <v>-11.7</v>
      </c>
      <c r="BY376" t="s">
        <v>1175</v>
      </c>
      <c r="BZ376" t="s">
        <v>3435</v>
      </c>
    </row>
    <row r="377" spans="1:79" x14ac:dyDescent="0.2">
      <c r="A377" t="s">
        <v>1100</v>
      </c>
      <c r="B377" t="s">
        <v>3436</v>
      </c>
      <c r="C377" t="s">
        <v>1077</v>
      </c>
      <c r="D377" t="s">
        <v>458</v>
      </c>
      <c r="E377" t="s">
        <v>1428</v>
      </c>
      <c r="F377" t="s">
        <v>3411</v>
      </c>
      <c r="G377" t="s">
        <v>3437</v>
      </c>
      <c r="H377" t="s">
        <v>3438</v>
      </c>
      <c r="I377" t="s">
        <v>3439</v>
      </c>
      <c r="J377" t="s">
        <v>1207</v>
      </c>
      <c r="K377" t="s">
        <v>1208</v>
      </c>
      <c r="N377" t="s">
        <v>1445</v>
      </c>
      <c r="O377" t="s">
        <v>272</v>
      </c>
      <c r="P377" t="s">
        <v>3440</v>
      </c>
      <c r="Q377">
        <v>0</v>
      </c>
      <c r="R377" t="s">
        <v>1251</v>
      </c>
      <c r="S377" t="s">
        <v>1710</v>
      </c>
      <c r="X377">
        <v>20</v>
      </c>
      <c r="AE377" t="s">
        <v>605</v>
      </c>
      <c r="AH377">
        <v>0</v>
      </c>
      <c r="AM377" t="s">
        <v>605</v>
      </c>
      <c r="AR377">
        <v>10</v>
      </c>
      <c r="AW377">
        <v>20</v>
      </c>
      <c r="BB377">
        <v>20</v>
      </c>
      <c r="BG377">
        <v>50</v>
      </c>
      <c r="BH377">
        <v>0.51500000000000001</v>
      </c>
      <c r="BL377">
        <v>0.47499999999999998</v>
      </c>
      <c r="BN377">
        <v>1</v>
      </c>
      <c r="BO377" t="s">
        <v>1212</v>
      </c>
      <c r="BP377" t="s">
        <v>3298</v>
      </c>
      <c r="BQ377" s="772">
        <v>0</v>
      </c>
      <c r="BR377" t="s">
        <v>1213</v>
      </c>
      <c r="BS377" t="s">
        <v>1213</v>
      </c>
      <c r="BT377">
        <v>0</v>
      </c>
      <c r="BU377" t="s">
        <v>1213</v>
      </c>
      <c r="BV377">
        <v>0</v>
      </c>
      <c r="BW377" t="s">
        <v>1213</v>
      </c>
      <c r="BX377">
        <v>0</v>
      </c>
      <c r="BY377" t="s">
        <v>1213</v>
      </c>
      <c r="BZ377" t="s">
        <v>3441</v>
      </c>
    </row>
    <row r="378" spans="1:79" x14ac:dyDescent="0.2">
      <c r="A378" t="s">
        <v>1100</v>
      </c>
      <c r="B378" t="s">
        <v>3442</v>
      </c>
      <c r="C378" t="s">
        <v>1077</v>
      </c>
      <c r="D378" t="s">
        <v>458</v>
      </c>
      <c r="E378" t="s">
        <v>1428</v>
      </c>
      <c r="F378" t="s">
        <v>3411</v>
      </c>
      <c r="G378" t="s">
        <v>3443</v>
      </c>
      <c r="H378" t="s">
        <v>3444</v>
      </c>
      <c r="I378" t="s">
        <v>3445</v>
      </c>
      <c r="J378" t="s">
        <v>1219</v>
      </c>
      <c r="K378" t="s">
        <v>1208</v>
      </c>
      <c r="M378" t="s">
        <v>606</v>
      </c>
      <c r="N378" t="s">
        <v>2472</v>
      </c>
      <c r="O378" t="s">
        <v>264</v>
      </c>
      <c r="P378" t="s">
        <v>3348</v>
      </c>
      <c r="Q378">
        <v>0</v>
      </c>
      <c r="R378" t="s">
        <v>1251</v>
      </c>
      <c r="S378">
        <v>100</v>
      </c>
      <c r="X378">
        <v>100</v>
      </c>
      <c r="AD378" t="s">
        <v>605</v>
      </c>
      <c r="AE378" t="s">
        <v>605</v>
      </c>
      <c r="AH378">
        <v>0</v>
      </c>
      <c r="AM378" t="s">
        <v>605</v>
      </c>
      <c r="AR378">
        <v>0</v>
      </c>
      <c r="AW378">
        <v>100</v>
      </c>
      <c r="BH378">
        <v>0.40400000000000003</v>
      </c>
      <c r="BN378">
        <v>1</v>
      </c>
      <c r="BO378" t="s">
        <v>1212</v>
      </c>
      <c r="BP378" t="s">
        <v>3298</v>
      </c>
      <c r="BQ378" s="772">
        <v>0</v>
      </c>
      <c r="BR378" t="s">
        <v>1213</v>
      </c>
      <c r="BS378" t="s">
        <v>1213</v>
      </c>
      <c r="BT378">
        <v>0</v>
      </c>
      <c r="BU378" t="s">
        <v>1213</v>
      </c>
      <c r="BV378">
        <v>0</v>
      </c>
      <c r="BW378" t="s">
        <v>1213</v>
      </c>
      <c r="BX378">
        <v>0</v>
      </c>
      <c r="BY378" t="s">
        <v>1213</v>
      </c>
      <c r="BZ378" t="s">
        <v>3446</v>
      </c>
      <c r="CA378" t="s">
        <v>3447</v>
      </c>
    </row>
    <row r="379" spans="1:79" x14ac:dyDescent="0.2">
      <c r="A379" t="s">
        <v>1100</v>
      </c>
      <c r="B379" t="s">
        <v>3448</v>
      </c>
      <c r="C379" t="s">
        <v>1077</v>
      </c>
      <c r="D379" t="s">
        <v>458</v>
      </c>
      <c r="E379" t="s">
        <v>1428</v>
      </c>
      <c r="F379" t="s">
        <v>3411</v>
      </c>
      <c r="G379" t="s">
        <v>3449</v>
      </c>
      <c r="H379" t="s">
        <v>3450</v>
      </c>
      <c r="I379" t="s">
        <v>3451</v>
      </c>
      <c r="J379" t="s">
        <v>1219</v>
      </c>
      <c r="K379" t="s">
        <v>1208</v>
      </c>
      <c r="N379" t="s">
        <v>1331</v>
      </c>
      <c r="O379" t="s">
        <v>272</v>
      </c>
      <c r="P379" t="s">
        <v>3452</v>
      </c>
      <c r="Q379">
        <v>0</v>
      </c>
      <c r="R379" t="s">
        <v>1251</v>
      </c>
      <c r="X379">
        <v>1700000</v>
      </c>
      <c r="AE379" t="s">
        <v>605</v>
      </c>
      <c r="AH379">
        <v>0</v>
      </c>
      <c r="AM379" t="s">
        <v>605</v>
      </c>
      <c r="AR379">
        <v>1360000</v>
      </c>
      <c r="AW379">
        <v>1700000</v>
      </c>
      <c r="BH379">
        <v>7.1999999999999999E-7</v>
      </c>
      <c r="BN379">
        <v>1</v>
      </c>
      <c r="BO379" t="s">
        <v>1212</v>
      </c>
      <c r="BP379" t="s">
        <v>3298</v>
      </c>
      <c r="BQ379" s="772">
        <v>0</v>
      </c>
      <c r="BR379" t="s">
        <v>1213</v>
      </c>
      <c r="BS379" t="s">
        <v>1213</v>
      </c>
      <c r="BT379">
        <v>0</v>
      </c>
      <c r="BU379" t="s">
        <v>1213</v>
      </c>
      <c r="BV379">
        <v>0</v>
      </c>
      <c r="BW379" t="s">
        <v>1213</v>
      </c>
      <c r="BX379">
        <v>0</v>
      </c>
      <c r="BY379" t="s">
        <v>1213</v>
      </c>
      <c r="BZ379" t="s">
        <v>3453</v>
      </c>
      <c r="CA379" t="s">
        <v>3454</v>
      </c>
    </row>
    <row r="380" spans="1:79" ht="25.5" x14ac:dyDescent="0.2">
      <c r="A380" t="s">
        <v>1100</v>
      </c>
      <c r="B380" t="s">
        <v>3455</v>
      </c>
      <c r="C380" t="s">
        <v>1077</v>
      </c>
      <c r="D380" t="s">
        <v>458</v>
      </c>
      <c r="E380" t="s">
        <v>1428</v>
      </c>
      <c r="F380" t="s">
        <v>3411</v>
      </c>
      <c r="G380" t="s">
        <v>3456</v>
      </c>
      <c r="H380" t="s">
        <v>3457</v>
      </c>
      <c r="I380" t="s">
        <v>3458</v>
      </c>
      <c r="J380" t="s">
        <v>1219</v>
      </c>
      <c r="K380" t="s">
        <v>1208</v>
      </c>
      <c r="M380" t="s">
        <v>606</v>
      </c>
      <c r="N380" t="s">
        <v>1377</v>
      </c>
      <c r="O380" t="s">
        <v>1507</v>
      </c>
      <c r="P380" t="s">
        <v>2657</v>
      </c>
      <c r="Q380" t="s">
        <v>1212</v>
      </c>
      <c r="T380" t="s">
        <v>2011</v>
      </c>
      <c r="AD380" t="s">
        <v>605</v>
      </c>
      <c r="AF380" t="s">
        <v>605</v>
      </c>
      <c r="AH380">
        <v>0</v>
      </c>
      <c r="AI380" t="s">
        <v>605</v>
      </c>
      <c r="AJ380" t="s">
        <v>605</v>
      </c>
      <c r="AK380" t="s">
        <v>605</v>
      </c>
      <c r="AL380" t="s">
        <v>605</v>
      </c>
      <c r="AM380" t="s">
        <v>605</v>
      </c>
      <c r="AN380" t="s">
        <v>3459</v>
      </c>
      <c r="AO380" t="s">
        <v>3459</v>
      </c>
      <c r="AP380" t="s">
        <v>3459</v>
      </c>
      <c r="AQ380" t="s">
        <v>3459</v>
      </c>
      <c r="AR380" t="s">
        <v>3459</v>
      </c>
      <c r="AS380" t="s">
        <v>3459</v>
      </c>
      <c r="AT380" t="s">
        <v>3459</v>
      </c>
      <c r="AU380" t="s">
        <v>3459</v>
      </c>
      <c r="AV380" t="s">
        <v>3459</v>
      </c>
      <c r="AW380" t="s">
        <v>3459</v>
      </c>
      <c r="BH380">
        <v>6.7</v>
      </c>
      <c r="BN380">
        <v>1</v>
      </c>
      <c r="BO380" t="s">
        <v>1212</v>
      </c>
      <c r="BP380" t="s">
        <v>3298</v>
      </c>
      <c r="BQ380" s="771" t="s">
        <v>3460</v>
      </c>
      <c r="BR380" t="s">
        <v>605</v>
      </c>
      <c r="BS380" t="s">
        <v>1213</v>
      </c>
      <c r="BT380">
        <v>0</v>
      </c>
      <c r="BU380" t="s">
        <v>1213</v>
      </c>
      <c r="BV380">
        <v>0</v>
      </c>
      <c r="BW380" t="s">
        <v>1213</v>
      </c>
      <c r="BX380">
        <v>0</v>
      </c>
      <c r="BY380" t="s">
        <v>1213</v>
      </c>
      <c r="BZ380" t="s">
        <v>3461</v>
      </c>
      <c r="CA380" t="s">
        <v>3462</v>
      </c>
    </row>
    <row r="381" spans="1:79" ht="25.5" x14ac:dyDescent="0.2">
      <c r="A381" t="s">
        <v>1100</v>
      </c>
      <c r="B381" t="s">
        <v>3463</v>
      </c>
      <c r="C381" t="s">
        <v>1077</v>
      </c>
      <c r="D381" t="s">
        <v>458</v>
      </c>
      <c r="E381" t="s">
        <v>1428</v>
      </c>
      <c r="F381" t="s">
        <v>3411</v>
      </c>
      <c r="G381" t="s">
        <v>3464</v>
      </c>
      <c r="H381" t="s">
        <v>3465</v>
      </c>
      <c r="I381" t="s">
        <v>3466</v>
      </c>
      <c r="J381" t="s">
        <v>1219</v>
      </c>
      <c r="K381" t="s">
        <v>1208</v>
      </c>
      <c r="M381" t="s">
        <v>606</v>
      </c>
      <c r="N381" t="s">
        <v>1377</v>
      </c>
      <c r="O381" t="s">
        <v>1507</v>
      </c>
      <c r="P381" t="s">
        <v>2657</v>
      </c>
      <c r="Q381" t="s">
        <v>1212</v>
      </c>
      <c r="U381" t="s">
        <v>2011</v>
      </c>
      <c r="AD381" t="s">
        <v>605</v>
      </c>
      <c r="AF381" t="s">
        <v>605</v>
      </c>
      <c r="AH381">
        <v>0</v>
      </c>
      <c r="AM381" t="s">
        <v>605</v>
      </c>
      <c r="AR381" t="s">
        <v>3459</v>
      </c>
      <c r="AW381" t="s">
        <v>3459</v>
      </c>
      <c r="BH381">
        <v>198</v>
      </c>
      <c r="BN381">
        <v>1</v>
      </c>
      <c r="BO381" t="s">
        <v>1212</v>
      </c>
      <c r="BP381" t="s">
        <v>3298</v>
      </c>
      <c r="BQ381" s="772" t="s">
        <v>3298</v>
      </c>
      <c r="BR381" t="s">
        <v>1213</v>
      </c>
      <c r="BS381" t="s">
        <v>1213</v>
      </c>
      <c r="BT381">
        <v>0</v>
      </c>
      <c r="BU381" t="s">
        <v>1213</v>
      </c>
      <c r="BV381">
        <v>0</v>
      </c>
      <c r="BW381" t="s">
        <v>1213</v>
      </c>
      <c r="BX381">
        <v>0</v>
      </c>
      <c r="BY381" t="s">
        <v>1213</v>
      </c>
      <c r="BZ381" t="s">
        <v>3467</v>
      </c>
      <c r="CA381" t="s">
        <v>3468</v>
      </c>
    </row>
    <row r="382" spans="1:79" x14ac:dyDescent="0.2">
      <c r="A382" t="s">
        <v>1100</v>
      </c>
      <c r="B382" t="s">
        <v>3469</v>
      </c>
      <c r="C382" t="s">
        <v>1077</v>
      </c>
      <c r="D382" t="s">
        <v>458</v>
      </c>
      <c r="E382" t="s">
        <v>1428</v>
      </c>
      <c r="F382" t="s">
        <v>3358</v>
      </c>
      <c r="G382" t="s">
        <v>3470</v>
      </c>
      <c r="H382" t="s">
        <v>3471</v>
      </c>
      <c r="I382" t="s">
        <v>3472</v>
      </c>
      <c r="J382" t="s">
        <v>1241</v>
      </c>
      <c r="N382" t="s">
        <v>1386</v>
      </c>
      <c r="O382" t="s">
        <v>272</v>
      </c>
      <c r="P382" t="s">
        <v>1904</v>
      </c>
      <c r="Q382">
        <v>1</v>
      </c>
      <c r="R382" t="s">
        <v>1211</v>
      </c>
      <c r="S382">
        <v>394.6</v>
      </c>
      <c r="T382">
        <v>368.1</v>
      </c>
      <c r="U382">
        <v>322.5</v>
      </c>
      <c r="V382">
        <v>290.5</v>
      </c>
      <c r="W382">
        <v>269.60000000000002</v>
      </c>
      <c r="X382">
        <v>260.60000000000002</v>
      </c>
      <c r="AH382">
        <v>0</v>
      </c>
      <c r="BP382" t="s">
        <v>3298</v>
      </c>
      <c r="BQ382" s="769">
        <v>468.53500000000003</v>
      </c>
      <c r="BR382" t="s">
        <v>606</v>
      </c>
      <c r="BS382" t="s">
        <v>1213</v>
      </c>
      <c r="BT382">
        <v>0</v>
      </c>
      <c r="BU382" t="s">
        <v>1213</v>
      </c>
      <c r="BV382">
        <v>0</v>
      </c>
      <c r="BW382" t="s">
        <v>1213</v>
      </c>
      <c r="BX382">
        <v>0</v>
      </c>
      <c r="BY382" t="s">
        <v>1213</v>
      </c>
      <c r="BZ382" t="s">
        <v>3473</v>
      </c>
    </row>
    <row r="383" spans="1:79" x14ac:dyDescent="0.2">
      <c r="A383" t="s">
        <v>1100</v>
      </c>
      <c r="B383" t="s">
        <v>3474</v>
      </c>
      <c r="C383" t="s">
        <v>1077</v>
      </c>
      <c r="D383" t="s">
        <v>458</v>
      </c>
      <c r="E383" t="s">
        <v>1428</v>
      </c>
      <c r="F383" t="s">
        <v>3358</v>
      </c>
      <c r="G383" t="s">
        <v>3475</v>
      </c>
      <c r="H383" t="s">
        <v>3476</v>
      </c>
      <c r="I383" t="s">
        <v>3477</v>
      </c>
      <c r="J383" t="s">
        <v>1207</v>
      </c>
      <c r="K383" t="s">
        <v>1208</v>
      </c>
      <c r="M383" t="s">
        <v>606</v>
      </c>
      <c r="N383" t="s">
        <v>1468</v>
      </c>
      <c r="O383" t="s">
        <v>272</v>
      </c>
      <c r="P383" t="s">
        <v>2339</v>
      </c>
      <c r="Q383">
        <v>0</v>
      </c>
      <c r="R383" t="s">
        <v>1211</v>
      </c>
      <c r="S383">
        <v>340</v>
      </c>
      <c r="T383">
        <v>340</v>
      </c>
      <c r="U383">
        <v>340</v>
      </c>
      <c r="V383">
        <v>340</v>
      </c>
      <c r="W383">
        <v>340</v>
      </c>
      <c r="X383">
        <v>340</v>
      </c>
      <c r="AB383" t="s">
        <v>605</v>
      </c>
      <c r="AE383" t="s">
        <v>605</v>
      </c>
      <c r="AH383">
        <v>0</v>
      </c>
      <c r="AI383" t="s">
        <v>605</v>
      </c>
      <c r="AJ383" t="s">
        <v>605</v>
      </c>
      <c r="AK383" t="s">
        <v>605</v>
      </c>
      <c r="AL383" t="s">
        <v>605</v>
      </c>
      <c r="AM383" t="s">
        <v>605</v>
      </c>
      <c r="AN383">
        <v>465</v>
      </c>
      <c r="AO383">
        <v>465</v>
      </c>
      <c r="AP383">
        <v>465</v>
      </c>
      <c r="AQ383">
        <v>465</v>
      </c>
      <c r="AR383">
        <v>465</v>
      </c>
      <c r="AS383">
        <v>400</v>
      </c>
      <c r="AT383">
        <v>400</v>
      </c>
      <c r="AU383">
        <v>400</v>
      </c>
      <c r="AV383">
        <v>400</v>
      </c>
      <c r="AW383">
        <v>400</v>
      </c>
      <c r="AX383">
        <v>263</v>
      </c>
      <c r="AY383">
        <v>263</v>
      </c>
      <c r="AZ383">
        <v>263</v>
      </c>
      <c r="BA383">
        <v>263</v>
      </c>
      <c r="BB383">
        <v>263</v>
      </c>
      <c r="BC383">
        <v>229</v>
      </c>
      <c r="BD383">
        <v>229</v>
      </c>
      <c r="BE383">
        <v>229</v>
      </c>
      <c r="BF383">
        <v>229</v>
      </c>
      <c r="BG383">
        <v>229</v>
      </c>
      <c r="BH383">
        <v>0.13</v>
      </c>
      <c r="BL383">
        <v>0.13</v>
      </c>
      <c r="BN383">
        <v>1</v>
      </c>
      <c r="BO383" t="s">
        <v>1212</v>
      </c>
      <c r="BP383">
        <v>467</v>
      </c>
      <c r="BQ383" s="772">
        <v>232</v>
      </c>
      <c r="BR383" t="s">
        <v>605</v>
      </c>
      <c r="BS383" t="s">
        <v>1213</v>
      </c>
      <c r="BT383">
        <v>0</v>
      </c>
      <c r="BU383" t="s">
        <v>1213</v>
      </c>
      <c r="BV383">
        <v>0</v>
      </c>
      <c r="BW383" t="s">
        <v>610</v>
      </c>
      <c r="BX383">
        <v>0</v>
      </c>
      <c r="BY383" t="s">
        <v>1174</v>
      </c>
      <c r="BZ383" t="s">
        <v>3478</v>
      </c>
      <c r="CA383" t="s">
        <v>3479</v>
      </c>
    </row>
    <row r="384" spans="1:79" x14ac:dyDescent="0.2">
      <c r="A384" t="s">
        <v>1100</v>
      </c>
      <c r="B384" t="s">
        <v>3480</v>
      </c>
      <c r="C384" t="s">
        <v>1077</v>
      </c>
      <c r="D384" t="s">
        <v>458</v>
      </c>
      <c r="E384" t="s">
        <v>1428</v>
      </c>
      <c r="F384" t="s">
        <v>3358</v>
      </c>
      <c r="G384" t="s">
        <v>3481</v>
      </c>
      <c r="H384" t="s">
        <v>3482</v>
      </c>
      <c r="I384" t="s">
        <v>3483</v>
      </c>
      <c r="J384" t="s">
        <v>1219</v>
      </c>
      <c r="K384" t="s">
        <v>1208</v>
      </c>
      <c r="N384" t="s">
        <v>1377</v>
      </c>
      <c r="O384" t="s">
        <v>264</v>
      </c>
      <c r="P384" t="s">
        <v>3484</v>
      </c>
      <c r="Q384">
        <v>2</v>
      </c>
      <c r="R384" t="s">
        <v>1251</v>
      </c>
      <c r="S384">
        <v>98.88</v>
      </c>
      <c r="T384">
        <v>100</v>
      </c>
      <c r="U384">
        <v>100</v>
      </c>
      <c r="V384">
        <v>100</v>
      </c>
      <c r="W384">
        <v>100</v>
      </c>
      <c r="X384">
        <v>100</v>
      </c>
      <c r="AE384" t="s">
        <v>605</v>
      </c>
      <c r="AH384">
        <v>0</v>
      </c>
      <c r="AI384" t="s">
        <v>605</v>
      </c>
      <c r="AJ384" t="s">
        <v>605</v>
      </c>
      <c r="AK384" t="s">
        <v>605</v>
      </c>
      <c r="AL384" t="s">
        <v>605</v>
      </c>
      <c r="AM384" t="s">
        <v>605</v>
      </c>
      <c r="AN384">
        <v>96.61</v>
      </c>
      <c r="AO384">
        <v>96.61</v>
      </c>
      <c r="AP384">
        <v>96.61</v>
      </c>
      <c r="AQ384">
        <v>96.61</v>
      </c>
      <c r="AR384">
        <v>96.61</v>
      </c>
      <c r="AS384">
        <v>98.88</v>
      </c>
      <c r="AT384">
        <v>98.88</v>
      </c>
      <c r="AU384">
        <v>98.88</v>
      </c>
      <c r="AV384">
        <v>98.88</v>
      </c>
      <c r="AW384">
        <v>98.88</v>
      </c>
      <c r="BH384">
        <v>3.8450000000000002</v>
      </c>
      <c r="BN384">
        <v>1</v>
      </c>
      <c r="BO384" t="s">
        <v>1212</v>
      </c>
      <c r="BP384">
        <v>98.850574712643677</v>
      </c>
      <c r="BQ384" s="773">
        <v>99.132947976878611</v>
      </c>
      <c r="BR384" t="s">
        <v>606</v>
      </c>
      <c r="BS384" t="s">
        <v>1213</v>
      </c>
      <c r="BT384">
        <v>0</v>
      </c>
      <c r="BU384" t="s">
        <v>607</v>
      </c>
      <c r="BV384">
        <v>0</v>
      </c>
      <c r="BW384" t="s">
        <v>607</v>
      </c>
      <c r="BX384">
        <v>0</v>
      </c>
      <c r="BY384" t="s">
        <v>1213</v>
      </c>
      <c r="BZ384" t="s">
        <v>3485</v>
      </c>
    </row>
    <row r="385" spans="1:79" x14ac:dyDescent="0.2">
      <c r="A385" t="s">
        <v>1100</v>
      </c>
      <c r="B385" t="s">
        <v>3486</v>
      </c>
      <c r="C385" t="s">
        <v>1077</v>
      </c>
      <c r="D385" t="s">
        <v>458</v>
      </c>
      <c r="E385" t="s">
        <v>1428</v>
      </c>
      <c r="F385" t="s">
        <v>3358</v>
      </c>
      <c r="G385" t="s">
        <v>3487</v>
      </c>
      <c r="H385" t="s">
        <v>3488</v>
      </c>
      <c r="I385" t="s">
        <v>3489</v>
      </c>
      <c r="J385" t="s">
        <v>1241</v>
      </c>
      <c r="N385" t="s">
        <v>2812</v>
      </c>
      <c r="O385" t="s">
        <v>272</v>
      </c>
      <c r="P385" t="s">
        <v>3490</v>
      </c>
      <c r="Q385">
        <v>0</v>
      </c>
      <c r="R385" t="s">
        <v>1251</v>
      </c>
      <c r="S385" t="s">
        <v>1710</v>
      </c>
      <c r="X385">
        <v>13</v>
      </c>
      <c r="AH385">
        <v>0</v>
      </c>
      <c r="BP385" t="s">
        <v>3298</v>
      </c>
      <c r="BQ385" s="772">
        <v>0</v>
      </c>
      <c r="BR385" t="s">
        <v>1213</v>
      </c>
      <c r="BS385" t="s">
        <v>1213</v>
      </c>
      <c r="BT385">
        <v>0</v>
      </c>
      <c r="BU385" t="s">
        <v>1213</v>
      </c>
      <c r="BV385">
        <v>0</v>
      </c>
      <c r="BW385" t="s">
        <v>1213</v>
      </c>
      <c r="BX385">
        <v>0</v>
      </c>
      <c r="BY385" t="s">
        <v>1213</v>
      </c>
      <c r="BZ385" t="s">
        <v>3491</v>
      </c>
    </row>
    <row r="386" spans="1:79" x14ac:dyDescent="0.2">
      <c r="A386" t="s">
        <v>1100</v>
      </c>
      <c r="B386" t="s">
        <v>3492</v>
      </c>
      <c r="C386" t="s">
        <v>1077</v>
      </c>
      <c r="D386" t="s">
        <v>458</v>
      </c>
      <c r="E386" t="s">
        <v>1428</v>
      </c>
      <c r="F386" t="s">
        <v>3358</v>
      </c>
      <c r="G386" t="s">
        <v>3493</v>
      </c>
      <c r="H386" t="s">
        <v>3494</v>
      </c>
      <c r="I386" t="s">
        <v>3495</v>
      </c>
      <c r="J386" t="s">
        <v>1241</v>
      </c>
      <c r="N386" t="s">
        <v>302</v>
      </c>
      <c r="O386" t="s">
        <v>264</v>
      </c>
      <c r="P386" t="s">
        <v>3201</v>
      </c>
      <c r="Q386">
        <v>0</v>
      </c>
      <c r="R386" t="s">
        <v>1251</v>
      </c>
      <c r="S386">
        <v>100</v>
      </c>
      <c r="T386">
        <v>100</v>
      </c>
      <c r="U386">
        <v>100</v>
      </c>
      <c r="V386">
        <v>100</v>
      </c>
      <c r="W386">
        <v>100</v>
      </c>
      <c r="X386">
        <v>100</v>
      </c>
      <c r="AE386" t="s">
        <v>605</v>
      </c>
      <c r="AH386">
        <v>0</v>
      </c>
      <c r="BP386">
        <v>100</v>
      </c>
      <c r="BQ386" s="772">
        <v>100</v>
      </c>
      <c r="BR386" t="s">
        <v>605</v>
      </c>
      <c r="BS386" t="s">
        <v>1213</v>
      </c>
      <c r="BT386">
        <v>0</v>
      </c>
      <c r="BU386" t="s">
        <v>1213</v>
      </c>
      <c r="BV386">
        <v>0</v>
      </c>
      <c r="BW386" t="s">
        <v>1213</v>
      </c>
      <c r="BX386">
        <v>0</v>
      </c>
      <c r="BY386" t="s">
        <v>1213</v>
      </c>
      <c r="BZ386" t="s">
        <v>3496</v>
      </c>
    </row>
    <row r="387" spans="1:79" x14ac:dyDescent="0.2">
      <c r="A387" t="s">
        <v>1100</v>
      </c>
      <c r="B387" t="s">
        <v>3497</v>
      </c>
      <c r="C387" t="s">
        <v>1077</v>
      </c>
      <c r="D387" t="s">
        <v>458</v>
      </c>
      <c r="E387" t="s">
        <v>1428</v>
      </c>
      <c r="F387" t="s">
        <v>3358</v>
      </c>
      <c r="G387" t="s">
        <v>3498</v>
      </c>
      <c r="H387" t="s">
        <v>3499</v>
      </c>
      <c r="I387" t="s">
        <v>3500</v>
      </c>
      <c r="J387" t="s">
        <v>1241</v>
      </c>
      <c r="N387" t="s">
        <v>2325</v>
      </c>
      <c r="O387" t="s">
        <v>272</v>
      </c>
      <c r="P387" t="s">
        <v>3379</v>
      </c>
      <c r="Q387">
        <v>0</v>
      </c>
      <c r="R387" t="s">
        <v>1251</v>
      </c>
      <c r="S387">
        <v>14000</v>
      </c>
      <c r="T387">
        <v>15000</v>
      </c>
      <c r="U387">
        <v>16000</v>
      </c>
      <c r="V387">
        <v>17000</v>
      </c>
      <c r="W387">
        <v>18000</v>
      </c>
      <c r="X387">
        <v>20000</v>
      </c>
      <c r="AH387">
        <v>0</v>
      </c>
      <c r="BP387" t="s">
        <v>3298</v>
      </c>
      <c r="BQ387" s="772">
        <v>17491</v>
      </c>
      <c r="BR387" t="s">
        <v>605</v>
      </c>
      <c r="BS387" t="s">
        <v>1213</v>
      </c>
      <c r="BT387">
        <v>0</v>
      </c>
      <c r="BU387" t="s">
        <v>1213</v>
      </c>
      <c r="BV387">
        <v>0</v>
      </c>
      <c r="BW387" t="s">
        <v>1213</v>
      </c>
      <c r="BX387">
        <v>0</v>
      </c>
      <c r="BY387" t="s">
        <v>1213</v>
      </c>
      <c r="BZ387" t="s">
        <v>3501</v>
      </c>
    </row>
    <row r="388" spans="1:79" x14ac:dyDescent="0.2">
      <c r="A388" t="s">
        <v>1100</v>
      </c>
      <c r="B388" t="s">
        <v>3502</v>
      </c>
      <c r="C388" t="s">
        <v>1077</v>
      </c>
      <c r="D388" t="s">
        <v>458</v>
      </c>
      <c r="E388" t="s">
        <v>1428</v>
      </c>
      <c r="F388" t="s">
        <v>3358</v>
      </c>
      <c r="G388" t="s">
        <v>3503</v>
      </c>
      <c r="H388" t="s">
        <v>3504</v>
      </c>
      <c r="I388" t="s">
        <v>3505</v>
      </c>
      <c r="J388" t="s">
        <v>1207</v>
      </c>
      <c r="K388" t="s">
        <v>1208</v>
      </c>
      <c r="M388" t="s">
        <v>606</v>
      </c>
      <c r="N388" t="s">
        <v>2611</v>
      </c>
      <c r="O388" t="s">
        <v>272</v>
      </c>
      <c r="P388" t="s">
        <v>3506</v>
      </c>
      <c r="Q388">
        <v>0</v>
      </c>
      <c r="R388" t="s">
        <v>1251</v>
      </c>
      <c r="S388">
        <v>14311</v>
      </c>
      <c r="T388">
        <v>0</v>
      </c>
      <c r="U388">
        <v>793</v>
      </c>
      <c r="V388">
        <v>1771</v>
      </c>
      <c r="W388">
        <v>6593</v>
      </c>
      <c r="X388">
        <v>6593</v>
      </c>
      <c r="AH388">
        <v>0</v>
      </c>
      <c r="AI388" t="s">
        <v>605</v>
      </c>
      <c r="AJ388" t="s">
        <v>605</v>
      </c>
      <c r="AK388" t="s">
        <v>605</v>
      </c>
      <c r="AL388" t="s">
        <v>605</v>
      </c>
      <c r="AM388" t="s">
        <v>605</v>
      </c>
      <c r="AN388">
        <v>0</v>
      </c>
      <c r="AO388">
        <v>0</v>
      </c>
      <c r="AP388">
        <v>0</v>
      </c>
      <c r="AQ388">
        <v>0</v>
      </c>
      <c r="AR388">
        <v>3874</v>
      </c>
      <c r="AS388">
        <v>0</v>
      </c>
      <c r="AT388">
        <v>793</v>
      </c>
      <c r="AU388">
        <v>1771</v>
      </c>
      <c r="AV388">
        <v>6593</v>
      </c>
      <c r="AW388">
        <v>6593</v>
      </c>
      <c r="AX388">
        <v>0</v>
      </c>
      <c r="AY388">
        <v>793</v>
      </c>
      <c r="AZ388">
        <v>1771</v>
      </c>
      <c r="BA388">
        <v>6593</v>
      </c>
      <c r="BB388">
        <v>6593</v>
      </c>
      <c r="BC388">
        <v>0</v>
      </c>
      <c r="BD388">
        <v>5807</v>
      </c>
      <c r="BE388">
        <v>11800</v>
      </c>
      <c r="BF388">
        <v>13636</v>
      </c>
      <c r="BG388">
        <v>18650</v>
      </c>
      <c r="BH388">
        <v>2.7E-4</v>
      </c>
      <c r="BL388">
        <v>2.2000000000000001E-4</v>
      </c>
      <c r="BN388">
        <v>1</v>
      </c>
      <c r="BO388" t="s">
        <v>1212</v>
      </c>
      <c r="BP388" t="s">
        <v>3298</v>
      </c>
      <c r="BQ388" s="772">
        <v>0</v>
      </c>
      <c r="BR388" t="s">
        <v>605</v>
      </c>
      <c r="BS388" t="s">
        <v>1213</v>
      </c>
      <c r="BT388">
        <v>0</v>
      </c>
      <c r="BU388" t="s">
        <v>1213</v>
      </c>
      <c r="BV388">
        <v>0</v>
      </c>
      <c r="BW388" t="s">
        <v>1213</v>
      </c>
      <c r="BX388">
        <v>0</v>
      </c>
      <c r="BY388" t="s">
        <v>1213</v>
      </c>
      <c r="BZ388" t="s">
        <v>3507</v>
      </c>
      <c r="CA388" t="s">
        <v>3508</v>
      </c>
    </row>
    <row r="389" spans="1:79" x14ac:dyDescent="0.2">
      <c r="A389" t="s">
        <v>1100</v>
      </c>
      <c r="B389" t="s">
        <v>3509</v>
      </c>
      <c r="C389" t="s">
        <v>1077</v>
      </c>
      <c r="D389" t="s">
        <v>458</v>
      </c>
      <c r="E389" t="s">
        <v>1428</v>
      </c>
      <c r="F389" t="s">
        <v>3358</v>
      </c>
      <c r="G389" t="s">
        <v>3510</v>
      </c>
      <c r="H389" t="s">
        <v>3511</v>
      </c>
      <c r="I389" t="s">
        <v>3512</v>
      </c>
      <c r="J389" t="s">
        <v>1219</v>
      </c>
      <c r="K389" t="s">
        <v>1563</v>
      </c>
      <c r="M389" t="s">
        <v>606</v>
      </c>
      <c r="N389" t="s">
        <v>1377</v>
      </c>
      <c r="O389" t="s">
        <v>264</v>
      </c>
      <c r="P389" t="s">
        <v>3385</v>
      </c>
      <c r="Q389">
        <v>0</v>
      </c>
      <c r="R389" t="s">
        <v>1251</v>
      </c>
      <c r="S389" t="s">
        <v>1710</v>
      </c>
      <c r="X389">
        <v>100</v>
      </c>
      <c r="AD389" t="s">
        <v>605</v>
      </c>
      <c r="AF389" t="s">
        <v>605</v>
      </c>
      <c r="AH389">
        <v>0</v>
      </c>
      <c r="AM389" t="s">
        <v>605</v>
      </c>
      <c r="AR389" t="s">
        <v>3513</v>
      </c>
      <c r="AW389">
        <v>100</v>
      </c>
      <c r="BH389">
        <v>0.40400000000000003</v>
      </c>
      <c r="BN389">
        <v>1</v>
      </c>
      <c r="BO389" t="s">
        <v>1212</v>
      </c>
      <c r="BP389" t="s">
        <v>3298</v>
      </c>
      <c r="BQ389" s="772">
        <v>0</v>
      </c>
      <c r="BR389" t="s">
        <v>1213</v>
      </c>
      <c r="BS389" t="s">
        <v>1213</v>
      </c>
      <c r="BT389">
        <v>0</v>
      </c>
      <c r="BU389" t="s">
        <v>1213</v>
      </c>
      <c r="BV389">
        <v>0</v>
      </c>
      <c r="BW389" t="s">
        <v>1213</v>
      </c>
      <c r="BX389">
        <v>0</v>
      </c>
      <c r="BY389" t="s">
        <v>1213</v>
      </c>
      <c r="BZ389" t="s">
        <v>3514</v>
      </c>
      <c r="CA389" t="s">
        <v>3515</v>
      </c>
    </row>
    <row r="390" spans="1:79" x14ac:dyDescent="0.2">
      <c r="A390" t="s">
        <v>1100</v>
      </c>
      <c r="B390" t="s">
        <v>3516</v>
      </c>
      <c r="C390" t="s">
        <v>1077</v>
      </c>
      <c r="D390" t="s">
        <v>458</v>
      </c>
      <c r="E390" t="s">
        <v>1428</v>
      </c>
      <c r="F390" t="s">
        <v>3358</v>
      </c>
      <c r="G390" t="s">
        <v>3517</v>
      </c>
      <c r="H390" t="s">
        <v>3518</v>
      </c>
      <c r="I390" t="s">
        <v>3519</v>
      </c>
      <c r="J390" t="s">
        <v>1207</v>
      </c>
      <c r="K390" t="s">
        <v>1563</v>
      </c>
      <c r="M390" t="s">
        <v>606</v>
      </c>
      <c r="N390" t="s">
        <v>1377</v>
      </c>
      <c r="O390" t="s">
        <v>272</v>
      </c>
      <c r="P390" t="s">
        <v>3520</v>
      </c>
      <c r="Q390">
        <v>1</v>
      </c>
      <c r="R390" t="s">
        <v>1251</v>
      </c>
      <c r="S390" t="s">
        <v>1710</v>
      </c>
      <c r="X390">
        <v>151.80000000000001</v>
      </c>
      <c r="AD390" t="s">
        <v>605</v>
      </c>
      <c r="AF390" t="s">
        <v>605</v>
      </c>
      <c r="AH390">
        <v>0</v>
      </c>
      <c r="AM390" t="s">
        <v>605</v>
      </c>
      <c r="AR390">
        <v>0</v>
      </c>
      <c r="AW390">
        <v>151.80000000000001</v>
      </c>
      <c r="BB390">
        <v>151.80000000000001</v>
      </c>
      <c r="BG390">
        <v>199</v>
      </c>
      <c r="BH390" t="s">
        <v>2492</v>
      </c>
      <c r="BL390" t="s">
        <v>2492</v>
      </c>
      <c r="BN390">
        <v>1</v>
      </c>
      <c r="BO390" t="s">
        <v>1212</v>
      </c>
      <c r="BP390" t="s">
        <v>3298</v>
      </c>
      <c r="BQ390" s="769">
        <v>0</v>
      </c>
      <c r="BR390" t="s">
        <v>1213</v>
      </c>
      <c r="BS390" t="s">
        <v>1213</v>
      </c>
      <c r="BT390">
        <v>0</v>
      </c>
      <c r="BU390" t="s">
        <v>1213</v>
      </c>
      <c r="BV390">
        <v>0</v>
      </c>
      <c r="BW390" t="s">
        <v>1213</v>
      </c>
      <c r="BX390">
        <v>0</v>
      </c>
      <c r="BY390" t="s">
        <v>1213</v>
      </c>
      <c r="BZ390" t="s">
        <v>3521</v>
      </c>
      <c r="CA390" t="s">
        <v>3522</v>
      </c>
    </row>
    <row r="391" spans="1:79" x14ac:dyDescent="0.2">
      <c r="A391" t="s">
        <v>1100</v>
      </c>
      <c r="B391" t="s">
        <v>3523</v>
      </c>
      <c r="C391" t="s">
        <v>1077</v>
      </c>
      <c r="D391" t="s">
        <v>458</v>
      </c>
      <c r="E391" t="s">
        <v>1428</v>
      </c>
      <c r="F391" t="s">
        <v>3389</v>
      </c>
      <c r="G391" t="s">
        <v>3524</v>
      </c>
      <c r="H391" t="s">
        <v>3525</v>
      </c>
      <c r="I391" t="s">
        <v>3526</v>
      </c>
      <c r="J391" t="s">
        <v>1241</v>
      </c>
      <c r="N391" t="s">
        <v>1386</v>
      </c>
      <c r="O391" t="s">
        <v>272</v>
      </c>
      <c r="P391" t="s">
        <v>3393</v>
      </c>
      <c r="Q391">
        <v>0</v>
      </c>
      <c r="R391" t="s">
        <v>1211</v>
      </c>
      <c r="S391">
        <v>457</v>
      </c>
      <c r="T391">
        <v>428</v>
      </c>
      <c r="U391">
        <v>392</v>
      </c>
      <c r="V391">
        <v>329</v>
      </c>
      <c r="W391">
        <v>303</v>
      </c>
      <c r="X391">
        <v>295</v>
      </c>
      <c r="AH391">
        <v>0</v>
      </c>
      <c r="BP391" t="s">
        <v>3298</v>
      </c>
      <c r="BQ391" s="772">
        <v>532.63699999999994</v>
      </c>
      <c r="BR391" t="s">
        <v>606</v>
      </c>
      <c r="BS391" t="s">
        <v>1213</v>
      </c>
      <c r="BT391">
        <v>0</v>
      </c>
      <c r="BU391" t="s">
        <v>1213</v>
      </c>
      <c r="BV391">
        <v>0</v>
      </c>
      <c r="BW391" t="s">
        <v>1213</v>
      </c>
      <c r="BX391">
        <v>0</v>
      </c>
      <c r="BY391" t="s">
        <v>1213</v>
      </c>
      <c r="BZ391" t="s">
        <v>3527</v>
      </c>
    </row>
    <row r="392" spans="1:79" x14ac:dyDescent="0.2">
      <c r="A392" t="s">
        <v>1100</v>
      </c>
      <c r="B392" t="s">
        <v>3528</v>
      </c>
      <c r="C392" t="s">
        <v>1077</v>
      </c>
      <c r="D392" t="s">
        <v>3529</v>
      </c>
      <c r="E392" t="s">
        <v>1136</v>
      </c>
      <c r="F392" t="s">
        <v>3530</v>
      </c>
      <c r="G392" t="s">
        <v>3531</v>
      </c>
      <c r="H392" t="s">
        <v>3532</v>
      </c>
      <c r="I392" t="s">
        <v>3533</v>
      </c>
      <c r="J392" t="s">
        <v>1241</v>
      </c>
      <c r="N392" t="s">
        <v>1377</v>
      </c>
      <c r="O392" t="s">
        <v>1507</v>
      </c>
      <c r="P392" t="s">
        <v>3534</v>
      </c>
      <c r="Q392" t="s">
        <v>1212</v>
      </c>
      <c r="T392" t="s">
        <v>3535</v>
      </c>
      <c r="AD392" t="s">
        <v>605</v>
      </c>
      <c r="AF392" t="s">
        <v>605</v>
      </c>
      <c r="AH392">
        <v>0</v>
      </c>
      <c r="BP392" t="s">
        <v>3298</v>
      </c>
      <c r="BQ392" s="771" t="s">
        <v>1709</v>
      </c>
      <c r="BR392" t="s">
        <v>605</v>
      </c>
      <c r="BS392" t="s">
        <v>1213</v>
      </c>
      <c r="BT392">
        <v>0</v>
      </c>
      <c r="BU392" t="s">
        <v>1213</v>
      </c>
      <c r="BV392">
        <v>0</v>
      </c>
      <c r="BW392" t="s">
        <v>1213</v>
      </c>
      <c r="BX392">
        <v>0</v>
      </c>
      <c r="BY392" t="s">
        <v>1213</v>
      </c>
      <c r="BZ392" t="s">
        <v>3536</v>
      </c>
    </row>
    <row r="393" spans="1:79" x14ac:dyDescent="0.2">
      <c r="A393" t="s">
        <v>1100</v>
      </c>
      <c r="B393" t="s">
        <v>3537</v>
      </c>
      <c r="C393" t="s">
        <v>1077</v>
      </c>
      <c r="D393" t="s">
        <v>3529</v>
      </c>
      <c r="E393" t="s">
        <v>1136</v>
      </c>
      <c r="F393" t="s">
        <v>3530</v>
      </c>
      <c r="G393" t="s">
        <v>3538</v>
      </c>
      <c r="H393" t="s">
        <v>3539</v>
      </c>
      <c r="I393" t="s">
        <v>3540</v>
      </c>
      <c r="J393" t="s">
        <v>1241</v>
      </c>
      <c r="N393" t="s">
        <v>1377</v>
      </c>
      <c r="O393" t="s">
        <v>1507</v>
      </c>
      <c r="P393" t="s">
        <v>3541</v>
      </c>
      <c r="Q393" t="s">
        <v>1212</v>
      </c>
      <c r="T393" t="s">
        <v>3542</v>
      </c>
      <c r="U393" t="s">
        <v>3542</v>
      </c>
      <c r="V393" t="s">
        <v>3542</v>
      </c>
      <c r="W393" t="s">
        <v>3542</v>
      </c>
      <c r="X393" t="s">
        <v>3542</v>
      </c>
      <c r="AD393" t="s">
        <v>605</v>
      </c>
      <c r="AF393" t="s">
        <v>605</v>
      </c>
      <c r="AH393">
        <v>0</v>
      </c>
      <c r="BP393" t="s">
        <v>3298</v>
      </c>
      <c r="BQ393" s="771">
        <v>13</v>
      </c>
      <c r="BR393" t="s">
        <v>605</v>
      </c>
      <c r="BS393" t="s">
        <v>1213</v>
      </c>
      <c r="BT393">
        <v>0</v>
      </c>
      <c r="BU393" t="s">
        <v>1213</v>
      </c>
      <c r="BV393">
        <v>0</v>
      </c>
      <c r="BW393" t="s">
        <v>1213</v>
      </c>
      <c r="BX393">
        <v>0</v>
      </c>
      <c r="BY393" t="s">
        <v>1213</v>
      </c>
      <c r="BZ393" t="s">
        <v>3543</v>
      </c>
    </row>
    <row r="394" spans="1:79" x14ac:dyDescent="0.2">
      <c r="A394" t="s">
        <v>1100</v>
      </c>
      <c r="B394" t="s">
        <v>3544</v>
      </c>
      <c r="C394" t="s">
        <v>1077</v>
      </c>
      <c r="D394" t="s">
        <v>3529</v>
      </c>
      <c r="E394" t="s">
        <v>1136</v>
      </c>
      <c r="F394" t="s">
        <v>3530</v>
      </c>
      <c r="G394" t="s">
        <v>3545</v>
      </c>
      <c r="H394" t="s">
        <v>3546</v>
      </c>
      <c r="I394" t="s">
        <v>3547</v>
      </c>
      <c r="J394" t="s">
        <v>1219</v>
      </c>
      <c r="K394" t="s">
        <v>1563</v>
      </c>
      <c r="M394" t="s">
        <v>606</v>
      </c>
      <c r="N394" t="s">
        <v>1377</v>
      </c>
      <c r="O394" t="s">
        <v>272</v>
      </c>
      <c r="P394" t="s">
        <v>3548</v>
      </c>
      <c r="Q394">
        <v>0</v>
      </c>
      <c r="R394" t="s">
        <v>1251</v>
      </c>
      <c r="S394">
        <v>0</v>
      </c>
      <c r="T394">
        <v>0</v>
      </c>
      <c r="U394">
        <v>0</v>
      </c>
      <c r="V394">
        <v>5</v>
      </c>
      <c r="W394">
        <v>17</v>
      </c>
      <c r="X394">
        <v>24</v>
      </c>
      <c r="AD394" t="s">
        <v>605</v>
      </c>
      <c r="AF394" t="s">
        <v>605</v>
      </c>
      <c r="AH394">
        <v>0</v>
      </c>
      <c r="AI394" t="s">
        <v>605</v>
      </c>
      <c r="AJ394" t="s">
        <v>605</v>
      </c>
      <c r="AK394" t="s">
        <v>605</v>
      </c>
      <c r="AL394" t="s">
        <v>605</v>
      </c>
      <c r="AM394" t="s">
        <v>605</v>
      </c>
      <c r="AN394">
        <v>0</v>
      </c>
      <c r="AO394">
        <v>0</v>
      </c>
      <c r="AP394">
        <v>0</v>
      </c>
      <c r="AQ394">
        <v>0</v>
      </c>
      <c r="AR394">
        <v>0</v>
      </c>
      <c r="AS394">
        <v>0</v>
      </c>
      <c r="AT394">
        <v>0</v>
      </c>
      <c r="AU394">
        <v>5</v>
      </c>
      <c r="AV394">
        <v>17</v>
      </c>
      <c r="AW394">
        <v>24</v>
      </c>
      <c r="BH394">
        <v>3.4</v>
      </c>
      <c r="BN394">
        <v>1</v>
      </c>
      <c r="BO394" t="s">
        <v>1212</v>
      </c>
      <c r="BP394">
        <v>0</v>
      </c>
      <c r="BQ394" s="772">
        <v>9</v>
      </c>
      <c r="BR394" t="s">
        <v>605</v>
      </c>
      <c r="BS394" t="s">
        <v>1213</v>
      </c>
      <c r="BT394">
        <v>0</v>
      </c>
      <c r="BU394" t="s">
        <v>1213</v>
      </c>
      <c r="BV394">
        <v>0</v>
      </c>
      <c r="BW394" t="s">
        <v>1213</v>
      </c>
      <c r="BX394">
        <v>0</v>
      </c>
      <c r="BY394" t="s">
        <v>1213</v>
      </c>
      <c r="BZ394" t="s">
        <v>3549</v>
      </c>
      <c r="CA394" t="s">
        <v>3550</v>
      </c>
    </row>
    <row r="395" spans="1:79" ht="25.5" x14ac:dyDescent="0.2">
      <c r="A395" t="s">
        <v>1100</v>
      </c>
      <c r="B395" t="s">
        <v>3551</v>
      </c>
      <c r="C395" t="s">
        <v>1077</v>
      </c>
      <c r="D395" t="s">
        <v>3529</v>
      </c>
      <c r="E395" t="s">
        <v>1136</v>
      </c>
      <c r="F395" t="s">
        <v>3530</v>
      </c>
      <c r="G395" t="s">
        <v>3552</v>
      </c>
      <c r="H395" t="s">
        <v>3553</v>
      </c>
      <c r="I395" t="s">
        <v>3554</v>
      </c>
      <c r="J395" t="s">
        <v>1241</v>
      </c>
      <c r="N395" t="s">
        <v>1377</v>
      </c>
      <c r="O395" t="s">
        <v>1507</v>
      </c>
      <c r="P395" t="s">
        <v>3555</v>
      </c>
      <c r="Q395" t="s">
        <v>1212</v>
      </c>
      <c r="S395" t="s">
        <v>1710</v>
      </c>
      <c r="T395" t="s">
        <v>3556</v>
      </c>
      <c r="U395" t="s">
        <v>3556</v>
      </c>
      <c r="V395" t="s">
        <v>3556</v>
      </c>
      <c r="W395" t="s">
        <v>3556</v>
      </c>
      <c r="X395" t="s">
        <v>3556</v>
      </c>
      <c r="AD395" t="s">
        <v>605</v>
      </c>
      <c r="AF395" t="s">
        <v>605</v>
      </c>
      <c r="AH395">
        <v>0</v>
      </c>
      <c r="BP395" t="s">
        <v>3298</v>
      </c>
      <c r="BQ395" s="771" t="s">
        <v>3298</v>
      </c>
      <c r="BR395" t="s">
        <v>1213</v>
      </c>
      <c r="BS395" t="s">
        <v>1213</v>
      </c>
      <c r="BT395">
        <v>0</v>
      </c>
      <c r="BU395" t="s">
        <v>1213</v>
      </c>
      <c r="BV395">
        <v>0</v>
      </c>
      <c r="BW395" t="s">
        <v>1213</v>
      </c>
      <c r="BX395">
        <v>0</v>
      </c>
      <c r="BY395" t="s">
        <v>1213</v>
      </c>
      <c r="BZ395" t="s">
        <v>3557</v>
      </c>
    </row>
    <row r="396" spans="1:79" ht="242.25" x14ac:dyDescent="0.2">
      <c r="A396" t="s">
        <v>1100</v>
      </c>
      <c r="B396" t="s">
        <v>3558</v>
      </c>
      <c r="C396" t="s">
        <v>1077</v>
      </c>
      <c r="D396" t="s">
        <v>3529</v>
      </c>
      <c r="E396" t="s">
        <v>1136</v>
      </c>
      <c r="F396" t="s">
        <v>3530</v>
      </c>
      <c r="G396" t="s">
        <v>3559</v>
      </c>
      <c r="H396" t="s">
        <v>3560</v>
      </c>
      <c r="I396" t="s">
        <v>3561</v>
      </c>
      <c r="J396" t="s">
        <v>1241</v>
      </c>
      <c r="N396" t="s">
        <v>1377</v>
      </c>
      <c r="O396" t="s">
        <v>1507</v>
      </c>
      <c r="P396" t="s">
        <v>3562</v>
      </c>
      <c r="Q396" t="s">
        <v>1212</v>
      </c>
      <c r="T396" t="s">
        <v>1642</v>
      </c>
      <c r="U396" t="s">
        <v>1642</v>
      </c>
      <c r="V396" t="s">
        <v>1642</v>
      </c>
      <c r="W396" t="s">
        <v>1642</v>
      </c>
      <c r="X396" t="s">
        <v>1642</v>
      </c>
      <c r="AD396" t="s">
        <v>605</v>
      </c>
      <c r="AF396" t="s">
        <v>605</v>
      </c>
      <c r="AH396">
        <v>0</v>
      </c>
      <c r="BP396" t="s">
        <v>3563</v>
      </c>
      <c r="BQ396" s="771" t="s">
        <v>3564</v>
      </c>
      <c r="BR396" t="s">
        <v>1213</v>
      </c>
      <c r="BS396" t="s">
        <v>1213</v>
      </c>
      <c r="BT396">
        <v>0</v>
      </c>
      <c r="BU396" t="s">
        <v>1213</v>
      </c>
      <c r="BV396">
        <v>0</v>
      </c>
      <c r="BW396" t="s">
        <v>1213</v>
      </c>
      <c r="BX396">
        <v>0</v>
      </c>
      <c r="BY396" t="s">
        <v>1213</v>
      </c>
      <c r="BZ396" t="s">
        <v>3565</v>
      </c>
    </row>
    <row r="397" spans="1:79" x14ac:dyDescent="0.2">
      <c r="A397" t="s">
        <v>1100</v>
      </c>
      <c r="B397" t="s">
        <v>3566</v>
      </c>
      <c r="C397" t="s">
        <v>1077</v>
      </c>
      <c r="D397" t="s">
        <v>1288</v>
      </c>
      <c r="E397" t="s">
        <v>1289</v>
      </c>
      <c r="F397" t="s">
        <v>3567</v>
      </c>
      <c r="G397" t="s">
        <v>3568</v>
      </c>
      <c r="H397" t="s">
        <v>3569</v>
      </c>
      <c r="I397" t="s">
        <v>3570</v>
      </c>
      <c r="J397" t="s">
        <v>1241</v>
      </c>
      <c r="N397" t="s">
        <v>1400</v>
      </c>
      <c r="O397" t="s">
        <v>272</v>
      </c>
      <c r="P397" t="s">
        <v>3285</v>
      </c>
      <c r="Q397">
        <v>0</v>
      </c>
      <c r="R397" t="s">
        <v>1211</v>
      </c>
      <c r="S397">
        <v>16</v>
      </c>
      <c r="T397">
        <v>16</v>
      </c>
      <c r="U397">
        <v>17</v>
      </c>
      <c r="V397">
        <v>18</v>
      </c>
      <c r="W397">
        <v>17</v>
      </c>
      <c r="X397">
        <v>15</v>
      </c>
      <c r="AH397">
        <v>0</v>
      </c>
      <c r="BP397">
        <v>15.95</v>
      </c>
      <c r="BQ397" s="772">
        <v>13.79</v>
      </c>
      <c r="BR397" t="s">
        <v>605</v>
      </c>
      <c r="BS397" t="s">
        <v>1213</v>
      </c>
      <c r="BT397">
        <v>0</v>
      </c>
      <c r="BU397" t="s">
        <v>1213</v>
      </c>
      <c r="BV397">
        <v>0</v>
      </c>
      <c r="BW397" t="s">
        <v>1213</v>
      </c>
      <c r="BX397">
        <v>0</v>
      </c>
      <c r="BY397" t="s">
        <v>1213</v>
      </c>
      <c r="BZ397" t="s">
        <v>3571</v>
      </c>
    </row>
    <row r="398" spans="1:79" x14ac:dyDescent="0.2">
      <c r="A398" t="s">
        <v>1100</v>
      </c>
      <c r="B398" t="s">
        <v>3572</v>
      </c>
      <c r="C398" t="s">
        <v>1077</v>
      </c>
      <c r="D398" t="s">
        <v>1288</v>
      </c>
      <c r="E398" t="s">
        <v>1289</v>
      </c>
      <c r="F398" t="s">
        <v>3567</v>
      </c>
      <c r="G398" t="s">
        <v>3573</v>
      </c>
      <c r="H398" t="s">
        <v>3574</v>
      </c>
      <c r="I398" t="s">
        <v>3575</v>
      </c>
      <c r="J398" t="s">
        <v>1241</v>
      </c>
      <c r="N398" t="s">
        <v>1400</v>
      </c>
      <c r="O398" t="s">
        <v>264</v>
      </c>
      <c r="P398" t="s">
        <v>3279</v>
      </c>
      <c r="Q398">
        <v>0</v>
      </c>
      <c r="R398" t="s">
        <v>1251</v>
      </c>
      <c r="S398">
        <v>90</v>
      </c>
      <c r="T398">
        <v>95</v>
      </c>
      <c r="U398">
        <v>95</v>
      </c>
      <c r="V398">
        <v>95</v>
      </c>
      <c r="W398">
        <v>95</v>
      </c>
      <c r="X398">
        <v>95</v>
      </c>
      <c r="AH398">
        <v>0</v>
      </c>
      <c r="BP398">
        <v>91.82</v>
      </c>
      <c r="BQ398" s="772">
        <v>92.36</v>
      </c>
      <c r="BR398" t="s">
        <v>606</v>
      </c>
      <c r="BS398" t="s">
        <v>1213</v>
      </c>
      <c r="BT398">
        <v>0</v>
      </c>
      <c r="BU398" t="s">
        <v>1213</v>
      </c>
      <c r="BV398">
        <v>0</v>
      </c>
      <c r="BW398" t="s">
        <v>1213</v>
      </c>
      <c r="BX398">
        <v>0</v>
      </c>
      <c r="BY398" t="s">
        <v>1213</v>
      </c>
      <c r="BZ398" t="s">
        <v>3576</v>
      </c>
    </row>
    <row r="399" spans="1:79" x14ac:dyDescent="0.2">
      <c r="A399" t="s">
        <v>1100</v>
      </c>
      <c r="B399" t="s">
        <v>3577</v>
      </c>
      <c r="C399" t="s">
        <v>1077</v>
      </c>
      <c r="D399" t="s">
        <v>1288</v>
      </c>
      <c r="E399" t="s">
        <v>1289</v>
      </c>
      <c r="F399" t="s">
        <v>3567</v>
      </c>
      <c r="G399" t="s">
        <v>3578</v>
      </c>
      <c r="H399" t="s">
        <v>3579</v>
      </c>
      <c r="I399" t="s">
        <v>3580</v>
      </c>
      <c r="J399" t="s">
        <v>1241</v>
      </c>
      <c r="N399" t="s">
        <v>1400</v>
      </c>
      <c r="O399" t="s">
        <v>665</v>
      </c>
      <c r="P399" t="s">
        <v>3291</v>
      </c>
      <c r="Q399">
        <v>2</v>
      </c>
      <c r="R399" t="s">
        <v>1251</v>
      </c>
      <c r="S399">
        <v>4.4000000000000004</v>
      </c>
      <c r="T399">
        <v>4.45</v>
      </c>
      <c r="U399">
        <v>4.55</v>
      </c>
      <c r="V399">
        <v>4.45</v>
      </c>
      <c r="W399">
        <v>4.5999999999999996</v>
      </c>
      <c r="X399">
        <v>4.6500000000000004</v>
      </c>
      <c r="AH399">
        <v>0</v>
      </c>
      <c r="BP399">
        <v>4.4800000000000004</v>
      </c>
      <c r="BQ399" s="773">
        <v>4.6100000000000003</v>
      </c>
      <c r="BR399" t="s">
        <v>605</v>
      </c>
      <c r="BS399" t="s">
        <v>1213</v>
      </c>
      <c r="BT399">
        <v>0</v>
      </c>
      <c r="BU399" t="s">
        <v>1213</v>
      </c>
      <c r="BV399">
        <v>0</v>
      </c>
      <c r="BW399" t="s">
        <v>1213</v>
      </c>
      <c r="BX399">
        <v>0</v>
      </c>
      <c r="BY399" t="s">
        <v>1213</v>
      </c>
      <c r="BZ399" t="s">
        <v>3581</v>
      </c>
    </row>
    <row r="400" spans="1:79" x14ac:dyDescent="0.2">
      <c r="A400" t="s">
        <v>1100</v>
      </c>
      <c r="B400" t="s">
        <v>3582</v>
      </c>
      <c r="C400" t="s">
        <v>1077</v>
      </c>
      <c r="D400" t="s">
        <v>1288</v>
      </c>
      <c r="E400" t="s">
        <v>1289</v>
      </c>
      <c r="F400" t="s">
        <v>3567</v>
      </c>
      <c r="G400" t="s">
        <v>3583</v>
      </c>
      <c r="H400" t="s">
        <v>3584</v>
      </c>
      <c r="I400" t="s">
        <v>3585</v>
      </c>
      <c r="J400" t="s">
        <v>1241</v>
      </c>
      <c r="N400" t="s">
        <v>1400</v>
      </c>
      <c r="O400" t="s">
        <v>665</v>
      </c>
      <c r="P400" t="s">
        <v>3291</v>
      </c>
      <c r="Q400">
        <v>2</v>
      </c>
      <c r="R400" t="s">
        <v>1251</v>
      </c>
      <c r="S400">
        <v>4.4000000000000004</v>
      </c>
      <c r="T400">
        <v>4.45</v>
      </c>
      <c r="U400">
        <v>4.5199999999999996</v>
      </c>
      <c r="V400">
        <v>4.57</v>
      </c>
      <c r="W400">
        <v>4.5999999999999996</v>
      </c>
      <c r="X400">
        <v>4.6500000000000004</v>
      </c>
      <c r="AH400">
        <v>0</v>
      </c>
      <c r="BP400" t="s">
        <v>3298</v>
      </c>
      <c r="BQ400" s="773">
        <v>4.2699999999999996</v>
      </c>
      <c r="BR400" t="s">
        <v>606</v>
      </c>
      <c r="BS400" t="s">
        <v>1213</v>
      </c>
      <c r="BT400">
        <v>0</v>
      </c>
      <c r="BU400" t="s">
        <v>1213</v>
      </c>
      <c r="BV400">
        <v>0</v>
      </c>
      <c r="BW400" t="s">
        <v>1213</v>
      </c>
      <c r="BX400">
        <v>0</v>
      </c>
      <c r="BY400" t="s">
        <v>1213</v>
      </c>
      <c r="BZ400" t="s">
        <v>3586</v>
      </c>
    </row>
    <row r="401" spans="1:79" x14ac:dyDescent="0.2">
      <c r="A401" t="s">
        <v>1100</v>
      </c>
      <c r="B401" t="s">
        <v>3587</v>
      </c>
      <c r="C401" t="s">
        <v>1077</v>
      </c>
      <c r="D401" t="s">
        <v>1288</v>
      </c>
      <c r="E401" t="s">
        <v>1289</v>
      </c>
      <c r="F401" t="s">
        <v>3567</v>
      </c>
      <c r="G401" t="s">
        <v>3588</v>
      </c>
      <c r="H401" t="s">
        <v>3589</v>
      </c>
      <c r="I401" t="s">
        <v>3590</v>
      </c>
      <c r="J401" t="s">
        <v>1241</v>
      </c>
      <c r="N401" t="s">
        <v>1303</v>
      </c>
      <c r="O401" t="s">
        <v>264</v>
      </c>
      <c r="P401" t="s">
        <v>3591</v>
      </c>
      <c r="Q401">
        <v>0</v>
      </c>
      <c r="R401" t="s">
        <v>1251</v>
      </c>
      <c r="S401">
        <v>85</v>
      </c>
      <c r="T401">
        <v>96</v>
      </c>
      <c r="U401">
        <v>96</v>
      </c>
      <c r="V401">
        <v>96</v>
      </c>
      <c r="W401">
        <v>96</v>
      </c>
      <c r="X401">
        <v>96</v>
      </c>
      <c r="AH401">
        <v>0</v>
      </c>
      <c r="BP401" t="s">
        <v>3298</v>
      </c>
      <c r="BQ401" s="772">
        <v>90.5</v>
      </c>
      <c r="BR401" t="s">
        <v>606</v>
      </c>
      <c r="BS401" t="s">
        <v>1213</v>
      </c>
      <c r="BT401">
        <v>0</v>
      </c>
      <c r="BU401" t="s">
        <v>1213</v>
      </c>
      <c r="BV401">
        <v>0</v>
      </c>
      <c r="BW401" t="s">
        <v>1213</v>
      </c>
      <c r="BX401">
        <v>0</v>
      </c>
      <c r="BY401" t="s">
        <v>1213</v>
      </c>
      <c r="BZ401" t="s">
        <v>3592</v>
      </c>
    </row>
    <row r="402" spans="1:79" x14ac:dyDescent="0.2">
      <c r="A402" t="s">
        <v>1100</v>
      </c>
      <c r="B402" t="s">
        <v>3593</v>
      </c>
      <c r="C402" t="s">
        <v>1077</v>
      </c>
      <c r="D402" t="s">
        <v>1288</v>
      </c>
      <c r="E402" t="s">
        <v>1289</v>
      </c>
      <c r="F402" t="s">
        <v>3567</v>
      </c>
      <c r="G402" t="s">
        <v>3594</v>
      </c>
      <c r="H402" t="s">
        <v>3595</v>
      </c>
      <c r="I402" t="s">
        <v>3596</v>
      </c>
      <c r="J402" t="s">
        <v>1207</v>
      </c>
      <c r="K402" t="s">
        <v>1208</v>
      </c>
      <c r="M402" t="s">
        <v>606</v>
      </c>
      <c r="N402" t="s">
        <v>1294</v>
      </c>
      <c r="O402" t="s">
        <v>665</v>
      </c>
      <c r="P402" t="s">
        <v>1295</v>
      </c>
      <c r="Q402">
        <v>1</v>
      </c>
      <c r="S402" t="s">
        <v>1242</v>
      </c>
      <c r="T402" t="s">
        <v>1242</v>
      </c>
      <c r="U402" t="s">
        <v>1242</v>
      </c>
      <c r="V402" t="s">
        <v>1242</v>
      </c>
      <c r="W402" t="s">
        <v>1242</v>
      </c>
      <c r="X402" t="s">
        <v>1242</v>
      </c>
      <c r="AH402">
        <v>0</v>
      </c>
      <c r="AI402" t="s">
        <v>605</v>
      </c>
      <c r="AJ402" t="s">
        <v>605</v>
      </c>
      <c r="AK402" t="s">
        <v>605</v>
      </c>
      <c r="AL402" t="s">
        <v>605</v>
      </c>
      <c r="AM402" t="s">
        <v>605</v>
      </c>
      <c r="AN402" t="s">
        <v>1296</v>
      </c>
      <c r="AO402" t="s">
        <v>1296</v>
      </c>
      <c r="AP402" t="s">
        <v>1296</v>
      </c>
      <c r="AQ402" t="s">
        <v>1296</v>
      </c>
      <c r="AR402" t="s">
        <v>1296</v>
      </c>
      <c r="AS402" t="s">
        <v>1296</v>
      </c>
      <c r="AT402" t="s">
        <v>1296</v>
      </c>
      <c r="AU402" t="s">
        <v>1296</v>
      </c>
      <c r="AV402" t="s">
        <v>1296</v>
      </c>
      <c r="AW402" t="s">
        <v>1296</v>
      </c>
      <c r="AX402" t="s">
        <v>1296</v>
      </c>
      <c r="AY402" t="s">
        <v>1296</v>
      </c>
      <c r="AZ402" t="s">
        <v>1296</v>
      </c>
      <c r="BA402" t="s">
        <v>1296</v>
      </c>
      <c r="BB402" t="s">
        <v>1296</v>
      </c>
      <c r="BC402" t="s">
        <v>1296</v>
      </c>
      <c r="BD402" t="s">
        <v>1296</v>
      </c>
      <c r="BE402" t="s">
        <v>1296</v>
      </c>
      <c r="BF402" t="s">
        <v>1296</v>
      </c>
      <c r="BG402" t="s">
        <v>1296</v>
      </c>
      <c r="BH402" t="s">
        <v>1296</v>
      </c>
      <c r="BL402" t="s">
        <v>1296</v>
      </c>
      <c r="BN402">
        <v>1</v>
      </c>
      <c r="BO402" t="s">
        <v>1212</v>
      </c>
      <c r="BP402">
        <v>72.599999999999994</v>
      </c>
      <c r="BQ402" s="771">
        <v>76.739999999999995</v>
      </c>
      <c r="BR402" t="s">
        <v>1213</v>
      </c>
      <c r="BS402" t="s">
        <v>1213</v>
      </c>
      <c r="BT402">
        <v>0</v>
      </c>
      <c r="BU402" t="s">
        <v>1213</v>
      </c>
      <c r="BV402">
        <v>0</v>
      </c>
      <c r="BW402" t="s">
        <v>1213</v>
      </c>
      <c r="BX402">
        <v>0</v>
      </c>
      <c r="BY402" t="s">
        <v>1213</v>
      </c>
      <c r="BZ402" t="s">
        <v>3597</v>
      </c>
      <c r="CA402" t="s">
        <v>1298</v>
      </c>
    </row>
    <row r="403" spans="1:79" x14ac:dyDescent="0.2">
      <c r="A403" t="s">
        <v>1100</v>
      </c>
      <c r="B403" t="s">
        <v>3598</v>
      </c>
      <c r="C403" t="s">
        <v>1077</v>
      </c>
      <c r="D403" t="s">
        <v>1288</v>
      </c>
      <c r="E403" t="s">
        <v>1289</v>
      </c>
      <c r="F403" t="s">
        <v>3599</v>
      </c>
      <c r="G403" t="s">
        <v>3600</v>
      </c>
      <c r="H403" t="s">
        <v>3601</v>
      </c>
      <c r="I403" t="s">
        <v>3602</v>
      </c>
      <c r="J403" t="s">
        <v>1219</v>
      </c>
      <c r="K403" t="s">
        <v>1208</v>
      </c>
      <c r="M403" t="s">
        <v>606</v>
      </c>
      <c r="N403" t="s">
        <v>1303</v>
      </c>
      <c r="O403" t="s">
        <v>1507</v>
      </c>
      <c r="P403" t="s">
        <v>3603</v>
      </c>
      <c r="Q403" t="s">
        <v>1212</v>
      </c>
      <c r="S403" t="s">
        <v>3604</v>
      </c>
      <c r="T403" t="s">
        <v>3604</v>
      </c>
      <c r="U403" t="s">
        <v>3604</v>
      </c>
      <c r="V403" t="s">
        <v>2146</v>
      </c>
      <c r="W403" t="s">
        <v>2146</v>
      </c>
      <c r="X403" t="s">
        <v>2146</v>
      </c>
      <c r="AD403" t="s">
        <v>605</v>
      </c>
      <c r="AH403">
        <v>0</v>
      </c>
      <c r="AL403" t="s">
        <v>605</v>
      </c>
      <c r="AM403" t="s">
        <v>605</v>
      </c>
      <c r="AR403" t="s">
        <v>3459</v>
      </c>
      <c r="AV403" t="s">
        <v>3605</v>
      </c>
      <c r="AW403" t="s">
        <v>3605</v>
      </c>
      <c r="BH403">
        <v>6.5</v>
      </c>
      <c r="BI403">
        <v>20.5</v>
      </c>
      <c r="BN403">
        <v>1</v>
      </c>
      <c r="BO403" t="s">
        <v>1212</v>
      </c>
      <c r="BP403" t="s">
        <v>3298</v>
      </c>
      <c r="BQ403" s="785" t="s">
        <v>3604</v>
      </c>
      <c r="BR403" t="s">
        <v>605</v>
      </c>
      <c r="BS403" t="s">
        <v>1213</v>
      </c>
      <c r="BT403">
        <v>0</v>
      </c>
      <c r="BU403" t="s">
        <v>1213</v>
      </c>
      <c r="BV403">
        <v>0</v>
      </c>
      <c r="BW403" t="s">
        <v>1213</v>
      </c>
      <c r="BX403">
        <v>0</v>
      </c>
      <c r="BY403" t="s">
        <v>1213</v>
      </c>
      <c r="BZ403" t="s">
        <v>3606</v>
      </c>
      <c r="CA403" t="s">
        <v>3607</v>
      </c>
    </row>
    <row r="404" spans="1:79" x14ac:dyDescent="0.2">
      <c r="A404" t="s">
        <v>1100</v>
      </c>
      <c r="B404" t="s">
        <v>3608</v>
      </c>
      <c r="C404" t="s">
        <v>1077</v>
      </c>
      <c r="D404" t="s">
        <v>1288</v>
      </c>
      <c r="E404" t="s">
        <v>1289</v>
      </c>
      <c r="F404" t="s">
        <v>3609</v>
      </c>
      <c r="G404" t="s">
        <v>3610</v>
      </c>
      <c r="H404" t="s">
        <v>3611</v>
      </c>
      <c r="I404" t="s">
        <v>3612</v>
      </c>
      <c r="J404" t="s">
        <v>1241</v>
      </c>
      <c r="N404" t="s">
        <v>1303</v>
      </c>
      <c r="O404" t="s">
        <v>264</v>
      </c>
      <c r="P404" t="s">
        <v>3613</v>
      </c>
      <c r="Q404">
        <v>0</v>
      </c>
      <c r="R404" t="s">
        <v>1251</v>
      </c>
      <c r="S404">
        <v>52</v>
      </c>
      <c r="T404">
        <v>53</v>
      </c>
      <c r="U404">
        <v>54</v>
      </c>
      <c r="V404">
        <v>54</v>
      </c>
      <c r="W404">
        <v>57</v>
      </c>
      <c r="X404">
        <v>60</v>
      </c>
      <c r="AH404">
        <v>0</v>
      </c>
      <c r="BP404" t="s">
        <v>3298</v>
      </c>
      <c r="BQ404" s="772">
        <v>54.19</v>
      </c>
      <c r="BR404" t="s">
        <v>605</v>
      </c>
      <c r="BS404" t="s">
        <v>1213</v>
      </c>
      <c r="BT404">
        <v>0</v>
      </c>
      <c r="BU404" t="s">
        <v>1213</v>
      </c>
      <c r="BV404">
        <v>0</v>
      </c>
      <c r="BW404" t="s">
        <v>1213</v>
      </c>
      <c r="BX404">
        <v>0</v>
      </c>
      <c r="BY404" t="s">
        <v>1213</v>
      </c>
      <c r="BZ404" t="s">
        <v>3614</v>
      </c>
    </row>
    <row r="405" spans="1:79" x14ac:dyDescent="0.2">
      <c r="A405" t="s">
        <v>1100</v>
      </c>
      <c r="B405" t="s">
        <v>3615</v>
      </c>
      <c r="C405" t="s">
        <v>1077</v>
      </c>
      <c r="D405" t="s">
        <v>1288</v>
      </c>
      <c r="E405" t="s">
        <v>1289</v>
      </c>
      <c r="F405" t="s">
        <v>3609</v>
      </c>
      <c r="G405" t="s">
        <v>3616</v>
      </c>
      <c r="H405" t="s">
        <v>3617</v>
      </c>
      <c r="I405" t="s">
        <v>3618</v>
      </c>
      <c r="J405" t="s">
        <v>1241</v>
      </c>
      <c r="N405" t="s">
        <v>1303</v>
      </c>
      <c r="O405" t="s">
        <v>264</v>
      </c>
      <c r="P405" t="s">
        <v>3619</v>
      </c>
      <c r="Q405">
        <v>1</v>
      </c>
      <c r="R405" t="s">
        <v>1251</v>
      </c>
      <c r="S405">
        <v>88.6</v>
      </c>
      <c r="T405">
        <v>89</v>
      </c>
      <c r="U405">
        <v>89.4</v>
      </c>
      <c r="V405">
        <v>89.7</v>
      </c>
      <c r="W405">
        <v>89.6</v>
      </c>
      <c r="X405">
        <v>90.4</v>
      </c>
      <c r="AH405">
        <v>0</v>
      </c>
      <c r="BP405">
        <v>87.9</v>
      </c>
      <c r="BQ405" s="769">
        <v>88.2</v>
      </c>
      <c r="BR405" t="s">
        <v>606</v>
      </c>
      <c r="BS405" t="s">
        <v>1213</v>
      </c>
      <c r="BT405">
        <v>0</v>
      </c>
      <c r="BU405" t="s">
        <v>1213</v>
      </c>
      <c r="BV405">
        <v>0</v>
      </c>
      <c r="BW405" t="s">
        <v>1213</v>
      </c>
      <c r="BX405">
        <v>0</v>
      </c>
      <c r="BY405" t="s">
        <v>1213</v>
      </c>
      <c r="BZ405" t="s">
        <v>3620</v>
      </c>
    </row>
    <row r="406" spans="1:79" x14ac:dyDescent="0.2">
      <c r="A406" t="s">
        <v>3621</v>
      </c>
      <c r="B406" t="s">
        <v>3622</v>
      </c>
      <c r="C406" t="s">
        <v>1077</v>
      </c>
      <c r="D406" t="s">
        <v>457</v>
      </c>
      <c r="E406" t="s">
        <v>1202</v>
      </c>
      <c r="F406" t="s">
        <v>3623</v>
      </c>
      <c r="G406" t="s">
        <v>1554</v>
      </c>
      <c r="H406" t="s">
        <v>3624</v>
      </c>
      <c r="I406" t="s">
        <v>3625</v>
      </c>
      <c r="J406" t="s">
        <v>1241</v>
      </c>
      <c r="N406" t="s">
        <v>1249</v>
      </c>
      <c r="O406" t="s">
        <v>665</v>
      </c>
      <c r="P406" t="s">
        <v>3626</v>
      </c>
      <c r="Q406">
        <v>1</v>
      </c>
      <c r="R406" t="s">
        <v>1251</v>
      </c>
      <c r="S406">
        <v>3.9</v>
      </c>
      <c r="T406">
        <v>3.9</v>
      </c>
      <c r="U406">
        <v>3.9</v>
      </c>
      <c r="V406">
        <v>3.9</v>
      </c>
      <c r="W406">
        <v>3.9</v>
      </c>
      <c r="X406">
        <v>3.9</v>
      </c>
      <c r="AE406" t="s">
        <v>605</v>
      </c>
      <c r="AH406">
        <v>0</v>
      </c>
      <c r="BP406">
        <v>4.3</v>
      </c>
      <c r="BQ406" s="769">
        <v>4.3</v>
      </c>
      <c r="BR406" t="s">
        <v>605</v>
      </c>
      <c r="BS406" t="s">
        <v>1213</v>
      </c>
      <c r="BT406">
        <v>0</v>
      </c>
      <c r="BU406" t="s">
        <v>1213</v>
      </c>
      <c r="BV406">
        <v>0</v>
      </c>
      <c r="BW406" t="s">
        <v>1213</v>
      </c>
      <c r="BX406">
        <v>0</v>
      </c>
      <c r="BY406" t="s">
        <v>1213</v>
      </c>
      <c r="BZ406" t="s">
        <v>3627</v>
      </c>
    </row>
    <row r="407" spans="1:79" x14ac:dyDescent="0.2">
      <c r="A407" t="s">
        <v>3621</v>
      </c>
      <c r="B407" t="s">
        <v>3628</v>
      </c>
      <c r="C407" t="s">
        <v>1077</v>
      </c>
      <c r="D407" t="s">
        <v>457</v>
      </c>
      <c r="E407" t="s">
        <v>1202</v>
      </c>
      <c r="F407" t="s">
        <v>3623</v>
      </c>
      <c r="G407" t="s">
        <v>1560</v>
      </c>
      <c r="H407" t="s">
        <v>3629</v>
      </c>
      <c r="I407" t="s">
        <v>3630</v>
      </c>
      <c r="J407" t="s">
        <v>1219</v>
      </c>
      <c r="K407" t="s">
        <v>3631</v>
      </c>
      <c r="N407" t="s">
        <v>1249</v>
      </c>
      <c r="O407" t="s">
        <v>272</v>
      </c>
      <c r="P407" t="s">
        <v>3632</v>
      </c>
      <c r="Q407">
        <v>0</v>
      </c>
      <c r="R407" t="s">
        <v>1211</v>
      </c>
      <c r="S407">
        <v>13</v>
      </c>
      <c r="T407">
        <v>12</v>
      </c>
      <c r="U407">
        <v>11</v>
      </c>
      <c r="V407">
        <v>10</v>
      </c>
      <c r="W407">
        <v>9</v>
      </c>
      <c r="X407">
        <v>7</v>
      </c>
      <c r="AE407" t="s">
        <v>605</v>
      </c>
      <c r="AH407">
        <v>0</v>
      </c>
      <c r="AI407" t="s">
        <v>605</v>
      </c>
      <c r="AJ407" t="s">
        <v>605</v>
      </c>
      <c r="AK407" t="s">
        <v>605</v>
      </c>
      <c r="AL407" t="s">
        <v>605</v>
      </c>
      <c r="AM407" t="s">
        <v>605</v>
      </c>
      <c r="AN407">
        <v>15</v>
      </c>
      <c r="AO407">
        <v>15</v>
      </c>
      <c r="AP407">
        <v>15</v>
      </c>
      <c r="AQ407">
        <v>15</v>
      </c>
      <c r="AR407">
        <v>15</v>
      </c>
      <c r="AS407">
        <v>12</v>
      </c>
      <c r="AT407">
        <v>11</v>
      </c>
      <c r="AU407">
        <v>10</v>
      </c>
      <c r="AV407">
        <v>9</v>
      </c>
      <c r="AW407">
        <v>7</v>
      </c>
      <c r="BH407">
        <v>0.14899999999999999</v>
      </c>
      <c r="BN407">
        <v>1</v>
      </c>
      <c r="BO407" t="s">
        <v>1212</v>
      </c>
      <c r="BP407">
        <v>27</v>
      </c>
      <c r="BQ407" s="772">
        <v>35</v>
      </c>
      <c r="BR407" t="s">
        <v>606</v>
      </c>
      <c r="BS407" t="s">
        <v>1213</v>
      </c>
      <c r="BT407">
        <v>0</v>
      </c>
      <c r="BU407" t="s">
        <v>1107</v>
      </c>
      <c r="BV407">
        <v>-0.44700000000000001</v>
      </c>
      <c r="BW407" t="s">
        <v>1107</v>
      </c>
      <c r="BX407">
        <v>-1</v>
      </c>
      <c r="BY407" t="s">
        <v>1213</v>
      </c>
      <c r="BZ407" t="s">
        <v>3633</v>
      </c>
    </row>
    <row r="408" spans="1:79" x14ac:dyDescent="0.2">
      <c r="A408" t="s">
        <v>3621</v>
      </c>
      <c r="B408" t="s">
        <v>3634</v>
      </c>
      <c r="C408" t="s">
        <v>1077</v>
      </c>
      <c r="D408" t="s">
        <v>457</v>
      </c>
      <c r="E408" t="s">
        <v>1202</v>
      </c>
      <c r="F408" t="s">
        <v>3623</v>
      </c>
      <c r="G408" t="s">
        <v>1569</v>
      </c>
      <c r="H408" t="s">
        <v>3635</v>
      </c>
      <c r="I408" t="s">
        <v>3636</v>
      </c>
      <c r="J408" t="s">
        <v>1207</v>
      </c>
      <c r="K408" t="s">
        <v>3631</v>
      </c>
      <c r="M408" t="s">
        <v>606</v>
      </c>
      <c r="N408" t="s">
        <v>1249</v>
      </c>
      <c r="O408" t="s">
        <v>665</v>
      </c>
      <c r="P408" t="s">
        <v>3637</v>
      </c>
      <c r="Q408">
        <v>3</v>
      </c>
      <c r="R408" t="s">
        <v>1251</v>
      </c>
      <c r="S408">
        <v>107.2</v>
      </c>
      <c r="T408">
        <v>119.3</v>
      </c>
      <c r="U408">
        <v>130.30000000000001</v>
      </c>
      <c r="V408">
        <v>145.9</v>
      </c>
      <c r="W408">
        <v>145.9</v>
      </c>
      <c r="X408">
        <v>145.9</v>
      </c>
      <c r="Y408" t="s">
        <v>605</v>
      </c>
      <c r="Z408" t="s">
        <v>605</v>
      </c>
      <c r="AE408" t="s">
        <v>605</v>
      </c>
      <c r="AH408">
        <v>6</v>
      </c>
      <c r="AI408" t="s">
        <v>605</v>
      </c>
      <c r="AJ408" t="s">
        <v>605</v>
      </c>
      <c r="AK408" t="s">
        <v>605</v>
      </c>
      <c r="AL408" t="s">
        <v>605</v>
      </c>
      <c r="AM408" t="s">
        <v>605</v>
      </c>
      <c r="AN408">
        <v>114.6</v>
      </c>
      <c r="AO408">
        <v>125.6</v>
      </c>
      <c r="AP408">
        <v>141.19999999999999</v>
      </c>
      <c r="AQ408">
        <v>141.19999999999999</v>
      </c>
      <c r="AR408">
        <v>141.19999999999999</v>
      </c>
      <c r="AS408">
        <v>119.3</v>
      </c>
      <c r="AT408">
        <v>130.30000000000001</v>
      </c>
      <c r="AU408">
        <v>145.9</v>
      </c>
      <c r="AV408">
        <v>145.9</v>
      </c>
      <c r="AW408">
        <v>145.9</v>
      </c>
      <c r="AX408">
        <v>119.3</v>
      </c>
      <c r="AY408">
        <v>130.30000000000001</v>
      </c>
      <c r="AZ408">
        <v>145.9</v>
      </c>
      <c r="BA408">
        <v>145.9</v>
      </c>
      <c r="BB408">
        <v>145.9</v>
      </c>
      <c r="BC408">
        <v>124</v>
      </c>
      <c r="BD408">
        <v>135</v>
      </c>
      <c r="BE408">
        <v>150.6</v>
      </c>
      <c r="BF408">
        <v>150.6</v>
      </c>
      <c r="BG408">
        <v>150.6</v>
      </c>
      <c r="BH408">
        <v>0.77</v>
      </c>
      <c r="BL408">
        <v>0.41699999999999998</v>
      </c>
      <c r="BN408">
        <v>1</v>
      </c>
      <c r="BO408" t="s">
        <v>1212</v>
      </c>
      <c r="BP408">
        <v>108.36412797124429</v>
      </c>
      <c r="BQ408" s="782">
        <v>120.4653572103465</v>
      </c>
      <c r="BR408" t="s">
        <v>605</v>
      </c>
      <c r="BS408" t="s">
        <v>1213</v>
      </c>
      <c r="BT408">
        <v>0</v>
      </c>
      <c r="BU408" t="s">
        <v>611</v>
      </c>
      <c r="BV408">
        <v>0.22684099999999999</v>
      </c>
      <c r="BW408" t="s">
        <v>1107</v>
      </c>
      <c r="BX408">
        <v>-3.6</v>
      </c>
      <c r="BY408" t="s">
        <v>1171</v>
      </c>
      <c r="BZ408" t="s">
        <v>3638</v>
      </c>
      <c r="CA408" t="s">
        <v>3639</v>
      </c>
    </row>
    <row r="409" spans="1:79" x14ac:dyDescent="0.2">
      <c r="A409" t="s">
        <v>3621</v>
      </c>
      <c r="B409" t="s">
        <v>3640</v>
      </c>
      <c r="C409" t="s">
        <v>1077</v>
      </c>
      <c r="D409" t="s">
        <v>457</v>
      </c>
      <c r="E409" t="s">
        <v>1202</v>
      </c>
      <c r="F409" t="s">
        <v>3641</v>
      </c>
      <c r="G409" t="s">
        <v>1575</v>
      </c>
      <c r="H409" t="s">
        <v>3642</v>
      </c>
      <c r="I409" t="s">
        <v>3643</v>
      </c>
      <c r="J409" t="s">
        <v>1207</v>
      </c>
      <c r="K409" t="s">
        <v>3631</v>
      </c>
      <c r="M409" t="s">
        <v>606</v>
      </c>
      <c r="N409" t="s">
        <v>1265</v>
      </c>
      <c r="O409" t="s">
        <v>1309</v>
      </c>
      <c r="P409" t="s">
        <v>3644</v>
      </c>
      <c r="Q409" t="s">
        <v>1829</v>
      </c>
      <c r="R409" t="s">
        <v>1211</v>
      </c>
      <c r="S409">
        <v>0.75</v>
      </c>
      <c r="T409">
        <v>0.66666666666666663</v>
      </c>
      <c r="U409">
        <v>0.58333333333333337</v>
      </c>
      <c r="V409">
        <v>0.5</v>
      </c>
      <c r="W409">
        <v>0.5</v>
      </c>
      <c r="X409">
        <v>0.5</v>
      </c>
      <c r="AA409" t="s">
        <v>605</v>
      </c>
      <c r="AE409" t="s">
        <v>605</v>
      </c>
      <c r="AH409">
        <v>0</v>
      </c>
      <c r="AI409" t="s">
        <v>605</v>
      </c>
      <c r="AJ409" t="s">
        <v>605</v>
      </c>
      <c r="AK409" t="s">
        <v>605</v>
      </c>
      <c r="AL409" t="s">
        <v>605</v>
      </c>
      <c r="AM409" t="s">
        <v>605</v>
      </c>
      <c r="AN409">
        <v>0.83333333333333337</v>
      </c>
      <c r="AO409">
        <v>0.83333333333333337</v>
      </c>
      <c r="AP409">
        <v>0.58333333333333337</v>
      </c>
      <c r="AQ409">
        <v>0.58333333333333337</v>
      </c>
      <c r="AR409">
        <v>0.58333333333333337</v>
      </c>
      <c r="AS409">
        <v>0.75</v>
      </c>
      <c r="AT409">
        <v>0.75</v>
      </c>
      <c r="AU409">
        <v>0.5</v>
      </c>
      <c r="AV409">
        <v>0.5</v>
      </c>
      <c r="AW409">
        <v>0.5</v>
      </c>
      <c r="AX409">
        <v>0.5</v>
      </c>
      <c r="AY409">
        <v>0.5</v>
      </c>
      <c r="AZ409">
        <v>0.5</v>
      </c>
      <c r="BA409">
        <v>0.5</v>
      </c>
      <c r="BB409">
        <v>0.5</v>
      </c>
      <c r="BC409">
        <v>0.375</v>
      </c>
      <c r="BD409">
        <v>0.375</v>
      </c>
      <c r="BE409">
        <v>0.375</v>
      </c>
      <c r="BF409">
        <v>0.375</v>
      </c>
      <c r="BG409">
        <v>0.375</v>
      </c>
      <c r="BH409">
        <v>5.1840000000000002</v>
      </c>
      <c r="BL409">
        <v>3.9780000000000002</v>
      </c>
      <c r="BN409">
        <v>1</v>
      </c>
      <c r="BO409" t="s">
        <v>1212</v>
      </c>
      <c r="BP409" t="s">
        <v>3645</v>
      </c>
      <c r="BQ409" s="781" t="s">
        <v>3646</v>
      </c>
      <c r="BR409" t="s">
        <v>606</v>
      </c>
      <c r="BS409" t="s">
        <v>1213</v>
      </c>
      <c r="BT409">
        <v>0</v>
      </c>
      <c r="BU409" t="s">
        <v>607</v>
      </c>
      <c r="BV409">
        <v>0</v>
      </c>
      <c r="BW409" t="s">
        <v>607</v>
      </c>
      <c r="BX409">
        <v>0</v>
      </c>
      <c r="BY409" t="s">
        <v>1173</v>
      </c>
      <c r="BZ409" t="s">
        <v>3647</v>
      </c>
      <c r="CA409" t="s">
        <v>3648</v>
      </c>
    </row>
    <row r="410" spans="1:79" x14ac:dyDescent="0.2">
      <c r="A410" t="s">
        <v>3621</v>
      </c>
      <c r="B410" t="s">
        <v>3649</v>
      </c>
      <c r="C410" t="s">
        <v>1077</v>
      </c>
      <c r="D410" t="s">
        <v>457</v>
      </c>
      <c r="E410" t="s">
        <v>1202</v>
      </c>
      <c r="F410" t="s">
        <v>3641</v>
      </c>
      <c r="G410" t="s">
        <v>1731</v>
      </c>
      <c r="H410" t="s">
        <v>3650</v>
      </c>
      <c r="I410" t="s">
        <v>3651</v>
      </c>
      <c r="J410" t="s">
        <v>1207</v>
      </c>
      <c r="K410" t="s">
        <v>3631</v>
      </c>
      <c r="N410" t="s">
        <v>1272</v>
      </c>
      <c r="O410" t="s">
        <v>665</v>
      </c>
      <c r="P410" t="s">
        <v>3652</v>
      </c>
      <c r="Q410">
        <v>3</v>
      </c>
      <c r="R410" t="s">
        <v>1251</v>
      </c>
      <c r="S410">
        <v>100</v>
      </c>
      <c r="T410">
        <v>100</v>
      </c>
      <c r="U410">
        <v>100</v>
      </c>
      <c r="V410">
        <v>100</v>
      </c>
      <c r="W410">
        <v>100</v>
      </c>
      <c r="X410">
        <v>100</v>
      </c>
      <c r="AE410" t="s">
        <v>605</v>
      </c>
      <c r="AH410">
        <v>4</v>
      </c>
      <c r="AI410" t="s">
        <v>605</v>
      </c>
      <c r="AJ410" t="s">
        <v>605</v>
      </c>
      <c r="AK410" t="s">
        <v>605</v>
      </c>
      <c r="AL410" t="s">
        <v>605</v>
      </c>
      <c r="AM410" t="s">
        <v>605</v>
      </c>
      <c r="AN410">
        <v>94</v>
      </c>
      <c r="AO410">
        <v>94.5</v>
      </c>
      <c r="AP410">
        <v>95</v>
      </c>
      <c r="AQ410">
        <v>95.5</v>
      </c>
      <c r="AR410">
        <v>96</v>
      </c>
      <c r="AS410">
        <v>95</v>
      </c>
      <c r="AT410">
        <v>95.5</v>
      </c>
      <c r="AU410">
        <v>96</v>
      </c>
      <c r="AV410">
        <v>96.5</v>
      </c>
      <c r="AW410">
        <v>97</v>
      </c>
      <c r="AX410">
        <v>103</v>
      </c>
      <c r="AY410">
        <v>103</v>
      </c>
      <c r="AZ410">
        <v>103</v>
      </c>
      <c r="BA410">
        <v>103</v>
      </c>
      <c r="BB410">
        <v>103</v>
      </c>
      <c r="BC410">
        <v>104</v>
      </c>
      <c r="BD410">
        <v>104</v>
      </c>
      <c r="BE410">
        <v>104</v>
      </c>
      <c r="BF410">
        <v>104</v>
      </c>
      <c r="BG410">
        <v>104</v>
      </c>
      <c r="BH410">
        <v>7.9740000000000002</v>
      </c>
      <c r="BL410">
        <v>5.97</v>
      </c>
      <c r="BN410">
        <v>1</v>
      </c>
      <c r="BO410" t="s">
        <v>1212</v>
      </c>
      <c r="BP410">
        <v>100.32067918166143</v>
      </c>
      <c r="BQ410" s="782">
        <v>16.447259218333841</v>
      </c>
      <c r="BR410" t="s">
        <v>606</v>
      </c>
      <c r="BS410" t="s">
        <v>1213</v>
      </c>
      <c r="BT410">
        <v>0</v>
      </c>
      <c r="BU410" t="s">
        <v>1107</v>
      </c>
      <c r="BV410">
        <v>-7.9740000000000002</v>
      </c>
      <c r="BW410" t="s">
        <v>1107</v>
      </c>
      <c r="BX410">
        <v>-15.9</v>
      </c>
      <c r="BY410" t="s">
        <v>1213</v>
      </c>
      <c r="BZ410" t="s">
        <v>3653</v>
      </c>
      <c r="CA410" t="s">
        <v>3654</v>
      </c>
    </row>
    <row r="411" spans="1:79" x14ac:dyDescent="0.2">
      <c r="A411" t="s">
        <v>3621</v>
      </c>
      <c r="B411" t="s">
        <v>3655</v>
      </c>
      <c r="C411" t="s">
        <v>1077</v>
      </c>
      <c r="D411" t="s">
        <v>457</v>
      </c>
      <c r="E411" t="s">
        <v>1202</v>
      </c>
      <c r="F411" t="s">
        <v>3641</v>
      </c>
      <c r="G411" t="s">
        <v>1737</v>
      </c>
      <c r="H411" t="s">
        <v>3656</v>
      </c>
      <c r="I411" t="s">
        <v>3657</v>
      </c>
      <c r="J411" t="s">
        <v>1219</v>
      </c>
      <c r="K411" t="s">
        <v>3631</v>
      </c>
      <c r="N411" t="s">
        <v>1228</v>
      </c>
      <c r="O411" t="s">
        <v>665</v>
      </c>
      <c r="P411" t="s">
        <v>1346</v>
      </c>
      <c r="Q411">
        <v>3</v>
      </c>
      <c r="R411" t="s">
        <v>1251</v>
      </c>
      <c r="S411">
        <v>100</v>
      </c>
      <c r="T411">
        <v>100</v>
      </c>
      <c r="U411">
        <v>100</v>
      </c>
      <c r="V411">
        <v>100</v>
      </c>
      <c r="W411">
        <v>100</v>
      </c>
      <c r="X411">
        <v>100</v>
      </c>
      <c r="AH411">
        <v>0</v>
      </c>
      <c r="AI411" t="s">
        <v>605</v>
      </c>
      <c r="AJ411" t="s">
        <v>605</v>
      </c>
      <c r="AK411" t="s">
        <v>605</v>
      </c>
      <c r="AL411" t="s">
        <v>605</v>
      </c>
      <c r="AM411" t="s">
        <v>605</v>
      </c>
      <c r="AN411">
        <v>96</v>
      </c>
      <c r="AO411">
        <v>96</v>
      </c>
      <c r="AP411">
        <v>96</v>
      </c>
      <c r="AQ411">
        <v>96</v>
      </c>
      <c r="AR411">
        <v>96</v>
      </c>
      <c r="AS411">
        <v>100</v>
      </c>
      <c r="AT411">
        <v>100</v>
      </c>
      <c r="AU411">
        <v>100</v>
      </c>
      <c r="AV411">
        <v>100</v>
      </c>
      <c r="AW411">
        <v>100</v>
      </c>
      <c r="BH411">
        <v>3.33</v>
      </c>
      <c r="BN411">
        <v>1</v>
      </c>
      <c r="BO411" t="s">
        <v>1212</v>
      </c>
      <c r="BP411">
        <v>100</v>
      </c>
      <c r="BQ411" s="782">
        <v>100</v>
      </c>
      <c r="BR411" t="s">
        <v>605</v>
      </c>
      <c r="BS411" t="s">
        <v>1213</v>
      </c>
      <c r="BT411">
        <v>0</v>
      </c>
      <c r="BU411" t="s">
        <v>1213</v>
      </c>
      <c r="BV411">
        <v>0</v>
      </c>
      <c r="BW411" t="s">
        <v>1213</v>
      </c>
      <c r="BX411">
        <v>0</v>
      </c>
      <c r="BY411" t="s">
        <v>1213</v>
      </c>
      <c r="BZ411" t="s">
        <v>3658</v>
      </c>
      <c r="CA411" t="s">
        <v>3659</v>
      </c>
    </row>
    <row r="412" spans="1:79" x14ac:dyDescent="0.2">
      <c r="A412" t="s">
        <v>3621</v>
      </c>
      <c r="B412" t="s">
        <v>3660</v>
      </c>
      <c r="C412" t="s">
        <v>1077</v>
      </c>
      <c r="D412" t="s">
        <v>457</v>
      </c>
      <c r="E412" t="s">
        <v>1202</v>
      </c>
      <c r="F412" t="s">
        <v>3641</v>
      </c>
      <c r="G412" t="s">
        <v>1742</v>
      </c>
      <c r="H412" t="s">
        <v>3661</v>
      </c>
      <c r="I412" t="s">
        <v>3662</v>
      </c>
      <c r="J412" t="s">
        <v>1207</v>
      </c>
      <c r="K412" t="s">
        <v>3631</v>
      </c>
      <c r="N412" t="s">
        <v>1209</v>
      </c>
      <c r="O412" t="s">
        <v>272</v>
      </c>
      <c r="P412" t="s">
        <v>3663</v>
      </c>
      <c r="Q412">
        <v>2</v>
      </c>
      <c r="R412" t="s">
        <v>1251</v>
      </c>
      <c r="S412">
        <v>0</v>
      </c>
      <c r="T412">
        <v>0</v>
      </c>
      <c r="U412">
        <v>0</v>
      </c>
      <c r="V412">
        <v>0</v>
      </c>
      <c r="W412">
        <v>0</v>
      </c>
      <c r="X412">
        <v>0</v>
      </c>
      <c r="AE412" t="s">
        <v>605</v>
      </c>
      <c r="AH412">
        <v>0</v>
      </c>
      <c r="AI412" t="s">
        <v>605</v>
      </c>
      <c r="AJ412" t="s">
        <v>605</v>
      </c>
      <c r="AK412" t="s">
        <v>605</v>
      </c>
      <c r="AL412" t="s">
        <v>605</v>
      </c>
      <c r="AM412" t="s">
        <v>605</v>
      </c>
      <c r="AN412">
        <v>-30</v>
      </c>
      <c r="AO412">
        <v>-30</v>
      </c>
      <c r="AP412">
        <v>-30</v>
      </c>
      <c r="AQ412">
        <v>-30</v>
      </c>
      <c r="AR412">
        <v>-30</v>
      </c>
      <c r="AS412">
        <v>0</v>
      </c>
      <c r="AT412">
        <v>0</v>
      </c>
      <c r="AU412">
        <v>0</v>
      </c>
      <c r="AV412">
        <v>0</v>
      </c>
      <c r="AW412">
        <v>0</v>
      </c>
      <c r="AX412">
        <v>11.2</v>
      </c>
      <c r="AY412">
        <v>11.2</v>
      </c>
      <c r="AZ412">
        <v>11.2</v>
      </c>
      <c r="BA412">
        <v>11.2</v>
      </c>
      <c r="BB412">
        <v>11.2</v>
      </c>
      <c r="BC412">
        <v>30</v>
      </c>
      <c r="BD412">
        <v>30</v>
      </c>
      <c r="BE412">
        <v>30</v>
      </c>
      <c r="BF412">
        <v>30</v>
      </c>
      <c r="BG412">
        <v>30</v>
      </c>
      <c r="BH412">
        <v>1.458</v>
      </c>
      <c r="BL412">
        <v>0.748</v>
      </c>
      <c r="BN412">
        <v>1</v>
      </c>
      <c r="BO412" t="s">
        <v>1212</v>
      </c>
      <c r="BP412">
        <v>9.1</v>
      </c>
      <c r="BQ412" s="773">
        <v>10.8</v>
      </c>
      <c r="BR412" t="s">
        <v>605</v>
      </c>
      <c r="BS412" t="s">
        <v>1213</v>
      </c>
      <c r="BT412">
        <v>0</v>
      </c>
      <c r="BU412" t="s">
        <v>610</v>
      </c>
      <c r="BV412">
        <v>0</v>
      </c>
      <c r="BW412" t="s">
        <v>610</v>
      </c>
      <c r="BX412">
        <v>0</v>
      </c>
      <c r="BY412" t="s">
        <v>1213</v>
      </c>
      <c r="BZ412" t="s">
        <v>3664</v>
      </c>
      <c r="CA412" t="s">
        <v>3665</v>
      </c>
    </row>
    <row r="413" spans="1:79" x14ac:dyDescent="0.2">
      <c r="A413" t="s">
        <v>3621</v>
      </c>
      <c r="B413" t="s">
        <v>3666</v>
      </c>
      <c r="C413" t="s">
        <v>1077</v>
      </c>
      <c r="D413" t="s">
        <v>457</v>
      </c>
      <c r="E413" t="s">
        <v>1202</v>
      </c>
      <c r="F413" t="s">
        <v>3641</v>
      </c>
      <c r="G413" t="s">
        <v>2211</v>
      </c>
      <c r="H413" t="s">
        <v>3667</v>
      </c>
      <c r="I413" t="s">
        <v>3668</v>
      </c>
      <c r="J413" t="s">
        <v>1219</v>
      </c>
      <c r="K413" t="s">
        <v>3631</v>
      </c>
      <c r="N413" t="s">
        <v>1331</v>
      </c>
      <c r="O413" t="s">
        <v>272</v>
      </c>
      <c r="P413" t="s">
        <v>3669</v>
      </c>
      <c r="Q413">
        <v>2</v>
      </c>
      <c r="R413" t="s">
        <v>1251</v>
      </c>
      <c r="S413">
        <v>152.51</v>
      </c>
      <c r="T413">
        <v>161.19999999999999</v>
      </c>
      <c r="U413">
        <v>163.21</v>
      </c>
      <c r="V413">
        <v>164.44</v>
      </c>
      <c r="W413">
        <v>164.87</v>
      </c>
      <c r="X413">
        <v>165.27</v>
      </c>
      <c r="AE413" t="s">
        <v>605</v>
      </c>
      <c r="AH413">
        <v>0</v>
      </c>
      <c r="AI413" t="s">
        <v>605</v>
      </c>
      <c r="AJ413" t="s">
        <v>605</v>
      </c>
      <c r="AK413" t="s">
        <v>605</v>
      </c>
      <c r="AL413" t="s">
        <v>605</v>
      </c>
      <c r="AM413" t="s">
        <v>605</v>
      </c>
      <c r="AN413">
        <v>152.51</v>
      </c>
      <c r="AO413">
        <v>152.51</v>
      </c>
      <c r="AP413">
        <v>152.51</v>
      </c>
      <c r="AQ413">
        <v>152.51</v>
      </c>
      <c r="AR413">
        <v>152.51</v>
      </c>
      <c r="AS413">
        <v>161.19999999999999</v>
      </c>
      <c r="AT413">
        <v>163.21</v>
      </c>
      <c r="AU413">
        <v>164.44</v>
      </c>
      <c r="AV413">
        <v>164.87</v>
      </c>
      <c r="AW413">
        <v>165.27</v>
      </c>
      <c r="BH413">
        <v>0.25</v>
      </c>
      <c r="BN413">
        <v>1</v>
      </c>
      <c r="BO413" t="s">
        <v>1212</v>
      </c>
      <c r="BP413">
        <v>152.51</v>
      </c>
      <c r="BQ413" s="773">
        <v>161.61000000000001</v>
      </c>
      <c r="BR413" t="s">
        <v>605</v>
      </c>
      <c r="BS413" t="s">
        <v>1213</v>
      </c>
      <c r="BT413">
        <v>0</v>
      </c>
      <c r="BU413" t="s">
        <v>1213</v>
      </c>
      <c r="BV413">
        <v>0</v>
      </c>
      <c r="BW413" t="s">
        <v>1213</v>
      </c>
      <c r="BX413">
        <v>0</v>
      </c>
      <c r="BY413" t="s">
        <v>1213</v>
      </c>
      <c r="BZ413" t="s">
        <v>3670</v>
      </c>
      <c r="CA413" t="s">
        <v>3671</v>
      </c>
    </row>
    <row r="414" spans="1:79" x14ac:dyDescent="0.2">
      <c r="A414" t="s">
        <v>3621</v>
      </c>
      <c r="B414" t="s">
        <v>3672</v>
      </c>
      <c r="C414" t="s">
        <v>1077</v>
      </c>
      <c r="D414" t="s">
        <v>457</v>
      </c>
      <c r="E414" t="s">
        <v>1202</v>
      </c>
      <c r="F414" t="s">
        <v>3641</v>
      </c>
      <c r="G414" t="s">
        <v>2217</v>
      </c>
      <c r="H414" t="s">
        <v>3673</v>
      </c>
      <c r="I414" t="s">
        <v>3674</v>
      </c>
      <c r="J414" t="s">
        <v>1207</v>
      </c>
      <c r="K414" t="s">
        <v>3631</v>
      </c>
      <c r="M414" t="s">
        <v>606</v>
      </c>
      <c r="N414" t="s">
        <v>1235</v>
      </c>
      <c r="O414" t="s">
        <v>264</v>
      </c>
      <c r="P414" t="s">
        <v>3675</v>
      </c>
      <c r="Q414">
        <v>0</v>
      </c>
      <c r="R414" t="s">
        <v>1251</v>
      </c>
      <c r="S414">
        <v>0</v>
      </c>
      <c r="T414">
        <v>2</v>
      </c>
      <c r="U414">
        <v>5</v>
      </c>
      <c r="V414">
        <v>21</v>
      </c>
      <c r="W414">
        <v>53</v>
      </c>
      <c r="X414">
        <v>82</v>
      </c>
      <c r="AD414" t="s">
        <v>605</v>
      </c>
      <c r="AF414" t="s">
        <v>605</v>
      </c>
      <c r="AG414" t="s">
        <v>605</v>
      </c>
      <c r="AH414">
        <v>0</v>
      </c>
      <c r="AM414" t="s">
        <v>605</v>
      </c>
      <c r="AN414">
        <v>2</v>
      </c>
      <c r="AO414">
        <v>5</v>
      </c>
      <c r="AP414">
        <v>21</v>
      </c>
      <c r="AQ414">
        <v>53</v>
      </c>
      <c r="AR414">
        <v>0</v>
      </c>
      <c r="AS414">
        <v>2</v>
      </c>
      <c r="AT414">
        <v>5</v>
      </c>
      <c r="AU414">
        <v>21</v>
      </c>
      <c r="AV414">
        <v>53</v>
      </c>
      <c r="AW414">
        <v>82</v>
      </c>
      <c r="AX414">
        <v>2</v>
      </c>
      <c r="AY414">
        <v>5</v>
      </c>
      <c r="AZ414">
        <v>21</v>
      </c>
      <c r="BA414">
        <v>53</v>
      </c>
      <c r="BB414">
        <v>82</v>
      </c>
      <c r="BC414">
        <v>2</v>
      </c>
      <c r="BD414">
        <v>5</v>
      </c>
      <c r="BE414">
        <v>21</v>
      </c>
      <c r="BF414">
        <v>53</v>
      </c>
      <c r="BG414">
        <v>100</v>
      </c>
      <c r="BH414">
        <v>2.34</v>
      </c>
      <c r="BL414">
        <v>1.2709999999999999</v>
      </c>
      <c r="BN414">
        <v>1</v>
      </c>
      <c r="BO414" t="s">
        <v>1212</v>
      </c>
      <c r="BP414">
        <v>0</v>
      </c>
      <c r="BQ414" s="772">
        <v>2</v>
      </c>
      <c r="BR414" t="s">
        <v>605</v>
      </c>
      <c r="BS414" t="s">
        <v>1213</v>
      </c>
      <c r="BT414">
        <v>0</v>
      </c>
      <c r="BU414" t="s">
        <v>1213</v>
      </c>
      <c r="BV414">
        <v>0</v>
      </c>
      <c r="BW414" t="s">
        <v>1213</v>
      </c>
      <c r="BX414">
        <v>0</v>
      </c>
      <c r="BY414" t="s">
        <v>1213</v>
      </c>
      <c r="BZ414" t="s">
        <v>3676</v>
      </c>
      <c r="CA414" t="s">
        <v>3677</v>
      </c>
    </row>
    <row r="415" spans="1:79" x14ac:dyDescent="0.2">
      <c r="A415" t="s">
        <v>3621</v>
      </c>
      <c r="B415" t="s">
        <v>3678</v>
      </c>
      <c r="C415" t="s">
        <v>1077</v>
      </c>
      <c r="D415" t="s">
        <v>457</v>
      </c>
      <c r="E415" t="s">
        <v>1202</v>
      </c>
      <c r="F415" t="s">
        <v>3679</v>
      </c>
      <c r="G415" t="s">
        <v>1582</v>
      </c>
      <c r="H415" t="s">
        <v>3680</v>
      </c>
      <c r="I415" t="s">
        <v>3681</v>
      </c>
      <c r="J415" t="s">
        <v>1207</v>
      </c>
      <c r="K415" t="s">
        <v>3631</v>
      </c>
      <c r="N415" t="s">
        <v>1377</v>
      </c>
      <c r="O415" t="s">
        <v>272</v>
      </c>
      <c r="P415" t="s">
        <v>3682</v>
      </c>
      <c r="Q415">
        <v>1</v>
      </c>
      <c r="R415" t="s">
        <v>1251</v>
      </c>
      <c r="S415">
        <v>50.4</v>
      </c>
      <c r="T415">
        <v>0</v>
      </c>
      <c r="U415">
        <v>6.6</v>
      </c>
      <c r="V415">
        <v>6.6</v>
      </c>
      <c r="W415">
        <v>6.6</v>
      </c>
      <c r="X415">
        <v>159.5</v>
      </c>
      <c r="AF415" t="s">
        <v>605</v>
      </c>
      <c r="AG415" t="s">
        <v>605</v>
      </c>
      <c r="AH415">
        <v>0</v>
      </c>
      <c r="AI415" t="s">
        <v>605</v>
      </c>
      <c r="AJ415" t="s">
        <v>605</v>
      </c>
      <c r="AK415" t="s">
        <v>605</v>
      </c>
      <c r="AL415" t="s">
        <v>605</v>
      </c>
      <c r="AM415" t="s">
        <v>605</v>
      </c>
      <c r="AN415">
        <v>-2</v>
      </c>
      <c r="AO415">
        <v>-2</v>
      </c>
      <c r="AP415">
        <v>-2</v>
      </c>
      <c r="AQ415">
        <v>-2</v>
      </c>
      <c r="AR415">
        <v>-2</v>
      </c>
      <c r="AS415">
        <v>0</v>
      </c>
      <c r="AT415">
        <v>6.6</v>
      </c>
      <c r="AU415">
        <v>6.6</v>
      </c>
      <c r="AV415">
        <v>6.6</v>
      </c>
      <c r="AW415">
        <v>159.5</v>
      </c>
      <c r="AX415">
        <v>0</v>
      </c>
      <c r="AY415">
        <v>6.6</v>
      </c>
      <c r="AZ415">
        <v>6.6</v>
      </c>
      <c r="BA415">
        <v>6.6</v>
      </c>
      <c r="BB415">
        <v>159.5</v>
      </c>
      <c r="BC415">
        <v>2</v>
      </c>
      <c r="BD415">
        <v>13.2</v>
      </c>
      <c r="BE415">
        <v>13.2</v>
      </c>
      <c r="BF415">
        <v>13.2</v>
      </c>
      <c r="BG415">
        <v>234</v>
      </c>
      <c r="BH415">
        <v>0.111</v>
      </c>
      <c r="BL415">
        <v>2.8000000000000001E-2</v>
      </c>
      <c r="BN415">
        <v>1</v>
      </c>
      <c r="BO415" t="s">
        <v>1212</v>
      </c>
      <c r="BP415">
        <v>0</v>
      </c>
      <c r="BQ415" s="769">
        <v>36.840000000000003</v>
      </c>
      <c r="BR415" t="s">
        <v>605</v>
      </c>
      <c r="BS415" t="s">
        <v>1213</v>
      </c>
      <c r="BT415">
        <v>0</v>
      </c>
      <c r="BU415" t="s">
        <v>611</v>
      </c>
      <c r="BV415">
        <v>5.6000000000000001E-2</v>
      </c>
      <c r="BW415" t="s">
        <v>611</v>
      </c>
      <c r="BX415">
        <v>0.4</v>
      </c>
      <c r="BY415" t="s">
        <v>1213</v>
      </c>
      <c r="BZ415" t="s">
        <v>3683</v>
      </c>
      <c r="CA415" t="s">
        <v>3684</v>
      </c>
    </row>
    <row r="416" spans="1:79" x14ac:dyDescent="0.2">
      <c r="A416" t="s">
        <v>3621</v>
      </c>
      <c r="B416" t="s">
        <v>3685</v>
      </c>
      <c r="C416" t="s">
        <v>1077</v>
      </c>
      <c r="D416" t="s">
        <v>457</v>
      </c>
      <c r="E416" t="s">
        <v>1202</v>
      </c>
      <c r="F416" t="s">
        <v>3686</v>
      </c>
      <c r="G416" t="s">
        <v>1595</v>
      </c>
      <c r="H416" t="s">
        <v>3687</v>
      </c>
      <c r="I416" t="s">
        <v>3688</v>
      </c>
      <c r="J416" t="s">
        <v>1241</v>
      </c>
      <c r="N416" t="s">
        <v>1400</v>
      </c>
      <c r="O416" t="s">
        <v>264</v>
      </c>
      <c r="P416" t="s">
        <v>3689</v>
      </c>
      <c r="Q416">
        <v>0</v>
      </c>
      <c r="R416" t="s">
        <v>1251</v>
      </c>
      <c r="S416">
        <v>90</v>
      </c>
      <c r="T416">
        <v>91</v>
      </c>
      <c r="U416">
        <v>92</v>
      </c>
      <c r="V416">
        <v>93</v>
      </c>
      <c r="W416">
        <v>94</v>
      </c>
      <c r="X416">
        <v>95</v>
      </c>
      <c r="AH416">
        <v>0</v>
      </c>
      <c r="BP416">
        <v>93.46</v>
      </c>
      <c r="BQ416" s="773">
        <v>95.19</v>
      </c>
      <c r="BR416" t="s">
        <v>605</v>
      </c>
      <c r="BS416" t="s">
        <v>1213</v>
      </c>
      <c r="BT416">
        <v>0</v>
      </c>
      <c r="BU416" t="s">
        <v>1213</v>
      </c>
      <c r="BV416">
        <v>0</v>
      </c>
      <c r="BW416" t="s">
        <v>1213</v>
      </c>
      <c r="BX416">
        <v>0</v>
      </c>
      <c r="BY416" t="s">
        <v>1213</v>
      </c>
      <c r="BZ416" t="s">
        <v>3690</v>
      </c>
    </row>
    <row r="417" spans="1:79" x14ac:dyDescent="0.2">
      <c r="A417" t="s">
        <v>3621</v>
      </c>
      <c r="B417" t="s">
        <v>3691</v>
      </c>
      <c r="C417" t="s">
        <v>1077</v>
      </c>
      <c r="D417" t="s">
        <v>457</v>
      </c>
      <c r="E417" t="s">
        <v>1202</v>
      </c>
      <c r="F417" t="s">
        <v>3692</v>
      </c>
      <c r="G417" t="s">
        <v>1603</v>
      </c>
      <c r="H417" t="s">
        <v>3693</v>
      </c>
      <c r="I417" t="s">
        <v>3694</v>
      </c>
      <c r="J417" t="s">
        <v>1241</v>
      </c>
      <c r="N417" t="s">
        <v>1619</v>
      </c>
      <c r="O417" t="s">
        <v>272</v>
      </c>
      <c r="P417" t="s">
        <v>3695</v>
      </c>
      <c r="Q417">
        <v>0</v>
      </c>
      <c r="S417">
        <v>53544</v>
      </c>
      <c r="T417">
        <v>61644</v>
      </c>
      <c r="U417">
        <v>59325</v>
      </c>
      <c r="V417">
        <v>57393</v>
      </c>
      <c r="W417">
        <v>47421</v>
      </c>
      <c r="X417">
        <v>46054</v>
      </c>
      <c r="AH417">
        <v>0</v>
      </c>
      <c r="BP417">
        <v>40102</v>
      </c>
      <c r="BQ417" s="772">
        <v>27197</v>
      </c>
      <c r="BR417" t="s">
        <v>606</v>
      </c>
      <c r="BS417" t="s">
        <v>1213</v>
      </c>
      <c r="BT417">
        <v>0</v>
      </c>
      <c r="BU417" t="s">
        <v>1213</v>
      </c>
      <c r="BV417">
        <v>0</v>
      </c>
      <c r="BW417" t="s">
        <v>1213</v>
      </c>
      <c r="BX417">
        <v>0</v>
      </c>
      <c r="BY417" t="s">
        <v>1213</v>
      </c>
      <c r="BZ417" t="s">
        <v>3696</v>
      </c>
    </row>
    <row r="418" spans="1:79" x14ac:dyDescent="0.2">
      <c r="A418" t="s">
        <v>3621</v>
      </c>
      <c r="B418" t="s">
        <v>3697</v>
      </c>
      <c r="C418" t="s">
        <v>1077</v>
      </c>
      <c r="D418" t="s">
        <v>458</v>
      </c>
      <c r="E418" t="s">
        <v>1428</v>
      </c>
      <c r="F418" t="s">
        <v>3698</v>
      </c>
      <c r="G418" t="s">
        <v>1914</v>
      </c>
      <c r="H418" t="s">
        <v>3699</v>
      </c>
      <c r="I418" t="s">
        <v>3700</v>
      </c>
      <c r="J418" t="s">
        <v>1207</v>
      </c>
      <c r="K418" t="s">
        <v>3631</v>
      </c>
      <c r="N418" t="s">
        <v>1432</v>
      </c>
      <c r="O418" t="s">
        <v>665</v>
      </c>
      <c r="P418" t="s">
        <v>3701</v>
      </c>
      <c r="Q418">
        <v>2</v>
      </c>
      <c r="R418" t="s">
        <v>1211</v>
      </c>
      <c r="S418">
        <v>105.8</v>
      </c>
      <c r="T418">
        <v>100</v>
      </c>
      <c r="U418">
        <v>100</v>
      </c>
      <c r="V418">
        <v>100</v>
      </c>
      <c r="W418">
        <v>100</v>
      </c>
      <c r="X418">
        <v>100</v>
      </c>
      <c r="AE418" t="s">
        <v>605</v>
      </c>
      <c r="AH418">
        <v>5</v>
      </c>
      <c r="AI418" t="s">
        <v>605</v>
      </c>
      <c r="AJ418" t="s">
        <v>605</v>
      </c>
      <c r="AK418" t="s">
        <v>605</v>
      </c>
      <c r="AL418" t="s">
        <v>605</v>
      </c>
      <c r="AM418" t="s">
        <v>605</v>
      </c>
      <c r="AN418">
        <v>102</v>
      </c>
      <c r="AO418">
        <v>102</v>
      </c>
      <c r="AP418">
        <v>102</v>
      </c>
      <c r="AQ418">
        <v>102</v>
      </c>
      <c r="AR418">
        <v>102</v>
      </c>
      <c r="AS418">
        <v>101.2</v>
      </c>
      <c r="AT418">
        <v>101.2</v>
      </c>
      <c r="AU418">
        <v>101.2</v>
      </c>
      <c r="AV418">
        <v>101.2</v>
      </c>
      <c r="AW418">
        <v>101.2</v>
      </c>
      <c r="AX418">
        <v>98.8</v>
      </c>
      <c r="AY418">
        <v>98.8</v>
      </c>
      <c r="AZ418">
        <v>98.8</v>
      </c>
      <c r="BA418">
        <v>98.8</v>
      </c>
      <c r="BB418">
        <v>98.8</v>
      </c>
      <c r="BC418">
        <v>91.9</v>
      </c>
      <c r="BD418">
        <v>91.9</v>
      </c>
      <c r="BE418">
        <v>91.9</v>
      </c>
      <c r="BF418">
        <v>91.9</v>
      </c>
      <c r="BG418">
        <v>91.9</v>
      </c>
      <c r="BH418">
        <v>4.2039999999999997</v>
      </c>
      <c r="BL418">
        <v>1.069</v>
      </c>
      <c r="BN418">
        <v>1</v>
      </c>
      <c r="BO418" t="s">
        <v>1212</v>
      </c>
      <c r="BP418">
        <v>95.2</v>
      </c>
      <c r="BQ418" s="773">
        <v>91.69</v>
      </c>
      <c r="BR418" t="s">
        <v>605</v>
      </c>
      <c r="BS418" t="s">
        <v>1213</v>
      </c>
      <c r="BT418">
        <v>0</v>
      </c>
      <c r="BU418" t="s">
        <v>611</v>
      </c>
      <c r="BV418">
        <v>7.3761000000000001</v>
      </c>
      <c r="BW418" t="s">
        <v>611</v>
      </c>
      <c r="BX418">
        <v>16</v>
      </c>
      <c r="BY418" t="s">
        <v>1213</v>
      </c>
      <c r="BZ418" t="s">
        <v>3702</v>
      </c>
      <c r="CA418" t="s">
        <v>3703</v>
      </c>
    </row>
    <row r="419" spans="1:79" x14ac:dyDescent="0.2">
      <c r="A419" t="s">
        <v>3621</v>
      </c>
      <c r="B419" t="s">
        <v>3704</v>
      </c>
      <c r="C419" t="s">
        <v>1077</v>
      </c>
      <c r="D419" t="s">
        <v>458</v>
      </c>
      <c r="E419" t="s">
        <v>1428</v>
      </c>
      <c r="F419" t="s">
        <v>3698</v>
      </c>
      <c r="G419" t="s">
        <v>1429</v>
      </c>
      <c r="H419" t="s">
        <v>3705</v>
      </c>
      <c r="I419" t="s">
        <v>3706</v>
      </c>
      <c r="J419" t="s">
        <v>1219</v>
      </c>
      <c r="K419" t="s">
        <v>3631</v>
      </c>
      <c r="N419" t="s">
        <v>1495</v>
      </c>
      <c r="O419" t="s">
        <v>665</v>
      </c>
      <c r="P419" t="s">
        <v>3707</v>
      </c>
      <c r="Q419">
        <v>2</v>
      </c>
      <c r="R419" t="s">
        <v>1211</v>
      </c>
      <c r="S419">
        <v>108.4</v>
      </c>
      <c r="T419">
        <v>106.2</v>
      </c>
      <c r="U419">
        <v>103.2</v>
      </c>
      <c r="V419">
        <v>99.4</v>
      </c>
      <c r="W419">
        <v>95.6</v>
      </c>
      <c r="X419">
        <v>93.4</v>
      </c>
      <c r="AE419" t="s">
        <v>605</v>
      </c>
      <c r="AH419">
        <v>4</v>
      </c>
      <c r="AI419" t="s">
        <v>605</v>
      </c>
      <c r="AJ419" t="s">
        <v>605</v>
      </c>
      <c r="AK419" t="s">
        <v>605</v>
      </c>
      <c r="AL419" t="s">
        <v>605</v>
      </c>
      <c r="AM419" t="s">
        <v>605</v>
      </c>
      <c r="AN419">
        <v>115.4</v>
      </c>
      <c r="AO419">
        <v>112.4</v>
      </c>
      <c r="AP419">
        <v>108.6</v>
      </c>
      <c r="AQ419">
        <v>104.8</v>
      </c>
      <c r="AR419">
        <v>102.6</v>
      </c>
      <c r="AS419">
        <v>108.9</v>
      </c>
      <c r="AT419">
        <v>105.8</v>
      </c>
      <c r="AU419">
        <v>101.9</v>
      </c>
      <c r="AV419">
        <v>98</v>
      </c>
      <c r="AW419">
        <v>95.7</v>
      </c>
      <c r="BH419">
        <v>2.298</v>
      </c>
      <c r="BN419">
        <v>1</v>
      </c>
      <c r="BO419" t="s">
        <v>1212</v>
      </c>
      <c r="BP419">
        <v>94.3</v>
      </c>
      <c r="BQ419" s="773">
        <v>90.95</v>
      </c>
      <c r="BR419" t="s">
        <v>605</v>
      </c>
      <c r="BS419" t="s">
        <v>1213</v>
      </c>
      <c r="BT419">
        <v>0</v>
      </c>
      <c r="BU419" t="s">
        <v>1213</v>
      </c>
      <c r="BV419">
        <v>0</v>
      </c>
      <c r="BW419" t="s">
        <v>1213</v>
      </c>
      <c r="BX419">
        <v>0</v>
      </c>
      <c r="BY419" t="s">
        <v>1213</v>
      </c>
      <c r="BZ419" t="s">
        <v>3708</v>
      </c>
      <c r="CA419" t="s">
        <v>3709</v>
      </c>
    </row>
    <row r="420" spans="1:79" x14ac:dyDescent="0.2">
      <c r="A420" t="s">
        <v>3621</v>
      </c>
      <c r="B420" t="s">
        <v>3710</v>
      </c>
      <c r="C420" t="s">
        <v>1077</v>
      </c>
      <c r="D420" t="s">
        <v>458</v>
      </c>
      <c r="E420" t="s">
        <v>1428</v>
      </c>
      <c r="F420" t="s">
        <v>3711</v>
      </c>
      <c r="G420" t="s">
        <v>1449</v>
      </c>
      <c r="H420" t="s">
        <v>3712</v>
      </c>
      <c r="I420" t="s">
        <v>3713</v>
      </c>
      <c r="J420" t="s">
        <v>1241</v>
      </c>
      <c r="N420" t="s">
        <v>1432</v>
      </c>
      <c r="O420" t="s">
        <v>272</v>
      </c>
      <c r="P420" t="s">
        <v>3714</v>
      </c>
      <c r="Q420">
        <v>0</v>
      </c>
      <c r="R420" t="s">
        <v>1211</v>
      </c>
      <c r="S420">
        <v>16568</v>
      </c>
      <c r="T420">
        <v>16511</v>
      </c>
      <c r="U420">
        <v>16436</v>
      </c>
      <c r="V420">
        <v>16341</v>
      </c>
      <c r="W420">
        <v>16247</v>
      </c>
      <c r="X420">
        <v>16190</v>
      </c>
      <c r="AE420" t="s">
        <v>605</v>
      </c>
      <c r="AH420">
        <v>0</v>
      </c>
      <c r="BP420" t="s">
        <v>1213</v>
      </c>
      <c r="BQ420" s="772">
        <v>16472</v>
      </c>
      <c r="BR420" t="s">
        <v>605</v>
      </c>
      <c r="BS420" t="s">
        <v>1213</v>
      </c>
      <c r="BT420">
        <v>0</v>
      </c>
      <c r="BU420" t="s">
        <v>1213</v>
      </c>
      <c r="BV420">
        <v>0</v>
      </c>
      <c r="BW420" t="s">
        <v>1213</v>
      </c>
      <c r="BX420">
        <v>0</v>
      </c>
      <c r="BY420" t="s">
        <v>1213</v>
      </c>
      <c r="BZ420" t="s">
        <v>3715</v>
      </c>
    </row>
    <row r="421" spans="1:79" x14ac:dyDescent="0.2">
      <c r="A421" t="s">
        <v>3621</v>
      </c>
      <c r="B421" t="s">
        <v>3716</v>
      </c>
      <c r="C421" t="s">
        <v>1077</v>
      </c>
      <c r="D421" t="s">
        <v>458</v>
      </c>
      <c r="E421" t="s">
        <v>1428</v>
      </c>
      <c r="F421" t="s">
        <v>3711</v>
      </c>
      <c r="G421" t="s">
        <v>1930</v>
      </c>
      <c r="H421" t="s">
        <v>3717</v>
      </c>
      <c r="I421" t="s">
        <v>3718</v>
      </c>
      <c r="J421" t="s">
        <v>1207</v>
      </c>
      <c r="K421" t="s">
        <v>3631</v>
      </c>
      <c r="N421" t="s">
        <v>1432</v>
      </c>
      <c r="O421" t="s">
        <v>665</v>
      </c>
      <c r="P421" t="s">
        <v>3719</v>
      </c>
      <c r="Q421">
        <v>1</v>
      </c>
      <c r="R421" t="s">
        <v>1211</v>
      </c>
      <c r="S421">
        <v>101.6</v>
      </c>
      <c r="T421">
        <v>93.1</v>
      </c>
      <c r="U421">
        <v>83.9</v>
      </c>
      <c r="V421">
        <v>73.900000000000006</v>
      </c>
      <c r="W421">
        <v>70.3</v>
      </c>
      <c r="X421">
        <v>68.099999999999994</v>
      </c>
      <c r="AC421" t="s">
        <v>605</v>
      </c>
      <c r="AE421" t="s">
        <v>605</v>
      </c>
      <c r="AH421">
        <v>5</v>
      </c>
      <c r="AI421" t="s">
        <v>605</v>
      </c>
      <c r="AJ421" t="s">
        <v>605</v>
      </c>
      <c r="AK421" t="s">
        <v>605</v>
      </c>
      <c r="AL421" t="s">
        <v>605</v>
      </c>
      <c r="AM421" t="s">
        <v>605</v>
      </c>
      <c r="AN421">
        <v>114.1</v>
      </c>
      <c r="AO421">
        <v>104.1</v>
      </c>
      <c r="AP421">
        <v>93.2</v>
      </c>
      <c r="AQ421">
        <v>88.8</v>
      </c>
      <c r="AR421">
        <v>86.1</v>
      </c>
      <c r="AS421">
        <v>103.7</v>
      </c>
      <c r="AT421">
        <v>93.7</v>
      </c>
      <c r="AU421">
        <v>82.8</v>
      </c>
      <c r="AV421">
        <v>78.400000000000006</v>
      </c>
      <c r="AW421">
        <v>75.7</v>
      </c>
      <c r="AX421">
        <v>82.6</v>
      </c>
      <c r="AY421">
        <v>74</v>
      </c>
      <c r="AZ421">
        <v>65</v>
      </c>
      <c r="BA421">
        <v>62.2</v>
      </c>
      <c r="BB421">
        <v>60.5</v>
      </c>
      <c r="BC421">
        <v>70.400000000000006</v>
      </c>
      <c r="BD421">
        <v>61.4</v>
      </c>
      <c r="BE421">
        <v>51.9</v>
      </c>
      <c r="BF421">
        <v>48.7</v>
      </c>
      <c r="BG421">
        <v>46.8</v>
      </c>
      <c r="BH421">
        <v>2.032</v>
      </c>
      <c r="BL421">
        <v>1.05</v>
      </c>
      <c r="BN421">
        <v>1</v>
      </c>
      <c r="BO421" t="s">
        <v>1212</v>
      </c>
      <c r="BP421">
        <v>81.5</v>
      </c>
      <c r="BQ421" s="769">
        <v>100.8</v>
      </c>
      <c r="BR421" t="s">
        <v>606</v>
      </c>
      <c r="BS421" t="s">
        <v>1213</v>
      </c>
      <c r="BT421">
        <v>0</v>
      </c>
      <c r="BU421" t="s">
        <v>607</v>
      </c>
      <c r="BV421">
        <v>0</v>
      </c>
      <c r="BW421" t="s">
        <v>1107</v>
      </c>
      <c r="BX421">
        <v>-21.7</v>
      </c>
      <c r="BY421" t="s">
        <v>1175</v>
      </c>
      <c r="BZ421" t="s">
        <v>3720</v>
      </c>
      <c r="CA421" t="s">
        <v>3721</v>
      </c>
    </row>
    <row r="422" spans="1:79" x14ac:dyDescent="0.2">
      <c r="A422" t="s">
        <v>3621</v>
      </c>
      <c r="B422" t="s">
        <v>3722</v>
      </c>
      <c r="C422" t="s">
        <v>1077</v>
      </c>
      <c r="D422" t="s">
        <v>458</v>
      </c>
      <c r="E422" t="s">
        <v>1428</v>
      </c>
      <c r="F422" t="s">
        <v>3723</v>
      </c>
      <c r="G422" t="s">
        <v>1454</v>
      </c>
      <c r="H422" t="s">
        <v>3724</v>
      </c>
      <c r="I422" t="s">
        <v>3725</v>
      </c>
      <c r="J422" t="s">
        <v>1219</v>
      </c>
      <c r="K422" t="s">
        <v>3631</v>
      </c>
      <c r="M422" t="s">
        <v>606</v>
      </c>
      <c r="N422" t="s">
        <v>1377</v>
      </c>
      <c r="O422" t="s">
        <v>272</v>
      </c>
      <c r="P422" t="s">
        <v>3726</v>
      </c>
      <c r="Q422">
        <v>2</v>
      </c>
      <c r="R422" t="s">
        <v>1251</v>
      </c>
      <c r="S422">
        <v>0</v>
      </c>
      <c r="T422">
        <v>0.36</v>
      </c>
      <c r="U422">
        <v>0.66</v>
      </c>
      <c r="V422">
        <v>1.49</v>
      </c>
      <c r="W422">
        <v>3.78</v>
      </c>
      <c r="X422">
        <v>6.56</v>
      </c>
      <c r="AD422" t="s">
        <v>605</v>
      </c>
      <c r="AF422" t="s">
        <v>605</v>
      </c>
      <c r="AH422">
        <v>0</v>
      </c>
      <c r="AI422" t="s">
        <v>605</v>
      </c>
      <c r="AJ422" t="s">
        <v>605</v>
      </c>
      <c r="AK422" t="s">
        <v>605</v>
      </c>
      <c r="AL422" t="s">
        <v>605</v>
      </c>
      <c r="AM422" t="s">
        <v>605</v>
      </c>
      <c r="AN422">
        <v>0</v>
      </c>
      <c r="AO422">
        <v>0</v>
      </c>
      <c r="AP422">
        <v>0</v>
      </c>
      <c r="AQ422">
        <v>0</v>
      </c>
      <c r="AR422">
        <v>0</v>
      </c>
      <c r="AS422">
        <v>0.36</v>
      </c>
      <c r="AT422">
        <v>0.66</v>
      </c>
      <c r="AU422">
        <v>1.49</v>
      </c>
      <c r="AV422">
        <v>3.78</v>
      </c>
      <c r="AW422">
        <v>6.56</v>
      </c>
      <c r="BH422">
        <v>10</v>
      </c>
      <c r="BN422">
        <v>1</v>
      </c>
      <c r="BO422" t="s">
        <v>1212</v>
      </c>
      <c r="BP422">
        <v>0</v>
      </c>
      <c r="BQ422" s="773">
        <v>0.47</v>
      </c>
      <c r="BR422" t="s">
        <v>605</v>
      </c>
      <c r="BS422" t="s">
        <v>1213</v>
      </c>
      <c r="BT422">
        <v>0</v>
      </c>
      <c r="BU422" t="s">
        <v>1213</v>
      </c>
      <c r="BV422">
        <v>0</v>
      </c>
      <c r="BW422" t="s">
        <v>1213</v>
      </c>
      <c r="BX422">
        <v>0</v>
      </c>
      <c r="BY422" t="s">
        <v>1213</v>
      </c>
      <c r="BZ422" t="s">
        <v>3727</v>
      </c>
      <c r="CA422" t="s">
        <v>3728</v>
      </c>
    </row>
    <row r="423" spans="1:79" x14ac:dyDescent="0.2">
      <c r="A423" t="s">
        <v>3621</v>
      </c>
      <c r="B423" t="s">
        <v>3729</v>
      </c>
      <c r="C423" t="s">
        <v>1077</v>
      </c>
      <c r="D423" t="s">
        <v>458</v>
      </c>
      <c r="E423" t="s">
        <v>1428</v>
      </c>
      <c r="F423" t="s">
        <v>3679</v>
      </c>
      <c r="G423" t="s">
        <v>1477</v>
      </c>
      <c r="H423" t="s">
        <v>3730</v>
      </c>
      <c r="I423" t="s">
        <v>3731</v>
      </c>
      <c r="J423" t="s">
        <v>1219</v>
      </c>
      <c r="K423" t="s">
        <v>3631</v>
      </c>
      <c r="M423" t="s">
        <v>606</v>
      </c>
      <c r="N423" t="s">
        <v>1377</v>
      </c>
      <c r="O423" t="s">
        <v>272</v>
      </c>
      <c r="P423" t="s">
        <v>3732</v>
      </c>
      <c r="Q423">
        <v>1</v>
      </c>
      <c r="R423" t="s">
        <v>1251</v>
      </c>
      <c r="S423">
        <v>0</v>
      </c>
      <c r="T423">
        <v>1.8</v>
      </c>
      <c r="U423">
        <v>1.8</v>
      </c>
      <c r="V423">
        <v>190.1</v>
      </c>
      <c r="W423">
        <v>316.7</v>
      </c>
      <c r="X423">
        <v>346.6</v>
      </c>
      <c r="AD423" t="s">
        <v>605</v>
      </c>
      <c r="AF423" t="s">
        <v>605</v>
      </c>
      <c r="AH423">
        <v>0</v>
      </c>
      <c r="AI423" t="s">
        <v>605</v>
      </c>
      <c r="AJ423" t="s">
        <v>605</v>
      </c>
      <c r="AK423" t="s">
        <v>605</v>
      </c>
      <c r="AL423" t="s">
        <v>605</v>
      </c>
      <c r="AM423" t="s">
        <v>605</v>
      </c>
      <c r="AN423">
        <v>0</v>
      </c>
      <c r="AO423">
        <v>0</v>
      </c>
      <c r="AP423">
        <v>0</v>
      </c>
      <c r="AQ423">
        <v>0</v>
      </c>
      <c r="AR423">
        <v>0</v>
      </c>
      <c r="AS423">
        <v>1.8</v>
      </c>
      <c r="AT423">
        <v>1.8</v>
      </c>
      <c r="AU423">
        <v>190.1</v>
      </c>
      <c r="AV423">
        <v>316.7</v>
      </c>
      <c r="AW423">
        <v>346.6</v>
      </c>
      <c r="BH423">
        <v>5.8000000000000003E-2</v>
      </c>
      <c r="BN423">
        <v>1</v>
      </c>
      <c r="BO423" t="s">
        <v>1212</v>
      </c>
      <c r="BP423">
        <v>0</v>
      </c>
      <c r="BQ423" s="769">
        <v>48</v>
      </c>
      <c r="BR423" t="s">
        <v>605</v>
      </c>
      <c r="BS423" t="s">
        <v>1213</v>
      </c>
      <c r="BT423">
        <v>0</v>
      </c>
      <c r="BU423" t="s">
        <v>1213</v>
      </c>
      <c r="BV423">
        <v>0</v>
      </c>
      <c r="BW423" t="s">
        <v>1213</v>
      </c>
      <c r="BX423">
        <v>0</v>
      </c>
      <c r="BY423" t="s">
        <v>1213</v>
      </c>
      <c r="BZ423" t="s">
        <v>3733</v>
      </c>
      <c r="CA423" t="s">
        <v>3734</v>
      </c>
    </row>
    <row r="424" spans="1:79" x14ac:dyDescent="0.2">
      <c r="A424" t="s">
        <v>3621</v>
      </c>
      <c r="B424" t="s">
        <v>3735</v>
      </c>
      <c r="C424" t="s">
        <v>1077</v>
      </c>
      <c r="D424" t="s">
        <v>458</v>
      </c>
      <c r="E424" t="s">
        <v>1428</v>
      </c>
      <c r="F424" t="s">
        <v>3679</v>
      </c>
      <c r="G424" t="s">
        <v>1482</v>
      </c>
      <c r="H424" t="s">
        <v>3736</v>
      </c>
      <c r="I424" t="s">
        <v>3737</v>
      </c>
      <c r="J424" t="s">
        <v>1219</v>
      </c>
      <c r="K424" t="s">
        <v>3631</v>
      </c>
      <c r="N424" t="s">
        <v>1377</v>
      </c>
      <c r="O424" t="s">
        <v>665</v>
      </c>
      <c r="P424" t="s">
        <v>3738</v>
      </c>
      <c r="Q424">
        <v>4</v>
      </c>
      <c r="R424" t="s">
        <v>1211</v>
      </c>
      <c r="S424">
        <v>113.97</v>
      </c>
      <c r="T424">
        <v>83</v>
      </c>
      <c r="U424">
        <v>83</v>
      </c>
      <c r="V424">
        <v>83</v>
      </c>
      <c r="W424">
        <v>54.32</v>
      </c>
      <c r="X424">
        <v>46.13</v>
      </c>
      <c r="AD424" t="s">
        <v>605</v>
      </c>
      <c r="AE424" t="s">
        <v>605</v>
      </c>
      <c r="AF424" t="s">
        <v>605</v>
      </c>
      <c r="AH424">
        <v>10</v>
      </c>
      <c r="AI424" t="s">
        <v>605</v>
      </c>
      <c r="AJ424" t="s">
        <v>605</v>
      </c>
      <c r="AK424" t="s">
        <v>605</v>
      </c>
      <c r="AL424" t="s">
        <v>605</v>
      </c>
      <c r="AM424" t="s">
        <v>605</v>
      </c>
      <c r="AN424">
        <v>155.4</v>
      </c>
      <c r="AO424">
        <v>155.4</v>
      </c>
      <c r="AP424">
        <v>155.4</v>
      </c>
      <c r="AQ424">
        <v>126.72</v>
      </c>
      <c r="AR424">
        <v>118.53</v>
      </c>
      <c r="AS424">
        <v>113.3</v>
      </c>
      <c r="AT424">
        <v>113.3</v>
      </c>
      <c r="AU424">
        <v>113.3</v>
      </c>
      <c r="AV424">
        <v>84.62</v>
      </c>
      <c r="AW424">
        <v>76.430000000000007</v>
      </c>
      <c r="BH424">
        <v>0.57199999999999995</v>
      </c>
      <c r="BN424">
        <v>1</v>
      </c>
      <c r="BO424" t="s">
        <v>1212</v>
      </c>
      <c r="BP424">
        <v>94.99</v>
      </c>
      <c r="BQ424" s="782">
        <v>91.484700000000004</v>
      </c>
      <c r="BR424" t="s">
        <v>606</v>
      </c>
      <c r="BS424" t="s">
        <v>1213</v>
      </c>
      <c r="BT424">
        <v>0</v>
      </c>
      <c r="BU424" t="s">
        <v>607</v>
      </c>
      <c r="BV424">
        <v>0</v>
      </c>
      <c r="BW424" t="s">
        <v>1107</v>
      </c>
      <c r="BX424">
        <v>-13.8</v>
      </c>
      <c r="BY424" t="s">
        <v>1213</v>
      </c>
      <c r="BZ424" t="s">
        <v>3739</v>
      </c>
      <c r="CA424" t="s">
        <v>3740</v>
      </c>
    </row>
    <row r="425" spans="1:79" x14ac:dyDescent="0.2">
      <c r="A425" t="s">
        <v>3621</v>
      </c>
      <c r="B425" t="s">
        <v>3741</v>
      </c>
      <c r="C425" t="s">
        <v>1077</v>
      </c>
      <c r="D425" t="s">
        <v>458</v>
      </c>
      <c r="E425" t="s">
        <v>1428</v>
      </c>
      <c r="F425" t="s">
        <v>3679</v>
      </c>
      <c r="G425" t="s">
        <v>2024</v>
      </c>
      <c r="H425" t="s">
        <v>3742</v>
      </c>
      <c r="I425" t="s">
        <v>3743</v>
      </c>
      <c r="J425" t="s">
        <v>1207</v>
      </c>
      <c r="K425" t="s">
        <v>3631</v>
      </c>
      <c r="M425" t="s">
        <v>606</v>
      </c>
      <c r="N425" t="s">
        <v>1377</v>
      </c>
      <c r="O425" t="s">
        <v>272</v>
      </c>
      <c r="P425" t="s">
        <v>3682</v>
      </c>
      <c r="Q425">
        <v>2</v>
      </c>
      <c r="R425" t="s">
        <v>1251</v>
      </c>
      <c r="S425">
        <v>0</v>
      </c>
      <c r="T425">
        <v>0.75</v>
      </c>
      <c r="U425">
        <v>25.47</v>
      </c>
      <c r="V425">
        <v>104.58</v>
      </c>
      <c r="W425">
        <v>151.83000000000001</v>
      </c>
      <c r="X425">
        <v>355.22</v>
      </c>
      <c r="AD425" t="s">
        <v>605</v>
      </c>
      <c r="AF425" t="s">
        <v>605</v>
      </c>
      <c r="AH425">
        <v>0</v>
      </c>
      <c r="AI425" t="s">
        <v>605</v>
      </c>
      <c r="AJ425" t="s">
        <v>605</v>
      </c>
      <c r="AK425" t="s">
        <v>605</v>
      </c>
      <c r="AL425" t="s">
        <v>605</v>
      </c>
      <c r="AM425" t="s">
        <v>605</v>
      </c>
      <c r="AN425">
        <v>0</v>
      </c>
      <c r="AO425">
        <v>0</v>
      </c>
      <c r="AP425">
        <v>0</v>
      </c>
      <c r="AQ425">
        <v>0</v>
      </c>
      <c r="AR425">
        <v>0</v>
      </c>
      <c r="AS425">
        <v>0.75</v>
      </c>
      <c r="AT425">
        <v>25.47</v>
      </c>
      <c r="AU425">
        <v>104.58</v>
      </c>
      <c r="AV425">
        <v>151.83000000000001</v>
      </c>
      <c r="AW425">
        <v>355.22</v>
      </c>
      <c r="AX425">
        <v>0.75</v>
      </c>
      <c r="AY425">
        <v>25.47</v>
      </c>
      <c r="AZ425">
        <v>104.58</v>
      </c>
      <c r="BA425">
        <v>151.83000000000001</v>
      </c>
      <c r="BB425">
        <v>355.22</v>
      </c>
      <c r="BC425">
        <v>1.5</v>
      </c>
      <c r="BD425">
        <v>50.95</v>
      </c>
      <c r="BE425">
        <v>209.17</v>
      </c>
      <c r="BF425">
        <v>303.67</v>
      </c>
      <c r="BG425">
        <v>710.44</v>
      </c>
      <c r="BH425">
        <v>0.111</v>
      </c>
      <c r="BL425">
        <v>2.8000000000000001E-2</v>
      </c>
      <c r="BN425">
        <v>1</v>
      </c>
      <c r="BO425" t="s">
        <v>1212</v>
      </c>
      <c r="BP425">
        <v>0</v>
      </c>
      <c r="BQ425" s="773">
        <v>0.75</v>
      </c>
      <c r="BR425" t="s">
        <v>605</v>
      </c>
      <c r="BS425" t="s">
        <v>1213</v>
      </c>
      <c r="BT425">
        <v>0</v>
      </c>
      <c r="BU425" t="s">
        <v>1213</v>
      </c>
      <c r="BV425">
        <v>0</v>
      </c>
      <c r="BW425" t="s">
        <v>1213</v>
      </c>
      <c r="BX425">
        <v>0</v>
      </c>
      <c r="BY425" t="s">
        <v>1213</v>
      </c>
      <c r="BZ425" t="s">
        <v>3744</v>
      </c>
      <c r="CA425" t="s">
        <v>3745</v>
      </c>
    </row>
    <row r="426" spans="1:79" x14ac:dyDescent="0.2">
      <c r="A426" t="s">
        <v>3621</v>
      </c>
      <c r="B426" t="s">
        <v>3746</v>
      </c>
      <c r="C426" t="s">
        <v>1077</v>
      </c>
      <c r="D426" t="s">
        <v>458</v>
      </c>
      <c r="E426" t="s">
        <v>1428</v>
      </c>
      <c r="F426" t="s">
        <v>3679</v>
      </c>
      <c r="G426" t="s">
        <v>3747</v>
      </c>
      <c r="H426" t="s">
        <v>3748</v>
      </c>
      <c r="I426" t="s">
        <v>3749</v>
      </c>
      <c r="J426" t="s">
        <v>1219</v>
      </c>
      <c r="K426" t="s">
        <v>3631</v>
      </c>
      <c r="N426" t="s">
        <v>1468</v>
      </c>
      <c r="O426" t="s">
        <v>272</v>
      </c>
      <c r="P426" t="s">
        <v>2646</v>
      </c>
      <c r="Q426">
        <v>0</v>
      </c>
      <c r="R426" t="s">
        <v>1211</v>
      </c>
      <c r="S426">
        <v>4</v>
      </c>
      <c r="T426">
        <v>4</v>
      </c>
      <c r="U426">
        <v>4</v>
      </c>
      <c r="V426">
        <v>3</v>
      </c>
      <c r="W426">
        <v>3</v>
      </c>
      <c r="X426">
        <v>0</v>
      </c>
      <c r="AE426" t="s">
        <v>605</v>
      </c>
      <c r="AH426">
        <v>0</v>
      </c>
      <c r="AI426" t="s">
        <v>605</v>
      </c>
      <c r="AJ426" t="s">
        <v>605</v>
      </c>
      <c r="AK426" t="s">
        <v>605</v>
      </c>
      <c r="AL426" t="s">
        <v>605</v>
      </c>
      <c r="AM426" t="s">
        <v>605</v>
      </c>
      <c r="AN426">
        <v>7</v>
      </c>
      <c r="AO426">
        <v>7</v>
      </c>
      <c r="AP426">
        <v>6</v>
      </c>
      <c r="AQ426">
        <v>6</v>
      </c>
      <c r="AR426">
        <v>5</v>
      </c>
      <c r="AS426">
        <v>6</v>
      </c>
      <c r="AT426">
        <v>6</v>
      </c>
      <c r="AU426">
        <v>5</v>
      </c>
      <c r="AV426">
        <v>5</v>
      </c>
      <c r="AW426">
        <v>4</v>
      </c>
      <c r="BH426">
        <v>0.42</v>
      </c>
      <c r="BN426">
        <v>1</v>
      </c>
      <c r="BO426" t="s">
        <v>1212</v>
      </c>
      <c r="BP426">
        <v>2</v>
      </c>
      <c r="BQ426" s="772">
        <v>4</v>
      </c>
      <c r="BR426" t="s">
        <v>605</v>
      </c>
      <c r="BS426" t="s">
        <v>1213</v>
      </c>
      <c r="BT426">
        <v>0</v>
      </c>
      <c r="BU426" t="s">
        <v>1213</v>
      </c>
      <c r="BV426">
        <v>0</v>
      </c>
      <c r="BW426" t="s">
        <v>1213</v>
      </c>
      <c r="BX426">
        <v>0</v>
      </c>
      <c r="BY426" t="s">
        <v>1213</v>
      </c>
      <c r="BZ426" t="s">
        <v>3750</v>
      </c>
      <c r="CA426" t="s">
        <v>3751</v>
      </c>
    </row>
    <row r="427" spans="1:79" x14ac:dyDescent="0.2">
      <c r="A427" t="s">
        <v>3621</v>
      </c>
      <c r="B427" t="s">
        <v>3752</v>
      </c>
      <c r="C427" t="s">
        <v>1077</v>
      </c>
      <c r="D427" t="s">
        <v>458</v>
      </c>
      <c r="E427" t="s">
        <v>1428</v>
      </c>
      <c r="F427" t="s">
        <v>3679</v>
      </c>
      <c r="G427" t="s">
        <v>3753</v>
      </c>
      <c r="H427" t="s">
        <v>3754</v>
      </c>
      <c r="I427" t="s">
        <v>3755</v>
      </c>
      <c r="J427" t="s">
        <v>1207</v>
      </c>
      <c r="K427" t="s">
        <v>3631</v>
      </c>
      <c r="N427" t="s">
        <v>1468</v>
      </c>
      <c r="O427" t="s">
        <v>272</v>
      </c>
      <c r="P427" t="s">
        <v>1469</v>
      </c>
      <c r="Q427">
        <v>0</v>
      </c>
      <c r="R427" t="s">
        <v>1211</v>
      </c>
      <c r="S427">
        <v>207</v>
      </c>
      <c r="T427">
        <v>204</v>
      </c>
      <c r="U427">
        <v>201</v>
      </c>
      <c r="V427">
        <v>198</v>
      </c>
      <c r="W427">
        <v>195</v>
      </c>
      <c r="X427">
        <v>191</v>
      </c>
      <c r="AB427" t="s">
        <v>605</v>
      </c>
      <c r="AE427" t="s">
        <v>605</v>
      </c>
      <c r="AH427">
        <v>0</v>
      </c>
      <c r="AI427" t="s">
        <v>605</v>
      </c>
      <c r="AJ427" t="s">
        <v>605</v>
      </c>
      <c r="AK427" t="s">
        <v>605</v>
      </c>
      <c r="AL427" t="s">
        <v>605</v>
      </c>
      <c r="AM427" t="s">
        <v>605</v>
      </c>
      <c r="AN427">
        <v>223</v>
      </c>
      <c r="AO427">
        <v>220</v>
      </c>
      <c r="AP427">
        <v>217</v>
      </c>
      <c r="AQ427">
        <v>214</v>
      </c>
      <c r="AR427">
        <v>210</v>
      </c>
      <c r="AS427">
        <v>211</v>
      </c>
      <c r="AT427">
        <v>208</v>
      </c>
      <c r="AU427">
        <v>205</v>
      </c>
      <c r="AV427">
        <v>202</v>
      </c>
      <c r="AW427">
        <v>198</v>
      </c>
      <c r="AX427">
        <v>197</v>
      </c>
      <c r="AY427">
        <v>194</v>
      </c>
      <c r="AZ427">
        <v>191</v>
      </c>
      <c r="BA427">
        <v>188</v>
      </c>
      <c r="BB427">
        <v>184</v>
      </c>
      <c r="BC427">
        <v>175</v>
      </c>
      <c r="BD427">
        <v>172</v>
      </c>
      <c r="BE427">
        <v>169</v>
      </c>
      <c r="BF427">
        <v>166</v>
      </c>
      <c r="BG427">
        <v>162</v>
      </c>
      <c r="BH427">
        <v>0.28199999999999997</v>
      </c>
      <c r="BL427">
        <v>0.14899999999999999</v>
      </c>
      <c r="BN427">
        <v>1</v>
      </c>
      <c r="BO427" t="s">
        <v>1212</v>
      </c>
      <c r="BP427">
        <v>212</v>
      </c>
      <c r="BQ427" s="772">
        <v>136</v>
      </c>
      <c r="BR427" t="s">
        <v>605</v>
      </c>
      <c r="BS427" t="s">
        <v>1213</v>
      </c>
      <c r="BT427">
        <v>0</v>
      </c>
      <c r="BU427" t="s">
        <v>611</v>
      </c>
      <c r="BV427">
        <v>3.278</v>
      </c>
      <c r="BW427" t="s">
        <v>611</v>
      </c>
      <c r="BX427">
        <v>9.8000000000000007</v>
      </c>
      <c r="BY427" t="s">
        <v>1174</v>
      </c>
      <c r="BZ427" t="s">
        <v>3756</v>
      </c>
      <c r="CA427" t="s">
        <v>3757</v>
      </c>
    </row>
    <row r="428" spans="1:79" x14ac:dyDescent="0.2">
      <c r="A428" t="s">
        <v>3621</v>
      </c>
      <c r="B428" t="s">
        <v>3758</v>
      </c>
      <c r="C428" t="s">
        <v>1077</v>
      </c>
      <c r="D428" t="s">
        <v>458</v>
      </c>
      <c r="E428" t="s">
        <v>1428</v>
      </c>
      <c r="F428" t="s">
        <v>3679</v>
      </c>
      <c r="G428" t="s">
        <v>3759</v>
      </c>
      <c r="H428" t="s">
        <v>3760</v>
      </c>
      <c r="I428" t="s">
        <v>3761</v>
      </c>
      <c r="J428" t="s">
        <v>1219</v>
      </c>
      <c r="K428" t="s">
        <v>3631</v>
      </c>
      <c r="N428" t="s">
        <v>302</v>
      </c>
      <c r="O428" t="s">
        <v>264</v>
      </c>
      <c r="P428" t="s">
        <v>3201</v>
      </c>
      <c r="Q428">
        <v>2</v>
      </c>
      <c r="R428" t="s">
        <v>1251</v>
      </c>
      <c r="S428">
        <v>100</v>
      </c>
      <c r="T428">
        <v>100</v>
      </c>
      <c r="U428">
        <v>100</v>
      </c>
      <c r="V428">
        <v>100</v>
      </c>
      <c r="W428">
        <v>100</v>
      </c>
      <c r="X428">
        <v>100</v>
      </c>
      <c r="AH428">
        <v>0</v>
      </c>
      <c r="AI428" t="s">
        <v>605</v>
      </c>
      <c r="AJ428" t="s">
        <v>605</v>
      </c>
      <c r="AK428" t="s">
        <v>605</v>
      </c>
      <c r="AL428" t="s">
        <v>605</v>
      </c>
      <c r="AM428" t="s">
        <v>605</v>
      </c>
      <c r="AN428">
        <v>96.72</v>
      </c>
      <c r="AO428">
        <v>96.72</v>
      </c>
      <c r="AP428">
        <v>96.72</v>
      </c>
      <c r="AQ428">
        <v>96.72</v>
      </c>
      <c r="AR428">
        <v>96.72</v>
      </c>
      <c r="AS428">
        <v>99.85</v>
      </c>
      <c r="AT428">
        <v>99.85</v>
      </c>
      <c r="AU428">
        <v>99.85</v>
      </c>
      <c r="AV428">
        <v>99.85</v>
      </c>
      <c r="AW428">
        <v>99.85</v>
      </c>
      <c r="BH428">
        <v>5.1079999999999997</v>
      </c>
      <c r="BN428">
        <v>1</v>
      </c>
      <c r="BO428" t="s">
        <v>1212</v>
      </c>
      <c r="BP428">
        <v>100</v>
      </c>
      <c r="BQ428" s="773">
        <v>100</v>
      </c>
      <c r="BR428" t="s">
        <v>605</v>
      </c>
      <c r="BS428" t="s">
        <v>1213</v>
      </c>
      <c r="BT428">
        <v>0</v>
      </c>
      <c r="BU428" t="s">
        <v>1213</v>
      </c>
      <c r="BV428">
        <v>0</v>
      </c>
      <c r="BW428" t="s">
        <v>1213</v>
      </c>
      <c r="BX428">
        <v>0</v>
      </c>
      <c r="BY428" t="s">
        <v>1213</v>
      </c>
      <c r="BZ428" t="s">
        <v>3762</v>
      </c>
      <c r="CA428" t="s">
        <v>3763</v>
      </c>
    </row>
    <row r="429" spans="1:79" x14ac:dyDescent="0.2">
      <c r="A429" t="s">
        <v>3621</v>
      </c>
      <c r="B429" t="s">
        <v>3764</v>
      </c>
      <c r="C429" t="s">
        <v>1077</v>
      </c>
      <c r="D429" t="s">
        <v>1288</v>
      </c>
      <c r="E429" t="s">
        <v>1289</v>
      </c>
      <c r="F429" t="s">
        <v>3765</v>
      </c>
      <c r="G429" t="s">
        <v>3766</v>
      </c>
      <c r="H429" t="s">
        <v>3767</v>
      </c>
      <c r="I429" t="s">
        <v>3768</v>
      </c>
      <c r="J429" t="s">
        <v>1207</v>
      </c>
      <c r="K429" t="s">
        <v>1208</v>
      </c>
      <c r="M429" t="s">
        <v>606</v>
      </c>
      <c r="N429" t="s">
        <v>1294</v>
      </c>
      <c r="O429" t="s">
        <v>1507</v>
      </c>
      <c r="P429" t="s">
        <v>1668</v>
      </c>
      <c r="Q429" t="s">
        <v>1212</v>
      </c>
      <c r="R429" t="s">
        <v>1251</v>
      </c>
      <c r="S429" t="s">
        <v>3769</v>
      </c>
      <c r="T429" t="s">
        <v>2168</v>
      </c>
      <c r="U429" t="s">
        <v>2168</v>
      </c>
      <c r="V429" t="s">
        <v>2168</v>
      </c>
      <c r="W429" t="s">
        <v>2168</v>
      </c>
      <c r="X429" t="s">
        <v>2168</v>
      </c>
      <c r="AH429">
        <v>0</v>
      </c>
      <c r="AI429" t="s">
        <v>605</v>
      </c>
      <c r="AJ429" t="s">
        <v>605</v>
      </c>
      <c r="AK429" t="s">
        <v>605</v>
      </c>
      <c r="AL429" t="s">
        <v>605</v>
      </c>
      <c r="AM429" t="s">
        <v>605</v>
      </c>
      <c r="AN429" t="s">
        <v>1296</v>
      </c>
      <c r="AO429" t="s">
        <v>1296</v>
      </c>
      <c r="AP429" t="s">
        <v>1296</v>
      </c>
      <c r="AQ429" t="s">
        <v>1296</v>
      </c>
      <c r="AR429" t="s">
        <v>1296</v>
      </c>
      <c r="AS429" t="s">
        <v>1296</v>
      </c>
      <c r="AT429" t="s">
        <v>1296</v>
      </c>
      <c r="AU429" t="s">
        <v>1296</v>
      </c>
      <c r="AV429" t="s">
        <v>1296</v>
      </c>
      <c r="AW429" t="s">
        <v>1296</v>
      </c>
      <c r="AX429" t="s">
        <v>1296</v>
      </c>
      <c r="AY429" t="s">
        <v>1296</v>
      </c>
      <c r="AZ429" t="s">
        <v>1296</v>
      </c>
      <c r="BA429" t="s">
        <v>1296</v>
      </c>
      <c r="BB429" t="s">
        <v>1296</v>
      </c>
      <c r="BC429" t="s">
        <v>1296</v>
      </c>
      <c r="BD429" t="s">
        <v>1296</v>
      </c>
      <c r="BE429" t="s">
        <v>1296</v>
      </c>
      <c r="BF429" t="s">
        <v>1296</v>
      </c>
      <c r="BG429" t="s">
        <v>1296</v>
      </c>
      <c r="BH429" t="s">
        <v>1296</v>
      </c>
      <c r="BL429" t="s">
        <v>1296</v>
      </c>
      <c r="BN429">
        <v>1</v>
      </c>
      <c r="BO429" t="s">
        <v>1212</v>
      </c>
      <c r="BP429">
        <v>0</v>
      </c>
      <c r="BQ429" s="773">
        <v>81.55</v>
      </c>
      <c r="BR429" t="s">
        <v>605</v>
      </c>
      <c r="BS429" t="s">
        <v>1213</v>
      </c>
      <c r="BT429">
        <v>0</v>
      </c>
      <c r="BU429" t="s">
        <v>1213</v>
      </c>
      <c r="BV429">
        <v>0</v>
      </c>
      <c r="BW429" t="s">
        <v>1213</v>
      </c>
      <c r="BX429">
        <v>0</v>
      </c>
      <c r="BY429" t="s">
        <v>1213</v>
      </c>
      <c r="BZ429" t="s">
        <v>3770</v>
      </c>
      <c r="CA429" t="s">
        <v>1298</v>
      </c>
    </row>
    <row r="430" spans="1:79" x14ac:dyDescent="0.2">
      <c r="A430" t="s">
        <v>3621</v>
      </c>
      <c r="B430" t="s">
        <v>3771</v>
      </c>
      <c r="C430" t="s">
        <v>1077</v>
      </c>
      <c r="D430" t="s">
        <v>1288</v>
      </c>
      <c r="E430" t="s">
        <v>1289</v>
      </c>
      <c r="F430" t="s">
        <v>3765</v>
      </c>
      <c r="G430" t="s">
        <v>1300</v>
      </c>
      <c r="H430" t="s">
        <v>3772</v>
      </c>
      <c r="I430" t="s">
        <v>3773</v>
      </c>
      <c r="J430" t="s">
        <v>1219</v>
      </c>
      <c r="K430" t="s">
        <v>1208</v>
      </c>
      <c r="M430" t="s">
        <v>606</v>
      </c>
      <c r="N430" t="s">
        <v>1400</v>
      </c>
      <c r="O430" t="s">
        <v>86</v>
      </c>
      <c r="P430" t="s">
        <v>2094</v>
      </c>
      <c r="Q430">
        <v>3</v>
      </c>
      <c r="R430" t="s">
        <v>1251</v>
      </c>
      <c r="S430">
        <v>0</v>
      </c>
      <c r="T430">
        <v>1.0529999999999999</v>
      </c>
      <c r="U430">
        <v>3.37</v>
      </c>
      <c r="V430">
        <v>6.3959999999999999</v>
      </c>
      <c r="W430">
        <v>10.86</v>
      </c>
      <c r="X430">
        <v>17.768999999999998</v>
      </c>
      <c r="AD430" t="s">
        <v>605</v>
      </c>
      <c r="AH430">
        <v>0</v>
      </c>
      <c r="AL430" t="s">
        <v>605</v>
      </c>
      <c r="AM430" t="s">
        <v>605</v>
      </c>
      <c r="AR430">
        <v>0</v>
      </c>
      <c r="AW430">
        <v>17.768999999999998</v>
      </c>
      <c r="BH430" t="s">
        <v>2492</v>
      </c>
      <c r="BI430">
        <v>8.8800000000000008</v>
      </c>
      <c r="BN430">
        <v>1</v>
      </c>
      <c r="BO430" t="s">
        <v>1212</v>
      </c>
      <c r="BP430">
        <v>0</v>
      </c>
      <c r="BQ430" s="782">
        <v>1E-3</v>
      </c>
      <c r="BR430" t="s">
        <v>606</v>
      </c>
      <c r="BS430" t="s">
        <v>1213</v>
      </c>
      <c r="BT430">
        <v>0</v>
      </c>
      <c r="BU430" t="s">
        <v>1213</v>
      </c>
      <c r="BV430">
        <v>0</v>
      </c>
      <c r="BW430" t="s">
        <v>1213</v>
      </c>
      <c r="BX430">
        <v>0</v>
      </c>
      <c r="BY430" t="s">
        <v>1213</v>
      </c>
      <c r="BZ430" t="s">
        <v>3774</v>
      </c>
      <c r="CA430" t="s">
        <v>3775</v>
      </c>
    </row>
    <row r="431" spans="1:79" x14ac:dyDescent="0.2">
      <c r="A431" t="s">
        <v>3621</v>
      </c>
      <c r="B431" t="s">
        <v>3776</v>
      </c>
      <c r="C431" t="s">
        <v>1077</v>
      </c>
      <c r="D431" t="s">
        <v>1288</v>
      </c>
      <c r="E431" t="s">
        <v>1289</v>
      </c>
      <c r="F431" t="s">
        <v>3692</v>
      </c>
      <c r="G431" t="s">
        <v>1575</v>
      </c>
      <c r="H431" t="s">
        <v>3777</v>
      </c>
      <c r="I431" t="s">
        <v>3778</v>
      </c>
      <c r="J431" t="s">
        <v>1241</v>
      </c>
      <c r="N431" t="s">
        <v>1303</v>
      </c>
      <c r="O431" t="s">
        <v>264</v>
      </c>
      <c r="P431" t="s">
        <v>1401</v>
      </c>
      <c r="Q431">
        <v>0</v>
      </c>
      <c r="R431" t="s">
        <v>1251</v>
      </c>
      <c r="S431">
        <v>48</v>
      </c>
      <c r="T431">
        <v>49</v>
      </c>
      <c r="U431">
        <v>50</v>
      </c>
      <c r="V431">
        <v>51</v>
      </c>
      <c r="W431">
        <v>52</v>
      </c>
      <c r="X431">
        <v>53</v>
      </c>
      <c r="AH431">
        <v>0</v>
      </c>
      <c r="BP431">
        <v>51</v>
      </c>
      <c r="BQ431" s="772">
        <v>50</v>
      </c>
      <c r="BR431" t="s">
        <v>605</v>
      </c>
      <c r="BS431" t="s">
        <v>1213</v>
      </c>
      <c r="BT431">
        <v>0</v>
      </c>
      <c r="BU431" t="s">
        <v>1213</v>
      </c>
      <c r="BV431">
        <v>0</v>
      </c>
      <c r="BW431" t="s">
        <v>1213</v>
      </c>
      <c r="BX431">
        <v>0</v>
      </c>
      <c r="BY431" t="s">
        <v>1213</v>
      </c>
      <c r="BZ431" t="s">
        <v>3779</v>
      </c>
    </row>
    <row r="432" spans="1:79" x14ac:dyDescent="0.2">
      <c r="A432" t="s">
        <v>3621</v>
      </c>
      <c r="B432" t="s">
        <v>3780</v>
      </c>
      <c r="C432" t="s">
        <v>1077</v>
      </c>
      <c r="D432" t="s">
        <v>1288</v>
      </c>
      <c r="E432" t="s">
        <v>1289</v>
      </c>
      <c r="F432" t="s">
        <v>3692</v>
      </c>
      <c r="G432" t="s">
        <v>1731</v>
      </c>
      <c r="H432" t="s">
        <v>3781</v>
      </c>
      <c r="I432" t="s">
        <v>3782</v>
      </c>
      <c r="J432" t="s">
        <v>1241</v>
      </c>
      <c r="N432" t="s">
        <v>1220</v>
      </c>
      <c r="O432" t="s">
        <v>272</v>
      </c>
      <c r="P432" t="s">
        <v>1357</v>
      </c>
      <c r="Q432">
        <v>0</v>
      </c>
      <c r="R432" t="s">
        <v>1211</v>
      </c>
      <c r="S432">
        <v>297</v>
      </c>
      <c r="T432">
        <v>294</v>
      </c>
      <c r="U432">
        <v>292</v>
      </c>
      <c r="V432">
        <v>289</v>
      </c>
      <c r="W432">
        <v>286</v>
      </c>
      <c r="X432">
        <v>284</v>
      </c>
      <c r="AH432">
        <v>0</v>
      </c>
      <c r="BP432">
        <v>304.10000000000002</v>
      </c>
      <c r="BQ432" s="772">
        <v>303</v>
      </c>
      <c r="BR432" t="s">
        <v>606</v>
      </c>
      <c r="BS432" t="s">
        <v>1213</v>
      </c>
      <c r="BT432">
        <v>0</v>
      </c>
      <c r="BU432" t="s">
        <v>1213</v>
      </c>
      <c r="BV432">
        <v>0</v>
      </c>
      <c r="BW432" t="s">
        <v>1213</v>
      </c>
      <c r="BX432">
        <v>0</v>
      </c>
      <c r="BY432" t="s">
        <v>1213</v>
      </c>
      <c r="BZ432" t="s">
        <v>3783</v>
      </c>
    </row>
    <row r="433" spans="1:79" x14ac:dyDescent="0.2">
      <c r="A433" t="s">
        <v>1084</v>
      </c>
      <c r="B433" t="s">
        <v>3784</v>
      </c>
      <c r="C433" t="s">
        <v>1077</v>
      </c>
      <c r="D433" t="s">
        <v>457</v>
      </c>
      <c r="E433" t="s">
        <v>1202</v>
      </c>
      <c r="F433" t="s">
        <v>1594</v>
      </c>
      <c r="G433" t="s">
        <v>1554</v>
      </c>
      <c r="H433" t="s">
        <v>3785</v>
      </c>
      <c r="I433" t="s">
        <v>3786</v>
      </c>
      <c r="J433" t="s">
        <v>1219</v>
      </c>
      <c r="K433" t="s">
        <v>1208</v>
      </c>
      <c r="N433" t="s">
        <v>1249</v>
      </c>
      <c r="O433" t="s">
        <v>264</v>
      </c>
      <c r="P433" t="s">
        <v>1250</v>
      </c>
      <c r="Q433">
        <v>2</v>
      </c>
      <c r="R433" t="s">
        <v>1251</v>
      </c>
      <c r="S433">
        <v>99.98</v>
      </c>
      <c r="T433">
        <v>99.98</v>
      </c>
      <c r="U433">
        <v>99.98</v>
      </c>
      <c r="V433">
        <v>100</v>
      </c>
      <c r="W433">
        <v>100</v>
      </c>
      <c r="X433">
        <v>100</v>
      </c>
      <c r="Y433" t="s">
        <v>605</v>
      </c>
      <c r="AE433" t="s">
        <v>605</v>
      </c>
      <c r="AH433">
        <v>0</v>
      </c>
      <c r="AI433" t="s">
        <v>605</v>
      </c>
      <c r="AJ433" t="s">
        <v>605</v>
      </c>
      <c r="AK433" t="s">
        <v>605</v>
      </c>
      <c r="AL433" t="s">
        <v>605</v>
      </c>
      <c r="AM433" t="s">
        <v>605</v>
      </c>
      <c r="AN433">
        <v>99.91</v>
      </c>
      <c r="AO433">
        <v>99.91</v>
      </c>
      <c r="AP433">
        <v>99.91</v>
      </c>
      <c r="AQ433">
        <v>99.91</v>
      </c>
      <c r="AR433">
        <v>99.91</v>
      </c>
      <c r="AS433">
        <v>99.95</v>
      </c>
      <c r="AT433">
        <v>99.95</v>
      </c>
      <c r="AU433">
        <v>99.95</v>
      </c>
      <c r="AV433">
        <v>99.95</v>
      </c>
      <c r="AW433">
        <v>99.95</v>
      </c>
      <c r="BH433">
        <v>2.5</v>
      </c>
      <c r="BN433">
        <v>100</v>
      </c>
      <c r="BO433" t="s">
        <v>1598</v>
      </c>
      <c r="BP433">
        <v>99.94</v>
      </c>
      <c r="BQ433" s="773">
        <v>99.96</v>
      </c>
      <c r="BR433" t="s">
        <v>606</v>
      </c>
      <c r="BS433" t="s">
        <v>1213</v>
      </c>
      <c r="BT433">
        <v>0</v>
      </c>
      <c r="BU433" t="s">
        <v>607</v>
      </c>
      <c r="BV433">
        <v>0</v>
      </c>
      <c r="BW433" t="s">
        <v>1213</v>
      </c>
      <c r="BX433">
        <v>0</v>
      </c>
      <c r="BY433" t="s">
        <v>1171</v>
      </c>
      <c r="BZ433" t="s">
        <v>3787</v>
      </c>
    </row>
    <row r="434" spans="1:79" x14ac:dyDescent="0.2">
      <c r="A434" t="s">
        <v>1084</v>
      </c>
      <c r="B434" t="s">
        <v>3788</v>
      </c>
      <c r="C434" t="s">
        <v>1077</v>
      </c>
      <c r="D434" t="s">
        <v>457</v>
      </c>
      <c r="E434" t="s">
        <v>1202</v>
      </c>
      <c r="F434" t="s">
        <v>1594</v>
      </c>
      <c r="G434" t="s">
        <v>1560</v>
      </c>
      <c r="H434" t="s">
        <v>3789</v>
      </c>
      <c r="I434" t="s">
        <v>3790</v>
      </c>
      <c r="J434" t="s">
        <v>1207</v>
      </c>
      <c r="K434" t="s">
        <v>1208</v>
      </c>
      <c r="N434" t="s">
        <v>1172</v>
      </c>
      <c r="O434" t="s">
        <v>272</v>
      </c>
      <c r="P434" t="s">
        <v>3055</v>
      </c>
      <c r="Q434">
        <v>2</v>
      </c>
      <c r="R434" t="s">
        <v>1211</v>
      </c>
      <c r="S434">
        <v>3.2</v>
      </c>
      <c r="T434">
        <v>2.54</v>
      </c>
      <c r="U434">
        <v>1.89</v>
      </c>
      <c r="V434">
        <v>1.23</v>
      </c>
      <c r="W434">
        <v>1.23</v>
      </c>
      <c r="X434">
        <v>1.23</v>
      </c>
      <c r="Z434" t="s">
        <v>605</v>
      </c>
      <c r="AE434" t="s">
        <v>605</v>
      </c>
      <c r="AH434">
        <v>0</v>
      </c>
      <c r="AI434" t="s">
        <v>605</v>
      </c>
      <c r="AJ434" t="s">
        <v>605</v>
      </c>
      <c r="AK434" t="s">
        <v>605</v>
      </c>
      <c r="AL434" t="s">
        <v>605</v>
      </c>
      <c r="AM434" t="s">
        <v>605</v>
      </c>
      <c r="AN434">
        <v>3.4</v>
      </c>
      <c r="AO434">
        <v>3.4</v>
      </c>
      <c r="AP434">
        <v>1.43</v>
      </c>
      <c r="AQ434">
        <v>1.43</v>
      </c>
      <c r="AR434">
        <v>1.43</v>
      </c>
      <c r="AS434">
        <v>3.2</v>
      </c>
      <c r="AT434">
        <v>3.2</v>
      </c>
      <c r="AU434">
        <v>1.23</v>
      </c>
      <c r="AV434">
        <v>1.23</v>
      </c>
      <c r="AW434">
        <v>1.23</v>
      </c>
      <c r="AX434">
        <v>1.23</v>
      </c>
      <c r="AY434">
        <v>1.23</v>
      </c>
      <c r="AZ434">
        <v>1.23</v>
      </c>
      <c r="BA434">
        <v>1.23</v>
      </c>
      <c r="BB434">
        <v>1.23</v>
      </c>
      <c r="BC434">
        <v>1.03</v>
      </c>
      <c r="BD434">
        <v>1.03</v>
      </c>
      <c r="BE434">
        <v>1.03</v>
      </c>
      <c r="BF434">
        <v>1.03</v>
      </c>
      <c r="BG434">
        <v>1.03</v>
      </c>
      <c r="BH434">
        <v>9.3000000000000007</v>
      </c>
      <c r="BL434">
        <v>9.3000000000000007</v>
      </c>
      <c r="BN434">
        <v>1</v>
      </c>
      <c r="BO434" t="s">
        <v>1212</v>
      </c>
      <c r="BP434">
        <v>3.53</v>
      </c>
      <c r="BQ434" s="773">
        <v>2.91</v>
      </c>
      <c r="BR434" t="s">
        <v>606</v>
      </c>
      <c r="BS434" t="s">
        <v>1213</v>
      </c>
      <c r="BT434">
        <v>0</v>
      </c>
      <c r="BU434" t="s">
        <v>607</v>
      </c>
      <c r="BV434">
        <v>0</v>
      </c>
      <c r="BW434" t="s">
        <v>1107</v>
      </c>
      <c r="BX434">
        <v>-5.58</v>
      </c>
      <c r="BY434" t="s">
        <v>1172</v>
      </c>
      <c r="BZ434" t="s">
        <v>3791</v>
      </c>
    </row>
    <row r="435" spans="1:79" x14ac:dyDescent="0.2">
      <c r="A435" t="s">
        <v>1084</v>
      </c>
      <c r="B435" t="s">
        <v>3792</v>
      </c>
      <c r="C435" t="s">
        <v>1077</v>
      </c>
      <c r="D435" t="s">
        <v>457</v>
      </c>
      <c r="E435" t="s">
        <v>1202</v>
      </c>
      <c r="F435" t="s">
        <v>1594</v>
      </c>
      <c r="G435" t="s">
        <v>1569</v>
      </c>
      <c r="H435" t="s">
        <v>3793</v>
      </c>
      <c r="I435" t="s">
        <v>3794</v>
      </c>
      <c r="J435" t="s">
        <v>1207</v>
      </c>
      <c r="K435" t="s">
        <v>1208</v>
      </c>
      <c r="N435" t="s">
        <v>1265</v>
      </c>
      <c r="O435" t="s">
        <v>1309</v>
      </c>
      <c r="P435" t="s">
        <v>3795</v>
      </c>
      <c r="Q435">
        <v>1</v>
      </c>
      <c r="R435" t="s">
        <v>1211</v>
      </c>
      <c r="S435">
        <v>48</v>
      </c>
      <c r="T435">
        <v>36</v>
      </c>
      <c r="U435">
        <v>24</v>
      </c>
      <c r="V435">
        <v>12</v>
      </c>
      <c r="W435">
        <v>12</v>
      </c>
      <c r="X435">
        <v>12</v>
      </c>
      <c r="AA435" t="s">
        <v>605</v>
      </c>
      <c r="AE435" t="s">
        <v>605</v>
      </c>
      <c r="AH435">
        <v>0</v>
      </c>
      <c r="AI435" t="s">
        <v>605</v>
      </c>
      <c r="AJ435" t="s">
        <v>605</v>
      </c>
      <c r="AK435" t="s">
        <v>605</v>
      </c>
      <c r="AL435" t="s">
        <v>605</v>
      </c>
      <c r="AM435" t="s">
        <v>605</v>
      </c>
      <c r="AN435">
        <v>68</v>
      </c>
      <c r="AO435">
        <v>68</v>
      </c>
      <c r="AP435">
        <v>32</v>
      </c>
      <c r="AQ435">
        <v>32</v>
      </c>
      <c r="AR435">
        <v>32</v>
      </c>
      <c r="AS435">
        <v>48</v>
      </c>
      <c r="AT435">
        <v>48</v>
      </c>
      <c r="AU435">
        <v>12</v>
      </c>
      <c r="AV435">
        <v>12</v>
      </c>
      <c r="AW435">
        <v>12</v>
      </c>
      <c r="AX435">
        <v>12</v>
      </c>
      <c r="AY435">
        <v>12</v>
      </c>
      <c r="AZ435">
        <v>12</v>
      </c>
      <c r="BA435">
        <v>12</v>
      </c>
      <c r="BB435">
        <v>12</v>
      </c>
      <c r="BC435">
        <v>0</v>
      </c>
      <c r="BD435">
        <v>0</v>
      </c>
      <c r="BE435">
        <v>0</v>
      </c>
      <c r="BF435">
        <v>0</v>
      </c>
      <c r="BG435">
        <v>0</v>
      </c>
      <c r="BH435">
        <v>0.19500000000000001</v>
      </c>
      <c r="BL435">
        <v>0.19500000000000001</v>
      </c>
      <c r="BN435">
        <v>1</v>
      </c>
      <c r="BO435" t="s">
        <v>1212</v>
      </c>
      <c r="BP435">
        <v>23</v>
      </c>
      <c r="BQ435" s="769">
        <v>21.7</v>
      </c>
      <c r="BR435" t="s">
        <v>605</v>
      </c>
      <c r="BS435" t="s">
        <v>1213</v>
      </c>
      <c r="BT435">
        <v>0</v>
      </c>
      <c r="BU435" t="s">
        <v>610</v>
      </c>
      <c r="BV435">
        <v>0</v>
      </c>
      <c r="BW435" t="s">
        <v>1107</v>
      </c>
      <c r="BX435">
        <v>-2.9249999999999998</v>
      </c>
      <c r="BY435" t="s">
        <v>1173</v>
      </c>
      <c r="BZ435" t="s">
        <v>3796</v>
      </c>
    </row>
    <row r="436" spans="1:79" x14ac:dyDescent="0.2">
      <c r="A436" t="s">
        <v>1084</v>
      </c>
      <c r="B436" t="s">
        <v>3797</v>
      </c>
      <c r="C436" t="s">
        <v>1077</v>
      </c>
      <c r="D436" t="s">
        <v>457</v>
      </c>
      <c r="E436" t="s">
        <v>1202</v>
      </c>
      <c r="F436" t="s">
        <v>3798</v>
      </c>
      <c r="G436" t="s">
        <v>1575</v>
      </c>
      <c r="H436" t="s">
        <v>3799</v>
      </c>
      <c r="I436" t="s">
        <v>3800</v>
      </c>
      <c r="J436" t="s">
        <v>1241</v>
      </c>
      <c r="N436" t="s">
        <v>1235</v>
      </c>
      <c r="O436" t="s">
        <v>264</v>
      </c>
      <c r="P436" t="s">
        <v>3801</v>
      </c>
      <c r="Q436">
        <v>0</v>
      </c>
      <c r="R436" t="s">
        <v>1251</v>
      </c>
      <c r="S436">
        <v>100</v>
      </c>
      <c r="T436">
        <v>100</v>
      </c>
      <c r="U436">
        <v>100</v>
      </c>
      <c r="V436">
        <v>100</v>
      </c>
      <c r="W436">
        <v>100</v>
      </c>
      <c r="X436">
        <v>100</v>
      </c>
      <c r="AH436">
        <v>0</v>
      </c>
      <c r="BP436">
        <v>100</v>
      </c>
      <c r="BQ436" s="772">
        <v>100</v>
      </c>
      <c r="BR436" t="s">
        <v>605</v>
      </c>
      <c r="BS436" t="s">
        <v>1213</v>
      </c>
      <c r="BT436">
        <v>0</v>
      </c>
      <c r="BU436" t="s">
        <v>1213</v>
      </c>
      <c r="BV436">
        <v>0</v>
      </c>
      <c r="BW436" t="s">
        <v>1213</v>
      </c>
      <c r="BX436">
        <v>0</v>
      </c>
      <c r="BY436" t="s">
        <v>1213</v>
      </c>
      <c r="BZ436" t="s">
        <v>3802</v>
      </c>
    </row>
    <row r="437" spans="1:79" x14ac:dyDescent="0.2">
      <c r="A437" t="s">
        <v>1084</v>
      </c>
      <c r="B437" t="s">
        <v>3803</v>
      </c>
      <c r="C437" t="s">
        <v>1077</v>
      </c>
      <c r="D437" t="s">
        <v>457</v>
      </c>
      <c r="E437" t="s">
        <v>1202</v>
      </c>
      <c r="F437" t="s">
        <v>3804</v>
      </c>
      <c r="G437" t="s">
        <v>1587</v>
      </c>
      <c r="H437" t="s">
        <v>3805</v>
      </c>
      <c r="I437" t="s">
        <v>3806</v>
      </c>
      <c r="J437" t="s">
        <v>1241</v>
      </c>
      <c r="N437" t="s">
        <v>1386</v>
      </c>
      <c r="O437" t="s">
        <v>272</v>
      </c>
      <c r="P437" t="s">
        <v>3393</v>
      </c>
      <c r="Q437">
        <v>2</v>
      </c>
      <c r="R437" t="s">
        <v>1251</v>
      </c>
      <c r="S437">
        <v>7.11</v>
      </c>
      <c r="T437">
        <v>7.11</v>
      </c>
      <c r="U437">
        <v>9.7799999999999994</v>
      </c>
      <c r="V437">
        <v>12.45</v>
      </c>
      <c r="W437">
        <v>15.11</v>
      </c>
      <c r="X437">
        <v>17.78</v>
      </c>
      <c r="AH437">
        <v>0</v>
      </c>
      <c r="BP437">
        <v>14.02</v>
      </c>
      <c r="BQ437" s="773">
        <v>50.21</v>
      </c>
      <c r="BR437" t="s">
        <v>605</v>
      </c>
      <c r="BS437" t="s">
        <v>1213</v>
      </c>
      <c r="BT437">
        <v>0</v>
      </c>
      <c r="BU437" t="s">
        <v>1213</v>
      </c>
      <c r="BV437">
        <v>0</v>
      </c>
      <c r="BW437" t="s">
        <v>1213</v>
      </c>
      <c r="BX437">
        <v>0</v>
      </c>
      <c r="BY437" t="s">
        <v>1213</v>
      </c>
      <c r="BZ437" t="s">
        <v>3807</v>
      </c>
    </row>
    <row r="438" spans="1:79" x14ac:dyDescent="0.2">
      <c r="A438" t="s">
        <v>1084</v>
      </c>
      <c r="B438" t="s">
        <v>3808</v>
      </c>
      <c r="C438" t="s">
        <v>1077</v>
      </c>
      <c r="D438" t="s">
        <v>457</v>
      </c>
      <c r="E438" t="s">
        <v>1202</v>
      </c>
      <c r="F438" t="s">
        <v>3809</v>
      </c>
      <c r="G438" t="s">
        <v>1595</v>
      </c>
      <c r="H438" t="s">
        <v>3810</v>
      </c>
      <c r="I438" t="s">
        <v>3811</v>
      </c>
      <c r="J438" t="s">
        <v>1207</v>
      </c>
      <c r="K438" t="s">
        <v>1208</v>
      </c>
      <c r="M438" t="s">
        <v>606</v>
      </c>
      <c r="N438" t="s">
        <v>1294</v>
      </c>
      <c r="O438" t="s">
        <v>1507</v>
      </c>
      <c r="P438" t="s">
        <v>1668</v>
      </c>
      <c r="Q438" t="s">
        <v>1212</v>
      </c>
      <c r="R438" t="s">
        <v>1251</v>
      </c>
      <c r="S438" t="s">
        <v>3769</v>
      </c>
      <c r="T438" t="s">
        <v>2168</v>
      </c>
      <c r="U438" t="s">
        <v>2168</v>
      </c>
      <c r="V438" t="s">
        <v>2168</v>
      </c>
      <c r="W438" t="s">
        <v>2168</v>
      </c>
      <c r="X438" t="s">
        <v>2168</v>
      </c>
      <c r="AH438">
        <v>0</v>
      </c>
      <c r="AI438" t="s">
        <v>605</v>
      </c>
      <c r="AJ438" t="s">
        <v>605</v>
      </c>
      <c r="AK438" t="s">
        <v>605</v>
      </c>
      <c r="AL438" t="s">
        <v>605</v>
      </c>
      <c r="AM438" t="s">
        <v>605</v>
      </c>
      <c r="AN438" t="s">
        <v>1296</v>
      </c>
      <c r="AO438" t="s">
        <v>1296</v>
      </c>
      <c r="AP438" t="s">
        <v>1296</v>
      </c>
      <c r="AQ438" t="s">
        <v>1296</v>
      </c>
      <c r="AR438" t="s">
        <v>1296</v>
      </c>
      <c r="AS438" t="s">
        <v>1296</v>
      </c>
      <c r="AT438" t="s">
        <v>1296</v>
      </c>
      <c r="AU438" t="s">
        <v>1296</v>
      </c>
      <c r="AV438" t="s">
        <v>1296</v>
      </c>
      <c r="AW438" t="s">
        <v>1296</v>
      </c>
      <c r="AX438" t="s">
        <v>1296</v>
      </c>
      <c r="AY438" t="s">
        <v>1296</v>
      </c>
      <c r="AZ438" t="s">
        <v>1296</v>
      </c>
      <c r="BA438" t="s">
        <v>1296</v>
      </c>
      <c r="BB438" t="s">
        <v>1296</v>
      </c>
      <c r="BC438" t="s">
        <v>1296</v>
      </c>
      <c r="BD438" t="s">
        <v>1296</v>
      </c>
      <c r="BE438" t="s">
        <v>1296</v>
      </c>
      <c r="BF438" t="s">
        <v>1296</v>
      </c>
      <c r="BG438" t="s">
        <v>1296</v>
      </c>
      <c r="BH438" t="s">
        <v>1296</v>
      </c>
      <c r="BL438" t="s">
        <v>1296</v>
      </c>
      <c r="BN438">
        <v>1</v>
      </c>
      <c r="BO438" t="s">
        <v>1212</v>
      </c>
      <c r="BP438" t="s">
        <v>3812</v>
      </c>
      <c r="BQ438" s="771">
        <v>83</v>
      </c>
      <c r="BR438" t="s">
        <v>605</v>
      </c>
      <c r="BS438" t="s">
        <v>1213</v>
      </c>
      <c r="BT438">
        <v>0</v>
      </c>
      <c r="BU438" t="s">
        <v>1213</v>
      </c>
      <c r="BV438">
        <v>0</v>
      </c>
      <c r="BW438" t="s">
        <v>1213</v>
      </c>
      <c r="BX438">
        <v>0</v>
      </c>
      <c r="BY438" t="s">
        <v>1213</v>
      </c>
      <c r="BZ438" t="s">
        <v>3813</v>
      </c>
      <c r="CA438" t="s">
        <v>1298</v>
      </c>
    </row>
    <row r="439" spans="1:79" x14ac:dyDescent="0.2">
      <c r="A439" t="s">
        <v>1084</v>
      </c>
      <c r="B439" t="s">
        <v>3814</v>
      </c>
      <c r="C439" t="s">
        <v>1077</v>
      </c>
      <c r="D439" t="s">
        <v>457</v>
      </c>
      <c r="E439" t="s">
        <v>1202</v>
      </c>
      <c r="F439" t="s">
        <v>3809</v>
      </c>
      <c r="G439" t="s">
        <v>2141</v>
      </c>
      <c r="H439" t="s">
        <v>3815</v>
      </c>
      <c r="I439" t="s">
        <v>3816</v>
      </c>
      <c r="J439" t="s">
        <v>1241</v>
      </c>
      <c r="N439" t="s">
        <v>1400</v>
      </c>
      <c r="O439" t="s">
        <v>272</v>
      </c>
      <c r="P439" t="s">
        <v>3817</v>
      </c>
      <c r="Q439">
        <v>0</v>
      </c>
      <c r="R439" t="s">
        <v>1211</v>
      </c>
      <c r="S439">
        <v>850</v>
      </c>
      <c r="T439">
        <v>850</v>
      </c>
      <c r="U439">
        <v>750</v>
      </c>
      <c r="V439">
        <v>650</v>
      </c>
      <c r="W439">
        <v>550</v>
      </c>
      <c r="X439">
        <v>425</v>
      </c>
      <c r="AH439">
        <v>0</v>
      </c>
      <c r="BP439">
        <v>702</v>
      </c>
      <c r="BQ439" s="772">
        <v>648</v>
      </c>
      <c r="BR439" t="s">
        <v>605</v>
      </c>
      <c r="BS439" t="s">
        <v>1213</v>
      </c>
      <c r="BT439">
        <v>0</v>
      </c>
      <c r="BU439" t="s">
        <v>1213</v>
      </c>
      <c r="BV439">
        <v>0</v>
      </c>
      <c r="BW439" t="s">
        <v>1213</v>
      </c>
      <c r="BX439">
        <v>0</v>
      </c>
      <c r="BY439" t="s">
        <v>1213</v>
      </c>
      <c r="BZ439" t="s">
        <v>3818</v>
      </c>
    </row>
    <row r="440" spans="1:79" x14ac:dyDescent="0.2">
      <c r="A440" t="s">
        <v>1084</v>
      </c>
      <c r="B440" t="s">
        <v>3819</v>
      </c>
      <c r="C440" t="s">
        <v>1077</v>
      </c>
      <c r="D440" t="s">
        <v>457</v>
      </c>
      <c r="E440" t="s">
        <v>1202</v>
      </c>
      <c r="F440" t="s">
        <v>3809</v>
      </c>
      <c r="G440" t="s">
        <v>3820</v>
      </c>
      <c r="H440" t="s">
        <v>3821</v>
      </c>
      <c r="I440" t="s">
        <v>3822</v>
      </c>
      <c r="J440" t="s">
        <v>1241</v>
      </c>
      <c r="N440" t="s">
        <v>1400</v>
      </c>
      <c r="O440" t="s">
        <v>264</v>
      </c>
      <c r="P440" t="s">
        <v>1401</v>
      </c>
      <c r="Q440">
        <v>0</v>
      </c>
      <c r="R440" t="s">
        <v>1251</v>
      </c>
      <c r="S440">
        <v>63</v>
      </c>
      <c r="T440">
        <v>63</v>
      </c>
      <c r="U440">
        <v>66</v>
      </c>
      <c r="V440">
        <v>68</v>
      </c>
      <c r="W440">
        <v>71</v>
      </c>
      <c r="X440">
        <v>75</v>
      </c>
      <c r="AH440">
        <v>0</v>
      </c>
      <c r="BP440">
        <v>79</v>
      </c>
      <c r="BQ440" s="772">
        <v>82</v>
      </c>
      <c r="BR440" t="s">
        <v>605</v>
      </c>
      <c r="BS440" t="s">
        <v>1213</v>
      </c>
      <c r="BT440">
        <v>0</v>
      </c>
      <c r="BU440" t="s">
        <v>1213</v>
      </c>
      <c r="BV440">
        <v>0</v>
      </c>
      <c r="BW440" t="s">
        <v>1213</v>
      </c>
      <c r="BX440">
        <v>0</v>
      </c>
      <c r="BY440" t="s">
        <v>1213</v>
      </c>
      <c r="BZ440" t="s">
        <v>3823</v>
      </c>
    </row>
    <row r="441" spans="1:79" x14ac:dyDescent="0.2">
      <c r="A441" t="s">
        <v>1084</v>
      </c>
      <c r="B441" t="s">
        <v>3824</v>
      </c>
      <c r="C441" t="s">
        <v>1077</v>
      </c>
      <c r="D441" t="s">
        <v>457</v>
      </c>
      <c r="E441" t="s">
        <v>1202</v>
      </c>
      <c r="F441" t="s">
        <v>3825</v>
      </c>
      <c r="G441" t="s">
        <v>1603</v>
      </c>
      <c r="H441" t="s">
        <v>3826</v>
      </c>
      <c r="I441" t="s">
        <v>3827</v>
      </c>
      <c r="J441" t="s">
        <v>1241</v>
      </c>
      <c r="N441" t="s">
        <v>1303</v>
      </c>
      <c r="O441" t="s">
        <v>264</v>
      </c>
      <c r="P441" t="s">
        <v>3828</v>
      </c>
      <c r="Q441">
        <v>0</v>
      </c>
      <c r="R441" t="s">
        <v>1211</v>
      </c>
      <c r="S441" t="s">
        <v>3829</v>
      </c>
      <c r="T441" t="s">
        <v>3830</v>
      </c>
      <c r="U441" t="s">
        <v>3830</v>
      </c>
      <c r="V441" t="s">
        <v>3830</v>
      </c>
      <c r="W441" t="s">
        <v>3830</v>
      </c>
      <c r="X441" t="s">
        <v>3830</v>
      </c>
      <c r="AH441">
        <v>0</v>
      </c>
      <c r="BP441">
        <v>-3</v>
      </c>
      <c r="BQ441" s="771">
        <v>-1</v>
      </c>
      <c r="BR441" t="s">
        <v>605</v>
      </c>
      <c r="BS441" t="s">
        <v>1213</v>
      </c>
      <c r="BT441">
        <v>0</v>
      </c>
      <c r="BU441" t="s">
        <v>1213</v>
      </c>
      <c r="BV441">
        <v>0</v>
      </c>
      <c r="BW441" t="s">
        <v>1213</v>
      </c>
      <c r="BX441">
        <v>0</v>
      </c>
      <c r="BY441" t="s">
        <v>1213</v>
      </c>
      <c r="BZ441" t="s">
        <v>3831</v>
      </c>
    </row>
    <row r="442" spans="1:79" x14ac:dyDescent="0.2">
      <c r="A442" t="s">
        <v>1084</v>
      </c>
      <c r="B442" t="s">
        <v>3832</v>
      </c>
      <c r="C442" t="s">
        <v>1077</v>
      </c>
      <c r="D442" t="s">
        <v>457</v>
      </c>
      <c r="E442" t="s">
        <v>1202</v>
      </c>
      <c r="F442" t="s">
        <v>3833</v>
      </c>
      <c r="G442" t="s">
        <v>1610</v>
      </c>
      <c r="H442" t="s">
        <v>3834</v>
      </c>
      <c r="I442" t="s">
        <v>3835</v>
      </c>
      <c r="J442" t="s">
        <v>1219</v>
      </c>
      <c r="K442" t="s">
        <v>1208</v>
      </c>
      <c r="M442" t="s">
        <v>606</v>
      </c>
      <c r="N442" t="s">
        <v>1272</v>
      </c>
      <c r="O442" t="s">
        <v>1410</v>
      </c>
      <c r="P442" t="s">
        <v>1564</v>
      </c>
      <c r="Q442" t="s">
        <v>1212</v>
      </c>
      <c r="S442" t="s">
        <v>612</v>
      </c>
      <c r="T442" t="s">
        <v>612</v>
      </c>
      <c r="U442" t="s">
        <v>612</v>
      </c>
      <c r="V442" t="s">
        <v>612</v>
      </c>
      <c r="W442" t="s">
        <v>612</v>
      </c>
      <c r="X442" t="s">
        <v>612</v>
      </c>
      <c r="AE442" t="s">
        <v>605</v>
      </c>
      <c r="AH442">
        <v>11</v>
      </c>
      <c r="AI442" t="s">
        <v>605</v>
      </c>
      <c r="AJ442" t="s">
        <v>605</v>
      </c>
      <c r="AK442" t="s">
        <v>605</v>
      </c>
      <c r="AL442" t="s">
        <v>605</v>
      </c>
      <c r="AM442" t="s">
        <v>605</v>
      </c>
      <c r="AN442" t="s">
        <v>1565</v>
      </c>
      <c r="AO442" t="s">
        <v>1565</v>
      </c>
      <c r="AP442" t="s">
        <v>1565</v>
      </c>
      <c r="AQ442" t="s">
        <v>1565</v>
      </c>
      <c r="AR442" t="s">
        <v>1565</v>
      </c>
      <c r="AS442" t="s">
        <v>1566</v>
      </c>
      <c r="AT442" t="s">
        <v>1566</v>
      </c>
      <c r="AU442" t="s">
        <v>1566</v>
      </c>
      <c r="AV442" t="s">
        <v>1566</v>
      </c>
      <c r="AW442" t="s">
        <v>1566</v>
      </c>
      <c r="BH442">
        <v>20</v>
      </c>
      <c r="BN442">
        <v>1</v>
      </c>
      <c r="BO442" t="s">
        <v>1212</v>
      </c>
      <c r="BP442" t="s">
        <v>612</v>
      </c>
      <c r="BQ442" s="771" t="s">
        <v>612</v>
      </c>
      <c r="BR442" t="s">
        <v>605</v>
      </c>
      <c r="BS442" t="s">
        <v>1213</v>
      </c>
      <c r="BT442">
        <v>0</v>
      </c>
      <c r="BU442" t="s">
        <v>1213</v>
      </c>
      <c r="BV442">
        <v>0</v>
      </c>
      <c r="BW442" t="s">
        <v>1213</v>
      </c>
      <c r="BX442">
        <v>0</v>
      </c>
      <c r="BY442" t="s">
        <v>1213</v>
      </c>
      <c r="BZ442" t="s">
        <v>3836</v>
      </c>
      <c r="CA442" t="s">
        <v>3837</v>
      </c>
    </row>
    <row r="443" spans="1:79" x14ac:dyDescent="0.2">
      <c r="A443" t="s">
        <v>1084</v>
      </c>
      <c r="B443" t="s">
        <v>3838</v>
      </c>
      <c r="C443" t="s">
        <v>1077</v>
      </c>
      <c r="D443" t="s">
        <v>457</v>
      </c>
      <c r="E443" t="s">
        <v>1202</v>
      </c>
      <c r="F443" t="s">
        <v>3833</v>
      </c>
      <c r="G443" t="s">
        <v>2421</v>
      </c>
      <c r="H443" t="s">
        <v>3839</v>
      </c>
      <c r="I443" t="s">
        <v>3840</v>
      </c>
      <c r="J443" t="s">
        <v>1207</v>
      </c>
      <c r="K443" t="s">
        <v>1208</v>
      </c>
      <c r="N443" t="s">
        <v>1209</v>
      </c>
      <c r="O443" t="s">
        <v>272</v>
      </c>
      <c r="P443" t="s">
        <v>1210</v>
      </c>
      <c r="Q443">
        <v>0</v>
      </c>
      <c r="R443" t="s">
        <v>1211</v>
      </c>
      <c r="S443">
        <v>184</v>
      </c>
      <c r="T443">
        <v>181</v>
      </c>
      <c r="U443">
        <v>177</v>
      </c>
      <c r="V443">
        <v>173</v>
      </c>
      <c r="W443">
        <v>171</v>
      </c>
      <c r="X443">
        <v>169</v>
      </c>
      <c r="AE443" t="s">
        <v>605</v>
      </c>
      <c r="AH443">
        <v>0</v>
      </c>
      <c r="AI443" t="s">
        <v>605</v>
      </c>
      <c r="AJ443" t="s">
        <v>605</v>
      </c>
      <c r="AK443" t="s">
        <v>605</v>
      </c>
      <c r="AL443" t="s">
        <v>605</v>
      </c>
      <c r="AM443" t="s">
        <v>605</v>
      </c>
      <c r="AN443">
        <v>191</v>
      </c>
      <c r="AO443">
        <v>187</v>
      </c>
      <c r="AP443">
        <v>183</v>
      </c>
      <c r="AQ443">
        <v>181</v>
      </c>
      <c r="AR443">
        <v>179</v>
      </c>
      <c r="AS443">
        <v>186</v>
      </c>
      <c r="AT443">
        <v>182</v>
      </c>
      <c r="AU443">
        <v>178</v>
      </c>
      <c r="AV443">
        <v>176</v>
      </c>
      <c r="AW443">
        <v>174</v>
      </c>
      <c r="AX443">
        <v>176</v>
      </c>
      <c r="AY443">
        <v>172</v>
      </c>
      <c r="AZ443">
        <v>168</v>
      </c>
      <c r="BA443">
        <v>166</v>
      </c>
      <c r="BB443">
        <v>164</v>
      </c>
      <c r="BC443">
        <v>171</v>
      </c>
      <c r="BD443">
        <v>167</v>
      </c>
      <c r="BE443">
        <v>163</v>
      </c>
      <c r="BF443">
        <v>161</v>
      </c>
      <c r="BG443">
        <v>159</v>
      </c>
      <c r="BH443">
        <v>1.84</v>
      </c>
      <c r="BL443">
        <v>0.92</v>
      </c>
      <c r="BN443">
        <v>1</v>
      </c>
      <c r="BO443" t="s">
        <v>1212</v>
      </c>
      <c r="BP443">
        <v>180</v>
      </c>
      <c r="BQ443" s="772">
        <v>180</v>
      </c>
      <c r="BR443" t="s">
        <v>605</v>
      </c>
      <c r="BS443" t="s">
        <v>1213</v>
      </c>
      <c r="BT443">
        <v>0</v>
      </c>
      <c r="BU443" t="s">
        <v>610</v>
      </c>
      <c r="BV443">
        <v>0</v>
      </c>
      <c r="BW443" t="s">
        <v>1213</v>
      </c>
      <c r="BX443">
        <v>0</v>
      </c>
      <c r="BY443" t="s">
        <v>1213</v>
      </c>
      <c r="BZ443" t="s">
        <v>3841</v>
      </c>
      <c r="CA443" t="s">
        <v>3842</v>
      </c>
    </row>
    <row r="444" spans="1:79" x14ac:dyDescent="0.2">
      <c r="A444" t="s">
        <v>1084</v>
      </c>
      <c r="B444" t="s">
        <v>3843</v>
      </c>
      <c r="C444" t="s">
        <v>1077</v>
      </c>
      <c r="D444" t="s">
        <v>457</v>
      </c>
      <c r="E444" t="s">
        <v>1202</v>
      </c>
      <c r="F444" t="s">
        <v>3833</v>
      </c>
      <c r="G444" t="s">
        <v>3844</v>
      </c>
      <c r="H444" t="s">
        <v>3845</v>
      </c>
      <c r="I444" t="s">
        <v>3846</v>
      </c>
      <c r="J444" t="s">
        <v>1219</v>
      </c>
      <c r="K444" t="s">
        <v>1208</v>
      </c>
      <c r="N444" t="s">
        <v>1331</v>
      </c>
      <c r="O444" t="s">
        <v>264</v>
      </c>
      <c r="P444" t="s">
        <v>3847</v>
      </c>
      <c r="Q444">
        <v>0</v>
      </c>
      <c r="R444" t="s">
        <v>1251</v>
      </c>
      <c r="S444">
        <v>80</v>
      </c>
      <c r="T444">
        <v>80</v>
      </c>
      <c r="U444">
        <v>81</v>
      </c>
      <c r="V444">
        <v>83</v>
      </c>
      <c r="W444">
        <v>85</v>
      </c>
      <c r="X444">
        <v>87</v>
      </c>
      <c r="AE444" t="s">
        <v>605</v>
      </c>
      <c r="AH444">
        <v>0</v>
      </c>
      <c r="AM444" t="s">
        <v>605</v>
      </c>
      <c r="AR444">
        <v>80</v>
      </c>
      <c r="AW444">
        <v>85</v>
      </c>
      <c r="BH444">
        <v>3.1</v>
      </c>
      <c r="BN444">
        <v>1</v>
      </c>
      <c r="BO444" t="s">
        <v>1212</v>
      </c>
      <c r="BP444">
        <v>84</v>
      </c>
      <c r="BQ444" s="772">
        <v>87</v>
      </c>
      <c r="BR444" t="s">
        <v>605</v>
      </c>
      <c r="BS444" t="s">
        <v>1213</v>
      </c>
      <c r="BT444">
        <v>0</v>
      </c>
      <c r="BU444" t="s">
        <v>1213</v>
      </c>
      <c r="BV444">
        <v>0</v>
      </c>
      <c r="BW444" t="s">
        <v>1213</v>
      </c>
      <c r="BX444">
        <v>0</v>
      </c>
      <c r="BY444" t="s">
        <v>1213</v>
      </c>
      <c r="BZ444" t="s">
        <v>3848</v>
      </c>
      <c r="CA444" t="s">
        <v>3849</v>
      </c>
    </row>
    <row r="445" spans="1:79" x14ac:dyDescent="0.2">
      <c r="A445" t="s">
        <v>1084</v>
      </c>
      <c r="B445" t="s">
        <v>3850</v>
      </c>
      <c r="C445" t="s">
        <v>1077</v>
      </c>
      <c r="D445" t="s">
        <v>458</v>
      </c>
      <c r="E445" t="s">
        <v>1428</v>
      </c>
      <c r="F445" t="s">
        <v>3798</v>
      </c>
      <c r="G445" t="s">
        <v>1731</v>
      </c>
      <c r="H445" t="s">
        <v>3851</v>
      </c>
      <c r="I445" t="s">
        <v>3852</v>
      </c>
      <c r="J445" t="s">
        <v>1241</v>
      </c>
      <c r="N445" t="s">
        <v>1377</v>
      </c>
      <c r="O445" t="s">
        <v>264</v>
      </c>
      <c r="P445" t="s">
        <v>3853</v>
      </c>
      <c r="Q445">
        <v>1</v>
      </c>
      <c r="R445" t="s">
        <v>1251</v>
      </c>
      <c r="S445">
        <v>97.1</v>
      </c>
      <c r="T445">
        <v>100</v>
      </c>
      <c r="U445">
        <v>100</v>
      </c>
      <c r="V445">
        <v>100</v>
      </c>
      <c r="W445">
        <v>100</v>
      </c>
      <c r="X445">
        <v>100</v>
      </c>
      <c r="AH445">
        <v>0</v>
      </c>
      <c r="BP445">
        <v>99.1</v>
      </c>
      <c r="BQ445" s="769">
        <v>98.6</v>
      </c>
      <c r="BR445" t="s">
        <v>606</v>
      </c>
      <c r="BS445" t="s">
        <v>1213</v>
      </c>
      <c r="BT445">
        <v>0</v>
      </c>
      <c r="BU445" t="s">
        <v>1213</v>
      </c>
      <c r="BV445">
        <v>0</v>
      </c>
      <c r="BW445" t="s">
        <v>1213</v>
      </c>
      <c r="BX445">
        <v>0</v>
      </c>
      <c r="BY445" t="s">
        <v>1213</v>
      </c>
      <c r="BZ445" t="s">
        <v>3854</v>
      </c>
    </row>
    <row r="446" spans="1:79" x14ac:dyDescent="0.2">
      <c r="A446" t="s">
        <v>1084</v>
      </c>
      <c r="B446" t="s">
        <v>3855</v>
      </c>
      <c r="C446" t="s">
        <v>1077</v>
      </c>
      <c r="D446" t="s">
        <v>458</v>
      </c>
      <c r="E446" t="s">
        <v>1428</v>
      </c>
      <c r="F446" t="s">
        <v>3798</v>
      </c>
      <c r="G446" t="s">
        <v>1737</v>
      </c>
      <c r="H446" t="s">
        <v>3856</v>
      </c>
      <c r="I446" t="s">
        <v>3857</v>
      </c>
      <c r="J446" t="s">
        <v>1207</v>
      </c>
      <c r="K446" t="s">
        <v>1208</v>
      </c>
      <c r="N446" t="s">
        <v>1468</v>
      </c>
      <c r="O446" t="s">
        <v>272</v>
      </c>
      <c r="P446" t="s">
        <v>1469</v>
      </c>
      <c r="Q446">
        <v>0</v>
      </c>
      <c r="R446" t="s">
        <v>1211</v>
      </c>
      <c r="S446">
        <v>224</v>
      </c>
      <c r="T446">
        <v>161</v>
      </c>
      <c r="U446">
        <v>154</v>
      </c>
      <c r="V446">
        <v>131</v>
      </c>
      <c r="W446">
        <v>131</v>
      </c>
      <c r="X446">
        <v>131</v>
      </c>
      <c r="AB446" t="s">
        <v>605</v>
      </c>
      <c r="AE446" t="s">
        <v>605</v>
      </c>
      <c r="AH446">
        <v>0</v>
      </c>
      <c r="AI446" t="s">
        <v>605</v>
      </c>
      <c r="AJ446" t="s">
        <v>605</v>
      </c>
      <c r="AK446" t="s">
        <v>605</v>
      </c>
      <c r="AL446" t="s">
        <v>605</v>
      </c>
      <c r="AM446" t="s">
        <v>605</v>
      </c>
      <c r="AN446">
        <v>249</v>
      </c>
      <c r="AO446">
        <v>249</v>
      </c>
      <c r="AP446">
        <v>156</v>
      </c>
      <c r="AQ446">
        <v>156</v>
      </c>
      <c r="AR446">
        <v>156</v>
      </c>
      <c r="AS446">
        <v>224</v>
      </c>
      <c r="AT446">
        <v>224</v>
      </c>
      <c r="AU446">
        <v>131</v>
      </c>
      <c r="AV446">
        <v>131</v>
      </c>
      <c r="AW446">
        <v>131</v>
      </c>
      <c r="AX446">
        <v>131</v>
      </c>
      <c r="AY446">
        <v>131</v>
      </c>
      <c r="AZ446">
        <v>131</v>
      </c>
      <c r="BA446">
        <v>131</v>
      </c>
      <c r="BB446">
        <v>131</v>
      </c>
      <c r="BC446">
        <v>106</v>
      </c>
      <c r="BD446">
        <v>106</v>
      </c>
      <c r="BE446">
        <v>106</v>
      </c>
      <c r="BF446">
        <v>106</v>
      </c>
      <c r="BG446">
        <v>106</v>
      </c>
      <c r="BH446">
        <v>0.4</v>
      </c>
      <c r="BL446">
        <v>4.7E-2</v>
      </c>
      <c r="BN446">
        <v>1</v>
      </c>
      <c r="BO446" t="s">
        <v>1212</v>
      </c>
      <c r="BP446">
        <v>117</v>
      </c>
      <c r="BQ446" s="772">
        <v>110</v>
      </c>
      <c r="BR446" t="s">
        <v>605</v>
      </c>
      <c r="BS446" t="s">
        <v>1213</v>
      </c>
      <c r="BT446">
        <v>0</v>
      </c>
      <c r="BU446" t="s">
        <v>611</v>
      </c>
      <c r="BV446">
        <v>0.98699999999999999</v>
      </c>
      <c r="BW446" t="s">
        <v>611</v>
      </c>
      <c r="BX446">
        <v>2.29</v>
      </c>
      <c r="BY446" t="s">
        <v>1174</v>
      </c>
      <c r="BZ446" t="s">
        <v>3858</v>
      </c>
    </row>
    <row r="447" spans="1:79" x14ac:dyDescent="0.2">
      <c r="A447" t="s">
        <v>1084</v>
      </c>
      <c r="B447" t="s">
        <v>3859</v>
      </c>
      <c r="C447" t="s">
        <v>1077</v>
      </c>
      <c r="D447" t="s">
        <v>458</v>
      </c>
      <c r="E447" t="s">
        <v>1428</v>
      </c>
      <c r="F447" t="s">
        <v>3804</v>
      </c>
      <c r="G447" t="s">
        <v>1582</v>
      </c>
      <c r="H447" t="s">
        <v>3860</v>
      </c>
      <c r="I447" t="s">
        <v>3861</v>
      </c>
      <c r="J447" t="s">
        <v>1219</v>
      </c>
      <c r="K447" t="s">
        <v>1208</v>
      </c>
      <c r="N447" t="s">
        <v>1445</v>
      </c>
      <c r="O447" t="s">
        <v>272</v>
      </c>
      <c r="P447" t="s">
        <v>3862</v>
      </c>
      <c r="Q447">
        <v>0</v>
      </c>
      <c r="R447" t="s">
        <v>1251</v>
      </c>
      <c r="S447">
        <v>1000</v>
      </c>
      <c r="T447">
        <v>1000</v>
      </c>
      <c r="U447">
        <v>1000</v>
      </c>
      <c r="V447">
        <v>15000</v>
      </c>
      <c r="W447">
        <v>20000</v>
      </c>
      <c r="X447">
        <v>25000</v>
      </c>
      <c r="AH447">
        <v>0</v>
      </c>
      <c r="AI447" t="s">
        <v>605</v>
      </c>
      <c r="AJ447" t="s">
        <v>605</v>
      </c>
      <c r="AK447" t="s">
        <v>605</v>
      </c>
      <c r="AL447" t="s">
        <v>605</v>
      </c>
      <c r="AM447" t="s">
        <v>605</v>
      </c>
      <c r="AN447">
        <v>1000</v>
      </c>
      <c r="AO447">
        <v>1000</v>
      </c>
      <c r="AP447">
        <v>1000</v>
      </c>
      <c r="AQ447">
        <v>1000</v>
      </c>
      <c r="AR447">
        <v>1000</v>
      </c>
      <c r="AS447">
        <v>1000</v>
      </c>
      <c r="AT447">
        <v>1000</v>
      </c>
      <c r="AU447">
        <v>8000</v>
      </c>
      <c r="AV447">
        <v>10500</v>
      </c>
      <c r="AW447">
        <v>13000</v>
      </c>
      <c r="BH447">
        <v>2.0000000000000001E-4</v>
      </c>
      <c r="BN447">
        <v>1</v>
      </c>
      <c r="BO447" t="s">
        <v>1212</v>
      </c>
      <c r="BP447">
        <v>1247</v>
      </c>
      <c r="BQ447" s="772">
        <v>1531</v>
      </c>
      <c r="BR447" t="s">
        <v>605</v>
      </c>
      <c r="BS447" t="s">
        <v>1213</v>
      </c>
      <c r="BT447">
        <v>0</v>
      </c>
      <c r="BU447" t="s">
        <v>1213</v>
      </c>
      <c r="BV447">
        <v>0</v>
      </c>
      <c r="BW447" t="s">
        <v>1213</v>
      </c>
      <c r="BX447">
        <v>0</v>
      </c>
      <c r="BY447" t="s">
        <v>1213</v>
      </c>
      <c r="BZ447" t="s">
        <v>3863</v>
      </c>
    </row>
    <row r="448" spans="1:79" x14ac:dyDescent="0.2">
      <c r="A448" t="s">
        <v>1084</v>
      </c>
      <c r="B448" t="s">
        <v>3864</v>
      </c>
      <c r="C448" t="s">
        <v>1077</v>
      </c>
      <c r="D448" t="s">
        <v>458</v>
      </c>
      <c r="E448" t="s">
        <v>1428</v>
      </c>
      <c r="F448" t="s">
        <v>3804</v>
      </c>
      <c r="G448" t="s">
        <v>1587</v>
      </c>
      <c r="H448" t="s">
        <v>3865</v>
      </c>
      <c r="I448" t="s">
        <v>3806</v>
      </c>
      <c r="J448" t="s">
        <v>1241</v>
      </c>
      <c r="N448" t="s">
        <v>1386</v>
      </c>
      <c r="O448" t="s">
        <v>272</v>
      </c>
      <c r="P448" t="s">
        <v>3393</v>
      </c>
      <c r="Q448">
        <v>2</v>
      </c>
      <c r="R448" t="s">
        <v>1251</v>
      </c>
      <c r="S448">
        <v>32.89</v>
      </c>
      <c r="T448">
        <v>32.89</v>
      </c>
      <c r="U448">
        <v>45.22</v>
      </c>
      <c r="V448">
        <v>57.55</v>
      </c>
      <c r="W448">
        <v>69.89</v>
      </c>
      <c r="X448">
        <v>82.22</v>
      </c>
      <c r="AH448">
        <v>0</v>
      </c>
      <c r="BP448">
        <v>45.8</v>
      </c>
      <c r="BQ448" s="773">
        <v>47.16</v>
      </c>
      <c r="BR448" t="s">
        <v>605</v>
      </c>
      <c r="BS448" t="s">
        <v>1213</v>
      </c>
      <c r="BT448">
        <v>0</v>
      </c>
      <c r="BU448" t="s">
        <v>1213</v>
      </c>
      <c r="BV448">
        <v>0</v>
      </c>
      <c r="BW448" t="s">
        <v>1213</v>
      </c>
      <c r="BX448">
        <v>0</v>
      </c>
      <c r="BY448" t="s">
        <v>1213</v>
      </c>
      <c r="BZ448" t="s">
        <v>3807</v>
      </c>
    </row>
    <row r="449" spans="1:79" x14ac:dyDescent="0.2">
      <c r="A449" t="s">
        <v>1084</v>
      </c>
      <c r="B449" t="s">
        <v>3866</v>
      </c>
      <c r="C449" t="s">
        <v>1077</v>
      </c>
      <c r="D449" t="s">
        <v>458</v>
      </c>
      <c r="E449" t="s">
        <v>1428</v>
      </c>
      <c r="F449" t="s">
        <v>3867</v>
      </c>
      <c r="G449" t="s">
        <v>1595</v>
      </c>
      <c r="H449" t="s">
        <v>3868</v>
      </c>
      <c r="I449" t="s">
        <v>3869</v>
      </c>
      <c r="J449" t="s">
        <v>1207</v>
      </c>
      <c r="K449" t="s">
        <v>1208</v>
      </c>
      <c r="M449" t="s">
        <v>606</v>
      </c>
      <c r="N449" t="s">
        <v>1294</v>
      </c>
      <c r="O449" t="s">
        <v>1507</v>
      </c>
      <c r="P449" t="s">
        <v>1668</v>
      </c>
      <c r="Q449" t="s">
        <v>1212</v>
      </c>
      <c r="R449" t="s">
        <v>1251</v>
      </c>
      <c r="S449" t="s">
        <v>3769</v>
      </c>
      <c r="T449" t="s">
        <v>2168</v>
      </c>
      <c r="U449" t="s">
        <v>2168</v>
      </c>
      <c r="V449" t="s">
        <v>2168</v>
      </c>
      <c r="W449" t="s">
        <v>2168</v>
      </c>
      <c r="X449" t="s">
        <v>2168</v>
      </c>
      <c r="AH449">
        <v>0</v>
      </c>
      <c r="AI449" t="s">
        <v>605</v>
      </c>
      <c r="AJ449" t="s">
        <v>605</v>
      </c>
      <c r="AK449" t="s">
        <v>605</v>
      </c>
      <c r="AL449" t="s">
        <v>605</v>
      </c>
      <c r="AM449" t="s">
        <v>605</v>
      </c>
      <c r="AN449" t="s">
        <v>1296</v>
      </c>
      <c r="AO449" t="s">
        <v>1296</v>
      </c>
      <c r="AP449" t="s">
        <v>1296</v>
      </c>
      <c r="AQ449" t="s">
        <v>1296</v>
      </c>
      <c r="AR449" t="s">
        <v>1296</v>
      </c>
      <c r="AS449" t="s">
        <v>1296</v>
      </c>
      <c r="AT449" t="s">
        <v>1296</v>
      </c>
      <c r="AU449" t="s">
        <v>1296</v>
      </c>
      <c r="AV449" t="s">
        <v>1296</v>
      </c>
      <c r="AW449" t="s">
        <v>1296</v>
      </c>
      <c r="AX449" t="s">
        <v>1296</v>
      </c>
      <c r="AY449" t="s">
        <v>1296</v>
      </c>
      <c r="AZ449" t="s">
        <v>1296</v>
      </c>
      <c r="BA449" t="s">
        <v>1296</v>
      </c>
      <c r="BB449" t="s">
        <v>1296</v>
      </c>
      <c r="BC449" t="s">
        <v>1296</v>
      </c>
      <c r="BD449" t="s">
        <v>1296</v>
      </c>
      <c r="BE449" t="s">
        <v>1296</v>
      </c>
      <c r="BF449" t="s">
        <v>1296</v>
      </c>
      <c r="BG449" t="s">
        <v>1296</v>
      </c>
      <c r="BH449" t="s">
        <v>1296</v>
      </c>
      <c r="BL449" t="s">
        <v>1296</v>
      </c>
      <c r="BN449">
        <v>1</v>
      </c>
      <c r="BO449" t="s">
        <v>1212</v>
      </c>
      <c r="BP449" t="s">
        <v>3812</v>
      </c>
      <c r="BQ449" s="771">
        <v>83</v>
      </c>
      <c r="BR449" t="s">
        <v>605</v>
      </c>
      <c r="BS449" t="s">
        <v>1213</v>
      </c>
      <c r="BT449">
        <v>0</v>
      </c>
      <c r="BU449" t="s">
        <v>1213</v>
      </c>
      <c r="BV449">
        <v>0</v>
      </c>
      <c r="BW449" t="s">
        <v>1213</v>
      </c>
      <c r="BX449">
        <v>0</v>
      </c>
      <c r="BY449" t="s">
        <v>1213</v>
      </c>
      <c r="BZ449" t="s">
        <v>3870</v>
      </c>
      <c r="CA449" t="s">
        <v>1298</v>
      </c>
    </row>
    <row r="450" spans="1:79" x14ac:dyDescent="0.2">
      <c r="A450" t="s">
        <v>1084</v>
      </c>
      <c r="B450" t="s">
        <v>3871</v>
      </c>
      <c r="C450" t="s">
        <v>1077</v>
      </c>
      <c r="D450" t="s">
        <v>458</v>
      </c>
      <c r="E450" t="s">
        <v>1428</v>
      </c>
      <c r="F450" t="s">
        <v>3867</v>
      </c>
      <c r="G450" t="s">
        <v>2141</v>
      </c>
      <c r="H450" t="s">
        <v>3872</v>
      </c>
      <c r="I450" t="s">
        <v>3816</v>
      </c>
      <c r="J450" t="s">
        <v>1241</v>
      </c>
      <c r="N450" t="s">
        <v>1400</v>
      </c>
      <c r="O450" t="s">
        <v>272</v>
      </c>
      <c r="P450" t="s">
        <v>3817</v>
      </c>
      <c r="Q450">
        <v>0</v>
      </c>
      <c r="R450" t="s">
        <v>1211</v>
      </c>
      <c r="S450">
        <v>850</v>
      </c>
      <c r="T450">
        <v>850</v>
      </c>
      <c r="U450">
        <v>750</v>
      </c>
      <c r="V450">
        <v>650</v>
      </c>
      <c r="W450">
        <v>550</v>
      </c>
      <c r="X450">
        <v>425</v>
      </c>
      <c r="AH450">
        <v>0</v>
      </c>
      <c r="BP450">
        <v>702</v>
      </c>
      <c r="BQ450" s="772">
        <v>648</v>
      </c>
      <c r="BR450" t="s">
        <v>605</v>
      </c>
      <c r="BS450" t="s">
        <v>1213</v>
      </c>
      <c r="BT450">
        <v>0</v>
      </c>
      <c r="BU450" t="s">
        <v>1213</v>
      </c>
      <c r="BV450">
        <v>0</v>
      </c>
      <c r="BW450" t="s">
        <v>1213</v>
      </c>
      <c r="BX450">
        <v>0</v>
      </c>
      <c r="BY450" t="s">
        <v>1213</v>
      </c>
      <c r="BZ450" t="s">
        <v>3818</v>
      </c>
    </row>
    <row r="451" spans="1:79" x14ac:dyDescent="0.2">
      <c r="A451" t="s">
        <v>1084</v>
      </c>
      <c r="B451" t="s">
        <v>3873</v>
      </c>
      <c r="C451" t="s">
        <v>1077</v>
      </c>
      <c r="D451" t="s">
        <v>458</v>
      </c>
      <c r="E451" t="s">
        <v>1428</v>
      </c>
      <c r="F451" t="s">
        <v>3867</v>
      </c>
      <c r="G451" t="s">
        <v>2151</v>
      </c>
      <c r="H451" t="s">
        <v>3874</v>
      </c>
      <c r="I451" t="s">
        <v>3875</v>
      </c>
      <c r="J451" t="s">
        <v>1207</v>
      </c>
      <c r="K451" t="s">
        <v>1208</v>
      </c>
      <c r="N451" t="s">
        <v>1432</v>
      </c>
      <c r="O451" t="s">
        <v>272</v>
      </c>
      <c r="P451" t="s">
        <v>3876</v>
      </c>
      <c r="Q451">
        <v>0</v>
      </c>
      <c r="R451" t="s">
        <v>1211</v>
      </c>
      <c r="S451">
        <v>313</v>
      </c>
      <c r="T451">
        <v>310</v>
      </c>
      <c r="U451">
        <v>300</v>
      </c>
      <c r="V451">
        <v>292</v>
      </c>
      <c r="W451">
        <v>282</v>
      </c>
      <c r="X451">
        <v>269</v>
      </c>
      <c r="AC451" t="s">
        <v>605</v>
      </c>
      <c r="AE451" t="s">
        <v>605</v>
      </c>
      <c r="AH451">
        <v>0</v>
      </c>
      <c r="AJ451" t="s">
        <v>605</v>
      </c>
      <c r="AK451" t="s">
        <v>605</v>
      </c>
      <c r="AL451" t="s">
        <v>605</v>
      </c>
      <c r="AM451" t="s">
        <v>605</v>
      </c>
      <c r="AN451">
        <v>388</v>
      </c>
      <c r="AO451">
        <v>374</v>
      </c>
      <c r="AP451">
        <v>363</v>
      </c>
      <c r="AQ451">
        <v>349</v>
      </c>
      <c r="AR451">
        <v>331</v>
      </c>
      <c r="AS451">
        <v>313</v>
      </c>
      <c r="AT451">
        <v>313</v>
      </c>
      <c r="AU451">
        <v>313</v>
      </c>
      <c r="AV451">
        <v>313</v>
      </c>
      <c r="AW451">
        <v>313</v>
      </c>
      <c r="AX451">
        <v>271</v>
      </c>
      <c r="AY451">
        <v>263</v>
      </c>
      <c r="AZ451">
        <v>256</v>
      </c>
      <c r="BA451">
        <v>248</v>
      </c>
      <c r="BB451">
        <v>238</v>
      </c>
      <c r="BC451">
        <v>232</v>
      </c>
      <c r="BD451">
        <v>226</v>
      </c>
      <c r="BE451">
        <v>221</v>
      </c>
      <c r="BF451">
        <v>215</v>
      </c>
      <c r="BG451">
        <v>207</v>
      </c>
      <c r="BH451">
        <v>0.161</v>
      </c>
      <c r="BL451">
        <v>6.2E-2</v>
      </c>
      <c r="BN451">
        <v>1</v>
      </c>
      <c r="BO451" t="s">
        <v>1212</v>
      </c>
      <c r="BP451">
        <v>265</v>
      </c>
      <c r="BQ451" s="772">
        <v>223</v>
      </c>
      <c r="BR451" t="s">
        <v>605</v>
      </c>
      <c r="BS451" t="s">
        <v>1213</v>
      </c>
      <c r="BT451">
        <v>0</v>
      </c>
      <c r="BU451" t="s">
        <v>1213</v>
      </c>
      <c r="BV451">
        <v>0</v>
      </c>
      <c r="BW451" t="s">
        <v>611</v>
      </c>
      <c r="BX451">
        <v>1.32</v>
      </c>
      <c r="BY451" t="s">
        <v>1175</v>
      </c>
      <c r="BZ451" t="s">
        <v>3877</v>
      </c>
    </row>
    <row r="452" spans="1:79" x14ac:dyDescent="0.2">
      <c r="A452" t="s">
        <v>1084</v>
      </c>
      <c r="B452" t="s">
        <v>3878</v>
      </c>
      <c r="C452" t="s">
        <v>1077</v>
      </c>
      <c r="D452" t="s">
        <v>458</v>
      </c>
      <c r="E452" t="s">
        <v>1428</v>
      </c>
      <c r="F452" t="s">
        <v>3867</v>
      </c>
      <c r="G452" t="s">
        <v>3820</v>
      </c>
      <c r="H452" t="s">
        <v>3879</v>
      </c>
      <c r="I452" t="s">
        <v>3880</v>
      </c>
      <c r="J452" t="s">
        <v>1241</v>
      </c>
      <c r="N452" t="s">
        <v>1400</v>
      </c>
      <c r="O452" t="s">
        <v>264</v>
      </c>
      <c r="P452" t="s">
        <v>1401</v>
      </c>
      <c r="Q452">
        <v>0</v>
      </c>
      <c r="R452" t="s">
        <v>1251</v>
      </c>
      <c r="S452">
        <v>63</v>
      </c>
      <c r="T452">
        <v>63</v>
      </c>
      <c r="U452">
        <v>66</v>
      </c>
      <c r="V452">
        <v>68</v>
      </c>
      <c r="W452">
        <v>71</v>
      </c>
      <c r="X452">
        <v>75</v>
      </c>
      <c r="AH452">
        <v>0</v>
      </c>
      <c r="BP452">
        <v>79</v>
      </c>
      <c r="BQ452" s="772">
        <v>82</v>
      </c>
      <c r="BR452" t="s">
        <v>605</v>
      </c>
      <c r="BS452" t="s">
        <v>1213</v>
      </c>
      <c r="BT452">
        <v>0</v>
      </c>
      <c r="BU452" t="s">
        <v>1213</v>
      </c>
      <c r="BV452">
        <v>0</v>
      </c>
      <c r="BW452" t="s">
        <v>1213</v>
      </c>
      <c r="BX452">
        <v>0</v>
      </c>
      <c r="BY452" t="s">
        <v>1213</v>
      </c>
      <c r="BZ452" t="s">
        <v>3881</v>
      </c>
    </row>
    <row r="453" spans="1:79" x14ac:dyDescent="0.2">
      <c r="A453" t="s">
        <v>1084</v>
      </c>
      <c r="B453" t="s">
        <v>3882</v>
      </c>
      <c r="C453" t="s">
        <v>1077</v>
      </c>
      <c r="D453" t="s">
        <v>458</v>
      </c>
      <c r="E453" t="s">
        <v>1428</v>
      </c>
      <c r="F453" t="s">
        <v>3825</v>
      </c>
      <c r="G453" t="s">
        <v>1603</v>
      </c>
      <c r="H453" t="s">
        <v>3883</v>
      </c>
      <c r="I453" t="s">
        <v>3827</v>
      </c>
      <c r="J453" t="s">
        <v>1241</v>
      </c>
      <c r="N453" t="s">
        <v>1303</v>
      </c>
      <c r="O453" t="s">
        <v>264</v>
      </c>
      <c r="P453" t="s">
        <v>3828</v>
      </c>
      <c r="Q453">
        <v>0</v>
      </c>
      <c r="R453" t="s">
        <v>1211</v>
      </c>
      <c r="S453" t="s">
        <v>3829</v>
      </c>
      <c r="T453" t="s">
        <v>3830</v>
      </c>
      <c r="U453" t="s">
        <v>3830</v>
      </c>
      <c r="V453" t="s">
        <v>3830</v>
      </c>
      <c r="W453" t="s">
        <v>3830</v>
      </c>
      <c r="X453" t="s">
        <v>3830</v>
      </c>
      <c r="AH453">
        <v>0</v>
      </c>
      <c r="BP453">
        <v>-3</v>
      </c>
      <c r="BQ453" s="771">
        <v>-1</v>
      </c>
      <c r="BR453" t="s">
        <v>605</v>
      </c>
      <c r="BS453" t="s">
        <v>1213</v>
      </c>
      <c r="BT453">
        <v>0</v>
      </c>
      <c r="BU453" t="s">
        <v>1213</v>
      </c>
      <c r="BV453">
        <v>0</v>
      </c>
      <c r="BW453" t="s">
        <v>1213</v>
      </c>
      <c r="BX453">
        <v>0</v>
      </c>
      <c r="BY453" t="s">
        <v>1213</v>
      </c>
      <c r="BZ453" t="s">
        <v>3831</v>
      </c>
    </row>
    <row r="454" spans="1:79" x14ac:dyDescent="0.2">
      <c r="A454" t="s">
        <v>1084</v>
      </c>
      <c r="B454" t="s">
        <v>3884</v>
      </c>
      <c r="C454" t="s">
        <v>1077</v>
      </c>
      <c r="D454" t="s">
        <v>458</v>
      </c>
      <c r="E454" t="s">
        <v>1428</v>
      </c>
      <c r="F454" t="s">
        <v>3833</v>
      </c>
      <c r="G454" t="s">
        <v>1610</v>
      </c>
      <c r="H454" t="s">
        <v>3885</v>
      </c>
      <c r="I454" t="s">
        <v>3835</v>
      </c>
      <c r="J454" t="s">
        <v>1219</v>
      </c>
      <c r="K454" t="s">
        <v>1208</v>
      </c>
      <c r="M454" t="s">
        <v>606</v>
      </c>
      <c r="N454" t="s">
        <v>1495</v>
      </c>
      <c r="O454" t="s">
        <v>1410</v>
      </c>
      <c r="P454" t="s">
        <v>1564</v>
      </c>
      <c r="Q454" t="s">
        <v>1212</v>
      </c>
      <c r="S454" t="s">
        <v>612</v>
      </c>
      <c r="T454" t="s">
        <v>612</v>
      </c>
      <c r="U454" t="s">
        <v>612</v>
      </c>
      <c r="V454" t="s">
        <v>612</v>
      </c>
      <c r="W454" t="s">
        <v>612</v>
      </c>
      <c r="X454" t="s">
        <v>612</v>
      </c>
      <c r="AE454" t="s">
        <v>605</v>
      </c>
      <c r="AH454">
        <v>9</v>
      </c>
      <c r="AI454" t="s">
        <v>605</v>
      </c>
      <c r="AJ454" t="s">
        <v>605</v>
      </c>
      <c r="AK454" t="s">
        <v>605</v>
      </c>
      <c r="AL454" t="s">
        <v>605</v>
      </c>
      <c r="AM454" t="s">
        <v>605</v>
      </c>
      <c r="AN454" t="s">
        <v>1565</v>
      </c>
      <c r="AO454" t="s">
        <v>1565</v>
      </c>
      <c r="AP454" t="s">
        <v>1565</v>
      </c>
      <c r="AQ454" t="s">
        <v>1565</v>
      </c>
      <c r="AR454" t="s">
        <v>1565</v>
      </c>
      <c r="AS454" t="s">
        <v>1566</v>
      </c>
      <c r="AT454" t="s">
        <v>1566</v>
      </c>
      <c r="AU454" t="s">
        <v>1566</v>
      </c>
      <c r="AV454" t="s">
        <v>1566</v>
      </c>
      <c r="AW454" t="s">
        <v>1566</v>
      </c>
      <c r="BH454">
        <v>20</v>
      </c>
      <c r="BN454">
        <v>1</v>
      </c>
      <c r="BO454" t="s">
        <v>1212</v>
      </c>
      <c r="BP454" t="s">
        <v>612</v>
      </c>
      <c r="BQ454" s="771" t="s">
        <v>612</v>
      </c>
      <c r="BR454" t="s">
        <v>605</v>
      </c>
      <c r="BS454" t="s">
        <v>1213</v>
      </c>
      <c r="BT454">
        <v>0</v>
      </c>
      <c r="BU454" t="s">
        <v>1213</v>
      </c>
      <c r="BV454">
        <v>0</v>
      </c>
      <c r="BW454" t="s">
        <v>1213</v>
      </c>
      <c r="BX454">
        <v>0</v>
      </c>
      <c r="BY454" t="s">
        <v>1213</v>
      </c>
      <c r="BZ454" t="s">
        <v>3836</v>
      </c>
      <c r="CA454" t="s">
        <v>3886</v>
      </c>
    </row>
    <row r="455" spans="1:79" x14ac:dyDescent="0.2">
      <c r="A455" t="s">
        <v>1084</v>
      </c>
      <c r="B455" t="s">
        <v>3887</v>
      </c>
      <c r="C455" t="s">
        <v>1077</v>
      </c>
      <c r="D455" t="s">
        <v>458</v>
      </c>
      <c r="E455" t="s">
        <v>1428</v>
      </c>
      <c r="F455" t="s">
        <v>3833</v>
      </c>
      <c r="G455" t="s">
        <v>3844</v>
      </c>
      <c r="H455" t="s">
        <v>3888</v>
      </c>
      <c r="I455" t="s">
        <v>3846</v>
      </c>
      <c r="J455" t="s">
        <v>1219</v>
      </c>
      <c r="K455" t="s">
        <v>1208</v>
      </c>
      <c r="N455" t="s">
        <v>1331</v>
      </c>
      <c r="O455" t="s">
        <v>264</v>
      </c>
      <c r="P455" t="s">
        <v>3847</v>
      </c>
      <c r="Q455">
        <v>0</v>
      </c>
      <c r="R455" t="s">
        <v>1251</v>
      </c>
      <c r="S455">
        <v>71</v>
      </c>
      <c r="T455">
        <v>71</v>
      </c>
      <c r="U455">
        <v>72</v>
      </c>
      <c r="V455">
        <v>74</v>
      </c>
      <c r="W455">
        <v>76</v>
      </c>
      <c r="X455">
        <v>78</v>
      </c>
      <c r="AE455" t="s">
        <v>605</v>
      </c>
      <c r="AH455">
        <v>0</v>
      </c>
      <c r="AM455" t="s">
        <v>605</v>
      </c>
      <c r="AR455">
        <v>71</v>
      </c>
      <c r="AW455">
        <v>76</v>
      </c>
      <c r="BH455">
        <v>2.2000000000000002</v>
      </c>
      <c r="BN455">
        <v>1</v>
      </c>
      <c r="BO455" t="s">
        <v>1212</v>
      </c>
      <c r="BP455">
        <v>75</v>
      </c>
      <c r="BQ455" s="772">
        <v>74</v>
      </c>
      <c r="BR455" t="s">
        <v>605</v>
      </c>
      <c r="BS455" t="s">
        <v>1213</v>
      </c>
      <c r="BT455">
        <v>0</v>
      </c>
      <c r="BU455" t="s">
        <v>1213</v>
      </c>
      <c r="BV455">
        <v>0</v>
      </c>
      <c r="BW455" t="s">
        <v>1213</v>
      </c>
      <c r="BX455">
        <v>0</v>
      </c>
      <c r="BY455" t="s">
        <v>1213</v>
      </c>
      <c r="BZ455" t="s">
        <v>3848</v>
      </c>
      <c r="CA455" t="s">
        <v>3889</v>
      </c>
    </row>
    <row r="456" spans="1:79" x14ac:dyDescent="0.2">
      <c r="A456" t="s">
        <v>1084</v>
      </c>
      <c r="B456" t="s">
        <v>3890</v>
      </c>
      <c r="C456" t="s">
        <v>1077</v>
      </c>
      <c r="D456" t="s">
        <v>1758</v>
      </c>
      <c r="E456" t="s">
        <v>1759</v>
      </c>
      <c r="F456" t="s">
        <v>3891</v>
      </c>
      <c r="G456" t="s">
        <v>1595</v>
      </c>
      <c r="H456" t="s">
        <v>3892</v>
      </c>
      <c r="I456" t="s">
        <v>3811</v>
      </c>
      <c r="J456" t="s">
        <v>1207</v>
      </c>
      <c r="K456" t="s">
        <v>1208</v>
      </c>
      <c r="M456" t="s">
        <v>606</v>
      </c>
      <c r="N456" t="s">
        <v>1294</v>
      </c>
      <c r="O456" t="s">
        <v>1507</v>
      </c>
      <c r="P456" t="s">
        <v>1668</v>
      </c>
      <c r="Q456" t="s">
        <v>1212</v>
      </c>
      <c r="R456" t="s">
        <v>1251</v>
      </c>
      <c r="S456" t="s">
        <v>3769</v>
      </c>
      <c r="T456" t="s">
        <v>2168</v>
      </c>
      <c r="U456" t="s">
        <v>2168</v>
      </c>
      <c r="V456" t="s">
        <v>2168</v>
      </c>
      <c r="W456" t="s">
        <v>2168</v>
      </c>
      <c r="X456" t="s">
        <v>2168</v>
      </c>
      <c r="AH456">
        <v>0</v>
      </c>
      <c r="AI456" t="s">
        <v>605</v>
      </c>
      <c r="AJ456" t="s">
        <v>605</v>
      </c>
      <c r="AK456" t="s">
        <v>605</v>
      </c>
      <c r="AL456" t="s">
        <v>605</v>
      </c>
      <c r="AM456" t="s">
        <v>605</v>
      </c>
      <c r="AN456" t="s">
        <v>1296</v>
      </c>
      <c r="AO456" t="s">
        <v>1296</v>
      </c>
      <c r="AP456" t="s">
        <v>1296</v>
      </c>
      <c r="AQ456" t="s">
        <v>1296</v>
      </c>
      <c r="AR456" t="s">
        <v>1296</v>
      </c>
      <c r="AS456" t="s">
        <v>1296</v>
      </c>
      <c r="AT456" t="s">
        <v>1296</v>
      </c>
      <c r="AU456" t="s">
        <v>1296</v>
      </c>
      <c r="AV456" t="s">
        <v>1296</v>
      </c>
      <c r="AW456" t="s">
        <v>1296</v>
      </c>
      <c r="AX456" t="s">
        <v>1296</v>
      </c>
      <c r="AY456" t="s">
        <v>1296</v>
      </c>
      <c r="AZ456" t="s">
        <v>1296</v>
      </c>
      <c r="BA456" t="s">
        <v>1296</v>
      </c>
      <c r="BB456" t="s">
        <v>1296</v>
      </c>
      <c r="BC456" t="s">
        <v>1296</v>
      </c>
      <c r="BD456" t="s">
        <v>1296</v>
      </c>
      <c r="BE456" t="s">
        <v>1296</v>
      </c>
      <c r="BF456" t="s">
        <v>1296</v>
      </c>
      <c r="BG456" t="s">
        <v>1296</v>
      </c>
      <c r="BH456" t="s">
        <v>1296</v>
      </c>
      <c r="BL456" t="s">
        <v>1296</v>
      </c>
      <c r="BN456">
        <v>1</v>
      </c>
      <c r="BO456" t="s">
        <v>1212</v>
      </c>
      <c r="BP456" t="s">
        <v>3812</v>
      </c>
      <c r="BQ456" s="771">
        <v>83</v>
      </c>
      <c r="BR456" t="s">
        <v>605</v>
      </c>
      <c r="BS456" t="s">
        <v>1213</v>
      </c>
      <c r="BT456">
        <v>0</v>
      </c>
      <c r="BU456" t="s">
        <v>1213</v>
      </c>
      <c r="BV456">
        <v>0</v>
      </c>
      <c r="BW456" t="s">
        <v>1213</v>
      </c>
      <c r="BX456">
        <v>0</v>
      </c>
      <c r="BY456" t="s">
        <v>1213</v>
      </c>
      <c r="BZ456" t="s">
        <v>3813</v>
      </c>
      <c r="CA456" t="s">
        <v>1298</v>
      </c>
    </row>
    <row r="457" spans="1:79" x14ac:dyDescent="0.2">
      <c r="A457" t="s">
        <v>1084</v>
      </c>
      <c r="B457" t="s">
        <v>3893</v>
      </c>
      <c r="C457" t="s">
        <v>1077</v>
      </c>
      <c r="D457" t="s">
        <v>1758</v>
      </c>
      <c r="E457" t="s">
        <v>1759</v>
      </c>
      <c r="F457" t="s">
        <v>3891</v>
      </c>
      <c r="G457" t="s">
        <v>3894</v>
      </c>
      <c r="H457" t="s">
        <v>3895</v>
      </c>
      <c r="I457" t="s">
        <v>3896</v>
      </c>
      <c r="J457" t="s">
        <v>1219</v>
      </c>
      <c r="K457" t="s">
        <v>1208</v>
      </c>
      <c r="N457" t="s">
        <v>1400</v>
      </c>
      <c r="O457" t="s">
        <v>264</v>
      </c>
      <c r="P457" t="s">
        <v>1401</v>
      </c>
      <c r="Q457">
        <v>0</v>
      </c>
      <c r="R457" t="s">
        <v>1251</v>
      </c>
      <c r="S457">
        <v>87</v>
      </c>
      <c r="T457">
        <v>87</v>
      </c>
      <c r="U457">
        <v>88</v>
      </c>
      <c r="V457">
        <v>89</v>
      </c>
      <c r="W457">
        <v>90</v>
      </c>
      <c r="X457">
        <v>90</v>
      </c>
      <c r="AH457">
        <v>0</v>
      </c>
      <c r="AI457" t="s">
        <v>605</v>
      </c>
      <c r="AJ457" t="s">
        <v>605</v>
      </c>
      <c r="AK457" t="s">
        <v>605</v>
      </c>
      <c r="AL457" t="s">
        <v>605</v>
      </c>
      <c r="AM457" t="s">
        <v>605</v>
      </c>
      <c r="AN457">
        <v>70</v>
      </c>
      <c r="AO457">
        <v>70</v>
      </c>
      <c r="AP457">
        <v>70</v>
      </c>
      <c r="AQ457">
        <v>70</v>
      </c>
      <c r="AR457">
        <v>70</v>
      </c>
      <c r="AS457">
        <v>80</v>
      </c>
      <c r="AT457">
        <v>80</v>
      </c>
      <c r="AU457">
        <v>80</v>
      </c>
      <c r="AV457">
        <v>80</v>
      </c>
      <c r="AW457">
        <v>80</v>
      </c>
      <c r="BH457">
        <v>0.5</v>
      </c>
      <c r="BN457">
        <v>1</v>
      </c>
      <c r="BO457" t="s">
        <v>1212</v>
      </c>
      <c r="BP457">
        <v>89</v>
      </c>
      <c r="BQ457" s="772">
        <v>88</v>
      </c>
      <c r="BR457" t="s">
        <v>605</v>
      </c>
      <c r="BS457" t="s">
        <v>1213</v>
      </c>
      <c r="BT457">
        <v>0</v>
      </c>
      <c r="BU457" t="s">
        <v>1213</v>
      </c>
      <c r="BV457">
        <v>0</v>
      </c>
      <c r="BW457" t="s">
        <v>1213</v>
      </c>
      <c r="BX457">
        <v>0</v>
      </c>
      <c r="BY457" t="s">
        <v>1213</v>
      </c>
      <c r="BZ457" t="s">
        <v>3897</v>
      </c>
    </row>
    <row r="458" spans="1:79" x14ac:dyDescent="0.2">
      <c r="A458" t="s">
        <v>1084</v>
      </c>
      <c r="B458" t="s">
        <v>3898</v>
      </c>
      <c r="C458" t="s">
        <v>1077</v>
      </c>
      <c r="D458" t="s">
        <v>1758</v>
      </c>
      <c r="E458" t="s">
        <v>1759</v>
      </c>
      <c r="F458" t="s">
        <v>3891</v>
      </c>
      <c r="G458" t="s">
        <v>3820</v>
      </c>
      <c r="H458" t="s">
        <v>3899</v>
      </c>
      <c r="I458" t="s">
        <v>3822</v>
      </c>
      <c r="J458" t="s">
        <v>1241</v>
      </c>
      <c r="N458" t="s">
        <v>1400</v>
      </c>
      <c r="O458" t="s">
        <v>264</v>
      </c>
      <c r="P458" t="s">
        <v>1401</v>
      </c>
      <c r="Q458">
        <v>0</v>
      </c>
      <c r="R458" t="s">
        <v>1251</v>
      </c>
      <c r="S458">
        <v>63</v>
      </c>
      <c r="T458">
        <v>63</v>
      </c>
      <c r="U458">
        <v>66</v>
      </c>
      <c r="V458">
        <v>68</v>
      </c>
      <c r="W458">
        <v>71</v>
      </c>
      <c r="X458">
        <v>75</v>
      </c>
      <c r="AH458">
        <v>0</v>
      </c>
      <c r="BP458">
        <v>79</v>
      </c>
      <c r="BQ458" s="772">
        <v>82</v>
      </c>
      <c r="BR458" t="s">
        <v>605</v>
      </c>
      <c r="BS458" t="s">
        <v>1213</v>
      </c>
      <c r="BT458">
        <v>0</v>
      </c>
      <c r="BU458" t="s">
        <v>1213</v>
      </c>
      <c r="BV458">
        <v>0</v>
      </c>
      <c r="BW458" t="s">
        <v>1213</v>
      </c>
      <c r="BX458">
        <v>0</v>
      </c>
      <c r="BY458" t="s">
        <v>1213</v>
      </c>
      <c r="BZ458" t="s">
        <v>3823</v>
      </c>
    </row>
    <row r="459" spans="1:79" x14ac:dyDescent="0.2">
      <c r="A459" t="s">
        <v>1084</v>
      </c>
      <c r="B459" t="s">
        <v>3900</v>
      </c>
      <c r="C459" t="s">
        <v>1077</v>
      </c>
      <c r="D459" t="s">
        <v>1758</v>
      </c>
      <c r="E459" t="s">
        <v>1759</v>
      </c>
      <c r="F459" t="s">
        <v>3825</v>
      </c>
      <c r="G459" t="s">
        <v>1603</v>
      </c>
      <c r="H459" t="s">
        <v>3901</v>
      </c>
      <c r="I459" t="s">
        <v>3827</v>
      </c>
      <c r="J459" t="s">
        <v>1241</v>
      </c>
      <c r="N459" t="s">
        <v>1303</v>
      </c>
      <c r="O459" t="s">
        <v>264</v>
      </c>
      <c r="P459" t="s">
        <v>3828</v>
      </c>
      <c r="Q459">
        <v>0</v>
      </c>
      <c r="R459" t="s">
        <v>1211</v>
      </c>
      <c r="S459" t="s">
        <v>3829</v>
      </c>
      <c r="T459" t="s">
        <v>3830</v>
      </c>
      <c r="U459" t="s">
        <v>3830</v>
      </c>
      <c r="V459" t="s">
        <v>3830</v>
      </c>
      <c r="W459" t="s">
        <v>3830</v>
      </c>
      <c r="X459" t="s">
        <v>3830</v>
      </c>
      <c r="AH459">
        <v>0</v>
      </c>
      <c r="BP459">
        <v>-3</v>
      </c>
      <c r="BQ459" s="771">
        <v>-1</v>
      </c>
      <c r="BR459" t="s">
        <v>605</v>
      </c>
      <c r="BS459" t="s">
        <v>1213</v>
      </c>
      <c r="BT459">
        <v>0</v>
      </c>
      <c r="BU459" t="s">
        <v>1213</v>
      </c>
      <c r="BV459">
        <v>0</v>
      </c>
      <c r="BW459" t="s">
        <v>1213</v>
      </c>
      <c r="BX459">
        <v>0</v>
      </c>
      <c r="BY459" t="s">
        <v>1213</v>
      </c>
      <c r="BZ459" t="s">
        <v>3831</v>
      </c>
    </row>
    <row r="460" spans="1:79" x14ac:dyDescent="0.2">
      <c r="A460" t="s">
        <v>1084</v>
      </c>
      <c r="B460" t="s">
        <v>3902</v>
      </c>
      <c r="C460" t="s">
        <v>1077</v>
      </c>
      <c r="D460" t="s">
        <v>1288</v>
      </c>
      <c r="E460" t="s">
        <v>1289</v>
      </c>
      <c r="F460" t="s">
        <v>3867</v>
      </c>
      <c r="G460" t="s">
        <v>1595</v>
      </c>
      <c r="H460" t="s">
        <v>3903</v>
      </c>
      <c r="I460" t="s">
        <v>3811</v>
      </c>
      <c r="J460" t="s">
        <v>1207</v>
      </c>
      <c r="K460" t="s">
        <v>1208</v>
      </c>
      <c r="M460" t="s">
        <v>606</v>
      </c>
      <c r="N460" t="s">
        <v>1294</v>
      </c>
      <c r="O460" t="s">
        <v>1507</v>
      </c>
      <c r="P460" t="s">
        <v>1668</v>
      </c>
      <c r="Q460" t="s">
        <v>1212</v>
      </c>
      <c r="R460" t="s">
        <v>1251</v>
      </c>
      <c r="S460" t="s">
        <v>3769</v>
      </c>
      <c r="T460" t="s">
        <v>2168</v>
      </c>
      <c r="U460" t="s">
        <v>2168</v>
      </c>
      <c r="V460" t="s">
        <v>2168</v>
      </c>
      <c r="W460" t="s">
        <v>2168</v>
      </c>
      <c r="X460" t="s">
        <v>2168</v>
      </c>
      <c r="AH460">
        <v>0</v>
      </c>
      <c r="AI460" t="s">
        <v>605</v>
      </c>
      <c r="AJ460" t="s">
        <v>605</v>
      </c>
      <c r="AK460" t="s">
        <v>605</v>
      </c>
      <c r="AL460" t="s">
        <v>605</v>
      </c>
      <c r="AM460" t="s">
        <v>605</v>
      </c>
      <c r="AN460" t="s">
        <v>1296</v>
      </c>
      <c r="AO460" t="s">
        <v>1296</v>
      </c>
      <c r="AP460" t="s">
        <v>1296</v>
      </c>
      <c r="AQ460" t="s">
        <v>1296</v>
      </c>
      <c r="AR460" t="s">
        <v>1296</v>
      </c>
      <c r="AS460" t="s">
        <v>1296</v>
      </c>
      <c r="AT460" t="s">
        <v>1296</v>
      </c>
      <c r="AU460" t="s">
        <v>1296</v>
      </c>
      <c r="AV460" t="s">
        <v>1296</v>
      </c>
      <c r="AW460" t="s">
        <v>1296</v>
      </c>
      <c r="AX460" t="s">
        <v>1296</v>
      </c>
      <c r="AY460" t="s">
        <v>1296</v>
      </c>
      <c r="AZ460" t="s">
        <v>1296</v>
      </c>
      <c r="BA460" t="s">
        <v>1296</v>
      </c>
      <c r="BB460" t="s">
        <v>1296</v>
      </c>
      <c r="BC460" t="s">
        <v>1296</v>
      </c>
      <c r="BD460" t="s">
        <v>1296</v>
      </c>
      <c r="BE460" t="s">
        <v>1296</v>
      </c>
      <c r="BF460" t="s">
        <v>1296</v>
      </c>
      <c r="BG460" t="s">
        <v>1296</v>
      </c>
      <c r="BH460" t="s">
        <v>1296</v>
      </c>
      <c r="BL460" t="s">
        <v>1296</v>
      </c>
      <c r="BN460">
        <v>1</v>
      </c>
      <c r="BO460" t="s">
        <v>1212</v>
      </c>
      <c r="BP460" t="s">
        <v>3812</v>
      </c>
      <c r="BQ460" s="771">
        <v>83</v>
      </c>
      <c r="BR460" t="s">
        <v>605</v>
      </c>
      <c r="BS460" t="s">
        <v>1213</v>
      </c>
      <c r="BT460">
        <v>0</v>
      </c>
      <c r="BU460" t="s">
        <v>1213</v>
      </c>
      <c r="BV460">
        <v>0</v>
      </c>
      <c r="BW460" t="s">
        <v>1213</v>
      </c>
      <c r="BX460">
        <v>0</v>
      </c>
      <c r="BY460" t="s">
        <v>1213</v>
      </c>
      <c r="BZ460" t="s">
        <v>3813</v>
      </c>
      <c r="CA460" t="s">
        <v>1298</v>
      </c>
    </row>
    <row r="461" spans="1:79" x14ac:dyDescent="0.2">
      <c r="A461" t="s">
        <v>1084</v>
      </c>
      <c r="B461" t="s">
        <v>3904</v>
      </c>
      <c r="C461" t="s">
        <v>1077</v>
      </c>
      <c r="D461" t="s">
        <v>1288</v>
      </c>
      <c r="E461" t="s">
        <v>1289</v>
      </c>
      <c r="F461" t="s">
        <v>3867</v>
      </c>
      <c r="G461" t="s">
        <v>3820</v>
      </c>
      <c r="H461" t="s">
        <v>3905</v>
      </c>
      <c r="I461" t="s">
        <v>3822</v>
      </c>
      <c r="J461" t="s">
        <v>1241</v>
      </c>
      <c r="N461" t="s">
        <v>1400</v>
      </c>
      <c r="O461" t="s">
        <v>264</v>
      </c>
      <c r="P461" t="s">
        <v>1401</v>
      </c>
      <c r="Q461">
        <v>0</v>
      </c>
      <c r="R461" t="s">
        <v>1251</v>
      </c>
      <c r="S461">
        <v>63</v>
      </c>
      <c r="T461">
        <v>63</v>
      </c>
      <c r="U461">
        <v>66</v>
      </c>
      <c r="V461">
        <v>68</v>
      </c>
      <c r="W461">
        <v>71</v>
      </c>
      <c r="X461">
        <v>75</v>
      </c>
      <c r="AH461">
        <v>0</v>
      </c>
      <c r="BP461">
        <v>79</v>
      </c>
      <c r="BQ461" s="772">
        <v>82</v>
      </c>
      <c r="BR461" t="s">
        <v>605</v>
      </c>
      <c r="BS461" t="s">
        <v>1213</v>
      </c>
      <c r="BT461">
        <v>0</v>
      </c>
      <c r="BU461" t="s">
        <v>1213</v>
      </c>
      <c r="BV461">
        <v>0</v>
      </c>
      <c r="BW461" t="s">
        <v>1213</v>
      </c>
      <c r="BX461">
        <v>0</v>
      </c>
      <c r="BY461" t="s">
        <v>1213</v>
      </c>
      <c r="BZ461" t="s">
        <v>3823</v>
      </c>
    </row>
    <row r="462" spans="1:79" x14ac:dyDescent="0.2">
      <c r="A462" t="s">
        <v>1084</v>
      </c>
      <c r="B462" t="s">
        <v>3906</v>
      </c>
      <c r="C462" t="s">
        <v>1077</v>
      </c>
      <c r="D462" t="s">
        <v>1288</v>
      </c>
      <c r="E462" t="s">
        <v>1289</v>
      </c>
      <c r="F462" t="s">
        <v>3825</v>
      </c>
      <c r="G462" t="s">
        <v>1603</v>
      </c>
      <c r="H462" t="s">
        <v>3907</v>
      </c>
      <c r="I462" t="s">
        <v>3827</v>
      </c>
      <c r="J462" t="s">
        <v>1241</v>
      </c>
      <c r="N462" t="s">
        <v>1303</v>
      </c>
      <c r="O462" t="s">
        <v>264</v>
      </c>
      <c r="P462" t="s">
        <v>3828</v>
      </c>
      <c r="Q462">
        <v>0</v>
      </c>
      <c r="R462" t="s">
        <v>1211</v>
      </c>
      <c r="S462" t="s">
        <v>3829</v>
      </c>
      <c r="T462" t="s">
        <v>3830</v>
      </c>
      <c r="U462" t="s">
        <v>3830</v>
      </c>
      <c r="V462" t="s">
        <v>3830</v>
      </c>
      <c r="W462" t="s">
        <v>3830</v>
      </c>
      <c r="X462" t="s">
        <v>3830</v>
      </c>
      <c r="AH462">
        <v>0</v>
      </c>
      <c r="BP462">
        <v>-3</v>
      </c>
      <c r="BQ462" s="771">
        <v>-1</v>
      </c>
      <c r="BR462" t="s">
        <v>605</v>
      </c>
      <c r="BS462" t="s">
        <v>1213</v>
      </c>
      <c r="BT462">
        <v>0</v>
      </c>
      <c r="BU462" t="s">
        <v>1213</v>
      </c>
      <c r="BV462">
        <v>0</v>
      </c>
      <c r="BW462" t="s">
        <v>1213</v>
      </c>
      <c r="BX462">
        <v>0</v>
      </c>
      <c r="BY462" t="s">
        <v>1213</v>
      </c>
      <c r="BZ462" t="s">
        <v>3831</v>
      </c>
    </row>
    <row r="463" spans="1:79" x14ac:dyDescent="0.2">
      <c r="A463" t="s">
        <v>1084</v>
      </c>
      <c r="B463" t="s">
        <v>3908</v>
      </c>
      <c r="C463" t="s">
        <v>1077</v>
      </c>
      <c r="D463" t="s">
        <v>1288</v>
      </c>
      <c r="E463" t="s">
        <v>1289</v>
      </c>
      <c r="F463" t="s">
        <v>3825</v>
      </c>
      <c r="G463" t="s">
        <v>1771</v>
      </c>
      <c r="H463" t="s">
        <v>3909</v>
      </c>
      <c r="I463" t="s">
        <v>3910</v>
      </c>
      <c r="J463" t="s">
        <v>1241</v>
      </c>
      <c r="N463" t="s">
        <v>1303</v>
      </c>
      <c r="O463" t="s">
        <v>272</v>
      </c>
      <c r="P463" t="s">
        <v>3911</v>
      </c>
      <c r="Q463">
        <v>0</v>
      </c>
      <c r="R463" t="s">
        <v>1251</v>
      </c>
      <c r="S463">
        <v>52000</v>
      </c>
      <c r="T463">
        <v>52000</v>
      </c>
      <c r="U463">
        <v>65000</v>
      </c>
      <c r="V463">
        <v>75000</v>
      </c>
      <c r="W463">
        <v>85000</v>
      </c>
      <c r="X463">
        <v>100000</v>
      </c>
      <c r="AH463">
        <v>0</v>
      </c>
      <c r="BP463">
        <v>49455</v>
      </c>
      <c r="BQ463" s="772">
        <v>54845</v>
      </c>
      <c r="BR463" t="s">
        <v>605</v>
      </c>
      <c r="BS463" t="s">
        <v>1213</v>
      </c>
      <c r="BT463">
        <v>0</v>
      </c>
      <c r="BU463" t="s">
        <v>1213</v>
      </c>
      <c r="BV463">
        <v>0</v>
      </c>
      <c r="BW463" t="s">
        <v>1213</v>
      </c>
      <c r="BX463">
        <v>0</v>
      </c>
      <c r="BY463" t="s">
        <v>1213</v>
      </c>
      <c r="BZ463" t="s">
        <v>3912</v>
      </c>
    </row>
    <row r="464" spans="1:79" x14ac:dyDescent="0.2">
      <c r="A464" t="s">
        <v>1106</v>
      </c>
      <c r="B464" t="s">
        <v>3913</v>
      </c>
      <c r="C464" t="s">
        <v>1077</v>
      </c>
      <c r="D464" t="s">
        <v>457</v>
      </c>
      <c r="E464" t="s">
        <v>1202</v>
      </c>
      <c r="F464" t="s">
        <v>3914</v>
      </c>
      <c r="G464" t="s">
        <v>1742</v>
      </c>
      <c r="H464" t="s">
        <v>3915</v>
      </c>
      <c r="I464" t="s">
        <v>3916</v>
      </c>
      <c r="J464" t="s">
        <v>1241</v>
      </c>
      <c r="N464" t="s">
        <v>1235</v>
      </c>
      <c r="O464" t="s">
        <v>264</v>
      </c>
      <c r="P464" t="s">
        <v>3917</v>
      </c>
      <c r="Q464">
        <v>1</v>
      </c>
      <c r="R464" t="s">
        <v>1251</v>
      </c>
      <c r="S464">
        <v>100</v>
      </c>
      <c r="T464">
        <v>100</v>
      </c>
      <c r="U464">
        <v>100</v>
      </c>
      <c r="V464">
        <v>100</v>
      </c>
      <c r="W464">
        <v>100</v>
      </c>
      <c r="X464">
        <v>100</v>
      </c>
      <c r="AH464">
        <v>0</v>
      </c>
      <c r="BP464">
        <v>100</v>
      </c>
      <c r="BQ464" s="769">
        <v>100</v>
      </c>
      <c r="BR464" t="s">
        <v>605</v>
      </c>
      <c r="BS464" t="s">
        <v>1213</v>
      </c>
      <c r="BT464">
        <v>0</v>
      </c>
      <c r="BU464" t="s">
        <v>1213</v>
      </c>
      <c r="BV464">
        <v>0</v>
      </c>
      <c r="BW464" t="s">
        <v>1213</v>
      </c>
      <c r="BX464">
        <v>0</v>
      </c>
      <c r="BY464" t="s">
        <v>1213</v>
      </c>
      <c r="BZ464" t="s">
        <v>3918</v>
      </c>
    </row>
    <row r="465" spans="1:79" x14ac:dyDescent="0.2">
      <c r="A465" t="s">
        <v>1106</v>
      </c>
      <c r="B465" t="s">
        <v>3919</v>
      </c>
      <c r="C465" t="s">
        <v>1077</v>
      </c>
      <c r="D465" t="s">
        <v>457</v>
      </c>
      <c r="E465" t="s">
        <v>1202</v>
      </c>
      <c r="F465" t="s">
        <v>3914</v>
      </c>
      <c r="G465" t="s">
        <v>2211</v>
      </c>
      <c r="H465" t="s">
        <v>3920</v>
      </c>
      <c r="I465" t="s">
        <v>3921</v>
      </c>
      <c r="J465" t="s">
        <v>1219</v>
      </c>
      <c r="K465" t="s">
        <v>1208</v>
      </c>
      <c r="N465" t="s">
        <v>1235</v>
      </c>
      <c r="O465" t="s">
        <v>272</v>
      </c>
      <c r="P465" t="s">
        <v>3922</v>
      </c>
      <c r="Q465">
        <v>0</v>
      </c>
      <c r="R465" t="s">
        <v>1211</v>
      </c>
      <c r="S465">
        <v>100</v>
      </c>
      <c r="T465">
        <v>100</v>
      </c>
      <c r="U465">
        <v>100</v>
      </c>
      <c r="V465">
        <v>100</v>
      </c>
      <c r="W465">
        <v>100</v>
      </c>
      <c r="X465">
        <v>100</v>
      </c>
      <c r="AG465" t="s">
        <v>605</v>
      </c>
      <c r="AH465">
        <v>0</v>
      </c>
      <c r="AI465" t="s">
        <v>605</v>
      </c>
      <c r="AJ465" t="s">
        <v>605</v>
      </c>
      <c r="AK465" t="s">
        <v>605</v>
      </c>
      <c r="AL465" t="s">
        <v>605</v>
      </c>
      <c r="AM465" t="s">
        <v>605</v>
      </c>
      <c r="AN465">
        <v>1350</v>
      </c>
      <c r="AO465">
        <v>1350</v>
      </c>
      <c r="AP465">
        <v>1350</v>
      </c>
      <c r="AQ465">
        <v>1350</v>
      </c>
      <c r="AR465">
        <v>1350</v>
      </c>
      <c r="AS465">
        <v>100</v>
      </c>
      <c r="AT465">
        <v>100</v>
      </c>
      <c r="AU465">
        <v>100</v>
      </c>
      <c r="AV465">
        <v>100</v>
      </c>
      <c r="AW465">
        <v>100</v>
      </c>
      <c r="BH465">
        <v>2.5000000000000001E-5</v>
      </c>
      <c r="BN465">
        <v>1</v>
      </c>
      <c r="BO465" t="s">
        <v>1212</v>
      </c>
      <c r="BP465">
        <v>88</v>
      </c>
      <c r="BQ465" s="772">
        <v>172</v>
      </c>
      <c r="BR465" t="s">
        <v>606</v>
      </c>
      <c r="BS465" t="s">
        <v>1213</v>
      </c>
      <c r="BT465">
        <v>0</v>
      </c>
      <c r="BU465" t="s">
        <v>1107</v>
      </c>
      <c r="BV465">
        <v>-1.8E-3</v>
      </c>
      <c r="BW465" t="s">
        <v>1107</v>
      </c>
      <c r="BX465">
        <v>-4.3E-3</v>
      </c>
      <c r="BY465" t="s">
        <v>1213</v>
      </c>
      <c r="BZ465" t="s">
        <v>3923</v>
      </c>
      <c r="CA465" t="s">
        <v>3924</v>
      </c>
    </row>
    <row r="466" spans="1:79" x14ac:dyDescent="0.2">
      <c r="A466" t="s">
        <v>1106</v>
      </c>
      <c r="B466" t="s">
        <v>3925</v>
      </c>
      <c r="C466" t="s">
        <v>1077</v>
      </c>
      <c r="D466" t="s">
        <v>457</v>
      </c>
      <c r="E466" t="s">
        <v>1202</v>
      </c>
      <c r="F466" t="s">
        <v>3914</v>
      </c>
      <c r="G466" t="s">
        <v>2217</v>
      </c>
      <c r="H466" t="s">
        <v>3926</v>
      </c>
      <c r="I466" t="s">
        <v>3927</v>
      </c>
      <c r="J466" t="s">
        <v>1219</v>
      </c>
      <c r="K466" t="s">
        <v>1563</v>
      </c>
      <c r="N466" t="s">
        <v>1370</v>
      </c>
      <c r="O466" t="s">
        <v>264</v>
      </c>
      <c r="P466" t="s">
        <v>3928</v>
      </c>
      <c r="Q466">
        <v>0</v>
      </c>
      <c r="R466" t="s">
        <v>1251</v>
      </c>
      <c r="S466">
        <v>47</v>
      </c>
      <c r="T466">
        <v>60</v>
      </c>
      <c r="U466">
        <v>70</v>
      </c>
      <c r="V466">
        <v>80</v>
      </c>
      <c r="W466">
        <v>90</v>
      </c>
      <c r="X466">
        <v>100</v>
      </c>
      <c r="AF466" t="s">
        <v>605</v>
      </c>
      <c r="AH466">
        <v>0</v>
      </c>
      <c r="AI466" t="s">
        <v>605</v>
      </c>
      <c r="AJ466" t="s">
        <v>605</v>
      </c>
      <c r="AK466" t="s">
        <v>605</v>
      </c>
      <c r="AL466" t="s">
        <v>605</v>
      </c>
      <c r="AM466" t="s">
        <v>605</v>
      </c>
      <c r="AN466">
        <v>50</v>
      </c>
      <c r="AO466">
        <v>50</v>
      </c>
      <c r="AP466">
        <v>50</v>
      </c>
      <c r="AQ466">
        <v>50</v>
      </c>
      <c r="AR466">
        <v>50</v>
      </c>
      <c r="AS466">
        <v>60</v>
      </c>
      <c r="AT466">
        <v>70</v>
      </c>
      <c r="AU466">
        <v>80</v>
      </c>
      <c r="AV466">
        <v>90</v>
      </c>
      <c r="AW466">
        <v>100</v>
      </c>
      <c r="BH466">
        <v>4.0000000000000001E-3</v>
      </c>
      <c r="BN466">
        <v>1</v>
      </c>
      <c r="BO466" t="s">
        <v>1212</v>
      </c>
      <c r="BP466">
        <v>47</v>
      </c>
      <c r="BQ466" s="772">
        <v>60</v>
      </c>
      <c r="BR466" t="s">
        <v>605</v>
      </c>
      <c r="BS466" t="s">
        <v>1213</v>
      </c>
      <c r="BT466">
        <v>0</v>
      </c>
      <c r="BU466" t="s">
        <v>1213</v>
      </c>
      <c r="BV466">
        <v>0</v>
      </c>
      <c r="BW466" t="s">
        <v>1213</v>
      </c>
      <c r="BX466">
        <v>0</v>
      </c>
      <c r="BY466" t="s">
        <v>1213</v>
      </c>
      <c r="BZ466" t="s">
        <v>3929</v>
      </c>
    </row>
    <row r="467" spans="1:79" x14ac:dyDescent="0.2">
      <c r="A467" t="s">
        <v>1106</v>
      </c>
      <c r="B467" t="s">
        <v>3930</v>
      </c>
      <c r="C467" t="s">
        <v>1077</v>
      </c>
      <c r="D467" t="s">
        <v>457</v>
      </c>
      <c r="E467" t="s">
        <v>1202</v>
      </c>
      <c r="F467" t="s">
        <v>3914</v>
      </c>
      <c r="G467" t="s">
        <v>3931</v>
      </c>
      <c r="H467" t="s">
        <v>3932</v>
      </c>
      <c r="I467" t="s">
        <v>3933</v>
      </c>
      <c r="J467" t="s">
        <v>1207</v>
      </c>
      <c r="K467" t="s">
        <v>1563</v>
      </c>
      <c r="N467" t="s">
        <v>1377</v>
      </c>
      <c r="O467" t="s">
        <v>272</v>
      </c>
      <c r="P467" t="s">
        <v>3934</v>
      </c>
      <c r="Q467">
        <v>0</v>
      </c>
      <c r="R467" t="s">
        <v>1251</v>
      </c>
      <c r="S467">
        <v>0</v>
      </c>
      <c r="T467">
        <v>0</v>
      </c>
      <c r="U467">
        <v>0</v>
      </c>
      <c r="V467">
        <v>0</v>
      </c>
      <c r="W467">
        <v>99</v>
      </c>
      <c r="X467">
        <v>99</v>
      </c>
      <c r="AF467" t="s">
        <v>605</v>
      </c>
      <c r="AH467">
        <v>0</v>
      </c>
      <c r="AI467" t="s">
        <v>605</v>
      </c>
      <c r="AJ467" t="s">
        <v>605</v>
      </c>
      <c r="AK467" t="s">
        <v>605</v>
      </c>
      <c r="AL467" t="s">
        <v>605</v>
      </c>
      <c r="AM467" t="s">
        <v>605</v>
      </c>
      <c r="AN467">
        <v>0</v>
      </c>
      <c r="AO467">
        <v>0</v>
      </c>
      <c r="AP467">
        <v>0</v>
      </c>
      <c r="AQ467">
        <v>0</v>
      </c>
      <c r="AR467">
        <v>0</v>
      </c>
      <c r="AS467">
        <v>0</v>
      </c>
      <c r="AT467">
        <v>0</v>
      </c>
      <c r="AU467">
        <v>0</v>
      </c>
      <c r="AV467">
        <v>99</v>
      </c>
      <c r="AW467">
        <v>99</v>
      </c>
      <c r="AX467">
        <v>0</v>
      </c>
      <c r="AY467">
        <v>0</v>
      </c>
      <c r="AZ467">
        <v>0</v>
      </c>
      <c r="BA467">
        <v>99</v>
      </c>
      <c r="BB467">
        <v>99</v>
      </c>
      <c r="BC467">
        <v>999999</v>
      </c>
      <c r="BD467">
        <v>999999</v>
      </c>
      <c r="BE467">
        <v>999999</v>
      </c>
      <c r="BF467">
        <v>999999</v>
      </c>
      <c r="BG467">
        <v>999999</v>
      </c>
      <c r="BH467">
        <v>1.9E-2</v>
      </c>
      <c r="BL467">
        <v>1.9E-2</v>
      </c>
      <c r="BN467">
        <v>1</v>
      </c>
      <c r="BO467" t="s">
        <v>1212</v>
      </c>
      <c r="BP467">
        <v>0</v>
      </c>
      <c r="BQ467" s="772">
        <v>0</v>
      </c>
      <c r="BR467" t="s">
        <v>605</v>
      </c>
      <c r="BS467" t="s">
        <v>1213</v>
      </c>
      <c r="BT467">
        <v>0</v>
      </c>
      <c r="BU467" t="s">
        <v>1213</v>
      </c>
      <c r="BV467">
        <v>0</v>
      </c>
      <c r="BW467" t="s">
        <v>1213</v>
      </c>
      <c r="BX467">
        <v>0</v>
      </c>
      <c r="BY467" t="s">
        <v>1213</v>
      </c>
      <c r="BZ467" t="s">
        <v>3935</v>
      </c>
    </row>
    <row r="468" spans="1:79" x14ac:dyDescent="0.2">
      <c r="A468" t="s">
        <v>1106</v>
      </c>
      <c r="B468" t="s">
        <v>3936</v>
      </c>
      <c r="C468" t="s">
        <v>1077</v>
      </c>
      <c r="D468" t="s">
        <v>457</v>
      </c>
      <c r="E468" t="s">
        <v>1202</v>
      </c>
      <c r="F468" t="s">
        <v>3937</v>
      </c>
      <c r="G468" t="s">
        <v>2141</v>
      </c>
      <c r="H468" t="s">
        <v>3938</v>
      </c>
      <c r="I468" t="s">
        <v>3939</v>
      </c>
      <c r="J468" t="s">
        <v>1219</v>
      </c>
      <c r="K468" t="s">
        <v>1208</v>
      </c>
      <c r="M468" t="s">
        <v>606</v>
      </c>
      <c r="N468" t="s">
        <v>1338</v>
      </c>
      <c r="O468" t="s">
        <v>272</v>
      </c>
      <c r="P468" t="s">
        <v>3940</v>
      </c>
      <c r="Q468">
        <v>0</v>
      </c>
      <c r="R468" t="s">
        <v>1211</v>
      </c>
      <c r="S468">
        <v>0</v>
      </c>
      <c r="T468">
        <v>0</v>
      </c>
      <c r="U468">
        <v>0</v>
      </c>
      <c r="V468">
        <v>0</v>
      </c>
      <c r="W468">
        <v>0</v>
      </c>
      <c r="X468">
        <v>0</v>
      </c>
      <c r="AH468">
        <v>0</v>
      </c>
      <c r="AI468" t="s">
        <v>605</v>
      </c>
      <c r="AJ468" t="s">
        <v>605</v>
      </c>
      <c r="AK468" t="s">
        <v>605</v>
      </c>
      <c r="AL468" t="s">
        <v>605</v>
      </c>
      <c r="AM468" t="s">
        <v>605</v>
      </c>
      <c r="AN468">
        <v>1</v>
      </c>
      <c r="AO468">
        <v>1</v>
      </c>
      <c r="AP468">
        <v>1</v>
      </c>
      <c r="AQ468">
        <v>1</v>
      </c>
      <c r="AR468">
        <v>1</v>
      </c>
      <c r="AS468">
        <v>0</v>
      </c>
      <c r="AT468">
        <v>0</v>
      </c>
      <c r="AU468">
        <v>0</v>
      </c>
      <c r="AV468">
        <v>0</v>
      </c>
      <c r="AW468">
        <v>0</v>
      </c>
      <c r="BH468">
        <v>10.1</v>
      </c>
      <c r="BN468">
        <v>1</v>
      </c>
      <c r="BO468" t="s">
        <v>1212</v>
      </c>
      <c r="BP468">
        <v>0</v>
      </c>
      <c r="BQ468" s="772">
        <v>0</v>
      </c>
      <c r="BR468" t="s">
        <v>605</v>
      </c>
      <c r="BS468" t="s">
        <v>1213</v>
      </c>
      <c r="BT468">
        <v>0</v>
      </c>
      <c r="BU468" t="s">
        <v>1213</v>
      </c>
      <c r="BV468">
        <v>0</v>
      </c>
      <c r="BW468" t="s">
        <v>1213</v>
      </c>
      <c r="BX468">
        <v>0</v>
      </c>
      <c r="BY468" t="s">
        <v>1213</v>
      </c>
      <c r="BZ468" t="s">
        <v>3941</v>
      </c>
      <c r="CA468" t="s">
        <v>3942</v>
      </c>
    </row>
    <row r="469" spans="1:79" x14ac:dyDescent="0.2">
      <c r="A469" t="s">
        <v>1106</v>
      </c>
      <c r="B469" t="s">
        <v>3943</v>
      </c>
      <c r="C469" t="s">
        <v>1077</v>
      </c>
      <c r="D469" t="s">
        <v>457</v>
      </c>
      <c r="E469" t="s">
        <v>1202</v>
      </c>
      <c r="F469" t="s">
        <v>3937</v>
      </c>
      <c r="G469" t="s">
        <v>2151</v>
      </c>
      <c r="H469" t="s">
        <v>3944</v>
      </c>
      <c r="I469" t="s">
        <v>3945</v>
      </c>
      <c r="J469" t="s">
        <v>1207</v>
      </c>
      <c r="K469" t="s">
        <v>1208</v>
      </c>
      <c r="N469" t="s">
        <v>1265</v>
      </c>
      <c r="O469" t="s">
        <v>1309</v>
      </c>
      <c r="P469" t="s">
        <v>1310</v>
      </c>
      <c r="Q469">
        <v>1</v>
      </c>
      <c r="R469" t="s">
        <v>1211</v>
      </c>
      <c r="S469">
        <v>24</v>
      </c>
      <c r="T469">
        <v>21.3</v>
      </c>
      <c r="U469">
        <v>16</v>
      </c>
      <c r="V469">
        <v>12</v>
      </c>
      <c r="W469">
        <v>12</v>
      </c>
      <c r="X469">
        <v>12</v>
      </c>
      <c r="AA469" t="s">
        <v>605</v>
      </c>
      <c r="AE469" t="s">
        <v>605</v>
      </c>
      <c r="AH469">
        <v>0</v>
      </c>
      <c r="AI469" t="s">
        <v>605</v>
      </c>
      <c r="AJ469" t="s">
        <v>605</v>
      </c>
      <c r="AK469" t="s">
        <v>605</v>
      </c>
      <c r="AL469" t="s">
        <v>605</v>
      </c>
      <c r="AM469" t="s">
        <v>605</v>
      </c>
      <c r="AN469">
        <v>44</v>
      </c>
      <c r="AO469">
        <v>44</v>
      </c>
      <c r="AP469">
        <v>32</v>
      </c>
      <c r="AQ469">
        <v>32</v>
      </c>
      <c r="AR469">
        <v>32</v>
      </c>
      <c r="AS469">
        <v>24</v>
      </c>
      <c r="AT469">
        <v>24</v>
      </c>
      <c r="AU469">
        <v>12</v>
      </c>
      <c r="AV469">
        <v>12</v>
      </c>
      <c r="AW469">
        <v>12</v>
      </c>
      <c r="AX469">
        <v>12</v>
      </c>
      <c r="AY469">
        <v>12</v>
      </c>
      <c r="AZ469">
        <v>12</v>
      </c>
      <c r="BA469">
        <v>12</v>
      </c>
      <c r="BB469">
        <v>12</v>
      </c>
      <c r="BC469">
        <v>4.5</v>
      </c>
      <c r="BD469">
        <v>4.5</v>
      </c>
      <c r="BE469">
        <v>4.5</v>
      </c>
      <c r="BF469">
        <v>4.5</v>
      </c>
      <c r="BG469">
        <v>4.5</v>
      </c>
      <c r="BH469">
        <v>4.19E-2</v>
      </c>
      <c r="BL469">
        <v>6.4000000000000003E-3</v>
      </c>
      <c r="BN469">
        <v>1</v>
      </c>
      <c r="BO469" t="s">
        <v>1212</v>
      </c>
      <c r="BP469">
        <v>20.100000000000001</v>
      </c>
      <c r="BQ469" s="769">
        <v>14.3</v>
      </c>
      <c r="BR469" t="s">
        <v>605</v>
      </c>
      <c r="BS469" t="s">
        <v>1213</v>
      </c>
      <c r="BT469">
        <v>0</v>
      </c>
      <c r="BU469" t="s">
        <v>610</v>
      </c>
      <c r="BV469">
        <v>0</v>
      </c>
      <c r="BW469" t="s">
        <v>610</v>
      </c>
      <c r="BX469">
        <v>0</v>
      </c>
      <c r="BY469" t="s">
        <v>1173</v>
      </c>
      <c r="BZ469" t="s">
        <v>3946</v>
      </c>
    </row>
    <row r="470" spans="1:79" x14ac:dyDescent="0.2">
      <c r="A470" t="s">
        <v>1106</v>
      </c>
      <c r="B470" t="s">
        <v>3947</v>
      </c>
      <c r="C470" t="s">
        <v>1077</v>
      </c>
      <c r="D470" t="s">
        <v>457</v>
      </c>
      <c r="E470" t="s">
        <v>1202</v>
      </c>
      <c r="F470" t="s">
        <v>3937</v>
      </c>
      <c r="G470" t="s">
        <v>3894</v>
      </c>
      <c r="H470" t="s">
        <v>3948</v>
      </c>
      <c r="I470" t="s">
        <v>3949</v>
      </c>
      <c r="J470" t="s">
        <v>1219</v>
      </c>
      <c r="K470" t="s">
        <v>1563</v>
      </c>
      <c r="M470" t="s">
        <v>606</v>
      </c>
      <c r="N470" t="s">
        <v>1331</v>
      </c>
      <c r="O470" t="s">
        <v>272</v>
      </c>
      <c r="P470" t="s">
        <v>3950</v>
      </c>
      <c r="Q470">
        <v>0</v>
      </c>
      <c r="R470" t="s">
        <v>1211</v>
      </c>
      <c r="S470">
        <v>106000</v>
      </c>
      <c r="T470">
        <v>78000</v>
      </c>
      <c r="U470">
        <v>78000</v>
      </c>
      <c r="V470">
        <v>78000</v>
      </c>
      <c r="W470">
        <v>42000</v>
      </c>
      <c r="X470">
        <v>42000</v>
      </c>
      <c r="AD470" t="s">
        <v>605</v>
      </c>
      <c r="AE470" t="s">
        <v>605</v>
      </c>
      <c r="AH470">
        <v>0</v>
      </c>
      <c r="AI470" t="s">
        <v>605</v>
      </c>
      <c r="AJ470" t="s">
        <v>605</v>
      </c>
      <c r="AK470" t="s">
        <v>605</v>
      </c>
      <c r="AL470" t="s">
        <v>605</v>
      </c>
      <c r="AM470" t="s">
        <v>605</v>
      </c>
      <c r="AN470">
        <v>106000</v>
      </c>
      <c r="AO470">
        <v>106000</v>
      </c>
      <c r="AP470">
        <v>106000</v>
      </c>
      <c r="AQ470">
        <v>106000</v>
      </c>
      <c r="AR470">
        <v>106000</v>
      </c>
      <c r="AS470">
        <v>78000</v>
      </c>
      <c r="AT470">
        <v>78000</v>
      </c>
      <c r="AU470">
        <v>78000</v>
      </c>
      <c r="AV470">
        <v>42000</v>
      </c>
      <c r="AW470">
        <v>42000</v>
      </c>
      <c r="BH470">
        <v>7.6600000000000005E-5</v>
      </c>
      <c r="BI470">
        <v>2.4450000000000001E-3</v>
      </c>
      <c r="BN470">
        <v>1</v>
      </c>
      <c r="BO470" t="s">
        <v>1212</v>
      </c>
      <c r="BP470">
        <v>91000</v>
      </c>
      <c r="BQ470" s="772">
        <v>78000</v>
      </c>
      <c r="BR470" t="s">
        <v>605</v>
      </c>
      <c r="BS470" t="s">
        <v>1213</v>
      </c>
      <c r="BT470">
        <v>0</v>
      </c>
      <c r="BU470" t="s">
        <v>1213</v>
      </c>
      <c r="BV470">
        <v>0</v>
      </c>
      <c r="BW470" t="s">
        <v>1213</v>
      </c>
      <c r="BX470">
        <v>0</v>
      </c>
      <c r="BY470" t="s">
        <v>1213</v>
      </c>
      <c r="BZ470" t="s">
        <v>3951</v>
      </c>
      <c r="CA470" t="s">
        <v>3952</v>
      </c>
    </row>
    <row r="471" spans="1:79" x14ac:dyDescent="0.2">
      <c r="A471" t="s">
        <v>1106</v>
      </c>
      <c r="B471" t="s">
        <v>3953</v>
      </c>
      <c r="C471" t="s">
        <v>1077</v>
      </c>
      <c r="D471" t="s">
        <v>457</v>
      </c>
      <c r="E471" t="s">
        <v>1202</v>
      </c>
      <c r="F471" t="s">
        <v>3937</v>
      </c>
      <c r="G471" t="s">
        <v>3820</v>
      </c>
      <c r="H471" t="s">
        <v>3954</v>
      </c>
      <c r="I471" t="s">
        <v>3955</v>
      </c>
      <c r="J471" t="s">
        <v>1219</v>
      </c>
      <c r="K471" t="s">
        <v>1563</v>
      </c>
      <c r="N471" t="s">
        <v>1272</v>
      </c>
      <c r="O471" t="s">
        <v>272</v>
      </c>
      <c r="P471" t="s">
        <v>3956</v>
      </c>
      <c r="Q471">
        <v>0</v>
      </c>
      <c r="R471" t="s">
        <v>1211</v>
      </c>
      <c r="S471" t="s">
        <v>3957</v>
      </c>
      <c r="T471" t="s">
        <v>3958</v>
      </c>
      <c r="U471" t="s">
        <v>3958</v>
      </c>
      <c r="V471" t="s">
        <v>3958</v>
      </c>
      <c r="W471" t="s">
        <v>3958</v>
      </c>
      <c r="X471" t="s">
        <v>3958</v>
      </c>
      <c r="AE471" t="s">
        <v>605</v>
      </c>
      <c r="AH471">
        <v>0</v>
      </c>
      <c r="AI471" t="s">
        <v>605</v>
      </c>
      <c r="AJ471" t="s">
        <v>605</v>
      </c>
      <c r="AK471" t="s">
        <v>605</v>
      </c>
      <c r="AL471" t="s">
        <v>605</v>
      </c>
      <c r="AM471" t="s">
        <v>605</v>
      </c>
      <c r="AN471">
        <v>999999</v>
      </c>
      <c r="AO471">
        <v>999999</v>
      </c>
      <c r="AP471">
        <v>999999</v>
      </c>
      <c r="AQ471">
        <v>999999</v>
      </c>
      <c r="AR471">
        <v>999999</v>
      </c>
      <c r="AS471">
        <v>1993</v>
      </c>
      <c r="AT471">
        <v>1993</v>
      </c>
      <c r="AU471">
        <v>1993</v>
      </c>
      <c r="AV471">
        <v>1993</v>
      </c>
      <c r="AW471">
        <v>1993</v>
      </c>
      <c r="BH471">
        <v>4.8999999999999998E-3</v>
      </c>
      <c r="BN471">
        <v>1</v>
      </c>
      <c r="BO471" t="s">
        <v>1212</v>
      </c>
      <c r="BP471">
        <v>1892</v>
      </c>
      <c r="BQ471" s="772">
        <v>1663</v>
      </c>
      <c r="BR471" t="s">
        <v>605</v>
      </c>
      <c r="BS471" t="s">
        <v>1213</v>
      </c>
      <c r="BT471">
        <v>0</v>
      </c>
      <c r="BU471" t="s">
        <v>1213</v>
      </c>
      <c r="BV471">
        <v>0</v>
      </c>
      <c r="BW471" t="s">
        <v>1213</v>
      </c>
      <c r="BX471">
        <v>0</v>
      </c>
      <c r="BY471" t="s">
        <v>1213</v>
      </c>
      <c r="BZ471" t="s">
        <v>3959</v>
      </c>
    </row>
    <row r="472" spans="1:79" x14ac:dyDescent="0.2">
      <c r="A472" t="s">
        <v>1106</v>
      </c>
      <c r="B472" t="s">
        <v>3960</v>
      </c>
      <c r="C472" t="s">
        <v>1077</v>
      </c>
      <c r="D472" t="s">
        <v>457</v>
      </c>
      <c r="E472" t="s">
        <v>1202</v>
      </c>
      <c r="F472" t="s">
        <v>1209</v>
      </c>
      <c r="G472" t="s">
        <v>1610</v>
      </c>
      <c r="H472" t="s">
        <v>3961</v>
      </c>
      <c r="I472" t="s">
        <v>3962</v>
      </c>
      <c r="J472" t="s">
        <v>1207</v>
      </c>
      <c r="K472" t="s">
        <v>1208</v>
      </c>
      <c r="N472" t="s">
        <v>1209</v>
      </c>
      <c r="O472" t="s">
        <v>272</v>
      </c>
      <c r="P472" t="s">
        <v>1210</v>
      </c>
      <c r="Q472">
        <v>1</v>
      </c>
      <c r="R472" t="s">
        <v>1211</v>
      </c>
      <c r="S472">
        <v>70</v>
      </c>
      <c r="T472">
        <v>69.3</v>
      </c>
      <c r="U472">
        <v>68.599999999999994</v>
      </c>
      <c r="V472">
        <v>67.900000000000006</v>
      </c>
      <c r="W472">
        <v>67.2</v>
      </c>
      <c r="X472">
        <v>66.5</v>
      </c>
      <c r="AE472" t="s">
        <v>605</v>
      </c>
      <c r="AH472">
        <v>0</v>
      </c>
      <c r="AI472" t="s">
        <v>605</v>
      </c>
      <c r="AJ472" t="s">
        <v>605</v>
      </c>
      <c r="AK472" t="s">
        <v>605</v>
      </c>
      <c r="AL472" t="s">
        <v>605</v>
      </c>
      <c r="AM472" t="s">
        <v>605</v>
      </c>
      <c r="AN472">
        <v>76.2</v>
      </c>
      <c r="AO472">
        <v>75.400000000000006</v>
      </c>
      <c r="AP472">
        <v>74.7</v>
      </c>
      <c r="AQ472">
        <v>73.900000000000006</v>
      </c>
      <c r="AR472">
        <v>73.099999999999994</v>
      </c>
      <c r="AS472">
        <v>69.3</v>
      </c>
      <c r="AT472">
        <v>68.599999999999994</v>
      </c>
      <c r="AU472">
        <v>67.900000000000006</v>
      </c>
      <c r="AV472">
        <v>67.2</v>
      </c>
      <c r="AW472">
        <v>66.5</v>
      </c>
      <c r="AX472">
        <v>68.3</v>
      </c>
      <c r="AY472">
        <v>67.599999999999994</v>
      </c>
      <c r="AZ472">
        <v>66.900000000000006</v>
      </c>
      <c r="BA472">
        <v>66.2</v>
      </c>
      <c r="BB472">
        <v>65.5</v>
      </c>
      <c r="BC472">
        <v>65.3</v>
      </c>
      <c r="BD472">
        <v>64.599999999999994</v>
      </c>
      <c r="BE472">
        <v>63.9</v>
      </c>
      <c r="BF472">
        <v>63.2</v>
      </c>
      <c r="BG472">
        <v>62.5</v>
      </c>
      <c r="BH472">
        <v>0.30499999999999999</v>
      </c>
      <c r="BL472">
        <v>0.11</v>
      </c>
      <c r="BN472">
        <v>1</v>
      </c>
      <c r="BO472" t="s">
        <v>1212</v>
      </c>
      <c r="BP472">
        <v>68.599999999999994</v>
      </c>
      <c r="BQ472" s="769">
        <v>68.3</v>
      </c>
      <c r="BR472" t="s">
        <v>605</v>
      </c>
      <c r="BS472" t="s">
        <v>1213</v>
      </c>
      <c r="BT472">
        <v>0</v>
      </c>
      <c r="BU472" t="s">
        <v>610</v>
      </c>
      <c r="BV472">
        <v>0</v>
      </c>
      <c r="BW472" t="s">
        <v>610</v>
      </c>
      <c r="BX472">
        <v>0</v>
      </c>
      <c r="BY472" t="s">
        <v>1213</v>
      </c>
      <c r="BZ472" t="s">
        <v>3963</v>
      </c>
      <c r="CA472" t="s">
        <v>3964</v>
      </c>
    </row>
    <row r="473" spans="1:79" x14ac:dyDescent="0.2">
      <c r="A473" t="s">
        <v>1106</v>
      </c>
      <c r="B473" t="s">
        <v>3965</v>
      </c>
      <c r="C473" t="s">
        <v>1077</v>
      </c>
      <c r="D473" t="s">
        <v>457</v>
      </c>
      <c r="E473" t="s">
        <v>1202</v>
      </c>
      <c r="F473" t="s">
        <v>1209</v>
      </c>
      <c r="G473" t="s">
        <v>2421</v>
      </c>
      <c r="H473" t="s">
        <v>3966</v>
      </c>
      <c r="I473" t="s">
        <v>3967</v>
      </c>
      <c r="J473" t="s">
        <v>1241</v>
      </c>
      <c r="N473" t="s">
        <v>1209</v>
      </c>
      <c r="O473" t="s">
        <v>264</v>
      </c>
      <c r="P473" t="s">
        <v>3968</v>
      </c>
      <c r="Q473">
        <v>0</v>
      </c>
      <c r="R473" t="s">
        <v>1251</v>
      </c>
      <c r="S473" t="s">
        <v>1897</v>
      </c>
      <c r="T473">
        <v>66</v>
      </c>
      <c r="U473">
        <v>70</v>
      </c>
      <c r="V473">
        <v>75</v>
      </c>
      <c r="W473">
        <v>80</v>
      </c>
      <c r="X473">
        <v>90</v>
      </c>
      <c r="AE473" t="s">
        <v>605</v>
      </c>
      <c r="AH473">
        <v>0</v>
      </c>
      <c r="BP473" t="s">
        <v>609</v>
      </c>
      <c r="BQ473" s="772">
        <v>68</v>
      </c>
      <c r="BR473" t="s">
        <v>605</v>
      </c>
      <c r="BS473" t="s">
        <v>1213</v>
      </c>
      <c r="BT473">
        <v>0</v>
      </c>
      <c r="BU473" t="s">
        <v>1213</v>
      </c>
      <c r="BV473">
        <v>0</v>
      </c>
      <c r="BW473" t="s">
        <v>1213</v>
      </c>
      <c r="BX473">
        <v>0</v>
      </c>
      <c r="BY473" t="s">
        <v>1213</v>
      </c>
      <c r="BZ473" t="s">
        <v>3969</v>
      </c>
    </row>
    <row r="474" spans="1:79" x14ac:dyDescent="0.2">
      <c r="A474" t="s">
        <v>1106</v>
      </c>
      <c r="B474" t="s">
        <v>3970</v>
      </c>
      <c r="C474" t="s">
        <v>1077</v>
      </c>
      <c r="D474" t="s">
        <v>457</v>
      </c>
      <c r="E474" t="s">
        <v>1202</v>
      </c>
      <c r="F474" t="s">
        <v>3971</v>
      </c>
      <c r="G474" t="s">
        <v>1616</v>
      </c>
      <c r="H474" t="s">
        <v>3972</v>
      </c>
      <c r="I474" t="s">
        <v>3973</v>
      </c>
      <c r="J474" t="s">
        <v>1207</v>
      </c>
      <c r="K474" t="s">
        <v>1563</v>
      </c>
      <c r="N474" t="s">
        <v>1172</v>
      </c>
      <c r="O474" t="s">
        <v>272</v>
      </c>
      <c r="P474" t="s">
        <v>3974</v>
      </c>
      <c r="Q474">
        <v>0</v>
      </c>
      <c r="R474" t="s">
        <v>1211</v>
      </c>
      <c r="S474">
        <v>3000</v>
      </c>
      <c r="T474">
        <v>2536</v>
      </c>
      <c r="U474">
        <v>2072</v>
      </c>
      <c r="V474">
        <v>1608</v>
      </c>
      <c r="W474">
        <v>1608</v>
      </c>
      <c r="X474">
        <v>1608</v>
      </c>
      <c r="Z474" t="s">
        <v>605</v>
      </c>
      <c r="AE474" t="s">
        <v>605</v>
      </c>
      <c r="AH474">
        <v>0</v>
      </c>
      <c r="AI474" t="s">
        <v>605</v>
      </c>
      <c r="AJ474" t="s">
        <v>605</v>
      </c>
      <c r="AK474" t="s">
        <v>605</v>
      </c>
      <c r="AL474" t="s">
        <v>605</v>
      </c>
      <c r="AM474" t="s">
        <v>605</v>
      </c>
      <c r="AN474">
        <v>3400</v>
      </c>
      <c r="AO474">
        <v>3400</v>
      </c>
      <c r="AP474">
        <v>2008</v>
      </c>
      <c r="AQ474">
        <v>2008</v>
      </c>
      <c r="AR474">
        <v>2008</v>
      </c>
      <c r="AS474">
        <v>3000</v>
      </c>
      <c r="AT474">
        <v>2950</v>
      </c>
      <c r="AU474">
        <v>1608</v>
      </c>
      <c r="AV474">
        <v>1608</v>
      </c>
      <c r="AW474">
        <v>1608</v>
      </c>
      <c r="AX474">
        <v>1608</v>
      </c>
      <c r="AY474">
        <v>1608</v>
      </c>
      <c r="AZ474">
        <v>1608</v>
      </c>
      <c r="BA474">
        <v>1608</v>
      </c>
      <c r="BB474">
        <v>1608</v>
      </c>
      <c r="BC474">
        <v>1208</v>
      </c>
      <c r="BD474">
        <v>1208</v>
      </c>
      <c r="BE474">
        <v>1208</v>
      </c>
      <c r="BF474">
        <v>1208</v>
      </c>
      <c r="BG474">
        <v>1208</v>
      </c>
      <c r="BH474">
        <v>1E-3</v>
      </c>
      <c r="BL474">
        <v>1.75E-4</v>
      </c>
      <c r="BN474">
        <v>1</v>
      </c>
      <c r="BO474" t="s">
        <v>1212</v>
      </c>
      <c r="BP474">
        <v>3006</v>
      </c>
      <c r="BQ474" s="772">
        <v>2431</v>
      </c>
      <c r="BR474" t="s">
        <v>605</v>
      </c>
      <c r="BS474" t="s">
        <v>1213</v>
      </c>
      <c r="BT474">
        <v>0</v>
      </c>
      <c r="BU474" t="s">
        <v>610</v>
      </c>
      <c r="BV474">
        <v>0</v>
      </c>
      <c r="BW474" t="s">
        <v>1107</v>
      </c>
      <c r="BX474">
        <v>-1.1759999999999999</v>
      </c>
      <c r="BY474" t="s">
        <v>1172</v>
      </c>
      <c r="BZ474" t="s">
        <v>3975</v>
      </c>
    </row>
    <row r="475" spans="1:79" x14ac:dyDescent="0.2">
      <c r="A475" t="s">
        <v>1106</v>
      </c>
      <c r="B475" t="s">
        <v>3976</v>
      </c>
      <c r="C475" t="s">
        <v>1077</v>
      </c>
      <c r="D475" t="s">
        <v>457</v>
      </c>
      <c r="E475" t="s">
        <v>1202</v>
      </c>
      <c r="F475" t="s">
        <v>3971</v>
      </c>
      <c r="G475" t="s">
        <v>1652</v>
      </c>
      <c r="H475" t="s">
        <v>3977</v>
      </c>
      <c r="I475" t="s">
        <v>3978</v>
      </c>
      <c r="J475" t="s">
        <v>1219</v>
      </c>
      <c r="K475" t="s">
        <v>1563</v>
      </c>
      <c r="M475" t="s">
        <v>606</v>
      </c>
      <c r="N475" t="s">
        <v>1249</v>
      </c>
      <c r="O475" t="s">
        <v>264</v>
      </c>
      <c r="P475" t="s">
        <v>1250</v>
      </c>
      <c r="Q475">
        <v>2</v>
      </c>
      <c r="R475" t="s">
        <v>1251</v>
      </c>
      <c r="S475">
        <v>99.98</v>
      </c>
      <c r="T475">
        <v>99.98</v>
      </c>
      <c r="U475">
        <v>99.98</v>
      </c>
      <c r="V475">
        <v>100</v>
      </c>
      <c r="W475">
        <v>100</v>
      </c>
      <c r="X475">
        <v>100</v>
      </c>
      <c r="Y475" t="s">
        <v>605</v>
      </c>
      <c r="AE475" t="s">
        <v>605</v>
      </c>
      <c r="AH475">
        <v>0</v>
      </c>
      <c r="AI475" t="s">
        <v>605</v>
      </c>
      <c r="AJ475" t="s">
        <v>605</v>
      </c>
      <c r="AK475" t="s">
        <v>605</v>
      </c>
      <c r="AL475" t="s">
        <v>605</v>
      </c>
      <c r="AM475" t="s">
        <v>605</v>
      </c>
      <c r="AN475" t="s">
        <v>3979</v>
      </c>
      <c r="AO475" t="s">
        <v>3979</v>
      </c>
      <c r="AP475" t="s">
        <v>3979</v>
      </c>
      <c r="AQ475" t="s">
        <v>3979</v>
      </c>
      <c r="AR475" t="s">
        <v>3979</v>
      </c>
      <c r="AS475">
        <v>99.95</v>
      </c>
      <c r="AT475">
        <v>99.95</v>
      </c>
      <c r="AU475">
        <v>99.95</v>
      </c>
      <c r="AV475">
        <v>99.95</v>
      </c>
      <c r="AW475">
        <v>99.95</v>
      </c>
      <c r="BH475">
        <v>0.77</v>
      </c>
      <c r="BN475">
        <v>1</v>
      </c>
      <c r="BO475" t="s">
        <v>1212</v>
      </c>
      <c r="BP475">
        <v>99.97</v>
      </c>
      <c r="BQ475" s="773">
        <v>99.96</v>
      </c>
      <c r="BR475" t="s">
        <v>606</v>
      </c>
      <c r="BS475" t="s">
        <v>1213</v>
      </c>
      <c r="BT475">
        <v>0</v>
      </c>
      <c r="BU475" t="s">
        <v>607</v>
      </c>
      <c r="BV475">
        <v>0</v>
      </c>
      <c r="BW475" t="s">
        <v>607</v>
      </c>
      <c r="BX475">
        <v>0</v>
      </c>
      <c r="BY475" t="s">
        <v>1171</v>
      </c>
      <c r="BZ475" t="s">
        <v>3980</v>
      </c>
      <c r="CA475" t="s">
        <v>3981</v>
      </c>
    </row>
    <row r="476" spans="1:79" x14ac:dyDescent="0.2">
      <c r="A476" t="s">
        <v>1106</v>
      </c>
      <c r="B476" t="s">
        <v>3982</v>
      </c>
      <c r="C476" t="s">
        <v>1077</v>
      </c>
      <c r="D476" t="s">
        <v>458</v>
      </c>
      <c r="E476" t="s">
        <v>1428</v>
      </c>
      <c r="F476" t="s">
        <v>3983</v>
      </c>
      <c r="G476" t="s">
        <v>1554</v>
      </c>
      <c r="H476" t="s">
        <v>3984</v>
      </c>
      <c r="I476" t="s">
        <v>3985</v>
      </c>
      <c r="J476" t="s">
        <v>1219</v>
      </c>
      <c r="K476" t="s">
        <v>1563</v>
      </c>
      <c r="N476" t="s">
        <v>1377</v>
      </c>
      <c r="O476" t="s">
        <v>264</v>
      </c>
      <c r="P476" t="s">
        <v>3986</v>
      </c>
      <c r="Q476">
        <v>0</v>
      </c>
      <c r="R476" t="s">
        <v>1251</v>
      </c>
      <c r="S476" t="s">
        <v>609</v>
      </c>
      <c r="T476">
        <v>100</v>
      </c>
      <c r="U476">
        <v>100</v>
      </c>
      <c r="V476">
        <v>100</v>
      </c>
      <c r="W476">
        <v>100</v>
      </c>
      <c r="X476">
        <v>100</v>
      </c>
      <c r="AF476" t="s">
        <v>605</v>
      </c>
      <c r="AH476">
        <v>0</v>
      </c>
      <c r="AI476" t="s">
        <v>605</v>
      </c>
      <c r="AJ476" t="s">
        <v>605</v>
      </c>
      <c r="AK476" t="s">
        <v>605</v>
      </c>
      <c r="AL476" t="s">
        <v>605</v>
      </c>
      <c r="AM476" t="s">
        <v>605</v>
      </c>
      <c r="AN476">
        <v>0</v>
      </c>
      <c r="AO476">
        <v>0</v>
      </c>
      <c r="AP476">
        <v>0</v>
      </c>
      <c r="AQ476">
        <v>0</v>
      </c>
      <c r="AR476">
        <v>0</v>
      </c>
      <c r="AS476">
        <v>100</v>
      </c>
      <c r="AT476">
        <v>100</v>
      </c>
      <c r="AU476">
        <v>100</v>
      </c>
      <c r="AV476">
        <v>100</v>
      </c>
      <c r="AW476">
        <v>100</v>
      </c>
      <c r="BH476">
        <v>8.9999999999999993E-3</v>
      </c>
      <c r="BN476">
        <v>1</v>
      </c>
      <c r="BO476" t="s">
        <v>1212</v>
      </c>
      <c r="BP476" t="s">
        <v>609</v>
      </c>
      <c r="BQ476" s="772">
        <v>100</v>
      </c>
      <c r="BR476" t="s">
        <v>605</v>
      </c>
      <c r="BS476" t="s">
        <v>1213</v>
      </c>
      <c r="BT476">
        <v>0</v>
      </c>
      <c r="BU476" t="s">
        <v>1213</v>
      </c>
      <c r="BV476">
        <v>0</v>
      </c>
      <c r="BW476" t="s">
        <v>1213</v>
      </c>
      <c r="BX476">
        <v>0</v>
      </c>
      <c r="BY476" t="s">
        <v>1213</v>
      </c>
      <c r="BZ476" t="s">
        <v>3987</v>
      </c>
      <c r="CA476" t="s">
        <v>3988</v>
      </c>
    </row>
    <row r="477" spans="1:79" x14ac:dyDescent="0.2">
      <c r="A477" t="s">
        <v>1106</v>
      </c>
      <c r="B477" t="s">
        <v>3989</v>
      </c>
      <c r="C477" t="s">
        <v>1077</v>
      </c>
      <c r="D477" t="s">
        <v>458</v>
      </c>
      <c r="E477" t="s">
        <v>1428</v>
      </c>
      <c r="F477" t="s">
        <v>3983</v>
      </c>
      <c r="G477" t="s">
        <v>1560</v>
      </c>
      <c r="H477" t="s">
        <v>3990</v>
      </c>
      <c r="I477" t="s">
        <v>3991</v>
      </c>
      <c r="J477" t="s">
        <v>1241</v>
      </c>
      <c r="N477" t="s">
        <v>1377</v>
      </c>
      <c r="O477" t="s">
        <v>264</v>
      </c>
      <c r="P477" t="s">
        <v>3992</v>
      </c>
      <c r="Q477">
        <v>0</v>
      </c>
      <c r="R477" t="s">
        <v>1251</v>
      </c>
      <c r="S477" t="s">
        <v>1897</v>
      </c>
      <c r="T477">
        <v>100</v>
      </c>
      <c r="U477">
        <v>100</v>
      </c>
      <c r="V477">
        <v>100</v>
      </c>
      <c r="W477">
        <v>100</v>
      </c>
      <c r="X477">
        <v>100</v>
      </c>
      <c r="AF477" t="s">
        <v>605</v>
      </c>
      <c r="AH477">
        <v>0</v>
      </c>
      <c r="BP477">
        <v>98</v>
      </c>
      <c r="BQ477" s="772">
        <v>98</v>
      </c>
      <c r="BR477" t="s">
        <v>606</v>
      </c>
      <c r="BS477" t="s">
        <v>1213</v>
      </c>
      <c r="BT477">
        <v>0</v>
      </c>
      <c r="BU477" t="s">
        <v>1213</v>
      </c>
      <c r="BV477">
        <v>0</v>
      </c>
      <c r="BW477" t="s">
        <v>1213</v>
      </c>
      <c r="BX477">
        <v>0</v>
      </c>
      <c r="BY477" t="s">
        <v>1213</v>
      </c>
      <c r="BZ477" t="s">
        <v>3993</v>
      </c>
    </row>
    <row r="478" spans="1:79" ht="25.5" x14ac:dyDescent="0.2">
      <c r="A478" t="s">
        <v>1106</v>
      </c>
      <c r="B478" t="s">
        <v>3994</v>
      </c>
      <c r="C478" t="s">
        <v>1077</v>
      </c>
      <c r="D478" t="s">
        <v>458</v>
      </c>
      <c r="E478" t="s">
        <v>1428</v>
      </c>
      <c r="F478" t="s">
        <v>3914</v>
      </c>
      <c r="G478" t="s">
        <v>1575</v>
      </c>
      <c r="H478" t="s">
        <v>3995</v>
      </c>
      <c r="I478" t="s">
        <v>3996</v>
      </c>
      <c r="J478" t="s">
        <v>1207</v>
      </c>
      <c r="K478" t="s">
        <v>1208</v>
      </c>
      <c r="M478" t="s">
        <v>606</v>
      </c>
      <c r="N478" t="s">
        <v>1468</v>
      </c>
      <c r="O478" t="s">
        <v>1507</v>
      </c>
      <c r="P478" t="s">
        <v>3997</v>
      </c>
      <c r="Q478" t="s">
        <v>1212</v>
      </c>
      <c r="S478" t="s">
        <v>3998</v>
      </c>
      <c r="T478" t="s">
        <v>3999</v>
      </c>
      <c r="U478" t="s">
        <v>3999</v>
      </c>
      <c r="V478" t="s">
        <v>3999</v>
      </c>
      <c r="W478" t="s">
        <v>3999</v>
      </c>
      <c r="X478" t="s">
        <v>3999</v>
      </c>
      <c r="AB478" t="s">
        <v>605</v>
      </c>
      <c r="AE478" t="s">
        <v>605</v>
      </c>
      <c r="AH478">
        <v>0</v>
      </c>
      <c r="AI478" t="s">
        <v>605</v>
      </c>
      <c r="AJ478" t="s">
        <v>605</v>
      </c>
      <c r="AK478" t="s">
        <v>605</v>
      </c>
      <c r="AL478" t="s">
        <v>605</v>
      </c>
      <c r="AM478" t="s">
        <v>605</v>
      </c>
      <c r="AN478" t="s">
        <v>4000</v>
      </c>
      <c r="AO478" t="s">
        <v>4000</v>
      </c>
      <c r="AP478" t="s">
        <v>4000</v>
      </c>
      <c r="AQ478" t="s">
        <v>4000</v>
      </c>
      <c r="AR478" t="s">
        <v>4000</v>
      </c>
      <c r="AS478" t="s">
        <v>4001</v>
      </c>
      <c r="AT478" t="s">
        <v>4001</v>
      </c>
      <c r="AU478" t="s">
        <v>4001</v>
      </c>
      <c r="AV478" t="s">
        <v>4001</v>
      </c>
      <c r="AW478" t="s">
        <v>4001</v>
      </c>
      <c r="AX478" t="s">
        <v>4002</v>
      </c>
      <c r="AY478" t="s">
        <v>4002</v>
      </c>
      <c r="AZ478" t="s">
        <v>4002</v>
      </c>
      <c r="BA478" t="s">
        <v>4002</v>
      </c>
      <c r="BB478" t="s">
        <v>4002</v>
      </c>
      <c r="BC478" t="s">
        <v>4003</v>
      </c>
      <c r="BD478" t="s">
        <v>4003</v>
      </c>
      <c r="BE478" t="s">
        <v>4003</v>
      </c>
      <c r="BF478" t="s">
        <v>4003</v>
      </c>
      <c r="BG478" t="s">
        <v>4003</v>
      </c>
      <c r="BH478">
        <v>5.9</v>
      </c>
      <c r="BL478">
        <v>0.19</v>
      </c>
      <c r="BN478">
        <v>1</v>
      </c>
      <c r="BO478" t="s">
        <v>1212</v>
      </c>
      <c r="BP478" t="s">
        <v>4004</v>
      </c>
      <c r="BQ478" s="771" t="s">
        <v>3998</v>
      </c>
      <c r="BR478" t="s">
        <v>605</v>
      </c>
      <c r="BS478" t="s">
        <v>1213</v>
      </c>
      <c r="BT478">
        <v>0</v>
      </c>
      <c r="BU478" t="s">
        <v>1213</v>
      </c>
      <c r="BV478">
        <v>0</v>
      </c>
      <c r="BW478" t="s">
        <v>607</v>
      </c>
      <c r="BX478">
        <v>0</v>
      </c>
      <c r="BY478" t="s">
        <v>1174</v>
      </c>
      <c r="BZ478" t="s">
        <v>4005</v>
      </c>
      <c r="CA478" t="s">
        <v>4006</v>
      </c>
    </row>
    <row r="479" spans="1:79" x14ac:dyDescent="0.2">
      <c r="A479" t="s">
        <v>1106</v>
      </c>
      <c r="B479" t="s">
        <v>4007</v>
      </c>
      <c r="C479" t="s">
        <v>1077</v>
      </c>
      <c r="D479" t="s">
        <v>458</v>
      </c>
      <c r="E479" t="s">
        <v>1428</v>
      </c>
      <c r="F479" t="s">
        <v>3914</v>
      </c>
      <c r="G479" t="s">
        <v>1731</v>
      </c>
      <c r="H479" t="s">
        <v>4008</v>
      </c>
      <c r="I479" t="s">
        <v>4009</v>
      </c>
      <c r="J479" t="s">
        <v>1219</v>
      </c>
      <c r="K479" t="s">
        <v>1563</v>
      </c>
      <c r="N479" t="s">
        <v>1377</v>
      </c>
      <c r="O479" t="s">
        <v>264</v>
      </c>
      <c r="P479" t="s">
        <v>4010</v>
      </c>
      <c r="Q479">
        <v>0</v>
      </c>
      <c r="R479" t="s">
        <v>1251</v>
      </c>
      <c r="S479">
        <v>33</v>
      </c>
      <c r="T479">
        <v>40</v>
      </c>
      <c r="U479">
        <v>40</v>
      </c>
      <c r="V479">
        <v>43</v>
      </c>
      <c r="W479">
        <v>43</v>
      </c>
      <c r="X479">
        <v>100</v>
      </c>
      <c r="AF479" t="s">
        <v>605</v>
      </c>
      <c r="AH479">
        <v>0</v>
      </c>
      <c r="AI479" t="s">
        <v>605</v>
      </c>
      <c r="AJ479" t="s">
        <v>605</v>
      </c>
      <c r="AK479" t="s">
        <v>605</v>
      </c>
      <c r="AL479" t="s">
        <v>605</v>
      </c>
      <c r="AM479" t="s">
        <v>605</v>
      </c>
      <c r="AN479">
        <v>33</v>
      </c>
      <c r="AO479">
        <v>33</v>
      </c>
      <c r="AP479">
        <v>33</v>
      </c>
      <c r="AQ479">
        <v>33</v>
      </c>
      <c r="AR479">
        <v>33</v>
      </c>
      <c r="AS479">
        <v>40</v>
      </c>
      <c r="AT479">
        <v>40</v>
      </c>
      <c r="AU479">
        <v>43</v>
      </c>
      <c r="AV479">
        <v>43</v>
      </c>
      <c r="AW479">
        <v>100</v>
      </c>
      <c r="BH479">
        <v>0.01</v>
      </c>
      <c r="BN479">
        <v>1</v>
      </c>
      <c r="BO479" t="s">
        <v>1212</v>
      </c>
      <c r="BP479">
        <v>39</v>
      </c>
      <c r="BQ479" s="772">
        <v>46</v>
      </c>
      <c r="BR479" t="s">
        <v>605</v>
      </c>
      <c r="BS479" t="s">
        <v>1213</v>
      </c>
      <c r="BT479">
        <v>0</v>
      </c>
      <c r="BU479" t="s">
        <v>1213</v>
      </c>
      <c r="BV479">
        <v>0</v>
      </c>
      <c r="BW479" t="s">
        <v>1213</v>
      </c>
      <c r="BX479">
        <v>0</v>
      </c>
      <c r="BY479" t="s">
        <v>1213</v>
      </c>
      <c r="BZ479" t="s">
        <v>4011</v>
      </c>
      <c r="CA479" t="s">
        <v>4012</v>
      </c>
    </row>
    <row r="480" spans="1:79" x14ac:dyDescent="0.2">
      <c r="A480" t="s">
        <v>1106</v>
      </c>
      <c r="B480" t="s">
        <v>4013</v>
      </c>
      <c r="C480" t="s">
        <v>1077</v>
      </c>
      <c r="D480" t="s">
        <v>458</v>
      </c>
      <c r="E480" t="s">
        <v>1428</v>
      </c>
      <c r="F480" t="s">
        <v>3914</v>
      </c>
      <c r="G480" t="s">
        <v>1737</v>
      </c>
      <c r="H480" t="s">
        <v>4014</v>
      </c>
      <c r="I480" t="s">
        <v>4015</v>
      </c>
      <c r="J480" t="s">
        <v>1207</v>
      </c>
      <c r="K480" t="s">
        <v>1208</v>
      </c>
      <c r="N480" t="s">
        <v>1377</v>
      </c>
      <c r="O480" t="s">
        <v>272</v>
      </c>
      <c r="P480" t="s">
        <v>4016</v>
      </c>
      <c r="Q480">
        <v>0</v>
      </c>
      <c r="R480" t="s">
        <v>1251</v>
      </c>
      <c r="S480">
        <v>0</v>
      </c>
      <c r="T480">
        <v>0</v>
      </c>
      <c r="U480">
        <v>0</v>
      </c>
      <c r="V480">
        <v>8</v>
      </c>
      <c r="W480">
        <v>11</v>
      </c>
      <c r="X480">
        <v>70</v>
      </c>
      <c r="AF480" t="s">
        <v>605</v>
      </c>
      <c r="AH480">
        <v>0</v>
      </c>
      <c r="AM480" t="s">
        <v>605</v>
      </c>
      <c r="AR480">
        <v>0</v>
      </c>
      <c r="AW480">
        <v>70</v>
      </c>
      <c r="BB480">
        <v>70</v>
      </c>
      <c r="BG480">
        <v>131</v>
      </c>
      <c r="BH480">
        <v>1.6739999999999999</v>
      </c>
      <c r="BL480">
        <v>1.29</v>
      </c>
      <c r="BN480">
        <v>1</v>
      </c>
      <c r="BO480" t="s">
        <v>1212</v>
      </c>
      <c r="BP480">
        <v>0</v>
      </c>
      <c r="BQ480" s="772">
        <v>0</v>
      </c>
      <c r="BR480" t="s">
        <v>605</v>
      </c>
      <c r="BS480" t="s">
        <v>1213</v>
      </c>
      <c r="BT480">
        <v>0</v>
      </c>
      <c r="BU480" t="s">
        <v>1213</v>
      </c>
      <c r="BV480">
        <v>0</v>
      </c>
      <c r="BW480" t="s">
        <v>610</v>
      </c>
      <c r="BX480">
        <v>0</v>
      </c>
      <c r="BY480" t="s">
        <v>1213</v>
      </c>
      <c r="BZ480" t="s">
        <v>4017</v>
      </c>
      <c r="CA480" t="s">
        <v>4018</v>
      </c>
    </row>
    <row r="481" spans="1:79" x14ac:dyDescent="0.2">
      <c r="A481" t="s">
        <v>1106</v>
      </c>
      <c r="B481" t="s">
        <v>4019</v>
      </c>
      <c r="C481" t="s">
        <v>1077</v>
      </c>
      <c r="D481" t="s">
        <v>458</v>
      </c>
      <c r="E481" t="s">
        <v>1428</v>
      </c>
      <c r="F481" t="s">
        <v>4020</v>
      </c>
      <c r="G481" t="s">
        <v>1582</v>
      </c>
      <c r="H481" t="s">
        <v>4021</v>
      </c>
      <c r="I481" t="s">
        <v>4022</v>
      </c>
      <c r="J481" t="s">
        <v>1207</v>
      </c>
      <c r="K481" t="s">
        <v>1208</v>
      </c>
      <c r="N481" t="s">
        <v>1432</v>
      </c>
      <c r="O481" t="s">
        <v>272</v>
      </c>
      <c r="P481" t="s">
        <v>4023</v>
      </c>
      <c r="Q481">
        <v>2</v>
      </c>
      <c r="R481" t="s">
        <v>1211</v>
      </c>
      <c r="S481">
        <v>1.77</v>
      </c>
      <c r="T481">
        <v>1.75</v>
      </c>
      <c r="U481">
        <v>1.72</v>
      </c>
      <c r="V481">
        <v>1.7</v>
      </c>
      <c r="W481">
        <v>1.68</v>
      </c>
      <c r="X481">
        <v>1.66</v>
      </c>
      <c r="AC481" t="s">
        <v>605</v>
      </c>
      <c r="AE481" t="s">
        <v>605</v>
      </c>
      <c r="AH481">
        <v>0</v>
      </c>
      <c r="AI481" t="s">
        <v>605</v>
      </c>
      <c r="AJ481" t="s">
        <v>605</v>
      </c>
      <c r="AK481" t="s">
        <v>605</v>
      </c>
      <c r="AL481" t="s">
        <v>605</v>
      </c>
      <c r="AM481" t="s">
        <v>605</v>
      </c>
      <c r="AN481">
        <v>2.0699999999999998</v>
      </c>
      <c r="AO481">
        <v>2.04</v>
      </c>
      <c r="AP481">
        <v>2.02</v>
      </c>
      <c r="AQ481">
        <v>2</v>
      </c>
      <c r="AR481">
        <v>1.98</v>
      </c>
      <c r="AS481">
        <v>1.95</v>
      </c>
      <c r="AT481">
        <v>1.92</v>
      </c>
      <c r="AU481">
        <v>1.9</v>
      </c>
      <c r="AV481">
        <v>1.88</v>
      </c>
      <c r="AW481">
        <v>1.86</v>
      </c>
      <c r="AX481">
        <v>1.61</v>
      </c>
      <c r="AY481">
        <v>1.59</v>
      </c>
      <c r="AZ481">
        <v>1.57</v>
      </c>
      <c r="BA481">
        <v>1.55</v>
      </c>
      <c r="BB481">
        <v>1.53</v>
      </c>
      <c r="BC481">
        <v>1.35</v>
      </c>
      <c r="BD481">
        <v>1.32</v>
      </c>
      <c r="BE481">
        <v>1.3</v>
      </c>
      <c r="BF481">
        <v>1.28</v>
      </c>
      <c r="BG481">
        <v>1.26</v>
      </c>
      <c r="BH481">
        <v>0.31510500000000002</v>
      </c>
      <c r="BL481">
        <v>0.20399999999999999</v>
      </c>
      <c r="BN481">
        <v>100</v>
      </c>
      <c r="BO481" t="s">
        <v>4024</v>
      </c>
      <c r="BP481">
        <v>1.1499999999999999</v>
      </c>
      <c r="BQ481" s="773">
        <v>1.36</v>
      </c>
      <c r="BR481" t="s">
        <v>605</v>
      </c>
      <c r="BS481" t="s">
        <v>1213</v>
      </c>
      <c r="BT481">
        <v>0</v>
      </c>
      <c r="BU481" t="s">
        <v>611</v>
      </c>
      <c r="BV481">
        <v>5.0388000000000002</v>
      </c>
      <c r="BW481" t="s">
        <v>611</v>
      </c>
      <c r="BX481">
        <v>5.5692000000000004</v>
      </c>
      <c r="BY481" t="s">
        <v>1175</v>
      </c>
      <c r="BZ481" t="s">
        <v>4025</v>
      </c>
      <c r="CA481" t="s">
        <v>4026</v>
      </c>
    </row>
    <row r="482" spans="1:79" x14ac:dyDescent="0.2">
      <c r="A482" t="s">
        <v>1106</v>
      </c>
      <c r="B482" t="s">
        <v>4027</v>
      </c>
      <c r="C482" t="s">
        <v>1077</v>
      </c>
      <c r="D482" t="s">
        <v>458</v>
      </c>
      <c r="E482" t="s">
        <v>1428</v>
      </c>
      <c r="F482" t="s">
        <v>4020</v>
      </c>
      <c r="G482" t="s">
        <v>1587</v>
      </c>
      <c r="H482" t="s">
        <v>4028</v>
      </c>
      <c r="I482" t="s">
        <v>4029</v>
      </c>
      <c r="J482" t="s">
        <v>1207</v>
      </c>
      <c r="K482" t="s">
        <v>1563</v>
      </c>
      <c r="M482" t="s">
        <v>606</v>
      </c>
      <c r="N482" t="s">
        <v>1432</v>
      </c>
      <c r="O482" t="s">
        <v>272</v>
      </c>
      <c r="P482" t="s">
        <v>4030</v>
      </c>
      <c r="Q482">
        <v>0</v>
      </c>
      <c r="R482" t="s">
        <v>1211</v>
      </c>
      <c r="S482">
        <v>50000</v>
      </c>
      <c r="T482">
        <v>50651</v>
      </c>
      <c r="U482">
        <v>50651</v>
      </c>
      <c r="V482">
        <v>50651</v>
      </c>
      <c r="W482">
        <v>50651</v>
      </c>
      <c r="X482">
        <v>50651</v>
      </c>
      <c r="AE482" t="s">
        <v>605</v>
      </c>
      <c r="AH482">
        <v>0</v>
      </c>
      <c r="AI482" t="s">
        <v>605</v>
      </c>
      <c r="AJ482" t="s">
        <v>605</v>
      </c>
      <c r="AK482" t="s">
        <v>605</v>
      </c>
      <c r="AL482" t="s">
        <v>605</v>
      </c>
      <c r="AM482" t="s">
        <v>605</v>
      </c>
      <c r="AN482" t="s">
        <v>4031</v>
      </c>
      <c r="AO482" t="s">
        <v>4031</v>
      </c>
      <c r="AP482" t="s">
        <v>4031</v>
      </c>
      <c r="AQ482" t="s">
        <v>4031</v>
      </c>
      <c r="AR482" t="s">
        <v>4031</v>
      </c>
      <c r="AS482">
        <v>60781</v>
      </c>
      <c r="AT482">
        <v>60781</v>
      </c>
      <c r="AU482">
        <v>60781</v>
      </c>
      <c r="AV482">
        <v>60781</v>
      </c>
      <c r="AW482">
        <v>60781</v>
      </c>
      <c r="AX482">
        <v>40521</v>
      </c>
      <c r="AY482">
        <v>40521</v>
      </c>
      <c r="AZ482">
        <v>40521</v>
      </c>
      <c r="BA482">
        <v>40521</v>
      </c>
      <c r="BB482">
        <v>40521</v>
      </c>
      <c r="BC482">
        <v>0</v>
      </c>
      <c r="BD482">
        <v>0</v>
      </c>
      <c r="BE482">
        <v>0</v>
      </c>
      <c r="BF482">
        <v>0</v>
      </c>
      <c r="BG482">
        <v>0</v>
      </c>
      <c r="BH482">
        <v>10.4</v>
      </c>
      <c r="BL482">
        <v>7.4000000000000003E-3</v>
      </c>
      <c r="BN482">
        <v>1</v>
      </c>
      <c r="BO482" t="s">
        <v>1212</v>
      </c>
      <c r="BP482">
        <v>50651</v>
      </c>
      <c r="BQ482" s="772">
        <v>51509</v>
      </c>
      <c r="BR482" t="s">
        <v>606</v>
      </c>
      <c r="BS482" t="s">
        <v>1213</v>
      </c>
      <c r="BT482">
        <v>0</v>
      </c>
      <c r="BU482" t="s">
        <v>607</v>
      </c>
      <c r="BV482">
        <v>0</v>
      </c>
      <c r="BW482" t="s">
        <v>607</v>
      </c>
      <c r="BX482">
        <v>0</v>
      </c>
      <c r="BY482" t="s">
        <v>1213</v>
      </c>
      <c r="BZ482" t="s">
        <v>4032</v>
      </c>
      <c r="CA482" t="s">
        <v>4033</v>
      </c>
    </row>
    <row r="483" spans="1:79" x14ac:dyDescent="0.2">
      <c r="A483" t="s">
        <v>1106</v>
      </c>
      <c r="B483" t="s">
        <v>4034</v>
      </c>
      <c r="C483" t="s">
        <v>1077</v>
      </c>
      <c r="D483" t="s">
        <v>458</v>
      </c>
      <c r="E483" t="s">
        <v>1428</v>
      </c>
      <c r="F483" t="s">
        <v>4020</v>
      </c>
      <c r="G483" t="s">
        <v>4035</v>
      </c>
      <c r="H483" t="s">
        <v>4036</v>
      </c>
      <c r="I483" t="s">
        <v>4037</v>
      </c>
      <c r="J483" t="s">
        <v>1219</v>
      </c>
      <c r="K483" t="s">
        <v>1563</v>
      </c>
      <c r="M483" t="s">
        <v>606</v>
      </c>
      <c r="N483" t="s">
        <v>1432</v>
      </c>
      <c r="O483" t="s">
        <v>1507</v>
      </c>
      <c r="P483" t="s">
        <v>4038</v>
      </c>
      <c r="Q483" t="s">
        <v>1212</v>
      </c>
      <c r="X483" t="s">
        <v>2146</v>
      </c>
      <c r="AD483" t="s">
        <v>605</v>
      </c>
      <c r="AE483" t="s">
        <v>605</v>
      </c>
      <c r="AH483">
        <v>0</v>
      </c>
      <c r="AM483" t="s">
        <v>605</v>
      </c>
      <c r="BH483">
        <v>1.86</v>
      </c>
      <c r="BI483">
        <v>24.917000000000002</v>
      </c>
      <c r="BN483">
        <v>1</v>
      </c>
      <c r="BO483" t="s">
        <v>1212</v>
      </c>
      <c r="BP483" t="s">
        <v>609</v>
      </c>
      <c r="BQ483" s="771" t="s">
        <v>609</v>
      </c>
      <c r="BR483" t="s">
        <v>605</v>
      </c>
      <c r="BS483" t="s">
        <v>1213</v>
      </c>
      <c r="BT483">
        <v>0</v>
      </c>
      <c r="BU483" t="s">
        <v>1213</v>
      </c>
      <c r="BV483">
        <v>0</v>
      </c>
      <c r="BW483" t="s">
        <v>1213</v>
      </c>
      <c r="BX483">
        <v>0</v>
      </c>
      <c r="BY483" t="s">
        <v>1213</v>
      </c>
      <c r="BZ483" t="s">
        <v>4039</v>
      </c>
      <c r="CA483" t="s">
        <v>4040</v>
      </c>
    </row>
    <row r="484" spans="1:79" x14ac:dyDescent="0.2">
      <c r="A484" t="s">
        <v>1106</v>
      </c>
      <c r="B484" t="s">
        <v>4041</v>
      </c>
      <c r="C484" t="s">
        <v>1077</v>
      </c>
      <c r="D484" t="s">
        <v>458</v>
      </c>
      <c r="E484" t="s">
        <v>1428</v>
      </c>
      <c r="F484" t="s">
        <v>4020</v>
      </c>
      <c r="G484" t="s">
        <v>4042</v>
      </c>
      <c r="H484" t="s">
        <v>4043</v>
      </c>
      <c r="I484" t="s">
        <v>4044</v>
      </c>
      <c r="J484" t="s">
        <v>1219</v>
      </c>
      <c r="K484" t="s">
        <v>1563</v>
      </c>
      <c r="M484" t="s">
        <v>606</v>
      </c>
      <c r="N484" t="s">
        <v>1432</v>
      </c>
      <c r="O484" t="s">
        <v>1507</v>
      </c>
      <c r="P484" t="s">
        <v>4045</v>
      </c>
      <c r="Q484" t="s">
        <v>1212</v>
      </c>
      <c r="V484" t="s">
        <v>1719</v>
      </c>
      <c r="AD484" t="s">
        <v>605</v>
      </c>
      <c r="AE484" t="s">
        <v>605</v>
      </c>
      <c r="AH484">
        <v>0</v>
      </c>
      <c r="AK484" t="s">
        <v>605</v>
      </c>
      <c r="AL484" t="s">
        <v>605</v>
      </c>
      <c r="AM484" t="s">
        <v>605</v>
      </c>
      <c r="BH484">
        <v>0.97</v>
      </c>
      <c r="BI484">
        <v>14.083</v>
      </c>
      <c r="BN484">
        <v>1</v>
      </c>
      <c r="BO484" t="s">
        <v>1212</v>
      </c>
      <c r="BP484" t="s">
        <v>609</v>
      </c>
      <c r="BQ484" s="771" t="s">
        <v>609</v>
      </c>
      <c r="BR484" t="s">
        <v>605</v>
      </c>
      <c r="BS484" t="s">
        <v>1213</v>
      </c>
      <c r="BT484">
        <v>0</v>
      </c>
      <c r="BU484" t="s">
        <v>1213</v>
      </c>
      <c r="BV484">
        <v>0</v>
      </c>
      <c r="BW484" t="s">
        <v>1213</v>
      </c>
      <c r="BX484">
        <v>0</v>
      </c>
      <c r="BY484" t="s">
        <v>1213</v>
      </c>
      <c r="BZ484" t="s">
        <v>4046</v>
      </c>
      <c r="CA484" t="s">
        <v>4047</v>
      </c>
    </row>
    <row r="485" spans="1:79" x14ac:dyDescent="0.2">
      <c r="A485" t="s">
        <v>1106</v>
      </c>
      <c r="B485" t="s">
        <v>4048</v>
      </c>
      <c r="C485" t="s">
        <v>1077</v>
      </c>
      <c r="D485" t="s">
        <v>458</v>
      </c>
      <c r="E485" t="s">
        <v>1428</v>
      </c>
      <c r="F485" t="s">
        <v>3937</v>
      </c>
      <c r="G485" t="s">
        <v>1595</v>
      </c>
      <c r="H485" t="s">
        <v>4049</v>
      </c>
      <c r="I485" t="s">
        <v>4050</v>
      </c>
      <c r="J485" t="s">
        <v>1219</v>
      </c>
      <c r="K485" t="s">
        <v>1563</v>
      </c>
      <c r="N485" t="s">
        <v>1495</v>
      </c>
      <c r="O485" t="s">
        <v>272</v>
      </c>
      <c r="P485" t="s">
        <v>4051</v>
      </c>
      <c r="Q485">
        <v>0</v>
      </c>
      <c r="R485" t="s">
        <v>1211</v>
      </c>
      <c r="S485" t="s">
        <v>4052</v>
      </c>
      <c r="T485" t="s">
        <v>4052</v>
      </c>
      <c r="U485" t="s">
        <v>4052</v>
      </c>
      <c r="V485" t="s">
        <v>4052</v>
      </c>
      <c r="W485" t="s">
        <v>4052</v>
      </c>
      <c r="X485" t="s">
        <v>4052</v>
      </c>
      <c r="AE485" t="s">
        <v>605</v>
      </c>
      <c r="AH485">
        <v>0</v>
      </c>
      <c r="AI485" t="s">
        <v>605</v>
      </c>
      <c r="AJ485" t="s">
        <v>605</v>
      </c>
      <c r="AK485" t="s">
        <v>605</v>
      </c>
      <c r="AL485" t="s">
        <v>605</v>
      </c>
      <c r="AM485" t="s">
        <v>605</v>
      </c>
      <c r="AN485">
        <v>999999</v>
      </c>
      <c r="AO485">
        <v>999999</v>
      </c>
      <c r="AP485">
        <v>999999</v>
      </c>
      <c r="AQ485">
        <v>999999</v>
      </c>
      <c r="AR485">
        <v>999999</v>
      </c>
      <c r="AS485">
        <v>300</v>
      </c>
      <c r="AT485">
        <v>300</v>
      </c>
      <c r="AU485">
        <v>300</v>
      </c>
      <c r="AV485">
        <v>300</v>
      </c>
      <c r="AW485">
        <v>300</v>
      </c>
      <c r="BH485">
        <v>8.3999999999999995E-3</v>
      </c>
      <c r="BN485">
        <v>1</v>
      </c>
      <c r="BO485" t="s">
        <v>1212</v>
      </c>
      <c r="BP485">
        <v>270</v>
      </c>
      <c r="BQ485" s="772">
        <v>282</v>
      </c>
      <c r="BR485" t="s">
        <v>605</v>
      </c>
      <c r="BS485" t="s">
        <v>1213</v>
      </c>
      <c r="BT485">
        <v>0</v>
      </c>
      <c r="BU485" t="s">
        <v>1213</v>
      </c>
      <c r="BV485">
        <v>0</v>
      </c>
      <c r="BW485" t="s">
        <v>1213</v>
      </c>
      <c r="BX485">
        <v>0</v>
      </c>
      <c r="BY485" t="s">
        <v>1213</v>
      </c>
      <c r="BZ485" t="s">
        <v>4053</v>
      </c>
      <c r="CA485" t="s">
        <v>4054</v>
      </c>
    </row>
    <row r="486" spans="1:79" x14ac:dyDescent="0.2">
      <c r="A486" t="s">
        <v>1106</v>
      </c>
      <c r="B486" t="s">
        <v>4055</v>
      </c>
      <c r="C486" t="s">
        <v>1077</v>
      </c>
      <c r="D486" t="s">
        <v>458</v>
      </c>
      <c r="E486" t="s">
        <v>1428</v>
      </c>
      <c r="F486" t="s">
        <v>4056</v>
      </c>
      <c r="G486" t="s">
        <v>1603</v>
      </c>
      <c r="H486" t="s">
        <v>4057</v>
      </c>
      <c r="I486" t="s">
        <v>4058</v>
      </c>
      <c r="J486" t="s">
        <v>1241</v>
      </c>
      <c r="N486" t="s">
        <v>1386</v>
      </c>
      <c r="O486" t="s">
        <v>272</v>
      </c>
      <c r="P486" t="s">
        <v>1904</v>
      </c>
      <c r="Q486">
        <v>0</v>
      </c>
      <c r="R486" t="s">
        <v>1211</v>
      </c>
      <c r="S486">
        <v>152</v>
      </c>
      <c r="T486">
        <v>133</v>
      </c>
      <c r="U486">
        <v>124</v>
      </c>
      <c r="V486">
        <v>122</v>
      </c>
      <c r="W486">
        <v>121</v>
      </c>
      <c r="X486">
        <v>119</v>
      </c>
      <c r="AH486">
        <v>0</v>
      </c>
      <c r="BP486">
        <v>147.80000000000001</v>
      </c>
      <c r="BQ486" s="772">
        <v>138</v>
      </c>
      <c r="BR486" t="s">
        <v>606</v>
      </c>
      <c r="BS486" t="s">
        <v>1213</v>
      </c>
      <c r="BT486">
        <v>0</v>
      </c>
      <c r="BU486" t="s">
        <v>1213</v>
      </c>
      <c r="BV486">
        <v>0</v>
      </c>
      <c r="BW486" t="s">
        <v>1213</v>
      </c>
      <c r="BX486">
        <v>0</v>
      </c>
      <c r="BY486" t="s">
        <v>1213</v>
      </c>
      <c r="BZ486" t="s">
        <v>4059</v>
      </c>
    </row>
    <row r="487" spans="1:79" x14ac:dyDescent="0.2">
      <c r="A487" t="s">
        <v>1106</v>
      </c>
      <c r="B487" t="s">
        <v>4060</v>
      </c>
      <c r="C487" t="s">
        <v>1077</v>
      </c>
      <c r="D487" t="s">
        <v>458</v>
      </c>
      <c r="E487" t="s">
        <v>1428</v>
      </c>
      <c r="F487" t="s">
        <v>4056</v>
      </c>
      <c r="G487" t="s">
        <v>1771</v>
      </c>
      <c r="H487" t="s">
        <v>4061</v>
      </c>
      <c r="I487" t="s">
        <v>4062</v>
      </c>
      <c r="J487" t="s">
        <v>1219</v>
      </c>
      <c r="K487" t="s">
        <v>1563</v>
      </c>
      <c r="N487" t="s">
        <v>1386</v>
      </c>
      <c r="O487" t="s">
        <v>264</v>
      </c>
      <c r="P487" t="s">
        <v>4063</v>
      </c>
      <c r="Q487">
        <v>0</v>
      </c>
      <c r="R487" t="s">
        <v>1251</v>
      </c>
      <c r="S487">
        <v>20</v>
      </c>
      <c r="T487">
        <v>21</v>
      </c>
      <c r="U487">
        <v>22</v>
      </c>
      <c r="V487">
        <v>22</v>
      </c>
      <c r="W487">
        <v>21</v>
      </c>
      <c r="X487">
        <v>24</v>
      </c>
      <c r="AH487">
        <v>0</v>
      </c>
      <c r="AI487" t="s">
        <v>605</v>
      </c>
      <c r="AJ487" t="s">
        <v>605</v>
      </c>
      <c r="AK487" t="s">
        <v>605</v>
      </c>
      <c r="AL487" t="s">
        <v>605</v>
      </c>
      <c r="AM487" t="s">
        <v>605</v>
      </c>
      <c r="AN487">
        <v>0</v>
      </c>
      <c r="AO487">
        <v>0</v>
      </c>
      <c r="AP487">
        <v>0</v>
      </c>
      <c r="AQ487">
        <v>0</v>
      </c>
      <c r="AR487">
        <v>0</v>
      </c>
      <c r="AS487">
        <v>21</v>
      </c>
      <c r="AT487">
        <v>22</v>
      </c>
      <c r="AU487">
        <v>22</v>
      </c>
      <c r="AV487">
        <v>21</v>
      </c>
      <c r="AW487">
        <v>24</v>
      </c>
      <c r="BH487">
        <v>9.9000000000000005E-2</v>
      </c>
      <c r="BN487">
        <v>1</v>
      </c>
      <c r="BO487" t="s">
        <v>1212</v>
      </c>
      <c r="BP487">
        <v>18</v>
      </c>
      <c r="BQ487" s="772">
        <v>25</v>
      </c>
      <c r="BR487" t="s">
        <v>605</v>
      </c>
      <c r="BS487" t="s">
        <v>1213</v>
      </c>
      <c r="BT487">
        <v>0</v>
      </c>
      <c r="BU487" t="s">
        <v>1213</v>
      </c>
      <c r="BV487">
        <v>0</v>
      </c>
      <c r="BW487" t="s">
        <v>1213</v>
      </c>
      <c r="BX487">
        <v>0</v>
      </c>
      <c r="BY487" t="s">
        <v>1213</v>
      </c>
      <c r="BZ487" t="s">
        <v>4064</v>
      </c>
      <c r="CA487" t="s">
        <v>4065</v>
      </c>
    </row>
    <row r="488" spans="1:79" x14ac:dyDescent="0.2">
      <c r="A488" t="s">
        <v>1106</v>
      </c>
      <c r="B488" t="s">
        <v>4066</v>
      </c>
      <c r="C488" t="s">
        <v>1077</v>
      </c>
      <c r="D488" t="s">
        <v>1288</v>
      </c>
      <c r="E488" t="s">
        <v>1289</v>
      </c>
      <c r="F488" t="s">
        <v>4067</v>
      </c>
      <c r="G488" t="s">
        <v>1554</v>
      </c>
      <c r="H488" t="s">
        <v>4068</v>
      </c>
      <c r="I488" t="s">
        <v>4069</v>
      </c>
      <c r="J488" t="s">
        <v>1207</v>
      </c>
      <c r="K488" t="s">
        <v>1208</v>
      </c>
      <c r="M488" t="s">
        <v>606</v>
      </c>
      <c r="N488" t="s">
        <v>1294</v>
      </c>
      <c r="O488" t="s">
        <v>665</v>
      </c>
      <c r="P488" t="s">
        <v>1295</v>
      </c>
      <c r="Q488">
        <v>0</v>
      </c>
      <c r="R488" t="s">
        <v>1251</v>
      </c>
      <c r="S488" t="s">
        <v>4070</v>
      </c>
      <c r="T488" t="s">
        <v>4070</v>
      </c>
      <c r="U488" t="s">
        <v>4070</v>
      </c>
      <c r="V488" t="s">
        <v>4070</v>
      </c>
      <c r="W488" t="s">
        <v>4070</v>
      </c>
      <c r="X488" t="s">
        <v>4070</v>
      </c>
      <c r="AH488">
        <v>0</v>
      </c>
      <c r="AI488" t="s">
        <v>605</v>
      </c>
      <c r="AJ488" t="s">
        <v>605</v>
      </c>
      <c r="AK488" t="s">
        <v>605</v>
      </c>
      <c r="AL488" t="s">
        <v>605</v>
      </c>
      <c r="AM488" t="s">
        <v>605</v>
      </c>
      <c r="AN488" t="s">
        <v>1296</v>
      </c>
      <c r="AO488" t="s">
        <v>1296</v>
      </c>
      <c r="AP488" t="s">
        <v>1296</v>
      </c>
      <c r="AQ488" t="s">
        <v>1296</v>
      </c>
      <c r="AR488" t="s">
        <v>1296</v>
      </c>
      <c r="AS488" t="s">
        <v>1296</v>
      </c>
      <c r="AT488" t="s">
        <v>1296</v>
      </c>
      <c r="AU488" t="s">
        <v>1296</v>
      </c>
      <c r="AV488" t="s">
        <v>1296</v>
      </c>
      <c r="AW488" t="s">
        <v>1296</v>
      </c>
      <c r="AX488" t="s">
        <v>1296</v>
      </c>
      <c r="AY488" t="s">
        <v>1296</v>
      </c>
      <c r="AZ488" t="s">
        <v>1296</v>
      </c>
      <c r="BA488" t="s">
        <v>1296</v>
      </c>
      <c r="BB488" t="s">
        <v>1296</v>
      </c>
      <c r="BC488" t="s">
        <v>1296</v>
      </c>
      <c r="BD488" t="s">
        <v>1296</v>
      </c>
      <c r="BE488" t="s">
        <v>1296</v>
      </c>
      <c r="BF488" t="s">
        <v>1296</v>
      </c>
      <c r="BG488" t="s">
        <v>1296</v>
      </c>
      <c r="BH488" t="s">
        <v>1296</v>
      </c>
      <c r="BL488" t="s">
        <v>1296</v>
      </c>
      <c r="BN488">
        <v>1</v>
      </c>
      <c r="BO488" t="s">
        <v>1212</v>
      </c>
      <c r="BP488" t="s">
        <v>952</v>
      </c>
      <c r="BQ488" s="772">
        <v>87</v>
      </c>
      <c r="BR488" t="s">
        <v>605</v>
      </c>
      <c r="BS488" t="s">
        <v>1213</v>
      </c>
      <c r="BT488">
        <v>0</v>
      </c>
      <c r="BU488" t="s">
        <v>1213</v>
      </c>
      <c r="BV488">
        <v>0</v>
      </c>
      <c r="BW488" t="s">
        <v>1213</v>
      </c>
      <c r="BX488">
        <v>0</v>
      </c>
      <c r="BY488" t="s">
        <v>1213</v>
      </c>
      <c r="BZ488" t="s">
        <v>4071</v>
      </c>
      <c r="CA488" t="s">
        <v>1298</v>
      </c>
    </row>
    <row r="489" spans="1:79" x14ac:dyDescent="0.2">
      <c r="A489" t="s">
        <v>1106</v>
      </c>
      <c r="B489" t="s">
        <v>4072</v>
      </c>
      <c r="C489" t="s">
        <v>1077</v>
      </c>
      <c r="D489" t="s">
        <v>1288</v>
      </c>
      <c r="E489" t="s">
        <v>1289</v>
      </c>
      <c r="F489" t="s">
        <v>4067</v>
      </c>
      <c r="G489" t="s">
        <v>1560</v>
      </c>
      <c r="H489" t="s">
        <v>4073</v>
      </c>
      <c r="I489" t="s">
        <v>4074</v>
      </c>
      <c r="J489" t="s">
        <v>1241</v>
      </c>
      <c r="N489" t="s">
        <v>1400</v>
      </c>
      <c r="O489" t="s">
        <v>264</v>
      </c>
      <c r="P489" t="s">
        <v>1401</v>
      </c>
      <c r="Q489">
        <v>0</v>
      </c>
      <c r="R489" t="s">
        <v>1251</v>
      </c>
      <c r="S489" t="s">
        <v>4075</v>
      </c>
      <c r="T489" t="s">
        <v>4075</v>
      </c>
      <c r="U489" t="s">
        <v>4075</v>
      </c>
      <c r="V489" t="s">
        <v>4075</v>
      </c>
      <c r="W489" t="s">
        <v>4075</v>
      </c>
      <c r="X489" t="s">
        <v>4075</v>
      </c>
      <c r="AH489">
        <v>0</v>
      </c>
      <c r="BP489">
        <v>96</v>
      </c>
      <c r="BQ489" s="772">
        <v>96</v>
      </c>
      <c r="BR489" t="s">
        <v>605</v>
      </c>
      <c r="BS489" t="s">
        <v>1213</v>
      </c>
      <c r="BT489">
        <v>0</v>
      </c>
      <c r="BU489" t="s">
        <v>1213</v>
      </c>
      <c r="BV489">
        <v>0</v>
      </c>
      <c r="BW489" t="s">
        <v>1213</v>
      </c>
      <c r="BX489">
        <v>0</v>
      </c>
      <c r="BY489" t="s">
        <v>1213</v>
      </c>
      <c r="BZ489" t="s">
        <v>4076</v>
      </c>
    </row>
    <row r="490" spans="1:79" x14ac:dyDescent="0.2">
      <c r="A490" t="s">
        <v>1106</v>
      </c>
      <c r="B490" t="s">
        <v>4077</v>
      </c>
      <c r="C490" t="s">
        <v>1077</v>
      </c>
      <c r="D490" t="s">
        <v>1288</v>
      </c>
      <c r="E490" t="s">
        <v>1289</v>
      </c>
      <c r="F490" t="s">
        <v>4067</v>
      </c>
      <c r="G490" t="s">
        <v>1569</v>
      </c>
      <c r="H490" t="s">
        <v>4078</v>
      </c>
      <c r="I490" t="s">
        <v>4079</v>
      </c>
      <c r="J490" t="s">
        <v>1241</v>
      </c>
      <c r="N490" t="s">
        <v>1303</v>
      </c>
      <c r="O490" t="s">
        <v>264</v>
      </c>
      <c r="P490" t="s">
        <v>1401</v>
      </c>
      <c r="Q490">
        <v>0</v>
      </c>
      <c r="R490" t="s">
        <v>1251</v>
      </c>
      <c r="S490">
        <v>70</v>
      </c>
      <c r="T490">
        <v>71</v>
      </c>
      <c r="U490">
        <v>72</v>
      </c>
      <c r="V490">
        <v>73</v>
      </c>
      <c r="W490">
        <v>74</v>
      </c>
      <c r="X490">
        <v>75</v>
      </c>
      <c r="AH490">
        <v>0</v>
      </c>
      <c r="BP490">
        <v>65</v>
      </c>
      <c r="BQ490" s="772">
        <v>78</v>
      </c>
      <c r="BR490" t="s">
        <v>605</v>
      </c>
      <c r="BS490" t="s">
        <v>1213</v>
      </c>
      <c r="BT490">
        <v>0</v>
      </c>
      <c r="BU490" t="s">
        <v>1213</v>
      </c>
      <c r="BV490">
        <v>0</v>
      </c>
      <c r="BW490" t="s">
        <v>1213</v>
      </c>
      <c r="BX490">
        <v>0</v>
      </c>
      <c r="BY490" t="s">
        <v>1213</v>
      </c>
      <c r="BZ490" t="s">
        <v>4080</v>
      </c>
    </row>
    <row r="491" spans="1:79" x14ac:dyDescent="0.2">
      <c r="A491" t="s">
        <v>1106</v>
      </c>
      <c r="B491" t="s">
        <v>4081</v>
      </c>
      <c r="C491" t="s">
        <v>1077</v>
      </c>
      <c r="D491" t="s">
        <v>1288</v>
      </c>
      <c r="E491" t="s">
        <v>1289</v>
      </c>
      <c r="F491" t="s">
        <v>4067</v>
      </c>
      <c r="G491" t="s">
        <v>1715</v>
      </c>
      <c r="H491" t="s">
        <v>4082</v>
      </c>
      <c r="I491" t="s">
        <v>4083</v>
      </c>
      <c r="J491" t="s">
        <v>1241</v>
      </c>
      <c r="N491" t="s">
        <v>1400</v>
      </c>
      <c r="O491" t="s">
        <v>264</v>
      </c>
      <c r="P491" t="s">
        <v>1401</v>
      </c>
      <c r="Q491">
        <v>0</v>
      </c>
      <c r="R491" t="s">
        <v>1251</v>
      </c>
      <c r="S491" t="s">
        <v>1897</v>
      </c>
      <c r="T491" t="s">
        <v>4084</v>
      </c>
      <c r="U491" t="s">
        <v>4084</v>
      </c>
      <c r="V491" t="s">
        <v>4084</v>
      </c>
      <c r="W491" t="s">
        <v>4084</v>
      </c>
      <c r="X491" t="s">
        <v>4084</v>
      </c>
      <c r="AH491">
        <v>0</v>
      </c>
      <c r="BP491">
        <v>79</v>
      </c>
      <c r="BQ491" s="771">
        <v>81</v>
      </c>
      <c r="BR491" t="s">
        <v>605</v>
      </c>
      <c r="BS491" t="s">
        <v>1213</v>
      </c>
      <c r="BT491">
        <v>0</v>
      </c>
      <c r="BU491" t="s">
        <v>1213</v>
      </c>
      <c r="BV491">
        <v>0</v>
      </c>
      <c r="BW491" t="s">
        <v>1213</v>
      </c>
      <c r="BX491">
        <v>0</v>
      </c>
      <c r="BY491" t="s">
        <v>1213</v>
      </c>
      <c r="BZ491" t="s">
        <v>4085</v>
      </c>
    </row>
    <row r="492" spans="1:79" ht="56.25" x14ac:dyDescent="0.2">
      <c r="A492" t="s">
        <v>1106</v>
      </c>
      <c r="B492" t="s">
        <v>4086</v>
      </c>
      <c r="C492" t="s">
        <v>1077</v>
      </c>
      <c r="D492" t="s">
        <v>1288</v>
      </c>
      <c r="E492" t="s">
        <v>1289</v>
      </c>
      <c r="F492" t="s">
        <v>4067</v>
      </c>
      <c r="G492" t="s">
        <v>2285</v>
      </c>
      <c r="H492" t="s">
        <v>4087</v>
      </c>
      <c r="I492" t="s">
        <v>4088</v>
      </c>
      <c r="J492" t="s">
        <v>1241</v>
      </c>
      <c r="N492" t="s">
        <v>1400</v>
      </c>
      <c r="O492" t="s">
        <v>1507</v>
      </c>
      <c r="P492" t="s">
        <v>4089</v>
      </c>
      <c r="Q492" t="s">
        <v>1212</v>
      </c>
      <c r="S492" t="s">
        <v>1897</v>
      </c>
      <c r="T492" t="s">
        <v>1710</v>
      </c>
      <c r="U492" t="s">
        <v>1710</v>
      </c>
      <c r="V492" t="s">
        <v>1710</v>
      </c>
      <c r="W492" t="s">
        <v>1710</v>
      </c>
      <c r="X492" t="s">
        <v>4090</v>
      </c>
      <c r="AH492">
        <v>0</v>
      </c>
      <c r="BP492" t="s">
        <v>4091</v>
      </c>
      <c r="BQ492" s="786" t="s">
        <v>4091</v>
      </c>
      <c r="BR492" t="s">
        <v>605</v>
      </c>
      <c r="BS492" t="s">
        <v>1213</v>
      </c>
      <c r="BT492">
        <v>0</v>
      </c>
      <c r="BU492" t="s">
        <v>1213</v>
      </c>
      <c r="BV492">
        <v>0</v>
      </c>
      <c r="BW492" t="s">
        <v>1213</v>
      </c>
      <c r="BX492">
        <v>0</v>
      </c>
      <c r="BY492" t="s">
        <v>1213</v>
      </c>
      <c r="BZ492" t="s">
        <v>4092</v>
      </c>
    </row>
    <row r="493" spans="1:79" x14ac:dyDescent="0.2">
      <c r="A493" t="s">
        <v>1106</v>
      </c>
      <c r="B493" t="s">
        <v>4093</v>
      </c>
      <c r="C493" t="s">
        <v>1077</v>
      </c>
      <c r="D493" t="s">
        <v>1288</v>
      </c>
      <c r="E493" t="s">
        <v>1289</v>
      </c>
      <c r="F493" t="s">
        <v>1658</v>
      </c>
      <c r="G493" t="s">
        <v>4094</v>
      </c>
      <c r="H493" t="s">
        <v>4095</v>
      </c>
      <c r="I493" t="s">
        <v>4096</v>
      </c>
      <c r="J493" t="s">
        <v>1241</v>
      </c>
      <c r="N493" t="s">
        <v>1220</v>
      </c>
      <c r="O493" t="s">
        <v>272</v>
      </c>
      <c r="P493" t="s">
        <v>1221</v>
      </c>
      <c r="Q493">
        <v>0</v>
      </c>
      <c r="R493" t="s">
        <v>1211</v>
      </c>
      <c r="S493">
        <v>137</v>
      </c>
      <c r="T493">
        <v>135</v>
      </c>
      <c r="U493">
        <v>134</v>
      </c>
      <c r="V493">
        <v>133</v>
      </c>
      <c r="W493">
        <v>132</v>
      </c>
      <c r="X493">
        <v>131</v>
      </c>
      <c r="AH493">
        <v>0</v>
      </c>
      <c r="BP493">
        <v>138</v>
      </c>
      <c r="BQ493" s="772">
        <v>138</v>
      </c>
      <c r="BR493" t="s">
        <v>606</v>
      </c>
      <c r="BS493" t="s">
        <v>1213</v>
      </c>
      <c r="BT493">
        <v>0</v>
      </c>
      <c r="BU493" t="s">
        <v>1213</v>
      </c>
      <c r="BV493">
        <v>0</v>
      </c>
      <c r="BW493" t="s">
        <v>1213</v>
      </c>
      <c r="BX493">
        <v>0</v>
      </c>
      <c r="BY493" t="s">
        <v>1213</v>
      </c>
      <c r="BZ493" t="s">
        <v>4097</v>
      </c>
    </row>
    <row r="494" spans="1:79" x14ac:dyDescent="0.2">
      <c r="A494" t="s">
        <v>1106</v>
      </c>
      <c r="B494" t="s">
        <v>4098</v>
      </c>
      <c r="C494" t="s">
        <v>1077</v>
      </c>
      <c r="D494" t="s">
        <v>1288</v>
      </c>
      <c r="E494" t="s">
        <v>1289</v>
      </c>
      <c r="F494" t="s">
        <v>1658</v>
      </c>
      <c r="G494" t="s">
        <v>4099</v>
      </c>
      <c r="H494" t="s">
        <v>4100</v>
      </c>
      <c r="I494" t="s">
        <v>4101</v>
      </c>
      <c r="J494" t="s">
        <v>1219</v>
      </c>
      <c r="K494" t="s">
        <v>1208</v>
      </c>
      <c r="N494" t="s">
        <v>1220</v>
      </c>
      <c r="O494" t="s">
        <v>272</v>
      </c>
      <c r="P494" t="s">
        <v>1221</v>
      </c>
      <c r="Q494">
        <v>2</v>
      </c>
      <c r="R494" t="s">
        <v>1251</v>
      </c>
      <c r="T494">
        <v>0.56999999999999995</v>
      </c>
      <c r="U494">
        <v>1.25</v>
      </c>
      <c r="V494">
        <v>1.92</v>
      </c>
      <c r="W494">
        <v>2.59</v>
      </c>
      <c r="X494">
        <v>3.26</v>
      </c>
      <c r="AH494">
        <v>0</v>
      </c>
      <c r="AI494" t="s">
        <v>605</v>
      </c>
      <c r="AJ494" t="s">
        <v>605</v>
      </c>
      <c r="AK494" t="s">
        <v>605</v>
      </c>
      <c r="AL494" t="s">
        <v>605</v>
      </c>
      <c r="AM494" t="s">
        <v>605</v>
      </c>
      <c r="AN494">
        <v>0</v>
      </c>
      <c r="AO494">
        <v>0</v>
      </c>
      <c r="AP494">
        <v>0</v>
      </c>
      <c r="AQ494">
        <v>0</v>
      </c>
      <c r="AR494">
        <v>0</v>
      </c>
      <c r="AS494">
        <v>0.56999999999999995</v>
      </c>
      <c r="AT494">
        <v>1.25</v>
      </c>
      <c r="AU494">
        <v>1.92</v>
      </c>
      <c r="AV494">
        <v>2.59</v>
      </c>
      <c r="AW494">
        <v>3.26</v>
      </c>
      <c r="BH494">
        <v>1.89</v>
      </c>
      <c r="BN494">
        <v>1</v>
      </c>
      <c r="BO494" t="s">
        <v>1212</v>
      </c>
      <c r="BP494">
        <v>0.48</v>
      </c>
      <c r="BQ494" s="773">
        <v>0.68</v>
      </c>
      <c r="BR494" t="s">
        <v>605</v>
      </c>
      <c r="BS494" t="s">
        <v>1213</v>
      </c>
      <c r="BT494">
        <v>0</v>
      </c>
      <c r="BU494" t="s">
        <v>1213</v>
      </c>
      <c r="BV494">
        <v>0</v>
      </c>
      <c r="BW494" t="s">
        <v>1213</v>
      </c>
      <c r="BX494">
        <v>0</v>
      </c>
      <c r="BY494" t="s">
        <v>1213</v>
      </c>
      <c r="BZ494" t="s">
        <v>4102</v>
      </c>
    </row>
    <row r="495" spans="1:79" x14ac:dyDescent="0.2">
      <c r="A495" t="s">
        <v>1106</v>
      </c>
      <c r="B495" t="s">
        <v>4103</v>
      </c>
      <c r="C495" t="s">
        <v>1077</v>
      </c>
      <c r="D495" t="s">
        <v>1288</v>
      </c>
      <c r="E495" t="s">
        <v>1289</v>
      </c>
      <c r="F495" t="s">
        <v>1658</v>
      </c>
      <c r="G495" t="s">
        <v>1731</v>
      </c>
      <c r="H495" t="s">
        <v>4104</v>
      </c>
      <c r="I495" t="s">
        <v>4105</v>
      </c>
      <c r="J495" t="s">
        <v>1241</v>
      </c>
      <c r="N495" t="s">
        <v>1303</v>
      </c>
      <c r="O495" t="s">
        <v>264</v>
      </c>
      <c r="P495" t="s">
        <v>4106</v>
      </c>
      <c r="Q495">
        <v>1</v>
      </c>
      <c r="R495" t="s">
        <v>1211</v>
      </c>
      <c r="S495">
        <v>1.6E-2</v>
      </c>
      <c r="T495" t="s">
        <v>4107</v>
      </c>
      <c r="U495" t="s">
        <v>4107</v>
      </c>
      <c r="V495" t="s">
        <v>4107</v>
      </c>
      <c r="W495" t="s">
        <v>4107</v>
      </c>
      <c r="X495" t="s">
        <v>4107</v>
      </c>
      <c r="AH495">
        <v>0</v>
      </c>
      <c r="BP495">
        <v>1.6</v>
      </c>
      <c r="BQ495" s="771">
        <v>1.5</v>
      </c>
      <c r="BR495" t="s">
        <v>605</v>
      </c>
      <c r="BS495" t="s">
        <v>1213</v>
      </c>
      <c r="BT495">
        <v>0</v>
      </c>
      <c r="BU495" t="s">
        <v>1213</v>
      </c>
      <c r="BV495">
        <v>0</v>
      </c>
      <c r="BW495" t="s">
        <v>1213</v>
      </c>
      <c r="BX495">
        <v>0</v>
      </c>
      <c r="BY495" t="s">
        <v>1213</v>
      </c>
      <c r="BZ495" t="s">
        <v>4108</v>
      </c>
    </row>
    <row r="496" spans="1:79" x14ac:dyDescent="0.2">
      <c r="A496" t="s">
        <v>1109</v>
      </c>
      <c r="B496" t="s">
        <v>4109</v>
      </c>
      <c r="C496" t="s">
        <v>1077</v>
      </c>
      <c r="D496" t="s">
        <v>457</v>
      </c>
      <c r="E496" t="s">
        <v>1202</v>
      </c>
      <c r="F496" t="s">
        <v>4110</v>
      </c>
      <c r="G496" t="s">
        <v>3276</v>
      </c>
      <c r="H496" t="s">
        <v>4111</v>
      </c>
      <c r="I496" t="s">
        <v>4112</v>
      </c>
      <c r="J496" t="s">
        <v>1219</v>
      </c>
      <c r="K496" t="s">
        <v>4113</v>
      </c>
      <c r="N496" t="s">
        <v>1249</v>
      </c>
      <c r="O496" t="s">
        <v>264</v>
      </c>
      <c r="P496" t="s">
        <v>1250</v>
      </c>
      <c r="Q496">
        <v>3</v>
      </c>
      <c r="R496" t="s">
        <v>1251</v>
      </c>
      <c r="S496">
        <v>99.96</v>
      </c>
      <c r="T496">
        <v>99.96</v>
      </c>
      <c r="U496">
        <v>99.96</v>
      </c>
      <c r="V496">
        <v>100</v>
      </c>
      <c r="W496">
        <v>100</v>
      </c>
      <c r="X496">
        <v>100</v>
      </c>
      <c r="Y496" t="s">
        <v>605</v>
      </c>
      <c r="AE496" t="s">
        <v>605</v>
      </c>
      <c r="AH496">
        <v>0</v>
      </c>
      <c r="AI496" t="s">
        <v>605</v>
      </c>
      <c r="AJ496" t="s">
        <v>605</v>
      </c>
      <c r="AK496" t="s">
        <v>605</v>
      </c>
      <c r="AL496" t="s">
        <v>605</v>
      </c>
      <c r="AM496" t="s">
        <v>605</v>
      </c>
      <c r="AN496">
        <v>99.929000000000002</v>
      </c>
      <c r="AO496">
        <v>99.929000000000002</v>
      </c>
      <c r="AP496">
        <v>99.938999999999993</v>
      </c>
      <c r="AQ496">
        <v>99.938999999999993</v>
      </c>
      <c r="AR496">
        <v>99.938999999999993</v>
      </c>
      <c r="AS496">
        <v>99.94</v>
      </c>
      <c r="AT496">
        <v>99.94</v>
      </c>
      <c r="AU496">
        <v>99.95</v>
      </c>
      <c r="AV496">
        <v>99.95</v>
      </c>
      <c r="AW496">
        <v>99.95</v>
      </c>
      <c r="BH496">
        <v>8.9201160000000002</v>
      </c>
      <c r="BN496">
        <v>100</v>
      </c>
      <c r="BO496" t="s">
        <v>1598</v>
      </c>
      <c r="BP496">
        <v>99.953000000000003</v>
      </c>
      <c r="BQ496" s="782">
        <v>99.953999999999994</v>
      </c>
      <c r="BR496" t="s">
        <v>606</v>
      </c>
      <c r="BS496" t="s">
        <v>1213</v>
      </c>
      <c r="BT496">
        <v>0</v>
      </c>
      <c r="BU496" t="s">
        <v>607</v>
      </c>
      <c r="BV496">
        <v>0</v>
      </c>
      <c r="BW496" t="s">
        <v>1213</v>
      </c>
      <c r="BX496">
        <v>0</v>
      </c>
      <c r="BY496" t="s">
        <v>1171</v>
      </c>
      <c r="BZ496" t="s">
        <v>4114</v>
      </c>
    </row>
    <row r="497" spans="1:79" x14ac:dyDescent="0.2">
      <c r="A497" t="s">
        <v>1109</v>
      </c>
      <c r="B497" t="s">
        <v>4115</v>
      </c>
      <c r="C497" t="s">
        <v>1077</v>
      </c>
      <c r="D497" t="s">
        <v>457</v>
      </c>
      <c r="E497" t="s">
        <v>1202</v>
      </c>
      <c r="F497" t="s">
        <v>4110</v>
      </c>
      <c r="G497" t="s">
        <v>3282</v>
      </c>
      <c r="H497" t="s">
        <v>4116</v>
      </c>
      <c r="I497" t="s">
        <v>4117</v>
      </c>
      <c r="J497" t="s">
        <v>1241</v>
      </c>
      <c r="N497" t="s">
        <v>1249</v>
      </c>
      <c r="O497" t="s">
        <v>272</v>
      </c>
      <c r="P497" t="s">
        <v>4118</v>
      </c>
      <c r="Q497">
        <v>0</v>
      </c>
      <c r="R497" t="s">
        <v>1211</v>
      </c>
      <c r="S497">
        <v>6</v>
      </c>
      <c r="T497">
        <v>6</v>
      </c>
      <c r="U497">
        <v>6</v>
      </c>
      <c r="V497">
        <v>6</v>
      </c>
      <c r="W497">
        <v>6</v>
      </c>
      <c r="X497">
        <v>6</v>
      </c>
      <c r="AE497" t="s">
        <v>605</v>
      </c>
      <c r="AH497">
        <v>0</v>
      </c>
      <c r="BP497">
        <v>3</v>
      </c>
      <c r="BQ497" s="772">
        <v>5</v>
      </c>
      <c r="BR497" t="s">
        <v>605</v>
      </c>
      <c r="BS497" t="s">
        <v>1213</v>
      </c>
      <c r="BT497">
        <v>0</v>
      </c>
      <c r="BU497" t="s">
        <v>1213</v>
      </c>
      <c r="BV497">
        <v>0</v>
      </c>
      <c r="BW497" t="s">
        <v>1213</v>
      </c>
      <c r="BX497">
        <v>0</v>
      </c>
      <c r="BY497" t="s">
        <v>1213</v>
      </c>
      <c r="BZ497" t="s">
        <v>4119</v>
      </c>
    </row>
    <row r="498" spans="1:79" x14ac:dyDescent="0.2">
      <c r="A498" t="s">
        <v>1109</v>
      </c>
      <c r="B498" t="s">
        <v>4120</v>
      </c>
      <c r="C498" t="s">
        <v>1077</v>
      </c>
      <c r="D498" t="s">
        <v>457</v>
      </c>
      <c r="E498" t="s">
        <v>1202</v>
      </c>
      <c r="F498" t="s">
        <v>4110</v>
      </c>
      <c r="G498" t="s">
        <v>3288</v>
      </c>
      <c r="H498" t="s">
        <v>4121</v>
      </c>
      <c r="I498" t="s">
        <v>4122</v>
      </c>
      <c r="J498" t="s">
        <v>1207</v>
      </c>
      <c r="K498" t="s">
        <v>4123</v>
      </c>
      <c r="N498" t="s">
        <v>1172</v>
      </c>
      <c r="O498" t="s">
        <v>272</v>
      </c>
      <c r="P498" t="s">
        <v>4124</v>
      </c>
      <c r="Q498">
        <v>0</v>
      </c>
      <c r="R498" t="s">
        <v>1211</v>
      </c>
      <c r="S498">
        <v>12143</v>
      </c>
      <c r="T498">
        <v>10131</v>
      </c>
      <c r="U498">
        <v>8120</v>
      </c>
      <c r="V498">
        <v>6108</v>
      </c>
      <c r="W498">
        <v>6108</v>
      </c>
      <c r="X498">
        <v>6108</v>
      </c>
      <c r="Z498" t="s">
        <v>605</v>
      </c>
      <c r="AE498" t="s">
        <v>605</v>
      </c>
      <c r="AH498">
        <v>0</v>
      </c>
      <c r="AI498" t="s">
        <v>605</v>
      </c>
      <c r="AJ498" t="s">
        <v>605</v>
      </c>
      <c r="AK498" t="s">
        <v>605</v>
      </c>
      <c r="AL498" t="s">
        <v>605</v>
      </c>
      <c r="AM498" t="s">
        <v>605</v>
      </c>
      <c r="AN498">
        <v>15000</v>
      </c>
      <c r="AO498">
        <v>15000</v>
      </c>
      <c r="AP498">
        <v>8965</v>
      </c>
      <c r="AQ498">
        <v>8965</v>
      </c>
      <c r="AR498">
        <v>8965</v>
      </c>
      <c r="AS498">
        <v>12143</v>
      </c>
      <c r="AT498">
        <v>12143</v>
      </c>
      <c r="AU498">
        <v>6108</v>
      </c>
      <c r="AV498">
        <v>6108</v>
      </c>
      <c r="AW498">
        <v>6108</v>
      </c>
      <c r="AX498">
        <v>6108</v>
      </c>
      <c r="AY498">
        <v>6108</v>
      </c>
      <c r="AZ498">
        <v>6108</v>
      </c>
      <c r="BA498">
        <v>6108</v>
      </c>
      <c r="BB498">
        <v>6108</v>
      </c>
      <c r="BC498">
        <v>2775</v>
      </c>
      <c r="BD498">
        <v>2775</v>
      </c>
      <c r="BE498">
        <v>2775</v>
      </c>
      <c r="BF498">
        <v>2775</v>
      </c>
      <c r="BG498">
        <v>2775</v>
      </c>
      <c r="BH498">
        <v>3.3E-3</v>
      </c>
      <c r="BL498">
        <v>2.6649999999999998E-3</v>
      </c>
      <c r="BN498">
        <v>1</v>
      </c>
      <c r="BO498" t="s">
        <v>1212</v>
      </c>
      <c r="BP498">
        <v>10570</v>
      </c>
      <c r="BQ498" s="772">
        <v>10007</v>
      </c>
      <c r="BR498" t="s">
        <v>605</v>
      </c>
      <c r="BS498" t="s">
        <v>1213</v>
      </c>
      <c r="BT498">
        <v>0</v>
      </c>
      <c r="BU498" t="s">
        <v>610</v>
      </c>
      <c r="BV498">
        <v>0</v>
      </c>
      <c r="BW498" t="s">
        <v>1213</v>
      </c>
      <c r="BX498">
        <v>0</v>
      </c>
      <c r="BY498" t="s">
        <v>1172</v>
      </c>
      <c r="BZ498" t="s">
        <v>4125</v>
      </c>
    </row>
    <row r="499" spans="1:79" x14ac:dyDescent="0.2">
      <c r="A499" t="s">
        <v>1109</v>
      </c>
      <c r="B499" t="s">
        <v>4126</v>
      </c>
      <c r="C499" t="s">
        <v>1077</v>
      </c>
      <c r="D499" t="s">
        <v>457</v>
      </c>
      <c r="E499" t="s">
        <v>1202</v>
      </c>
      <c r="F499" t="s">
        <v>4110</v>
      </c>
      <c r="G499" t="s">
        <v>3294</v>
      </c>
      <c r="H499" t="s">
        <v>4127</v>
      </c>
      <c r="I499" t="s">
        <v>4128</v>
      </c>
      <c r="J499" t="s">
        <v>1219</v>
      </c>
      <c r="K499" t="s">
        <v>4113</v>
      </c>
      <c r="M499" t="s">
        <v>606</v>
      </c>
      <c r="N499" t="s">
        <v>1272</v>
      </c>
      <c r="O499" t="s">
        <v>1410</v>
      </c>
      <c r="P499" t="s">
        <v>1564</v>
      </c>
      <c r="Q499" t="s">
        <v>1212</v>
      </c>
      <c r="S499" t="s">
        <v>612</v>
      </c>
      <c r="X499" t="s">
        <v>612</v>
      </c>
      <c r="AE499" t="s">
        <v>605</v>
      </c>
      <c r="AH499">
        <v>5</v>
      </c>
      <c r="AM499" t="s">
        <v>605</v>
      </c>
      <c r="AW499" t="s">
        <v>1565</v>
      </c>
      <c r="BH499" t="s">
        <v>4129</v>
      </c>
      <c r="BN499">
        <v>1</v>
      </c>
      <c r="BO499" t="s">
        <v>1212</v>
      </c>
      <c r="BP499" t="s">
        <v>608</v>
      </c>
      <c r="BQ499" s="771" t="s">
        <v>608</v>
      </c>
      <c r="BR499" t="s">
        <v>1213</v>
      </c>
      <c r="BS499" t="s">
        <v>1213</v>
      </c>
      <c r="BT499">
        <v>0</v>
      </c>
      <c r="BU499" t="s">
        <v>1213</v>
      </c>
      <c r="BV499">
        <v>0</v>
      </c>
      <c r="BW499" t="s">
        <v>1213</v>
      </c>
      <c r="BX499">
        <v>0</v>
      </c>
      <c r="BY499" t="s">
        <v>1213</v>
      </c>
      <c r="BZ499" t="s">
        <v>4130</v>
      </c>
    </row>
    <row r="500" spans="1:79" x14ac:dyDescent="0.2">
      <c r="A500" t="s">
        <v>1109</v>
      </c>
      <c r="B500" t="s">
        <v>4131</v>
      </c>
      <c r="C500" t="s">
        <v>1077</v>
      </c>
      <c r="D500" t="s">
        <v>457</v>
      </c>
      <c r="E500" t="s">
        <v>1202</v>
      </c>
      <c r="F500" t="s">
        <v>4132</v>
      </c>
      <c r="G500" t="s">
        <v>3311</v>
      </c>
      <c r="H500" t="s">
        <v>4133</v>
      </c>
      <c r="I500" t="s">
        <v>4134</v>
      </c>
      <c r="J500" t="s">
        <v>1207</v>
      </c>
      <c r="K500" t="s">
        <v>4123</v>
      </c>
      <c r="N500" t="s">
        <v>1209</v>
      </c>
      <c r="O500" t="s">
        <v>272</v>
      </c>
      <c r="P500" t="s">
        <v>1210</v>
      </c>
      <c r="Q500">
        <v>1</v>
      </c>
      <c r="R500" t="s">
        <v>1211</v>
      </c>
      <c r="S500">
        <v>297.10000000000002</v>
      </c>
      <c r="T500">
        <v>297.10000000000002</v>
      </c>
      <c r="U500">
        <v>297.10000000000002</v>
      </c>
      <c r="V500">
        <v>297.10000000000002</v>
      </c>
      <c r="W500">
        <v>292.10000000000002</v>
      </c>
      <c r="X500">
        <v>287.10000000000002</v>
      </c>
      <c r="AE500" t="s">
        <v>605</v>
      </c>
      <c r="AH500">
        <v>0</v>
      </c>
      <c r="AI500" t="s">
        <v>605</v>
      </c>
      <c r="AJ500" t="s">
        <v>605</v>
      </c>
      <c r="AK500" t="s">
        <v>605</v>
      </c>
      <c r="AL500" t="s">
        <v>605</v>
      </c>
      <c r="AM500" t="s">
        <v>605</v>
      </c>
      <c r="AN500">
        <v>999999.9</v>
      </c>
      <c r="AO500">
        <v>999999.9</v>
      </c>
      <c r="AP500">
        <v>999999.9</v>
      </c>
      <c r="AQ500">
        <v>999999.9</v>
      </c>
      <c r="AR500">
        <v>999999.9</v>
      </c>
      <c r="AS500">
        <v>302.10000000000002</v>
      </c>
      <c r="AT500">
        <v>302.10000000000002</v>
      </c>
      <c r="AU500">
        <v>302.10000000000002</v>
      </c>
      <c r="AV500">
        <v>297.10000000000002</v>
      </c>
      <c r="AW500">
        <v>292.10000000000002</v>
      </c>
      <c r="AX500">
        <v>274</v>
      </c>
      <c r="AY500">
        <v>274</v>
      </c>
      <c r="AZ500">
        <v>274</v>
      </c>
      <c r="BA500">
        <v>274</v>
      </c>
      <c r="BB500">
        <v>274</v>
      </c>
      <c r="BC500">
        <v>0</v>
      </c>
      <c r="BD500">
        <v>0</v>
      </c>
      <c r="BE500">
        <v>0</v>
      </c>
      <c r="BF500">
        <v>0</v>
      </c>
      <c r="BG500">
        <v>0</v>
      </c>
      <c r="BH500">
        <v>0.100948</v>
      </c>
      <c r="BL500">
        <v>5.0507000000000003E-2</v>
      </c>
      <c r="BN500">
        <v>1</v>
      </c>
      <c r="BO500" t="s">
        <v>1212</v>
      </c>
      <c r="BP500">
        <v>288.42</v>
      </c>
      <c r="BQ500" s="769">
        <v>285.12</v>
      </c>
      <c r="BR500" t="s">
        <v>605</v>
      </c>
      <c r="BS500" t="s">
        <v>1213</v>
      </c>
      <c r="BT500">
        <v>0</v>
      </c>
      <c r="BU500" t="s">
        <v>610</v>
      </c>
      <c r="BV500">
        <v>0</v>
      </c>
      <c r="BW500" t="s">
        <v>1213</v>
      </c>
      <c r="BX500">
        <v>0</v>
      </c>
      <c r="BY500" t="s">
        <v>1213</v>
      </c>
      <c r="BZ500" t="s">
        <v>4135</v>
      </c>
    </row>
    <row r="501" spans="1:79" x14ac:dyDescent="0.2">
      <c r="A501" t="s">
        <v>1109</v>
      </c>
      <c r="B501" t="s">
        <v>4136</v>
      </c>
      <c r="C501" t="s">
        <v>1077</v>
      </c>
      <c r="D501" t="s">
        <v>457</v>
      </c>
      <c r="E501" t="s">
        <v>1202</v>
      </c>
      <c r="F501" t="s">
        <v>4132</v>
      </c>
      <c r="G501" t="s">
        <v>3317</v>
      </c>
      <c r="H501" t="s">
        <v>4137</v>
      </c>
      <c r="I501" t="s">
        <v>4138</v>
      </c>
      <c r="J501" t="s">
        <v>1207</v>
      </c>
      <c r="K501" t="s">
        <v>4123</v>
      </c>
      <c r="N501" t="s">
        <v>1265</v>
      </c>
      <c r="O501" t="s">
        <v>1309</v>
      </c>
      <c r="P501" t="s">
        <v>4139</v>
      </c>
      <c r="Q501">
        <v>2</v>
      </c>
      <c r="R501" t="s">
        <v>1211</v>
      </c>
      <c r="S501">
        <v>14.44</v>
      </c>
      <c r="T501">
        <v>13.63</v>
      </c>
      <c r="U501">
        <v>12.81</v>
      </c>
      <c r="V501">
        <v>12</v>
      </c>
      <c r="W501">
        <v>12</v>
      </c>
      <c r="X501">
        <v>12</v>
      </c>
      <c r="AA501" t="s">
        <v>605</v>
      </c>
      <c r="AE501" t="s">
        <v>605</v>
      </c>
      <c r="AH501">
        <v>0</v>
      </c>
      <c r="AI501" t="s">
        <v>605</v>
      </c>
      <c r="AJ501" t="s">
        <v>605</v>
      </c>
      <c r="AK501" t="s">
        <v>605</v>
      </c>
      <c r="AL501" t="s">
        <v>605</v>
      </c>
      <c r="AM501" t="s">
        <v>605</v>
      </c>
      <c r="AN501">
        <v>18.440000000000001</v>
      </c>
      <c r="AO501">
        <v>18.440000000000001</v>
      </c>
      <c r="AP501">
        <v>16</v>
      </c>
      <c r="AQ501">
        <v>16</v>
      </c>
      <c r="AR501">
        <v>16</v>
      </c>
      <c r="AS501">
        <v>14.44</v>
      </c>
      <c r="AT501">
        <v>14.44</v>
      </c>
      <c r="AU501">
        <v>12</v>
      </c>
      <c r="AV501">
        <v>12</v>
      </c>
      <c r="AW501">
        <v>12</v>
      </c>
      <c r="AX501">
        <v>12</v>
      </c>
      <c r="AY501">
        <v>12</v>
      </c>
      <c r="AZ501">
        <v>12</v>
      </c>
      <c r="BA501">
        <v>12</v>
      </c>
      <c r="BB501">
        <v>12</v>
      </c>
      <c r="BC501">
        <v>8.08</v>
      </c>
      <c r="BD501">
        <v>8.08</v>
      </c>
      <c r="BE501">
        <v>8.08</v>
      </c>
      <c r="BF501">
        <v>8.08</v>
      </c>
      <c r="BG501">
        <v>8.08</v>
      </c>
      <c r="BH501">
        <v>2.6088819999999999</v>
      </c>
      <c r="BL501">
        <v>2.6088819999999999</v>
      </c>
      <c r="BN501">
        <v>1</v>
      </c>
      <c r="BO501" t="s">
        <v>1212</v>
      </c>
      <c r="BP501">
        <v>9.48</v>
      </c>
      <c r="BQ501" s="773">
        <v>12.89</v>
      </c>
      <c r="BR501" t="s">
        <v>605</v>
      </c>
      <c r="BS501" t="s">
        <v>1213</v>
      </c>
      <c r="BT501">
        <v>0</v>
      </c>
      <c r="BU501" t="s">
        <v>610</v>
      </c>
      <c r="BV501">
        <v>0</v>
      </c>
      <c r="BW501" t="s">
        <v>1213</v>
      </c>
      <c r="BX501">
        <v>0</v>
      </c>
      <c r="BY501" t="s">
        <v>1173</v>
      </c>
      <c r="BZ501" t="s">
        <v>4140</v>
      </c>
    </row>
    <row r="502" spans="1:79" x14ac:dyDescent="0.2">
      <c r="A502" t="s">
        <v>1109</v>
      </c>
      <c r="B502" t="s">
        <v>4141</v>
      </c>
      <c r="C502" t="s">
        <v>1077</v>
      </c>
      <c r="D502" t="s">
        <v>457</v>
      </c>
      <c r="E502" t="s">
        <v>1202</v>
      </c>
      <c r="F502" t="s">
        <v>4132</v>
      </c>
      <c r="G502" t="s">
        <v>3323</v>
      </c>
      <c r="H502" t="s">
        <v>4142</v>
      </c>
      <c r="I502" t="s">
        <v>4143</v>
      </c>
      <c r="J502" t="s">
        <v>1241</v>
      </c>
      <c r="N502" t="s">
        <v>1220</v>
      </c>
      <c r="O502" t="s">
        <v>272</v>
      </c>
      <c r="P502" t="s">
        <v>1655</v>
      </c>
      <c r="Q502">
        <v>1</v>
      </c>
      <c r="R502" t="s">
        <v>1211</v>
      </c>
      <c r="S502">
        <v>143.69999999999999</v>
      </c>
      <c r="T502">
        <v>142.6</v>
      </c>
      <c r="U502">
        <v>141.5</v>
      </c>
      <c r="V502">
        <v>140.4</v>
      </c>
      <c r="W502">
        <v>139.30000000000001</v>
      </c>
      <c r="X502">
        <v>138.30000000000001</v>
      </c>
      <c r="AH502">
        <v>0</v>
      </c>
      <c r="BP502" t="s">
        <v>952</v>
      </c>
      <c r="BQ502" s="769">
        <v>141.71</v>
      </c>
      <c r="BR502" t="s">
        <v>605</v>
      </c>
      <c r="BS502" t="s">
        <v>1213</v>
      </c>
      <c r="BT502">
        <v>0</v>
      </c>
      <c r="BU502" t="s">
        <v>1213</v>
      </c>
      <c r="BV502">
        <v>0</v>
      </c>
      <c r="BW502" t="s">
        <v>1213</v>
      </c>
      <c r="BX502">
        <v>0</v>
      </c>
      <c r="BY502" t="s">
        <v>1213</v>
      </c>
      <c r="BZ502" t="s">
        <v>4144</v>
      </c>
    </row>
    <row r="503" spans="1:79" x14ac:dyDescent="0.2">
      <c r="A503" t="s">
        <v>1109</v>
      </c>
      <c r="B503" t="s">
        <v>4145</v>
      </c>
      <c r="C503" t="s">
        <v>1077</v>
      </c>
      <c r="D503" t="s">
        <v>457</v>
      </c>
      <c r="E503" t="s">
        <v>1202</v>
      </c>
      <c r="F503" t="s">
        <v>4132</v>
      </c>
      <c r="G503" t="s">
        <v>3328</v>
      </c>
      <c r="H503" t="s">
        <v>4146</v>
      </c>
      <c r="I503" t="s">
        <v>4147</v>
      </c>
      <c r="J503" t="s">
        <v>1219</v>
      </c>
      <c r="K503" t="s">
        <v>4113</v>
      </c>
      <c r="M503" t="s">
        <v>606</v>
      </c>
      <c r="N503" t="s">
        <v>1272</v>
      </c>
      <c r="O503" t="s">
        <v>1410</v>
      </c>
      <c r="P503" t="s">
        <v>1564</v>
      </c>
      <c r="Q503" t="s">
        <v>1212</v>
      </c>
      <c r="S503" t="s">
        <v>612</v>
      </c>
      <c r="X503" t="s">
        <v>612</v>
      </c>
      <c r="AE503" t="s">
        <v>605</v>
      </c>
      <c r="AH503">
        <v>6</v>
      </c>
      <c r="AM503" t="s">
        <v>605</v>
      </c>
      <c r="AW503" t="s">
        <v>1565</v>
      </c>
      <c r="BH503" t="s">
        <v>4129</v>
      </c>
      <c r="BN503">
        <v>1</v>
      </c>
      <c r="BO503" t="s">
        <v>1212</v>
      </c>
      <c r="BP503" t="s">
        <v>608</v>
      </c>
      <c r="BQ503" s="771" t="s">
        <v>608</v>
      </c>
      <c r="BR503" t="s">
        <v>1213</v>
      </c>
      <c r="BS503" t="s">
        <v>1213</v>
      </c>
      <c r="BT503">
        <v>0</v>
      </c>
      <c r="BU503" t="s">
        <v>1213</v>
      </c>
      <c r="BV503">
        <v>0</v>
      </c>
      <c r="BW503" t="s">
        <v>1213</v>
      </c>
      <c r="BX503">
        <v>0</v>
      </c>
      <c r="BY503" t="s">
        <v>1213</v>
      </c>
      <c r="BZ503" t="s">
        <v>4148</v>
      </c>
    </row>
    <row r="504" spans="1:79" x14ac:dyDescent="0.2">
      <c r="A504" t="s">
        <v>1109</v>
      </c>
      <c r="B504" t="s">
        <v>4149</v>
      </c>
      <c r="C504" t="s">
        <v>1077</v>
      </c>
      <c r="D504" t="s">
        <v>457</v>
      </c>
      <c r="E504" t="s">
        <v>1202</v>
      </c>
      <c r="F504" t="s">
        <v>4150</v>
      </c>
      <c r="G504" t="s">
        <v>3359</v>
      </c>
      <c r="H504" t="s">
        <v>4151</v>
      </c>
      <c r="I504" t="s">
        <v>4152</v>
      </c>
      <c r="J504" t="s">
        <v>1207</v>
      </c>
      <c r="K504" t="s">
        <v>4123</v>
      </c>
      <c r="M504" t="s">
        <v>606</v>
      </c>
      <c r="N504" t="s">
        <v>1377</v>
      </c>
      <c r="O504" t="s">
        <v>272</v>
      </c>
      <c r="P504" t="s">
        <v>4153</v>
      </c>
      <c r="Q504">
        <v>0</v>
      </c>
      <c r="R504" t="s">
        <v>1251</v>
      </c>
      <c r="X504">
        <v>100</v>
      </c>
      <c r="AF504" t="s">
        <v>605</v>
      </c>
      <c r="AH504">
        <v>0</v>
      </c>
      <c r="AM504" t="s">
        <v>605</v>
      </c>
      <c r="AR504">
        <v>0</v>
      </c>
      <c r="AW504">
        <v>97</v>
      </c>
      <c r="BB504">
        <v>103</v>
      </c>
      <c r="BG504">
        <v>999999</v>
      </c>
      <c r="BH504">
        <v>0.14623800000000001</v>
      </c>
      <c r="BL504">
        <v>7.6696E-2</v>
      </c>
      <c r="BN504">
        <v>1</v>
      </c>
      <c r="BO504" t="s">
        <v>1212</v>
      </c>
      <c r="BP504" t="s">
        <v>952</v>
      </c>
      <c r="BQ504" s="772">
        <v>0</v>
      </c>
      <c r="BR504" t="s">
        <v>1213</v>
      </c>
      <c r="BS504" t="s">
        <v>1213</v>
      </c>
      <c r="BT504">
        <v>0</v>
      </c>
      <c r="BU504" t="s">
        <v>1213</v>
      </c>
      <c r="BV504">
        <v>0</v>
      </c>
      <c r="BW504" t="s">
        <v>1213</v>
      </c>
      <c r="BX504">
        <v>0</v>
      </c>
      <c r="BY504" t="s">
        <v>1213</v>
      </c>
      <c r="BZ504" t="s">
        <v>4154</v>
      </c>
    </row>
    <row r="505" spans="1:79" x14ac:dyDescent="0.2">
      <c r="A505" t="s">
        <v>1109</v>
      </c>
      <c r="B505" t="s">
        <v>4155</v>
      </c>
      <c r="C505" t="s">
        <v>1077</v>
      </c>
      <c r="D505" t="s">
        <v>457</v>
      </c>
      <c r="E505" t="s">
        <v>1202</v>
      </c>
      <c r="F505" t="s">
        <v>4150</v>
      </c>
      <c r="G505" t="s">
        <v>3364</v>
      </c>
      <c r="H505" t="s">
        <v>4156</v>
      </c>
      <c r="I505" t="s">
        <v>4157</v>
      </c>
      <c r="J505" t="s">
        <v>2996</v>
      </c>
      <c r="K505" t="s">
        <v>1208</v>
      </c>
      <c r="M505" t="s">
        <v>606</v>
      </c>
      <c r="N505" t="s">
        <v>2245</v>
      </c>
      <c r="O505" t="s">
        <v>272</v>
      </c>
      <c r="P505" t="s">
        <v>4158</v>
      </c>
      <c r="Q505">
        <v>0</v>
      </c>
      <c r="R505" t="s">
        <v>1251</v>
      </c>
      <c r="T505">
        <v>3</v>
      </c>
      <c r="U505">
        <v>3</v>
      </c>
      <c r="V505">
        <v>3</v>
      </c>
      <c r="W505">
        <v>3</v>
      </c>
      <c r="X505">
        <v>4</v>
      </c>
      <c r="AH505">
        <v>0</v>
      </c>
      <c r="AI505" t="s">
        <v>605</v>
      </c>
      <c r="AJ505" t="s">
        <v>605</v>
      </c>
      <c r="AK505" t="s">
        <v>605</v>
      </c>
      <c r="AL505" t="s">
        <v>605</v>
      </c>
      <c r="AM505" t="s">
        <v>605</v>
      </c>
      <c r="AX505">
        <v>3</v>
      </c>
      <c r="AY505">
        <v>6</v>
      </c>
      <c r="AZ505">
        <v>9</v>
      </c>
      <c r="BA505">
        <v>12</v>
      </c>
      <c r="BB505">
        <v>16</v>
      </c>
      <c r="BC505">
        <v>999999</v>
      </c>
      <c r="BD505">
        <v>999999</v>
      </c>
      <c r="BE505">
        <v>999999</v>
      </c>
      <c r="BF505">
        <v>999999</v>
      </c>
      <c r="BG505">
        <v>999999</v>
      </c>
      <c r="BL505" t="s">
        <v>4159</v>
      </c>
      <c r="BN505">
        <v>1</v>
      </c>
      <c r="BO505" t="s">
        <v>1212</v>
      </c>
      <c r="BP505" t="s">
        <v>952</v>
      </c>
      <c r="BQ505" s="772">
        <v>4</v>
      </c>
      <c r="BR505" t="s">
        <v>605</v>
      </c>
      <c r="BS505" t="s">
        <v>1213</v>
      </c>
      <c r="BT505">
        <v>0</v>
      </c>
      <c r="BU505" t="s">
        <v>611</v>
      </c>
      <c r="BV505">
        <v>2.3955E-4</v>
      </c>
      <c r="BW505" t="s">
        <v>1213</v>
      </c>
      <c r="BX505">
        <v>0</v>
      </c>
      <c r="BY505" t="s">
        <v>1213</v>
      </c>
      <c r="BZ505" t="s">
        <v>4160</v>
      </c>
      <c r="CA505" t="s">
        <v>4161</v>
      </c>
    </row>
    <row r="506" spans="1:79" x14ac:dyDescent="0.2">
      <c r="A506" t="s">
        <v>1109</v>
      </c>
      <c r="B506" t="s">
        <v>4162</v>
      </c>
      <c r="C506" t="s">
        <v>1077</v>
      </c>
      <c r="D506" t="s">
        <v>457</v>
      </c>
      <c r="E506" t="s">
        <v>1202</v>
      </c>
      <c r="F506" t="s">
        <v>4150</v>
      </c>
      <c r="G506" t="s">
        <v>3370</v>
      </c>
      <c r="H506" t="s">
        <v>4163</v>
      </c>
      <c r="I506" t="s">
        <v>4164</v>
      </c>
      <c r="J506" t="s">
        <v>1207</v>
      </c>
      <c r="K506" t="s">
        <v>4123</v>
      </c>
      <c r="M506" t="s">
        <v>606</v>
      </c>
      <c r="N506" t="s">
        <v>1370</v>
      </c>
      <c r="O506" t="s">
        <v>272</v>
      </c>
      <c r="P506" t="s">
        <v>4165</v>
      </c>
      <c r="Q506">
        <v>0</v>
      </c>
      <c r="R506" t="s">
        <v>1251</v>
      </c>
      <c r="X506">
        <v>11736</v>
      </c>
      <c r="AF506" t="s">
        <v>605</v>
      </c>
      <c r="AH506">
        <v>0</v>
      </c>
      <c r="AM506" t="s">
        <v>605</v>
      </c>
      <c r="AR506">
        <v>10998</v>
      </c>
      <c r="AW506">
        <v>11501</v>
      </c>
      <c r="BB506">
        <v>11971</v>
      </c>
      <c r="BG506">
        <v>12049</v>
      </c>
      <c r="BH506">
        <v>2.0263E-2</v>
      </c>
      <c r="BL506">
        <v>1.3171E-2</v>
      </c>
      <c r="BN506">
        <v>1</v>
      </c>
      <c r="BO506" t="s">
        <v>1212</v>
      </c>
      <c r="BP506">
        <v>11466</v>
      </c>
      <c r="BQ506" s="772">
        <v>11466</v>
      </c>
      <c r="BR506" t="s">
        <v>1213</v>
      </c>
      <c r="BS506" t="s">
        <v>1213</v>
      </c>
      <c r="BT506">
        <v>0</v>
      </c>
      <c r="BU506" t="s">
        <v>1213</v>
      </c>
      <c r="BV506">
        <v>0</v>
      </c>
      <c r="BW506" t="s">
        <v>1213</v>
      </c>
      <c r="BX506">
        <v>0</v>
      </c>
      <c r="BY506" t="s">
        <v>1213</v>
      </c>
      <c r="BZ506" t="s">
        <v>4166</v>
      </c>
    </row>
    <row r="507" spans="1:79" x14ac:dyDescent="0.2">
      <c r="A507" t="s">
        <v>1109</v>
      </c>
      <c r="B507" t="s">
        <v>4167</v>
      </c>
      <c r="C507" t="s">
        <v>1077</v>
      </c>
      <c r="D507" t="s">
        <v>457</v>
      </c>
      <c r="E507" t="s">
        <v>1202</v>
      </c>
      <c r="F507" t="s">
        <v>4150</v>
      </c>
      <c r="G507" t="s">
        <v>3376</v>
      </c>
      <c r="H507" t="s">
        <v>4168</v>
      </c>
      <c r="I507" t="s">
        <v>4169</v>
      </c>
      <c r="J507" t="s">
        <v>1241</v>
      </c>
      <c r="N507" t="s">
        <v>1400</v>
      </c>
      <c r="O507" t="s">
        <v>1507</v>
      </c>
      <c r="P507" t="s">
        <v>4170</v>
      </c>
      <c r="Q507" t="s">
        <v>1212</v>
      </c>
      <c r="S507" t="s">
        <v>4171</v>
      </c>
      <c r="T507" t="s">
        <v>4171</v>
      </c>
      <c r="U507" t="s">
        <v>4171</v>
      </c>
      <c r="V507" t="s">
        <v>4171</v>
      </c>
      <c r="W507" t="s">
        <v>4171</v>
      </c>
      <c r="X507" t="s">
        <v>4171</v>
      </c>
      <c r="AH507">
        <v>0</v>
      </c>
      <c r="BP507" t="s">
        <v>952</v>
      </c>
      <c r="BQ507" s="771" t="s">
        <v>613</v>
      </c>
      <c r="BR507" t="s">
        <v>605</v>
      </c>
      <c r="BS507" t="s">
        <v>1213</v>
      </c>
      <c r="BT507">
        <v>0</v>
      </c>
      <c r="BU507" t="s">
        <v>1213</v>
      </c>
      <c r="BV507">
        <v>0</v>
      </c>
      <c r="BW507" t="s">
        <v>1213</v>
      </c>
      <c r="BX507">
        <v>0</v>
      </c>
      <c r="BY507" t="s">
        <v>1213</v>
      </c>
      <c r="BZ507" t="s">
        <v>4172</v>
      </c>
    </row>
    <row r="508" spans="1:79" x14ac:dyDescent="0.2">
      <c r="A508" t="s">
        <v>1109</v>
      </c>
      <c r="B508" t="s">
        <v>4173</v>
      </c>
      <c r="C508" t="s">
        <v>1077</v>
      </c>
      <c r="D508" t="s">
        <v>457</v>
      </c>
      <c r="E508" t="s">
        <v>1202</v>
      </c>
      <c r="F508" t="s">
        <v>4174</v>
      </c>
      <c r="G508" t="s">
        <v>3390</v>
      </c>
      <c r="H508" t="s">
        <v>4175</v>
      </c>
      <c r="I508" t="s">
        <v>4176</v>
      </c>
      <c r="J508" t="s">
        <v>1241</v>
      </c>
      <c r="N508" t="s">
        <v>1386</v>
      </c>
      <c r="O508" t="s">
        <v>264</v>
      </c>
      <c r="P508" t="s">
        <v>4177</v>
      </c>
      <c r="Q508">
        <v>0</v>
      </c>
      <c r="R508" t="s">
        <v>1251</v>
      </c>
      <c r="S508">
        <v>8</v>
      </c>
      <c r="T508">
        <v>12</v>
      </c>
      <c r="U508">
        <v>12</v>
      </c>
      <c r="V508">
        <v>12</v>
      </c>
      <c r="W508">
        <v>12</v>
      </c>
      <c r="X508">
        <v>12</v>
      </c>
      <c r="AH508">
        <v>0</v>
      </c>
      <c r="BP508">
        <v>12.26</v>
      </c>
      <c r="BQ508" s="772">
        <v>11.257999999999999</v>
      </c>
      <c r="BR508" t="s">
        <v>606</v>
      </c>
      <c r="BS508" t="s">
        <v>1213</v>
      </c>
      <c r="BT508">
        <v>0</v>
      </c>
      <c r="BU508" t="s">
        <v>1213</v>
      </c>
      <c r="BV508">
        <v>0</v>
      </c>
      <c r="BW508" t="s">
        <v>1213</v>
      </c>
      <c r="BX508">
        <v>0</v>
      </c>
      <c r="BY508" t="s">
        <v>1213</v>
      </c>
      <c r="BZ508" t="s">
        <v>4178</v>
      </c>
    </row>
    <row r="509" spans="1:79" x14ac:dyDescent="0.2">
      <c r="A509" t="s">
        <v>1109</v>
      </c>
      <c r="B509" t="s">
        <v>4179</v>
      </c>
      <c r="C509" t="s">
        <v>1077</v>
      </c>
      <c r="D509" t="s">
        <v>457</v>
      </c>
      <c r="E509" t="s">
        <v>1202</v>
      </c>
      <c r="F509" t="s">
        <v>4174</v>
      </c>
      <c r="G509" t="s">
        <v>4180</v>
      </c>
      <c r="H509" t="s">
        <v>4181</v>
      </c>
      <c r="I509" t="s">
        <v>4182</v>
      </c>
      <c r="J509" t="s">
        <v>1241</v>
      </c>
      <c r="N509" t="s">
        <v>1648</v>
      </c>
      <c r="O509" t="s">
        <v>264</v>
      </c>
      <c r="P509" t="s">
        <v>4183</v>
      </c>
      <c r="Q509">
        <v>0</v>
      </c>
      <c r="R509" t="s">
        <v>1251</v>
      </c>
      <c r="S509">
        <v>93</v>
      </c>
      <c r="T509">
        <v>94</v>
      </c>
      <c r="U509">
        <v>94</v>
      </c>
      <c r="V509">
        <v>95</v>
      </c>
      <c r="W509">
        <v>95</v>
      </c>
      <c r="X509">
        <v>95</v>
      </c>
      <c r="AH509">
        <v>0</v>
      </c>
      <c r="BP509">
        <v>93.5</v>
      </c>
      <c r="BQ509" s="772">
        <v>98.91</v>
      </c>
      <c r="BR509" t="s">
        <v>605</v>
      </c>
      <c r="BS509" t="s">
        <v>1213</v>
      </c>
      <c r="BT509">
        <v>0</v>
      </c>
      <c r="BU509" t="s">
        <v>1213</v>
      </c>
      <c r="BV509">
        <v>0</v>
      </c>
      <c r="BW509" t="s">
        <v>1213</v>
      </c>
      <c r="BX509">
        <v>0</v>
      </c>
      <c r="BY509" t="s">
        <v>1213</v>
      </c>
      <c r="BZ509" t="s">
        <v>4184</v>
      </c>
    </row>
    <row r="510" spans="1:79" x14ac:dyDescent="0.2">
      <c r="A510" t="s">
        <v>1109</v>
      </c>
      <c r="B510" t="s">
        <v>4185</v>
      </c>
      <c r="C510" t="s">
        <v>1077</v>
      </c>
      <c r="D510" t="s">
        <v>458</v>
      </c>
      <c r="E510" t="s">
        <v>1428</v>
      </c>
      <c r="F510" t="s">
        <v>4186</v>
      </c>
      <c r="G510" t="s">
        <v>3396</v>
      </c>
      <c r="H510" t="s">
        <v>4187</v>
      </c>
      <c r="I510" t="s">
        <v>4188</v>
      </c>
      <c r="J510" t="s">
        <v>1207</v>
      </c>
      <c r="K510" t="s">
        <v>4123</v>
      </c>
      <c r="N510" t="s">
        <v>1432</v>
      </c>
      <c r="O510" t="s">
        <v>272</v>
      </c>
      <c r="P510" t="s">
        <v>2594</v>
      </c>
      <c r="Q510">
        <v>0</v>
      </c>
      <c r="R510" t="s">
        <v>1211</v>
      </c>
      <c r="S510">
        <v>1857</v>
      </c>
      <c r="T510">
        <v>1877</v>
      </c>
      <c r="U510">
        <v>1898</v>
      </c>
      <c r="V510">
        <v>1919</v>
      </c>
      <c r="W510">
        <v>1919</v>
      </c>
      <c r="X510">
        <v>1919</v>
      </c>
      <c r="AC510" t="s">
        <v>605</v>
      </c>
      <c r="AE510" t="s">
        <v>605</v>
      </c>
      <c r="AH510">
        <v>0</v>
      </c>
      <c r="AI510" t="s">
        <v>605</v>
      </c>
      <c r="AJ510" t="s">
        <v>605</v>
      </c>
      <c r="AK510" t="s">
        <v>605</v>
      </c>
      <c r="AL510" t="s">
        <v>605</v>
      </c>
      <c r="AM510" t="s">
        <v>605</v>
      </c>
      <c r="AN510">
        <v>1986</v>
      </c>
      <c r="AO510">
        <v>2008</v>
      </c>
      <c r="AP510">
        <v>2029</v>
      </c>
      <c r="AQ510">
        <v>2029</v>
      </c>
      <c r="AR510">
        <v>2029</v>
      </c>
      <c r="AS510">
        <v>1945</v>
      </c>
      <c r="AT510">
        <v>1967</v>
      </c>
      <c r="AU510">
        <v>1988</v>
      </c>
      <c r="AV510">
        <v>1988</v>
      </c>
      <c r="AW510">
        <v>1988</v>
      </c>
      <c r="AX510">
        <v>1808</v>
      </c>
      <c r="AY510">
        <v>1808</v>
      </c>
      <c r="AZ510">
        <v>1808</v>
      </c>
      <c r="BA510">
        <v>1808</v>
      </c>
      <c r="BB510">
        <v>1808</v>
      </c>
      <c r="BC510">
        <v>1651</v>
      </c>
      <c r="BD510">
        <v>1651</v>
      </c>
      <c r="BE510">
        <v>1651</v>
      </c>
      <c r="BF510">
        <v>1651</v>
      </c>
      <c r="BG510">
        <v>1651</v>
      </c>
      <c r="BH510">
        <v>0.22024199999999999</v>
      </c>
      <c r="BL510">
        <v>5.7496999999999999E-2</v>
      </c>
      <c r="BN510">
        <v>1</v>
      </c>
      <c r="BO510" t="s">
        <v>1212</v>
      </c>
      <c r="BP510">
        <v>1947</v>
      </c>
      <c r="BQ510" s="772">
        <v>1842</v>
      </c>
      <c r="BR510" t="s">
        <v>605</v>
      </c>
      <c r="BS510" t="s">
        <v>1213</v>
      </c>
      <c r="BT510">
        <v>0</v>
      </c>
      <c r="BU510" t="s">
        <v>610</v>
      </c>
      <c r="BV510">
        <v>0</v>
      </c>
      <c r="BW510" t="s">
        <v>1213</v>
      </c>
      <c r="BX510">
        <v>0</v>
      </c>
      <c r="BY510" t="s">
        <v>1175</v>
      </c>
      <c r="BZ510" t="s">
        <v>4189</v>
      </c>
    </row>
    <row r="511" spans="1:79" x14ac:dyDescent="0.2">
      <c r="A511" t="s">
        <v>1109</v>
      </c>
      <c r="B511" t="s">
        <v>4190</v>
      </c>
      <c r="C511" t="s">
        <v>1077</v>
      </c>
      <c r="D511" t="s">
        <v>458</v>
      </c>
      <c r="E511" t="s">
        <v>1428</v>
      </c>
      <c r="F511" t="s">
        <v>4186</v>
      </c>
      <c r="G511" t="s">
        <v>3401</v>
      </c>
      <c r="H511" t="s">
        <v>4191</v>
      </c>
      <c r="I511" t="s">
        <v>4192</v>
      </c>
      <c r="J511" t="s">
        <v>1241</v>
      </c>
      <c r="N511" t="s">
        <v>1432</v>
      </c>
      <c r="O511" t="s">
        <v>272</v>
      </c>
      <c r="P511" t="s">
        <v>2600</v>
      </c>
      <c r="Q511">
        <v>0</v>
      </c>
      <c r="R511" t="s">
        <v>1211</v>
      </c>
      <c r="S511">
        <v>10125</v>
      </c>
      <c r="T511">
        <v>10125</v>
      </c>
      <c r="U511">
        <v>10363</v>
      </c>
      <c r="V511">
        <v>10487</v>
      </c>
      <c r="W511">
        <v>10487</v>
      </c>
      <c r="X511">
        <v>10487</v>
      </c>
      <c r="AE511" t="s">
        <v>605</v>
      </c>
      <c r="AH511">
        <v>0</v>
      </c>
      <c r="BP511">
        <v>8686</v>
      </c>
      <c r="BQ511" s="772">
        <v>9037</v>
      </c>
      <c r="BR511" t="s">
        <v>605</v>
      </c>
      <c r="BS511" t="s">
        <v>1213</v>
      </c>
      <c r="BT511">
        <v>0</v>
      </c>
      <c r="BU511" t="s">
        <v>1213</v>
      </c>
      <c r="BV511">
        <v>0</v>
      </c>
      <c r="BW511" t="s">
        <v>1213</v>
      </c>
      <c r="BX511">
        <v>0</v>
      </c>
      <c r="BY511" t="s">
        <v>1213</v>
      </c>
      <c r="BZ511" t="s">
        <v>4193</v>
      </c>
    </row>
    <row r="512" spans="1:79" x14ac:dyDescent="0.2">
      <c r="A512" t="s">
        <v>1109</v>
      </c>
      <c r="B512" t="s">
        <v>4194</v>
      </c>
      <c r="C512" t="s">
        <v>1077</v>
      </c>
      <c r="D512" t="s">
        <v>458</v>
      </c>
      <c r="E512" t="s">
        <v>1428</v>
      </c>
      <c r="F512" t="s">
        <v>4186</v>
      </c>
      <c r="G512" t="s">
        <v>4195</v>
      </c>
      <c r="H512" t="s">
        <v>4196</v>
      </c>
      <c r="I512" t="s">
        <v>4197</v>
      </c>
      <c r="J512" t="s">
        <v>1241</v>
      </c>
      <c r="N512" t="s">
        <v>1468</v>
      </c>
      <c r="O512" t="s">
        <v>272</v>
      </c>
      <c r="P512" t="s">
        <v>2646</v>
      </c>
      <c r="Q512">
        <v>0</v>
      </c>
      <c r="R512" t="s">
        <v>1211</v>
      </c>
      <c r="S512">
        <v>10</v>
      </c>
      <c r="T512">
        <v>8</v>
      </c>
      <c r="U512">
        <v>6</v>
      </c>
      <c r="V512">
        <v>4</v>
      </c>
      <c r="W512">
        <v>2</v>
      </c>
      <c r="X512">
        <v>0</v>
      </c>
      <c r="AE512" t="s">
        <v>605</v>
      </c>
      <c r="AH512">
        <v>0</v>
      </c>
      <c r="BP512">
        <v>4</v>
      </c>
      <c r="BQ512" s="772">
        <v>5</v>
      </c>
      <c r="BR512" t="s">
        <v>605</v>
      </c>
      <c r="BS512" t="s">
        <v>1213</v>
      </c>
      <c r="BT512">
        <v>0</v>
      </c>
      <c r="BU512" t="s">
        <v>1213</v>
      </c>
      <c r="BV512">
        <v>0</v>
      </c>
      <c r="BW512" t="s">
        <v>1213</v>
      </c>
      <c r="BX512">
        <v>0</v>
      </c>
      <c r="BY512" t="s">
        <v>1213</v>
      </c>
      <c r="BZ512" t="s">
        <v>4198</v>
      </c>
    </row>
    <row r="513" spans="1:79" x14ac:dyDescent="0.2">
      <c r="A513" t="s">
        <v>1109</v>
      </c>
      <c r="B513" t="s">
        <v>4199</v>
      </c>
      <c r="C513" t="s">
        <v>1077</v>
      </c>
      <c r="D513" t="s">
        <v>458</v>
      </c>
      <c r="E513" t="s">
        <v>1428</v>
      </c>
      <c r="F513" t="s">
        <v>4186</v>
      </c>
      <c r="G513" t="s">
        <v>4200</v>
      </c>
      <c r="H513" t="s">
        <v>4201</v>
      </c>
      <c r="I513" t="s">
        <v>4202</v>
      </c>
      <c r="J513" t="s">
        <v>1207</v>
      </c>
      <c r="K513" t="s">
        <v>4123</v>
      </c>
      <c r="N513" t="s">
        <v>1468</v>
      </c>
      <c r="O513" t="s">
        <v>272</v>
      </c>
      <c r="P513" t="s">
        <v>1469</v>
      </c>
      <c r="Q513">
        <v>0</v>
      </c>
      <c r="R513" t="s">
        <v>1211</v>
      </c>
      <c r="S513">
        <v>250</v>
      </c>
      <c r="T513">
        <v>237</v>
      </c>
      <c r="U513">
        <v>224</v>
      </c>
      <c r="V513">
        <v>211</v>
      </c>
      <c r="W513">
        <v>211</v>
      </c>
      <c r="X513">
        <v>211</v>
      </c>
      <c r="AB513" t="s">
        <v>605</v>
      </c>
      <c r="AE513" t="s">
        <v>605</v>
      </c>
      <c r="AH513">
        <v>0</v>
      </c>
      <c r="AI513" t="s">
        <v>605</v>
      </c>
      <c r="AJ513" t="s">
        <v>605</v>
      </c>
      <c r="AK513" t="s">
        <v>605</v>
      </c>
      <c r="AL513" t="s">
        <v>605</v>
      </c>
      <c r="AM513" t="s">
        <v>605</v>
      </c>
      <c r="AN513">
        <v>303</v>
      </c>
      <c r="AO513">
        <v>303</v>
      </c>
      <c r="AP513">
        <v>264</v>
      </c>
      <c r="AQ513">
        <v>264</v>
      </c>
      <c r="AR513">
        <v>264</v>
      </c>
      <c r="AS513">
        <v>250</v>
      </c>
      <c r="AT513">
        <v>250</v>
      </c>
      <c r="AU513">
        <v>211</v>
      </c>
      <c r="AV513">
        <v>211</v>
      </c>
      <c r="AW513">
        <v>211</v>
      </c>
      <c r="AX513">
        <v>211</v>
      </c>
      <c r="AY513">
        <v>211</v>
      </c>
      <c r="AZ513">
        <v>211</v>
      </c>
      <c r="BA513">
        <v>211</v>
      </c>
      <c r="BB513">
        <v>211</v>
      </c>
      <c r="BC513">
        <v>147</v>
      </c>
      <c r="BD513">
        <v>147</v>
      </c>
      <c r="BE513">
        <v>147</v>
      </c>
      <c r="BF513">
        <v>147</v>
      </c>
      <c r="BG513">
        <v>147</v>
      </c>
      <c r="BH513">
        <v>0.18513299999999999</v>
      </c>
      <c r="BL513">
        <v>0.18513299999999999</v>
      </c>
      <c r="BN513">
        <v>1</v>
      </c>
      <c r="BO513" t="s">
        <v>1212</v>
      </c>
      <c r="BP513">
        <v>170</v>
      </c>
      <c r="BQ513" s="772">
        <v>180</v>
      </c>
      <c r="BR513" t="s">
        <v>605</v>
      </c>
      <c r="BS513" t="s">
        <v>1213</v>
      </c>
      <c r="BT513">
        <v>0</v>
      </c>
      <c r="BU513" t="s">
        <v>611</v>
      </c>
      <c r="BV513">
        <v>5.7391230000000002</v>
      </c>
      <c r="BW513" t="s">
        <v>1213</v>
      </c>
      <c r="BX513">
        <v>0</v>
      </c>
      <c r="BY513" t="s">
        <v>1174</v>
      </c>
      <c r="BZ513" t="s">
        <v>4203</v>
      </c>
    </row>
    <row r="514" spans="1:79" x14ac:dyDescent="0.2">
      <c r="A514" t="s">
        <v>1109</v>
      </c>
      <c r="B514" t="s">
        <v>4204</v>
      </c>
      <c r="C514" t="s">
        <v>1077</v>
      </c>
      <c r="D514" t="s">
        <v>458</v>
      </c>
      <c r="E514" t="s">
        <v>1428</v>
      </c>
      <c r="F514" t="s">
        <v>4186</v>
      </c>
      <c r="G514" t="s">
        <v>4205</v>
      </c>
      <c r="H514" t="s">
        <v>4206</v>
      </c>
      <c r="I514" t="s">
        <v>4207</v>
      </c>
      <c r="J514" t="s">
        <v>1219</v>
      </c>
      <c r="K514" t="s">
        <v>4113</v>
      </c>
      <c r="M514" t="s">
        <v>606</v>
      </c>
      <c r="N514" t="s">
        <v>1495</v>
      </c>
      <c r="O514" t="s">
        <v>1410</v>
      </c>
      <c r="P514" t="s">
        <v>1564</v>
      </c>
      <c r="Q514" t="s">
        <v>1212</v>
      </c>
      <c r="S514" t="s">
        <v>612</v>
      </c>
      <c r="X514" t="s">
        <v>612</v>
      </c>
      <c r="AE514" t="s">
        <v>605</v>
      </c>
      <c r="AH514">
        <v>6</v>
      </c>
      <c r="AM514" t="s">
        <v>605</v>
      </c>
      <c r="AW514" t="s">
        <v>1565</v>
      </c>
      <c r="BH514" t="s">
        <v>4129</v>
      </c>
      <c r="BN514">
        <v>1</v>
      </c>
      <c r="BO514" t="s">
        <v>1212</v>
      </c>
      <c r="BP514" t="s">
        <v>608</v>
      </c>
      <c r="BQ514" s="771" t="s">
        <v>608</v>
      </c>
      <c r="BR514" t="s">
        <v>1213</v>
      </c>
      <c r="BS514" t="s">
        <v>1213</v>
      </c>
      <c r="BT514">
        <v>0</v>
      </c>
      <c r="BU514" t="s">
        <v>1213</v>
      </c>
      <c r="BV514">
        <v>0</v>
      </c>
      <c r="BW514" t="s">
        <v>1213</v>
      </c>
      <c r="BX514">
        <v>0</v>
      </c>
      <c r="BY514" t="s">
        <v>1213</v>
      </c>
      <c r="BZ514" t="s">
        <v>4208</v>
      </c>
    </row>
    <row r="515" spans="1:79" x14ac:dyDescent="0.2">
      <c r="A515" t="s">
        <v>1109</v>
      </c>
      <c r="B515" t="s">
        <v>4209</v>
      </c>
      <c r="C515" t="s">
        <v>1077</v>
      </c>
      <c r="D515" t="s">
        <v>458</v>
      </c>
      <c r="E515" t="s">
        <v>1428</v>
      </c>
      <c r="F515" t="s">
        <v>4150</v>
      </c>
      <c r="G515" t="s">
        <v>3412</v>
      </c>
      <c r="H515" t="s">
        <v>4210</v>
      </c>
      <c r="I515" t="s">
        <v>4211</v>
      </c>
      <c r="J515" t="s">
        <v>1241</v>
      </c>
      <c r="N515" t="s">
        <v>1377</v>
      </c>
      <c r="O515" t="s">
        <v>272</v>
      </c>
      <c r="P515" t="s">
        <v>4212</v>
      </c>
      <c r="Q515">
        <v>0</v>
      </c>
      <c r="R515" t="s">
        <v>1251</v>
      </c>
      <c r="S515">
        <v>15</v>
      </c>
      <c r="T515">
        <v>15</v>
      </c>
      <c r="U515">
        <v>15</v>
      </c>
      <c r="V515">
        <v>15</v>
      </c>
      <c r="W515">
        <v>15</v>
      </c>
      <c r="X515">
        <v>15</v>
      </c>
      <c r="AH515">
        <v>0</v>
      </c>
      <c r="BP515">
        <v>18</v>
      </c>
      <c r="BQ515" s="772">
        <v>18</v>
      </c>
      <c r="BR515" t="s">
        <v>605</v>
      </c>
      <c r="BS515" t="s">
        <v>1213</v>
      </c>
      <c r="BT515">
        <v>0</v>
      </c>
      <c r="BU515" t="s">
        <v>1213</v>
      </c>
      <c r="BV515">
        <v>0</v>
      </c>
      <c r="BW515" t="s">
        <v>1213</v>
      </c>
      <c r="BX515">
        <v>0</v>
      </c>
      <c r="BY515" t="s">
        <v>1213</v>
      </c>
      <c r="BZ515" t="s">
        <v>4213</v>
      </c>
    </row>
    <row r="516" spans="1:79" x14ac:dyDescent="0.2">
      <c r="A516" t="s">
        <v>1109</v>
      </c>
      <c r="B516" t="s">
        <v>4214</v>
      </c>
      <c r="C516" t="s">
        <v>1077</v>
      </c>
      <c r="D516" t="s">
        <v>458</v>
      </c>
      <c r="E516" t="s">
        <v>1428</v>
      </c>
      <c r="F516" t="s">
        <v>4150</v>
      </c>
      <c r="G516" t="s">
        <v>3418</v>
      </c>
      <c r="H516" t="s">
        <v>4215</v>
      </c>
      <c r="I516" t="s">
        <v>4216</v>
      </c>
      <c r="J516" t="s">
        <v>1219</v>
      </c>
      <c r="K516" t="s">
        <v>4113</v>
      </c>
      <c r="M516" t="s">
        <v>606</v>
      </c>
      <c r="N516" t="s">
        <v>1495</v>
      </c>
      <c r="O516" t="s">
        <v>1410</v>
      </c>
      <c r="P516" t="s">
        <v>1564</v>
      </c>
      <c r="Q516" t="s">
        <v>1212</v>
      </c>
      <c r="S516" t="s">
        <v>612</v>
      </c>
      <c r="X516" t="s">
        <v>612</v>
      </c>
      <c r="AE516" t="s">
        <v>605</v>
      </c>
      <c r="AH516">
        <v>3</v>
      </c>
      <c r="AM516" t="s">
        <v>605</v>
      </c>
      <c r="AW516" t="s">
        <v>1565</v>
      </c>
      <c r="BH516" t="s">
        <v>4129</v>
      </c>
      <c r="BN516">
        <v>1</v>
      </c>
      <c r="BO516" t="s">
        <v>1212</v>
      </c>
      <c r="BP516" t="s">
        <v>608</v>
      </c>
      <c r="BQ516" s="771" t="s">
        <v>608</v>
      </c>
      <c r="BR516" t="s">
        <v>1213</v>
      </c>
      <c r="BS516" t="s">
        <v>1213</v>
      </c>
      <c r="BT516">
        <v>0</v>
      </c>
      <c r="BU516" t="s">
        <v>1213</v>
      </c>
      <c r="BV516">
        <v>0</v>
      </c>
      <c r="BW516" t="s">
        <v>1213</v>
      </c>
      <c r="BX516">
        <v>0</v>
      </c>
      <c r="BY516" t="s">
        <v>1213</v>
      </c>
      <c r="BZ516" t="s">
        <v>4217</v>
      </c>
    </row>
    <row r="517" spans="1:79" x14ac:dyDescent="0.2">
      <c r="A517" t="s">
        <v>1109</v>
      </c>
      <c r="B517" t="s">
        <v>4218</v>
      </c>
      <c r="C517" t="s">
        <v>1077</v>
      </c>
      <c r="D517" t="s">
        <v>458</v>
      </c>
      <c r="E517" t="s">
        <v>1428</v>
      </c>
      <c r="F517" t="s">
        <v>4150</v>
      </c>
      <c r="G517" t="s">
        <v>3424</v>
      </c>
      <c r="H517" t="s">
        <v>4219</v>
      </c>
      <c r="I517" t="s">
        <v>4220</v>
      </c>
      <c r="J517" t="s">
        <v>2996</v>
      </c>
      <c r="K517" t="s">
        <v>1208</v>
      </c>
      <c r="M517" t="s">
        <v>606</v>
      </c>
      <c r="N517" t="s">
        <v>2245</v>
      </c>
      <c r="O517" t="s">
        <v>272</v>
      </c>
      <c r="P517" t="s">
        <v>4158</v>
      </c>
      <c r="Q517">
        <v>0</v>
      </c>
      <c r="R517" t="s">
        <v>1251</v>
      </c>
      <c r="T517">
        <v>3</v>
      </c>
      <c r="U517">
        <v>3</v>
      </c>
      <c r="V517">
        <v>3</v>
      </c>
      <c r="W517">
        <v>3</v>
      </c>
      <c r="X517">
        <v>4</v>
      </c>
      <c r="AH517">
        <v>0</v>
      </c>
      <c r="AI517" t="s">
        <v>605</v>
      </c>
      <c r="AJ517" t="s">
        <v>605</v>
      </c>
      <c r="AK517" t="s">
        <v>605</v>
      </c>
      <c r="AL517" t="s">
        <v>605</v>
      </c>
      <c r="AM517" t="s">
        <v>605</v>
      </c>
      <c r="AX517">
        <v>3</v>
      </c>
      <c r="AY517">
        <v>6</v>
      </c>
      <c r="AZ517">
        <v>9</v>
      </c>
      <c r="BA517">
        <v>12</v>
      </c>
      <c r="BB517">
        <v>16</v>
      </c>
      <c r="BC517">
        <v>999999</v>
      </c>
      <c r="BD517">
        <v>999999</v>
      </c>
      <c r="BE517">
        <v>999999</v>
      </c>
      <c r="BF517">
        <v>999999</v>
      </c>
      <c r="BG517">
        <v>999999</v>
      </c>
      <c r="BL517" t="s">
        <v>4159</v>
      </c>
      <c r="BN517">
        <v>1</v>
      </c>
      <c r="BO517" t="s">
        <v>1212</v>
      </c>
      <c r="BP517" t="s">
        <v>952</v>
      </c>
      <c r="BQ517" s="772">
        <v>4</v>
      </c>
      <c r="BR517" t="s">
        <v>605</v>
      </c>
      <c r="BS517" t="s">
        <v>1213</v>
      </c>
      <c r="BT517">
        <v>0</v>
      </c>
      <c r="BU517" t="s">
        <v>611</v>
      </c>
      <c r="BV517">
        <v>2.3955E-4</v>
      </c>
      <c r="BW517" t="s">
        <v>1213</v>
      </c>
      <c r="BX517">
        <v>0</v>
      </c>
      <c r="BY517" t="s">
        <v>1213</v>
      </c>
      <c r="BZ517" t="s">
        <v>4221</v>
      </c>
      <c r="CA517" t="s">
        <v>4161</v>
      </c>
    </row>
    <row r="518" spans="1:79" x14ac:dyDescent="0.2">
      <c r="A518" t="s">
        <v>1109</v>
      </c>
      <c r="B518" t="s">
        <v>4222</v>
      </c>
      <c r="C518" t="s">
        <v>1077</v>
      </c>
      <c r="D518" t="s">
        <v>458</v>
      </c>
      <c r="E518" t="s">
        <v>1428</v>
      </c>
      <c r="F518" t="s">
        <v>4150</v>
      </c>
      <c r="G518" t="s">
        <v>3431</v>
      </c>
      <c r="H518" t="s">
        <v>4223</v>
      </c>
      <c r="I518" t="s">
        <v>4224</v>
      </c>
      <c r="J518" t="s">
        <v>1207</v>
      </c>
      <c r="K518" t="s">
        <v>4123</v>
      </c>
      <c r="M518" t="s">
        <v>606</v>
      </c>
      <c r="N518" t="s">
        <v>1377</v>
      </c>
      <c r="O518" t="s">
        <v>272</v>
      </c>
      <c r="P518" t="s">
        <v>4153</v>
      </c>
      <c r="Q518">
        <v>0</v>
      </c>
      <c r="R518" t="s">
        <v>1251</v>
      </c>
      <c r="X518">
        <v>340</v>
      </c>
      <c r="AF518" t="s">
        <v>605</v>
      </c>
      <c r="AH518">
        <v>0</v>
      </c>
      <c r="AM518" t="s">
        <v>605</v>
      </c>
      <c r="AR518">
        <v>0</v>
      </c>
      <c r="AW518">
        <v>337</v>
      </c>
      <c r="BB518">
        <v>343</v>
      </c>
      <c r="BG518">
        <v>999999</v>
      </c>
      <c r="BH518">
        <v>0.14623800000000001</v>
      </c>
      <c r="BL518">
        <v>7.6696E-2</v>
      </c>
      <c r="BN518">
        <v>1</v>
      </c>
      <c r="BO518" t="s">
        <v>1212</v>
      </c>
      <c r="BP518" t="s">
        <v>952</v>
      </c>
      <c r="BQ518" s="772">
        <v>0</v>
      </c>
      <c r="BR518" t="s">
        <v>1213</v>
      </c>
      <c r="BS518" t="s">
        <v>1213</v>
      </c>
      <c r="BT518">
        <v>0</v>
      </c>
      <c r="BU518" t="s">
        <v>1213</v>
      </c>
      <c r="BV518">
        <v>0</v>
      </c>
      <c r="BW518" t="s">
        <v>1213</v>
      </c>
      <c r="BX518">
        <v>0</v>
      </c>
      <c r="BY518" t="s">
        <v>1213</v>
      </c>
      <c r="BZ518" t="s">
        <v>4225</v>
      </c>
    </row>
    <row r="519" spans="1:79" x14ac:dyDescent="0.2">
      <c r="A519" t="s">
        <v>1109</v>
      </c>
      <c r="B519" t="s">
        <v>4226</v>
      </c>
      <c r="C519" t="s">
        <v>1077</v>
      </c>
      <c r="D519" t="s">
        <v>458</v>
      </c>
      <c r="E519" t="s">
        <v>1428</v>
      </c>
      <c r="F519" t="s">
        <v>4150</v>
      </c>
      <c r="G519" t="s">
        <v>3437</v>
      </c>
      <c r="H519" t="s">
        <v>4227</v>
      </c>
      <c r="I519" t="s">
        <v>4228</v>
      </c>
      <c r="J519" t="s">
        <v>1207</v>
      </c>
      <c r="K519" t="s">
        <v>4123</v>
      </c>
      <c r="M519" t="s">
        <v>606</v>
      </c>
      <c r="N519" t="s">
        <v>1370</v>
      </c>
      <c r="O519" t="s">
        <v>272</v>
      </c>
      <c r="P519" t="s">
        <v>4165</v>
      </c>
      <c r="Q519">
        <v>0</v>
      </c>
      <c r="R519" t="s">
        <v>1251</v>
      </c>
      <c r="X519">
        <v>11736</v>
      </c>
      <c r="AF519" t="s">
        <v>605</v>
      </c>
      <c r="AH519">
        <v>0</v>
      </c>
      <c r="AM519" t="s">
        <v>605</v>
      </c>
      <c r="AR519">
        <v>10998</v>
      </c>
      <c r="AW519">
        <v>11501</v>
      </c>
      <c r="BB519">
        <v>11971</v>
      </c>
      <c r="BG519">
        <v>12049</v>
      </c>
      <c r="BH519">
        <v>2.0263E-2</v>
      </c>
      <c r="BL519">
        <v>1.3171E-2</v>
      </c>
      <c r="BN519">
        <v>1</v>
      </c>
      <c r="BO519" t="s">
        <v>1212</v>
      </c>
      <c r="BP519">
        <v>11466</v>
      </c>
      <c r="BQ519" s="772">
        <v>11466</v>
      </c>
      <c r="BR519" t="s">
        <v>1213</v>
      </c>
      <c r="BS519" t="s">
        <v>1213</v>
      </c>
      <c r="BT519">
        <v>0</v>
      </c>
      <c r="BU519" t="s">
        <v>1213</v>
      </c>
      <c r="BV519">
        <v>0</v>
      </c>
      <c r="BW519" t="s">
        <v>1213</v>
      </c>
      <c r="BX519">
        <v>0</v>
      </c>
      <c r="BY519" t="s">
        <v>1213</v>
      </c>
      <c r="BZ519" t="s">
        <v>4229</v>
      </c>
    </row>
    <row r="520" spans="1:79" x14ac:dyDescent="0.2">
      <c r="A520" t="s">
        <v>1109</v>
      </c>
      <c r="B520" t="s">
        <v>4230</v>
      </c>
      <c r="C520" t="s">
        <v>1077</v>
      </c>
      <c r="D520" t="s">
        <v>458</v>
      </c>
      <c r="E520" t="s">
        <v>1428</v>
      </c>
      <c r="F520" t="s">
        <v>4174</v>
      </c>
      <c r="G520" t="s">
        <v>3470</v>
      </c>
      <c r="H520" t="s">
        <v>4231</v>
      </c>
      <c r="I520" t="s">
        <v>4232</v>
      </c>
      <c r="J520" t="s">
        <v>1241</v>
      </c>
      <c r="N520" t="s">
        <v>1386</v>
      </c>
      <c r="O520" t="s">
        <v>264</v>
      </c>
      <c r="P520" t="s">
        <v>4177</v>
      </c>
      <c r="Q520">
        <v>0</v>
      </c>
      <c r="R520" t="s">
        <v>1251</v>
      </c>
      <c r="S520">
        <v>8</v>
      </c>
      <c r="T520">
        <v>12</v>
      </c>
      <c r="U520">
        <v>12</v>
      </c>
      <c r="V520">
        <v>12</v>
      </c>
      <c r="W520">
        <v>12</v>
      </c>
      <c r="X520">
        <v>12</v>
      </c>
      <c r="AH520">
        <v>0</v>
      </c>
      <c r="BP520">
        <v>12.26</v>
      </c>
      <c r="BQ520" s="772">
        <v>11.257999999999999</v>
      </c>
      <c r="BR520" t="s">
        <v>606</v>
      </c>
      <c r="BS520" t="s">
        <v>1213</v>
      </c>
      <c r="BT520">
        <v>0</v>
      </c>
      <c r="BU520" t="s">
        <v>1213</v>
      </c>
      <c r="BV520">
        <v>0</v>
      </c>
      <c r="BW520" t="s">
        <v>1213</v>
      </c>
      <c r="BX520">
        <v>0</v>
      </c>
      <c r="BY520" t="s">
        <v>1213</v>
      </c>
      <c r="BZ520" t="s">
        <v>4233</v>
      </c>
    </row>
    <row r="521" spans="1:79" x14ac:dyDescent="0.2">
      <c r="A521" t="s">
        <v>1109</v>
      </c>
      <c r="B521" t="s">
        <v>4234</v>
      </c>
      <c r="C521" t="s">
        <v>1077</v>
      </c>
      <c r="D521" t="s">
        <v>458</v>
      </c>
      <c r="E521" t="s">
        <v>1428</v>
      </c>
      <c r="F521" t="s">
        <v>4174</v>
      </c>
      <c r="G521" t="s">
        <v>3475</v>
      </c>
      <c r="H521" t="s">
        <v>4235</v>
      </c>
      <c r="I521" t="s">
        <v>4236</v>
      </c>
      <c r="J521" t="s">
        <v>1241</v>
      </c>
      <c r="N521" t="s">
        <v>1648</v>
      </c>
      <c r="O521" t="s">
        <v>264</v>
      </c>
      <c r="P521" t="s">
        <v>4183</v>
      </c>
      <c r="Q521">
        <v>0</v>
      </c>
      <c r="R521" t="s">
        <v>1251</v>
      </c>
      <c r="S521">
        <v>93</v>
      </c>
      <c r="T521">
        <v>94</v>
      </c>
      <c r="U521">
        <v>94</v>
      </c>
      <c r="V521">
        <v>95</v>
      </c>
      <c r="W521">
        <v>95</v>
      </c>
      <c r="X521">
        <v>95</v>
      </c>
      <c r="AH521">
        <v>0</v>
      </c>
      <c r="BP521">
        <v>93.5</v>
      </c>
      <c r="BQ521" s="772">
        <v>98.91</v>
      </c>
      <c r="BR521" t="s">
        <v>605</v>
      </c>
      <c r="BS521" t="s">
        <v>1213</v>
      </c>
      <c r="BT521">
        <v>0</v>
      </c>
      <c r="BU521" t="s">
        <v>1213</v>
      </c>
      <c r="BV521">
        <v>0</v>
      </c>
      <c r="BW521" t="s">
        <v>1213</v>
      </c>
      <c r="BX521">
        <v>0</v>
      </c>
      <c r="BY521" t="s">
        <v>1213</v>
      </c>
      <c r="BZ521" t="s">
        <v>4237</v>
      </c>
    </row>
    <row r="522" spans="1:79" x14ac:dyDescent="0.2">
      <c r="A522" t="s">
        <v>1109</v>
      </c>
      <c r="B522" t="s">
        <v>4238</v>
      </c>
      <c r="C522" t="s">
        <v>1077</v>
      </c>
      <c r="D522" t="s">
        <v>1288</v>
      </c>
      <c r="E522" t="s">
        <v>1289</v>
      </c>
      <c r="F522" t="s">
        <v>4239</v>
      </c>
      <c r="G522" t="s">
        <v>3568</v>
      </c>
      <c r="H522" t="s">
        <v>4240</v>
      </c>
      <c r="I522" t="s">
        <v>4241</v>
      </c>
      <c r="J522" t="s">
        <v>1207</v>
      </c>
      <c r="K522" t="s">
        <v>1208</v>
      </c>
      <c r="M522" t="s">
        <v>606</v>
      </c>
      <c r="N522" t="s">
        <v>1294</v>
      </c>
      <c r="O522" t="s">
        <v>665</v>
      </c>
      <c r="P522" t="s">
        <v>1295</v>
      </c>
      <c r="Q522">
        <v>1</v>
      </c>
      <c r="R522" t="s">
        <v>1251</v>
      </c>
      <c r="S522">
        <v>82</v>
      </c>
      <c r="T522" t="s">
        <v>4242</v>
      </c>
      <c r="U522" t="s">
        <v>4243</v>
      </c>
      <c r="V522" t="s">
        <v>4244</v>
      </c>
      <c r="W522" t="s">
        <v>4245</v>
      </c>
      <c r="X522" t="s">
        <v>4246</v>
      </c>
      <c r="AH522">
        <v>0</v>
      </c>
      <c r="AI522" t="s">
        <v>605</v>
      </c>
      <c r="AJ522" t="s">
        <v>605</v>
      </c>
      <c r="AK522" t="s">
        <v>605</v>
      </c>
      <c r="AL522" t="s">
        <v>605</v>
      </c>
      <c r="AM522" t="s">
        <v>605</v>
      </c>
      <c r="AN522" t="s">
        <v>1296</v>
      </c>
      <c r="AO522" t="s">
        <v>1296</v>
      </c>
      <c r="AP522" t="s">
        <v>1296</v>
      </c>
      <c r="AQ522" t="s">
        <v>1296</v>
      </c>
      <c r="AR522" t="s">
        <v>1296</v>
      </c>
      <c r="AS522" t="s">
        <v>1296</v>
      </c>
      <c r="AT522" t="s">
        <v>1296</v>
      </c>
      <c r="AU522" t="s">
        <v>1296</v>
      </c>
      <c r="AV522" t="s">
        <v>1296</v>
      </c>
      <c r="AW522" t="s">
        <v>1296</v>
      </c>
      <c r="AX522" t="s">
        <v>1296</v>
      </c>
      <c r="AY522" t="s">
        <v>1296</v>
      </c>
      <c r="AZ522" t="s">
        <v>1296</v>
      </c>
      <c r="BA522" t="s">
        <v>1296</v>
      </c>
      <c r="BB522" t="s">
        <v>1296</v>
      </c>
      <c r="BC522" t="s">
        <v>1296</v>
      </c>
      <c r="BD522" t="s">
        <v>1296</v>
      </c>
      <c r="BE522" t="s">
        <v>1296</v>
      </c>
      <c r="BF522" t="s">
        <v>1296</v>
      </c>
      <c r="BG522" t="s">
        <v>1296</v>
      </c>
      <c r="BH522" t="s">
        <v>1296</v>
      </c>
      <c r="BL522" t="s">
        <v>1296</v>
      </c>
      <c r="BN522">
        <v>1</v>
      </c>
      <c r="BO522" t="s">
        <v>1212</v>
      </c>
      <c r="BP522">
        <v>82</v>
      </c>
      <c r="BQ522" s="771">
        <v>82.6</v>
      </c>
      <c r="BR522" t="s">
        <v>605</v>
      </c>
      <c r="BS522" t="s">
        <v>1213</v>
      </c>
      <c r="BT522">
        <v>0</v>
      </c>
      <c r="BU522" t="s">
        <v>1213</v>
      </c>
      <c r="BV522">
        <v>0</v>
      </c>
      <c r="BW522" t="s">
        <v>1213</v>
      </c>
      <c r="BX522">
        <v>0</v>
      </c>
      <c r="BY522" t="s">
        <v>1213</v>
      </c>
      <c r="BZ522" t="s">
        <v>4247</v>
      </c>
      <c r="CA522" t="s">
        <v>1298</v>
      </c>
    </row>
    <row r="523" spans="1:79" x14ac:dyDescent="0.2">
      <c r="A523" t="s">
        <v>1109</v>
      </c>
      <c r="B523" t="s">
        <v>4248</v>
      </c>
      <c r="C523" t="s">
        <v>1077</v>
      </c>
      <c r="D523" t="s">
        <v>1288</v>
      </c>
      <c r="E523" t="s">
        <v>1289</v>
      </c>
      <c r="F523" t="s">
        <v>4239</v>
      </c>
      <c r="G523" t="s">
        <v>3573</v>
      </c>
      <c r="H523" t="s">
        <v>4249</v>
      </c>
      <c r="I523" t="s">
        <v>4250</v>
      </c>
      <c r="J523" t="s">
        <v>1241</v>
      </c>
      <c r="N523" t="s">
        <v>1400</v>
      </c>
      <c r="O523" t="s">
        <v>272</v>
      </c>
      <c r="P523" t="s">
        <v>4251</v>
      </c>
      <c r="Q523">
        <v>0</v>
      </c>
      <c r="R523" t="s">
        <v>1211</v>
      </c>
      <c r="S523">
        <v>15267</v>
      </c>
      <c r="T523" t="s">
        <v>4252</v>
      </c>
      <c r="U523" t="s">
        <v>4252</v>
      </c>
      <c r="V523" t="s">
        <v>4252</v>
      </c>
      <c r="W523" t="s">
        <v>4252</v>
      </c>
      <c r="X523" t="s">
        <v>4252</v>
      </c>
      <c r="AH523">
        <v>0</v>
      </c>
      <c r="BP523">
        <v>10610</v>
      </c>
      <c r="BQ523" s="787">
        <v>10567</v>
      </c>
      <c r="BR523" t="s">
        <v>1213</v>
      </c>
      <c r="BS523" t="s">
        <v>1213</v>
      </c>
      <c r="BT523">
        <v>0</v>
      </c>
      <c r="BU523" t="s">
        <v>1213</v>
      </c>
      <c r="BV523">
        <v>0</v>
      </c>
      <c r="BW523" t="s">
        <v>1213</v>
      </c>
      <c r="BX523">
        <v>0</v>
      </c>
      <c r="BY523" t="s">
        <v>1213</v>
      </c>
      <c r="BZ523" t="s">
        <v>4253</v>
      </c>
    </row>
    <row r="524" spans="1:79" ht="48" x14ac:dyDescent="0.2">
      <c r="A524" t="s">
        <v>1109</v>
      </c>
      <c r="B524" t="s">
        <v>4254</v>
      </c>
      <c r="C524" t="s">
        <v>1077</v>
      </c>
      <c r="D524" t="s">
        <v>1288</v>
      </c>
      <c r="E524" t="s">
        <v>1289</v>
      </c>
      <c r="F524" t="s">
        <v>4239</v>
      </c>
      <c r="G524" t="s">
        <v>3578</v>
      </c>
      <c r="H524" t="s">
        <v>4255</v>
      </c>
      <c r="I524" t="s">
        <v>4256</v>
      </c>
      <c r="J524" t="s">
        <v>1241</v>
      </c>
      <c r="N524" t="s">
        <v>1400</v>
      </c>
      <c r="O524" t="s">
        <v>264</v>
      </c>
      <c r="P524" t="s">
        <v>4257</v>
      </c>
      <c r="Q524">
        <v>0</v>
      </c>
      <c r="R524" t="s">
        <v>1251</v>
      </c>
      <c r="T524" t="s">
        <v>4258</v>
      </c>
      <c r="U524" t="s">
        <v>4258</v>
      </c>
      <c r="V524" t="s">
        <v>4258</v>
      </c>
      <c r="W524" t="s">
        <v>4258</v>
      </c>
      <c r="X524" t="s">
        <v>4258</v>
      </c>
      <c r="AH524">
        <v>0</v>
      </c>
      <c r="BP524" t="s">
        <v>4259</v>
      </c>
      <c r="BQ524" s="784" t="s">
        <v>4260</v>
      </c>
      <c r="BR524" t="s">
        <v>1213</v>
      </c>
      <c r="BS524" t="s">
        <v>1213</v>
      </c>
      <c r="BT524">
        <v>0</v>
      </c>
      <c r="BU524" t="s">
        <v>1213</v>
      </c>
      <c r="BV524">
        <v>0</v>
      </c>
      <c r="BW524" t="s">
        <v>1213</v>
      </c>
      <c r="BX524">
        <v>0</v>
      </c>
      <c r="BY524" t="s">
        <v>1213</v>
      </c>
      <c r="BZ524" t="s">
        <v>4261</v>
      </c>
    </row>
    <row r="525" spans="1:79" x14ac:dyDescent="0.2">
      <c r="A525" t="s">
        <v>1109</v>
      </c>
      <c r="B525" t="s">
        <v>4262</v>
      </c>
      <c r="C525" t="s">
        <v>1077</v>
      </c>
      <c r="D525" t="s">
        <v>1288</v>
      </c>
      <c r="E525" t="s">
        <v>1289</v>
      </c>
      <c r="F525" t="s">
        <v>4263</v>
      </c>
      <c r="G525" t="s">
        <v>3600</v>
      </c>
      <c r="H525" t="s">
        <v>4264</v>
      </c>
      <c r="I525" t="s">
        <v>4265</v>
      </c>
      <c r="J525" t="s">
        <v>1241</v>
      </c>
      <c r="N525" t="s">
        <v>1303</v>
      </c>
      <c r="O525" t="s">
        <v>264</v>
      </c>
      <c r="P525" t="s">
        <v>4266</v>
      </c>
      <c r="Q525">
        <v>2</v>
      </c>
      <c r="R525" t="s">
        <v>1211</v>
      </c>
      <c r="S525">
        <v>3.1</v>
      </c>
      <c r="T525">
        <v>3.16</v>
      </c>
      <c r="U525">
        <v>3.16</v>
      </c>
      <c r="V525">
        <v>3.16</v>
      </c>
      <c r="W525">
        <v>3.16</v>
      </c>
      <c r="X525">
        <v>3.16</v>
      </c>
      <c r="AH525">
        <v>0</v>
      </c>
      <c r="BP525">
        <v>3.18</v>
      </c>
      <c r="BQ525" s="773">
        <v>3.05</v>
      </c>
      <c r="BR525" t="s">
        <v>605</v>
      </c>
      <c r="BS525" t="s">
        <v>1213</v>
      </c>
      <c r="BT525">
        <v>0</v>
      </c>
      <c r="BU525" t="s">
        <v>1213</v>
      </c>
      <c r="BV525">
        <v>0</v>
      </c>
      <c r="BW525" t="s">
        <v>1213</v>
      </c>
      <c r="BX525">
        <v>0</v>
      </c>
      <c r="BY525" t="s">
        <v>1213</v>
      </c>
      <c r="BZ525" t="s">
        <v>4267</v>
      </c>
    </row>
    <row r="526" spans="1:79" x14ac:dyDescent="0.2">
      <c r="A526" t="s">
        <v>1109</v>
      </c>
      <c r="B526" t="s">
        <v>4268</v>
      </c>
      <c r="C526" t="s">
        <v>1077</v>
      </c>
      <c r="D526" t="s">
        <v>1288</v>
      </c>
      <c r="E526" t="s">
        <v>1289</v>
      </c>
      <c r="F526" t="s">
        <v>4263</v>
      </c>
      <c r="G526" t="s">
        <v>4269</v>
      </c>
      <c r="H526" t="s">
        <v>4270</v>
      </c>
      <c r="I526" t="s">
        <v>4271</v>
      </c>
      <c r="J526" t="s">
        <v>1241</v>
      </c>
      <c r="N526" t="s">
        <v>1303</v>
      </c>
      <c r="O526" t="s">
        <v>272</v>
      </c>
      <c r="P526" t="s">
        <v>4272</v>
      </c>
      <c r="Q526">
        <v>0</v>
      </c>
      <c r="R526" t="s">
        <v>1251</v>
      </c>
      <c r="T526" t="s">
        <v>4273</v>
      </c>
      <c r="U526" t="s">
        <v>4273</v>
      </c>
      <c r="V526" t="s">
        <v>4273</v>
      </c>
      <c r="W526" t="s">
        <v>4273</v>
      </c>
      <c r="X526" t="s">
        <v>4273</v>
      </c>
      <c r="AH526">
        <v>0</v>
      </c>
      <c r="BP526" t="s">
        <v>952</v>
      </c>
      <c r="BQ526" s="784">
        <v>22735</v>
      </c>
      <c r="BR526" t="s">
        <v>1213</v>
      </c>
      <c r="BS526" t="s">
        <v>1213</v>
      </c>
      <c r="BT526">
        <v>0</v>
      </c>
      <c r="BU526" t="s">
        <v>1213</v>
      </c>
      <c r="BV526">
        <v>0</v>
      </c>
      <c r="BW526" t="s">
        <v>1213</v>
      </c>
      <c r="BX526">
        <v>0</v>
      </c>
      <c r="BY526" t="s">
        <v>1213</v>
      </c>
      <c r="BZ526" t="s">
        <v>4274</v>
      </c>
    </row>
    <row r="527" spans="1:79" ht="48" x14ac:dyDescent="0.2">
      <c r="A527" t="s">
        <v>1109</v>
      </c>
      <c r="B527" t="s">
        <v>4275</v>
      </c>
      <c r="C527" t="s">
        <v>1077</v>
      </c>
      <c r="D527" t="s">
        <v>1288</v>
      </c>
      <c r="E527" t="s">
        <v>1289</v>
      </c>
      <c r="F527" t="s">
        <v>4263</v>
      </c>
      <c r="G527" t="s">
        <v>4276</v>
      </c>
      <c r="H527" t="s">
        <v>4277</v>
      </c>
      <c r="I527" t="s">
        <v>4278</v>
      </c>
      <c r="J527" t="s">
        <v>1241</v>
      </c>
      <c r="N527" t="s">
        <v>1303</v>
      </c>
      <c r="O527" t="s">
        <v>264</v>
      </c>
      <c r="P527" t="s">
        <v>4279</v>
      </c>
      <c r="Q527">
        <v>0</v>
      </c>
      <c r="R527" t="s">
        <v>1251</v>
      </c>
      <c r="T527" t="s">
        <v>4280</v>
      </c>
      <c r="U527" t="s">
        <v>4280</v>
      </c>
      <c r="V527" t="s">
        <v>4280</v>
      </c>
      <c r="W527" t="s">
        <v>4280</v>
      </c>
      <c r="X527" t="s">
        <v>4280</v>
      </c>
      <c r="AH527">
        <v>0</v>
      </c>
      <c r="BP527" t="s">
        <v>4281</v>
      </c>
      <c r="BQ527" s="784" t="s">
        <v>4282</v>
      </c>
      <c r="BR527" t="s">
        <v>1213</v>
      </c>
      <c r="BS527" t="s">
        <v>1213</v>
      </c>
      <c r="BT527">
        <v>0</v>
      </c>
      <c r="BU527" t="s">
        <v>1213</v>
      </c>
      <c r="BV527">
        <v>0</v>
      </c>
      <c r="BW527" t="s">
        <v>1213</v>
      </c>
      <c r="BX527">
        <v>0</v>
      </c>
      <c r="BY527" t="s">
        <v>1213</v>
      </c>
      <c r="BZ527" t="s">
        <v>4283</v>
      </c>
    </row>
    <row r="528" spans="1:79" x14ac:dyDescent="0.2">
      <c r="A528" t="s">
        <v>1109</v>
      </c>
      <c r="B528" t="s">
        <v>4284</v>
      </c>
      <c r="C528" t="s">
        <v>1077</v>
      </c>
      <c r="D528" t="s">
        <v>1288</v>
      </c>
      <c r="E528" t="s">
        <v>1289</v>
      </c>
      <c r="F528" t="s">
        <v>4174</v>
      </c>
      <c r="G528" t="s">
        <v>3610</v>
      </c>
      <c r="H528" t="s">
        <v>4285</v>
      </c>
      <c r="I528" t="s">
        <v>4286</v>
      </c>
      <c r="J528" t="s">
        <v>1241</v>
      </c>
      <c r="N528" t="s">
        <v>1386</v>
      </c>
      <c r="O528" t="s">
        <v>264</v>
      </c>
      <c r="P528" t="s">
        <v>4177</v>
      </c>
      <c r="Q528">
        <v>0</v>
      </c>
      <c r="R528" t="s">
        <v>1251</v>
      </c>
      <c r="S528">
        <v>8</v>
      </c>
      <c r="T528">
        <v>12</v>
      </c>
      <c r="U528">
        <v>12</v>
      </c>
      <c r="V528">
        <v>12</v>
      </c>
      <c r="W528">
        <v>12</v>
      </c>
      <c r="X528">
        <v>12</v>
      </c>
      <c r="AH528">
        <v>0</v>
      </c>
      <c r="BP528">
        <v>12.26</v>
      </c>
      <c r="BQ528" s="772">
        <v>11.257999999999999</v>
      </c>
      <c r="BR528" t="s">
        <v>606</v>
      </c>
      <c r="BS528" t="s">
        <v>1213</v>
      </c>
      <c r="BT528">
        <v>0</v>
      </c>
      <c r="BU528" t="s">
        <v>1213</v>
      </c>
      <c r="BV528">
        <v>0</v>
      </c>
      <c r="BW528" t="s">
        <v>1213</v>
      </c>
      <c r="BX528">
        <v>0</v>
      </c>
      <c r="BY528" t="s">
        <v>1213</v>
      </c>
      <c r="BZ528" t="s">
        <v>4287</v>
      </c>
    </row>
    <row r="529" spans="1:78" x14ac:dyDescent="0.2">
      <c r="A529" t="s">
        <v>1109</v>
      </c>
      <c r="B529" t="s">
        <v>4288</v>
      </c>
      <c r="C529" t="s">
        <v>1077</v>
      </c>
      <c r="D529" t="s">
        <v>1288</v>
      </c>
      <c r="E529" t="s">
        <v>1289</v>
      </c>
      <c r="F529" t="s">
        <v>4174</v>
      </c>
      <c r="G529" t="s">
        <v>3616</v>
      </c>
      <c r="H529" t="s">
        <v>4289</v>
      </c>
      <c r="I529" t="s">
        <v>4290</v>
      </c>
      <c r="J529" t="s">
        <v>1241</v>
      </c>
      <c r="N529" t="s">
        <v>1648</v>
      </c>
      <c r="O529" t="s">
        <v>264</v>
      </c>
      <c r="P529" t="s">
        <v>4183</v>
      </c>
      <c r="Q529">
        <v>0</v>
      </c>
      <c r="R529" t="s">
        <v>1251</v>
      </c>
      <c r="S529">
        <v>93</v>
      </c>
      <c r="T529">
        <v>94</v>
      </c>
      <c r="U529">
        <v>94</v>
      </c>
      <c r="V529">
        <v>95</v>
      </c>
      <c r="W529">
        <v>95</v>
      </c>
      <c r="X529">
        <v>95</v>
      </c>
      <c r="AH529">
        <v>0</v>
      </c>
      <c r="BP529">
        <v>93.5</v>
      </c>
      <c r="BQ529" s="772">
        <v>98.91</v>
      </c>
      <c r="BR529" t="s">
        <v>605</v>
      </c>
      <c r="BS529" t="s">
        <v>1213</v>
      </c>
      <c r="BT529">
        <v>0</v>
      </c>
      <c r="BU529" t="s">
        <v>1213</v>
      </c>
      <c r="BV529">
        <v>0</v>
      </c>
      <c r="BW529" t="s">
        <v>1213</v>
      </c>
      <c r="BX529">
        <v>0</v>
      </c>
      <c r="BY529" t="s">
        <v>1213</v>
      </c>
      <c r="BZ529" t="s">
        <v>4291</v>
      </c>
    </row>
  </sheetData>
  <sheetProtection algorithmName="SHA-512" hashValue="TlXFFZ+QP3FGGuyVOLgwoK3ferUVySBnbExG52AynpAq7eFsURJBDAn6DeN2SnZxwx+MwjbXTFK6EOK+PNuBYw==" saltValue="XJ1OCD4oTseD/KXJkcK9Lg==" spinCount="100000" sheet="1" objects="1" scenarios="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749992370372631"/>
    <pageSetUpPr fitToPage="1"/>
  </sheetPr>
  <dimension ref="A1:EI529"/>
  <sheetViews>
    <sheetView workbookViewId="0"/>
  </sheetViews>
  <sheetFormatPr defaultColWidth="9" defaultRowHeight="14.25" x14ac:dyDescent="0.2"/>
  <cols>
    <col min="1" max="1" width="18.75" style="65" bestFit="1" customWidth="1"/>
    <col min="2" max="2" width="34.125" style="65" customWidth="1"/>
    <col min="6" max="6" width="11.25" bestFit="1" customWidth="1"/>
    <col min="7" max="7" width="13.75" bestFit="1" customWidth="1"/>
    <col min="8" max="8" width="17.625" style="60" bestFit="1" customWidth="1"/>
    <col min="9" max="9" width="29.25" style="60" customWidth="1"/>
    <col min="13" max="13" width="11" bestFit="1" customWidth="1"/>
    <col min="14" max="14" width="11" customWidth="1"/>
    <col min="15" max="15" width="15.25" style="60" bestFit="1" customWidth="1"/>
    <col min="16" max="16" width="27.625" style="60" customWidth="1"/>
    <col min="22" max="22" width="15.75" style="60" bestFit="1" customWidth="1"/>
    <col min="23" max="23" width="24.5" style="60" customWidth="1"/>
    <col min="29" max="29" width="17.625" style="60" bestFit="1" customWidth="1"/>
    <col min="30" max="30" width="31.625" style="60" customWidth="1"/>
    <col min="36" max="36" width="15.25" style="60" bestFit="1" customWidth="1"/>
    <col min="37" max="37" width="20.75" style="60" bestFit="1" customWidth="1"/>
    <col min="43" max="43" width="15.75" style="60" bestFit="1" customWidth="1"/>
    <col min="44" max="44" width="68.25" style="60" bestFit="1" customWidth="1"/>
    <col min="50" max="50" width="15.25" style="60" bestFit="1" customWidth="1"/>
    <col min="51" max="51" width="29" style="60" customWidth="1"/>
    <col min="57" max="57" width="17.25" style="60" customWidth="1"/>
    <col min="58" max="58" width="27.5" style="60" customWidth="1"/>
    <col min="64" max="64" width="14.25" style="60" bestFit="1" customWidth="1"/>
    <col min="65" max="65" width="25.75" style="60" bestFit="1" customWidth="1"/>
    <col min="71" max="71" width="15.625" style="60" bestFit="1" customWidth="1"/>
    <col min="72" max="72" width="43.25" style="60" bestFit="1" customWidth="1"/>
    <col min="78" max="78" width="17.5" style="60" bestFit="1" customWidth="1"/>
    <col min="79" max="79" width="42.125" style="60" customWidth="1"/>
    <col min="85" max="85" width="18" style="60" bestFit="1" customWidth="1"/>
    <col min="86" max="86" width="42.125" style="60" customWidth="1"/>
    <col min="92" max="92" width="17.125" style="60" bestFit="1" customWidth="1"/>
    <col min="93" max="93" width="56.125" style="60" customWidth="1"/>
    <col min="98" max="98" width="10.125" bestFit="1" customWidth="1"/>
    <col min="99" max="99" width="14.125" style="60" bestFit="1" customWidth="1"/>
    <col min="100" max="100" width="40.625" style="60" bestFit="1" customWidth="1"/>
    <col min="106" max="106" width="15.75" style="60" bestFit="1" customWidth="1"/>
    <col min="107" max="107" width="72.625" style="60" bestFit="1" customWidth="1"/>
    <col min="113" max="113" width="17.125" style="60" bestFit="1" customWidth="1"/>
    <col min="114" max="114" width="36.125" style="60" bestFit="1" customWidth="1"/>
    <col min="120" max="120" width="9" style="60"/>
    <col min="121" max="121" width="33" style="60" customWidth="1"/>
    <col min="122" max="122" width="7.125" style="60" bestFit="1" customWidth="1"/>
    <col min="123" max="123" width="7.125" style="60" customWidth="1"/>
    <col min="124" max="138" width="9" style="60"/>
    <col min="140" max="16384" width="9" style="60"/>
  </cols>
  <sheetData>
    <row r="1" spans="1:126" ht="26.25" customHeight="1" x14ac:dyDescent="0.2">
      <c r="A1" s="63" t="s">
        <v>579</v>
      </c>
      <c r="B1" s="63" t="s">
        <v>580</v>
      </c>
    </row>
    <row r="2" spans="1:126" s="64" customFormat="1" ht="12.75" x14ac:dyDescent="0.2">
      <c r="A2" s="64" t="s">
        <v>1200</v>
      </c>
      <c r="B2" s="64" t="str">
        <f xml:space="preserve"> A2 &amp; "PC"</f>
        <v>AFWPC</v>
      </c>
      <c r="C2" s="64" t="str">
        <f xml:space="preserve"> A2 &amp; "Unit"</f>
        <v>AFWUnit</v>
      </c>
      <c r="D2" s="64" t="str">
        <f xml:space="preserve"> A2 &amp; "UnitDes"</f>
        <v>AFWUnitDes</v>
      </c>
      <c r="E2" s="64" t="s">
        <v>4292</v>
      </c>
      <c r="F2" s="64" t="str">
        <f xml:space="preserve"> A2 &amp; 'PC LIST'!$J$2</f>
        <v>AFWODI type</v>
      </c>
      <c r="G2" s="64" t="str">
        <f xml:space="preserve"> A2 &amp; "201516Actual"</f>
        <v>AFW201516Actual</v>
      </c>
      <c r="H2" s="64" t="s">
        <v>1080</v>
      </c>
      <c r="I2" s="64" t="str">
        <f>H2&amp;"PC"</f>
        <v>ANHPC</v>
      </c>
      <c r="J2" s="64" t="str">
        <f xml:space="preserve"> H2 &amp; "Unit"</f>
        <v>ANHUnit</v>
      </c>
      <c r="K2" s="64" t="str">
        <f xml:space="preserve"> H2 &amp; "UnitDes"</f>
        <v>ANHUnitDes</v>
      </c>
      <c r="L2" s="64" t="s">
        <v>4293</v>
      </c>
      <c r="M2" s="64" t="str">
        <f xml:space="preserve"> H2 &amp; 'PC LIST'!$J$2</f>
        <v>ANHODI type</v>
      </c>
      <c r="N2" s="64" t="str">
        <f xml:space="preserve"> H2 &amp; "201516Actual"</f>
        <v>ANH201516Actual</v>
      </c>
      <c r="O2" s="64" t="s">
        <v>1551</v>
      </c>
      <c r="P2" s="64" t="str">
        <f>O2&amp;"PC"</f>
        <v>BRLPC</v>
      </c>
      <c r="Q2" s="64" t="str">
        <f xml:space="preserve"> O2 &amp; "Unit"</f>
        <v>BRLUnit</v>
      </c>
      <c r="R2" s="64" t="str">
        <f xml:space="preserve"> O2 &amp; "UnitDes"</f>
        <v>BRLUnitDes</v>
      </c>
      <c r="S2" s="64" t="s">
        <v>4294</v>
      </c>
      <c r="T2" s="64" t="str">
        <f xml:space="preserve"> O2 &amp; 'PC LIST'!$J$2</f>
        <v>BRLODI type</v>
      </c>
      <c r="U2" s="64" t="str">
        <f xml:space="preserve"> O2 &amp; "201516Actual"</f>
        <v>BRL201516Actual</v>
      </c>
      <c r="V2" s="64" t="s">
        <v>1695</v>
      </c>
      <c r="W2" s="64" t="str">
        <f>V2&amp;"PC"</f>
        <v>DVWPC</v>
      </c>
      <c r="X2" s="64" t="str">
        <f xml:space="preserve"> V2 &amp; "Unit"</f>
        <v>DVWUnit</v>
      </c>
      <c r="Y2" s="64" t="str">
        <f xml:space="preserve"> V2 &amp; "UnitDes"</f>
        <v>DVWUnitDes</v>
      </c>
      <c r="Z2" s="64" t="s">
        <v>4295</v>
      </c>
      <c r="AA2" s="64" t="str">
        <f xml:space="preserve"> V2 &amp; 'PC LIST'!$J$2</f>
        <v>DVWODI type</v>
      </c>
      <c r="AB2" s="64" t="str">
        <f xml:space="preserve"> V2 &amp; "201516Actual"</f>
        <v>DVW201516Actual</v>
      </c>
      <c r="AC2" s="64" t="s">
        <v>1087</v>
      </c>
      <c r="AD2" s="64" t="str">
        <f>AC2&amp;"PC"</f>
        <v>NESPC</v>
      </c>
      <c r="AE2" s="64" t="str">
        <f xml:space="preserve"> AC2 &amp; "Unit"</f>
        <v>NESUnit</v>
      </c>
      <c r="AF2" s="64" t="str">
        <f xml:space="preserve"> AC2 &amp; "UnitDes"</f>
        <v>NESUnitDes</v>
      </c>
      <c r="AG2" s="64" t="s">
        <v>4296</v>
      </c>
      <c r="AH2" s="64" t="str">
        <f xml:space="preserve"> AC2 &amp; 'PC LIST'!$J$2</f>
        <v>NESODI type</v>
      </c>
      <c r="AI2" s="64" t="str">
        <f xml:space="preserve"> AC2 &amp; "201516Actual"</f>
        <v>NES201516Actual</v>
      </c>
      <c r="AJ2" s="64" t="s">
        <v>2098</v>
      </c>
      <c r="AK2" s="64" t="str">
        <f>AJ2&amp;"PC"</f>
        <v>PRTPC</v>
      </c>
      <c r="AL2" s="64" t="str">
        <f xml:space="preserve"> AJ2 &amp; "Unit"</f>
        <v>PRTUnit</v>
      </c>
      <c r="AM2" s="64" t="str">
        <f xml:space="preserve"> AJ2 &amp; "UnitDes"</f>
        <v>PRTUnitDes</v>
      </c>
      <c r="AN2" s="64" t="s">
        <v>4297</v>
      </c>
      <c r="AO2" s="64" t="str">
        <f xml:space="preserve"> AJ2 &amp; 'PC LIST'!$J$2</f>
        <v>PRTODI type</v>
      </c>
      <c r="AP2" s="64" t="str">
        <f xml:space="preserve"> AJ2 &amp; "201516Actual"</f>
        <v>PRT201516Actual</v>
      </c>
      <c r="AQ2" s="64" t="s">
        <v>2181</v>
      </c>
      <c r="AR2" s="64" t="str">
        <f>AQ2&amp;"PC"</f>
        <v>SBWPC</v>
      </c>
      <c r="AS2" s="64" t="str">
        <f xml:space="preserve"> AQ2 &amp; "Unit"</f>
        <v>SBWUnit</v>
      </c>
      <c r="AT2" s="64" t="str">
        <f xml:space="preserve"> AQ2 &amp; "UnitDes"</f>
        <v>SBWUnitDes</v>
      </c>
      <c r="AU2" s="64" t="s">
        <v>4298</v>
      </c>
      <c r="AV2" s="64" t="str">
        <f xml:space="preserve"> AQ2 &amp; 'PC LIST'!$J$2</f>
        <v>SBWODI type</v>
      </c>
      <c r="AW2" s="64" t="str">
        <f xml:space="preserve"> AQ2 &amp; "201516Actual"</f>
        <v>SBW201516Actual</v>
      </c>
      <c r="AX2" s="64" t="s">
        <v>2264</v>
      </c>
      <c r="AY2" s="64" t="str">
        <f>AX2&amp;"PC"</f>
        <v>SESPC</v>
      </c>
      <c r="AZ2" s="64" t="str">
        <f xml:space="preserve"> AX2 &amp; "Unit"</f>
        <v>SESUnit</v>
      </c>
      <c r="BA2" s="64" t="str">
        <f xml:space="preserve"> AX2 &amp; "UnitDes"</f>
        <v>SESUnitDes</v>
      </c>
      <c r="BB2" s="64" t="s">
        <v>4299</v>
      </c>
      <c r="BC2" s="64" t="str">
        <f xml:space="preserve"> AX2 &amp; 'PC LIST'!$J$2</f>
        <v>SESODI type</v>
      </c>
      <c r="BD2" s="64" t="str">
        <f xml:space="preserve"> AX2 &amp; "201516Actual"</f>
        <v>SES201516Actual</v>
      </c>
      <c r="BE2" s="64" t="s">
        <v>2379</v>
      </c>
      <c r="BF2" s="64" t="str">
        <f>BE2&amp;"PC"</f>
        <v>SEWPC</v>
      </c>
      <c r="BG2" s="64" t="str">
        <f xml:space="preserve"> BE2 &amp; "Unit"</f>
        <v>SEWUnit</v>
      </c>
      <c r="BH2" s="64" t="str">
        <f xml:space="preserve"> BE2 &amp; "UnitDes"</f>
        <v>SEWUnitDes</v>
      </c>
      <c r="BI2" s="64" t="s">
        <v>4300</v>
      </c>
      <c r="BJ2" s="64" t="str">
        <f xml:space="preserve"> BE2 &amp; 'PC LIST'!$J$2</f>
        <v>SEWODI type</v>
      </c>
      <c r="BK2" s="64" t="str">
        <f xml:space="preserve"> BE2 &amp; "201516Actual"</f>
        <v>SEW201516Actual</v>
      </c>
      <c r="BL2" s="64" t="s">
        <v>1096</v>
      </c>
      <c r="BM2" s="64" t="str">
        <f>BL2&amp;"PC"</f>
        <v>SRNPC</v>
      </c>
      <c r="BN2" s="64" t="str">
        <f xml:space="preserve"> BL2 &amp; "Unit"</f>
        <v>SRNUnit</v>
      </c>
      <c r="BO2" s="64" t="str">
        <f xml:space="preserve"> BL2 &amp; "UnitDes"</f>
        <v>SRNUnitDes</v>
      </c>
      <c r="BP2" s="64" t="s">
        <v>4301</v>
      </c>
      <c r="BQ2" s="64" t="str">
        <f xml:space="preserve"> BL2 &amp; 'PC LIST'!$J$2</f>
        <v>SRNODI type</v>
      </c>
      <c r="BR2" s="64" t="str">
        <f xml:space="preserve"> BL2 &amp; "201516Actual"</f>
        <v>SRN201516Actual</v>
      </c>
      <c r="BS2" s="64" t="s">
        <v>2715</v>
      </c>
      <c r="BT2" s="64" t="str">
        <f>BS2&amp;"PC"</f>
        <v>SSCPC</v>
      </c>
      <c r="BU2" s="64" t="str">
        <f xml:space="preserve"> BS2 &amp; "Unit"</f>
        <v>SSCUnit</v>
      </c>
      <c r="BV2" s="64" t="str">
        <f xml:space="preserve"> BS2 &amp; "UnitDes"</f>
        <v>SSCUnitDes</v>
      </c>
      <c r="BW2" s="64" t="str">
        <f xml:space="preserve"> BS2 &amp; "DP"</f>
        <v>SSCDP</v>
      </c>
      <c r="BX2" s="64" t="str">
        <f xml:space="preserve"> BS2 &amp; 'PC LIST'!$J$2</f>
        <v>SSCODI type</v>
      </c>
      <c r="BY2" s="64" t="str">
        <f xml:space="preserve"> BS2 &amp; "201516Actual"</f>
        <v>SSC201516Actual</v>
      </c>
      <c r="BZ2" s="64" t="s">
        <v>1090</v>
      </c>
      <c r="CA2" s="64" t="str">
        <f>BZ2&amp;"PC"</f>
        <v>SVTPC</v>
      </c>
      <c r="CB2" s="64" t="str">
        <f xml:space="preserve"> BZ2 &amp; "Unit"</f>
        <v>SVTUnit</v>
      </c>
      <c r="CC2" s="64" t="str">
        <f xml:space="preserve"> BZ2 &amp; "UnitDes"</f>
        <v>SVTUnitDes</v>
      </c>
      <c r="CD2" s="64" t="s">
        <v>4302</v>
      </c>
      <c r="CE2" s="64" t="str">
        <f xml:space="preserve"> BZ2 &amp; 'PC LIST'!$J$2</f>
        <v>SVTODI type</v>
      </c>
      <c r="CF2" s="64" t="str">
        <f xml:space="preserve"> BZ2 &amp; "201516Actual"</f>
        <v>SVT201516Actual</v>
      </c>
      <c r="CG2" s="64" t="s">
        <v>1093</v>
      </c>
      <c r="CH2" s="64" t="str">
        <f>CG2&amp;"PC"</f>
        <v>SWTPC</v>
      </c>
      <c r="CI2" s="64" t="str">
        <f xml:space="preserve"> CG2 &amp; "Unit"</f>
        <v>SWTUnit</v>
      </c>
      <c r="CJ2" s="64" t="str">
        <f xml:space="preserve"> CG2 &amp; "UnitDes"</f>
        <v>SWTUnitDes</v>
      </c>
      <c r="CK2" s="64" t="s">
        <v>4303</v>
      </c>
      <c r="CL2" s="64" t="str">
        <f xml:space="preserve"> CG2 &amp; 'PC LIST'!$J$2</f>
        <v>SWTODI type</v>
      </c>
      <c r="CM2" s="64" t="str">
        <f xml:space="preserve"> CG2 &amp; "201516Actual"</f>
        <v>SWT201516Actual</v>
      </c>
      <c r="CN2" s="64" t="s">
        <v>1100</v>
      </c>
      <c r="CO2" s="64" t="str">
        <f>CN2&amp;"PC"</f>
        <v>TMSPC</v>
      </c>
      <c r="CP2" s="64" t="str">
        <f xml:space="preserve"> CN2 &amp; "Unit"</f>
        <v>TMSUnit</v>
      </c>
      <c r="CQ2" s="64" t="str">
        <f xml:space="preserve"> CN2 &amp; "UnitDes"</f>
        <v>TMSUnitDes</v>
      </c>
      <c r="CR2" s="64" t="s">
        <v>4304</v>
      </c>
      <c r="CS2" s="64" t="str">
        <f xml:space="preserve"> CN2 &amp; 'PC LIST'!$J$2</f>
        <v>TMSODI type</v>
      </c>
      <c r="CT2" s="64" t="str">
        <f xml:space="preserve"> CN2 &amp; "201516Actual"</f>
        <v>TMS201516Actual</v>
      </c>
      <c r="CU2" s="64" t="s">
        <v>1103</v>
      </c>
      <c r="CV2" s="64" t="str">
        <f>CU2&amp;"PC"</f>
        <v>NWTPC</v>
      </c>
      <c r="CW2" s="64" t="str">
        <f xml:space="preserve"> CU2 &amp; "Unit"</f>
        <v>NWTUnit</v>
      </c>
      <c r="CX2" s="64" t="str">
        <f xml:space="preserve"> CU2 &amp; "UnitDes"</f>
        <v>NWTUnitDes</v>
      </c>
      <c r="CY2" s="64" t="s">
        <v>4305</v>
      </c>
      <c r="CZ2" s="64" t="str">
        <f xml:space="preserve"> CU2 &amp; 'PC LIST'!$J$2</f>
        <v>NWTODI type</v>
      </c>
      <c r="DA2" s="64" t="str">
        <f xml:space="preserve"> CU2 &amp; "201516Actual"</f>
        <v>NWT201516Actual</v>
      </c>
      <c r="DB2" s="64" t="s">
        <v>1084</v>
      </c>
      <c r="DC2" s="64" t="str">
        <f>DB2&amp;"PC"</f>
        <v>WSHPC</v>
      </c>
      <c r="DD2" s="64" t="str">
        <f xml:space="preserve"> DB2 &amp; "Unit"</f>
        <v>WSHUnit</v>
      </c>
      <c r="DE2" s="64" t="str">
        <f xml:space="preserve"> DB2 &amp; "UnitDes"</f>
        <v>WSHUnitDes</v>
      </c>
      <c r="DF2" s="64" t="s">
        <v>4306</v>
      </c>
      <c r="DG2" s="64" t="str">
        <f xml:space="preserve"> DB2 &amp; 'PC LIST'!$J$2</f>
        <v>WSHODI type</v>
      </c>
      <c r="DH2" s="64" t="str">
        <f xml:space="preserve"> DB2 &amp; "201516Actual"</f>
        <v>WSH201516Actual</v>
      </c>
      <c r="DI2" s="64" t="s">
        <v>1106</v>
      </c>
      <c r="DJ2" s="64" t="s">
        <v>4307</v>
      </c>
      <c r="DK2" s="64" t="str">
        <f xml:space="preserve"> DI2 &amp; "Unit"</f>
        <v>WSXUnit</v>
      </c>
      <c r="DL2" s="64" t="str">
        <f xml:space="preserve"> DI2 &amp; "UnitDes"</f>
        <v>WSXUnitDes</v>
      </c>
      <c r="DM2" s="64" t="s">
        <v>4308</v>
      </c>
      <c r="DN2" s="64" t="str">
        <f xml:space="preserve"> DI2 &amp; 'PC LIST'!$J$2</f>
        <v>WSXODI type</v>
      </c>
      <c r="DO2" s="64" t="str">
        <f xml:space="preserve"> DI2 &amp; "201516Actual"</f>
        <v>WSX201516Actual</v>
      </c>
      <c r="DP2" s="64" t="s">
        <v>1109</v>
      </c>
      <c r="DQ2" s="64" t="str">
        <f>DP2&amp;"PC"</f>
        <v>YKYPC</v>
      </c>
      <c r="DR2" s="64" t="str">
        <f xml:space="preserve"> DP2 &amp; "Unit"</f>
        <v>YKYUnit</v>
      </c>
      <c r="DS2" s="64" t="str">
        <f xml:space="preserve"> DP2 &amp; "UnitDes"</f>
        <v>YKYUnitDes</v>
      </c>
      <c r="DT2" s="64" t="s">
        <v>4309</v>
      </c>
      <c r="DU2" s="64" t="str">
        <f xml:space="preserve"> DP2 &amp; 'PC LIST'!$J$2</f>
        <v>YKYODI type</v>
      </c>
      <c r="DV2" s="64" t="str">
        <f xml:space="preserve"> DP2 &amp; "201516Actual"</f>
        <v>YKY201516Actual</v>
      </c>
    </row>
    <row r="3" spans="1:126" ht="15.75" customHeight="1" x14ac:dyDescent="0.2">
      <c r="A3" s="65" t="str">
        <f>'PC LIST'!B3</f>
        <v>PR14AFWWSW_W-A1</v>
      </c>
      <c r="B3" s="65" t="str">
        <f>'PC LIST'!I3</f>
        <v>W-A1: Leakage</v>
      </c>
      <c r="C3" s="65" t="str">
        <f>'PC LIST'!O3</f>
        <v>nr</v>
      </c>
      <c r="D3" s="65" t="str">
        <f>'PC LIST'!P3</f>
        <v>Megalitres per day (Ml/d)</v>
      </c>
      <c r="E3" s="65">
        <f>'PC LIST'!Q3</f>
        <v>1</v>
      </c>
      <c r="F3" s="65" t="str">
        <f>'PC LIST'!J3</f>
        <v>R&amp;P</v>
      </c>
      <c r="G3" s="65">
        <f>'PC LIST'!BQ3</f>
        <v>180.89</v>
      </c>
      <c r="H3" s="65" t="str">
        <f>'PC LIST'!B16</f>
        <v>PR14ANHWSW_W-A2</v>
      </c>
      <c r="I3" s="65" t="str">
        <f>'PC LIST'!I16</f>
        <v>W-A2: Water supply interruptions averaged over three years (reduction)</v>
      </c>
      <c r="J3" s="65" t="str">
        <f>'PC LIST'!O16</f>
        <v>time</v>
      </c>
      <c r="K3" s="65" t="str">
        <f>'PC LIST'!P16</f>
        <v>Minutes / property / year</v>
      </c>
      <c r="L3" s="65">
        <f>'PC LIST'!Q16</f>
        <v>2</v>
      </c>
      <c r="M3" s="65" t="str">
        <f>'PC LIST'!J16</f>
        <v>R&amp;P</v>
      </c>
      <c r="N3" s="788">
        <f>'PC LIST'!BQ16</f>
        <v>8.1999999999999993</v>
      </c>
      <c r="O3" s="65" t="str">
        <f>'PC LIST'!B55</f>
        <v>PR14BRLWSW_A1</v>
      </c>
      <c r="P3" s="65" t="str">
        <f>'PC LIST'!I55</f>
        <v>A1: Unplanned customer minutes lost</v>
      </c>
      <c r="Q3" s="65" t="str">
        <f>'PC LIST'!O55</f>
        <v>time</v>
      </c>
      <c r="R3" s="65" t="str">
        <f>'PC LIST'!P55</f>
        <v>Minutes / property / year</v>
      </c>
      <c r="S3" s="65">
        <f>'PC LIST'!Q55</f>
        <v>2</v>
      </c>
      <c r="T3" s="65" t="str">
        <f>'PC LIST'!J55</f>
        <v>R&amp;P</v>
      </c>
      <c r="U3" s="788">
        <f>'PC LIST'!BQ55</f>
        <v>15.49</v>
      </c>
      <c r="V3" s="65" t="str">
        <f>'PC LIST'!B76</f>
        <v>PR14DVWWSW_A1</v>
      </c>
      <c r="W3" s="65" t="str">
        <f>'PC LIST'!I76</f>
        <v>A1: Discoloured water contacts</v>
      </c>
      <c r="X3" s="65" t="str">
        <f>'PC LIST'!O76</f>
        <v>nr</v>
      </c>
      <c r="Y3" s="65" t="str">
        <f>'PC LIST'!P76</f>
        <v>No. per 1,000 population</v>
      </c>
      <c r="Z3" s="65">
        <f>'PC LIST'!Q76</f>
        <v>2</v>
      </c>
      <c r="AA3" s="65" t="str">
        <f>'PC LIST'!J76</f>
        <v>R&amp;P</v>
      </c>
      <c r="AB3" s="788">
        <f>'PC LIST'!BQ76</f>
        <v>1.32</v>
      </c>
      <c r="AC3" s="65" t="str">
        <f>'PC LIST'!B89</f>
        <v>PR14NESWSW_W-A1</v>
      </c>
      <c r="AD3" s="66" t="str">
        <f>'PC LIST'!I89</f>
        <v>W-A1: Asset health measures - water</v>
      </c>
      <c r="AE3" s="66" t="str">
        <f>'PC LIST'!O89</f>
        <v>N/A</v>
      </c>
      <c r="AF3" s="66" t="str">
        <f>'PC LIST'!P89</f>
        <v>N/A (measured in separate PCs)</v>
      </c>
      <c r="AG3" s="65" t="str">
        <f>'PC LIST'!Q89</f>
        <v>na</v>
      </c>
      <c r="AH3" s="65" t="str">
        <f>'PC LIST'!J89</f>
        <v>NFI</v>
      </c>
      <c r="AI3" s="65" t="str">
        <f>'PC LIST'!BQ89</f>
        <v>n/a</v>
      </c>
      <c r="AJ3" s="65" t="str">
        <f>'PC LIST'!B133</f>
        <v>PR14PRTWSW_A1</v>
      </c>
      <c r="AK3" s="65" t="str">
        <f>'PC LIST'!I133</f>
        <v>A1: Bursts</v>
      </c>
      <c r="AL3" s="65" t="str">
        <f>'PC LIST'!O133</f>
        <v>nr</v>
      </c>
      <c r="AM3" s="65" t="str">
        <f>'PC LIST'!P133</f>
        <v>No. of burst mains per year</v>
      </c>
      <c r="AN3" s="65">
        <f>'PC LIST'!Q133</f>
        <v>0</v>
      </c>
      <c r="AO3" s="65" t="str">
        <f>'PC LIST'!J133</f>
        <v>R&amp;P</v>
      </c>
      <c r="AP3" s="789">
        <f>'PC LIST'!BQ133</f>
        <v>219</v>
      </c>
      <c r="AQ3" s="65" t="str">
        <f>'PC LIST'!B146</f>
        <v>PR14SBWWSW_A1</v>
      </c>
      <c r="AR3" s="65" t="str">
        <f>'PC LIST'!I146</f>
        <v>A1: Customer contacts: taste and appearance (water quality contacts)</v>
      </c>
      <c r="AS3" s="65" t="str">
        <f>'PC LIST'!O146</f>
        <v>nr</v>
      </c>
      <c r="AT3" s="65" t="str">
        <f>'PC LIST'!P146</f>
        <v>No. per 1,000 population</v>
      </c>
      <c r="AU3" s="65">
        <f>'PC LIST'!Q146</f>
        <v>2</v>
      </c>
      <c r="AV3" s="65" t="str">
        <f>'PC LIST'!J146</f>
        <v>PO</v>
      </c>
      <c r="AW3" s="788">
        <f>'PC LIST'!BQ146</f>
        <v>0.73</v>
      </c>
      <c r="AX3" s="65" t="str">
        <f>'PC LIST'!B161</f>
        <v>PR14SESWSW_A1</v>
      </c>
      <c r="AY3" s="65" t="str">
        <f>'PC LIST'!I161</f>
        <v>A1: Security of supply index (SoSI) dry year average</v>
      </c>
      <c r="AZ3" s="65" t="str">
        <f>'PC LIST'!O161</f>
        <v>score</v>
      </c>
      <c r="BA3" s="65" t="str">
        <f>'PC LIST'!P161</f>
        <v>Security of Supply Index (SOSI)</v>
      </c>
      <c r="BB3" s="65">
        <f>'PC LIST'!Q161</f>
        <v>0</v>
      </c>
      <c r="BC3" s="65" t="str">
        <f>'PC LIST'!J161</f>
        <v>PO</v>
      </c>
      <c r="BD3" s="789">
        <f>'PC LIST'!BQ161</f>
        <v>100</v>
      </c>
      <c r="BE3" s="65" t="str">
        <f>'PC LIST'!B182</f>
        <v>PR14SEWWSW_A1</v>
      </c>
      <c r="BF3" s="65" t="str">
        <f>'PC LIST'!I182</f>
        <v>A1: Customer satisfaction - appearance of water</v>
      </c>
      <c r="BG3" s="65" t="str">
        <f>'PC LIST'!O182</f>
        <v>score</v>
      </c>
      <c r="BH3" s="65" t="str">
        <f>'PC LIST'!P182</f>
        <v>Customer satisfaction score out of 5</v>
      </c>
      <c r="BI3" s="65">
        <f>'PC LIST'!Q182</f>
        <v>1</v>
      </c>
      <c r="BJ3" s="65" t="str">
        <f>'PC LIST'!J182</f>
        <v>R&amp;P</v>
      </c>
      <c r="BK3" s="65">
        <f>'PC LIST'!BQ182</f>
        <v>4.4000000000000004</v>
      </c>
      <c r="BL3" s="65" t="str">
        <f>'PC LIST'!B216</f>
        <v>PR14SRNWSW_1</v>
      </c>
      <c r="BM3" s="65" t="str">
        <f>'PC LIST'!I216</f>
        <v>1: Water asset health (mains bursts, TIM, WSW &amp; WSR coliform compliance, turbidity compliance)</v>
      </c>
      <c r="BN3" s="65" t="str">
        <f>'PC LIST'!O216</f>
        <v>category</v>
      </c>
      <c r="BO3" s="65" t="str">
        <f>'PC LIST'!P216</f>
        <v>Asset health indicator</v>
      </c>
      <c r="BP3" s="65" t="str">
        <f>'PC LIST'!Q216</f>
        <v>na</v>
      </c>
      <c r="BQ3" s="65" t="str">
        <f>'PC LIST'!J216</f>
        <v>PO</v>
      </c>
      <c r="BR3" s="65" t="str">
        <f>'PC LIST'!BQ216</f>
        <v>Stable</v>
      </c>
      <c r="BS3" s="65" t="str">
        <f>'PC LIST'!B249</f>
        <v>PR14SSCWSW_1.1</v>
      </c>
      <c r="BT3" s="65" t="str">
        <f>'PC LIST'!I249</f>
        <v>1.1: Mean zonal compliance (MZC, combined company)</v>
      </c>
      <c r="BU3" s="65" t="str">
        <f>'PC LIST'!O249</f>
        <v>%</v>
      </c>
      <c r="BV3" s="65" t="str">
        <f>'PC LIST'!P249</f>
        <v>Mean zonal compliance (%)</v>
      </c>
      <c r="BW3" s="65">
        <f>'PC LIST'!Q249</f>
        <v>3</v>
      </c>
      <c r="BX3" s="65" t="str">
        <f>'PC LIST'!J249</f>
        <v>PO</v>
      </c>
      <c r="BY3" s="65">
        <f>'PC LIST'!BQ249</f>
        <v>99.883799999999994</v>
      </c>
      <c r="BZ3" s="65" t="str">
        <f>'PC LIST'!B264</f>
        <v>PR14SVTWSW_W-A1</v>
      </c>
      <c r="CA3" s="65" t="str">
        <f>'PC LIST'!I264</f>
        <v>W-A1: Number of complaints about drinking water quality</v>
      </c>
      <c r="CB3" s="65" t="str">
        <f>'PC LIST'!O264</f>
        <v>nr</v>
      </c>
      <c r="CC3" s="65" t="str">
        <f>'PC LIST'!P264</f>
        <v>No. of water quality complaints</v>
      </c>
      <c r="CD3" s="65">
        <f>'PC LIST'!Q264</f>
        <v>0</v>
      </c>
      <c r="CE3" s="65" t="str">
        <f>'PC LIST'!J264</f>
        <v>R&amp;P</v>
      </c>
      <c r="CF3" s="789">
        <f>'PC LIST'!BQ264</f>
        <v>13941</v>
      </c>
      <c r="CG3" s="65" t="str">
        <f>'PC LIST'!B309</f>
        <v>PR14SWTWSW_W-A1</v>
      </c>
      <c r="CH3" s="67" t="str">
        <f>'PC LIST'!I309</f>
        <v>W-A1: Compliance with water quality standard</v>
      </c>
      <c r="CI3" s="67" t="str">
        <f>'PC LIST'!O309</f>
        <v>%</v>
      </c>
      <c r="CJ3" s="67" t="str">
        <f>'PC LIST'!P309</f>
        <v>Mean zonal compliance (%)</v>
      </c>
      <c r="CK3" s="65">
        <f>'PC LIST'!Q309</f>
        <v>2</v>
      </c>
      <c r="CL3" s="65" t="str">
        <f>'PC LIST'!J309</f>
        <v>PO</v>
      </c>
      <c r="CM3" s="788">
        <f>'PC LIST'!BQ309</f>
        <v>99.97</v>
      </c>
      <c r="CN3" s="65" t="str">
        <f>'PC LIST'!B351</f>
        <v>PR14TMSWSW_WA1</v>
      </c>
      <c r="CO3" s="65" t="str">
        <f>'PC LIST'!I351</f>
        <v>WA1: Improve handling of written complaints by increasing 1st time resolution</v>
      </c>
      <c r="CP3" s="65" t="str">
        <f>'PC LIST'!O351</f>
        <v>%</v>
      </c>
      <c r="CQ3" s="65" t="str">
        <f>'PC LIST'!P351</f>
        <v>% written complaints resolved 1st time</v>
      </c>
      <c r="CR3" s="65">
        <f>'PC LIST'!Q351</f>
        <v>0</v>
      </c>
      <c r="CS3" s="65" t="str">
        <f>'PC LIST'!J351</f>
        <v>NFI</v>
      </c>
      <c r="CT3" s="65">
        <f>'PC LIST'!BQ351</f>
        <v>91.25</v>
      </c>
      <c r="CU3" s="65" t="str">
        <f>'PC LIST'!B406</f>
        <v>PR14UUWSW_A1</v>
      </c>
      <c r="CV3" s="65" t="str">
        <f>'PC LIST'!I406</f>
        <v>A1: Drinking Water Safety Plan risk score</v>
      </c>
      <c r="CW3" s="65" t="str">
        <f>'PC LIST'!O406</f>
        <v>score</v>
      </c>
      <c r="CX3" s="65" t="str">
        <f>'PC LIST'!P406</f>
        <v>Drinking Water Safety Plan (DWSP) risk score</v>
      </c>
      <c r="CY3" s="65">
        <f>'PC LIST'!Q406</f>
        <v>1</v>
      </c>
      <c r="CZ3" s="65" t="str">
        <f>'PC LIST'!J406</f>
        <v>NFI</v>
      </c>
      <c r="DA3" s="65">
        <f>'PC LIST'!BQ406</f>
        <v>4.3</v>
      </c>
      <c r="DB3" s="65" t="str">
        <f>'PC LIST'!B433</f>
        <v>PR14WSHWSW_A1</v>
      </c>
      <c r="DC3" s="65" t="str">
        <f>'PC LIST'!I433</f>
        <v>A1: Safety of drinking water</v>
      </c>
      <c r="DD3" s="65" t="str">
        <f>'PC LIST'!O433</f>
        <v>%</v>
      </c>
      <c r="DE3" s="65" t="str">
        <f>'PC LIST'!P433</f>
        <v>Mean zonal compliance (%)</v>
      </c>
      <c r="DF3" s="65">
        <f>'PC LIST'!Q433</f>
        <v>2</v>
      </c>
      <c r="DG3" s="65" t="str">
        <f>'PC LIST'!J433</f>
        <v>PO</v>
      </c>
      <c r="DH3" s="788">
        <f>'PC LIST'!BQ433</f>
        <v>99.96</v>
      </c>
      <c r="DI3" s="65" t="str">
        <f>'PC LIST'!B464</f>
        <v>PR14WSXWSW_B4</v>
      </c>
      <c r="DJ3" s="65" t="str">
        <f>'PC LIST'!I464</f>
        <v>B4: Compliance with abstraction licences</v>
      </c>
      <c r="DK3" s="65" t="str">
        <f>'PC LIST'!O464</f>
        <v>%</v>
      </c>
      <c r="DL3" s="65" t="str">
        <f>'PC LIST'!P464</f>
        <v>% compliance with EA abstraction licences</v>
      </c>
      <c r="DM3" s="65">
        <f>'PC LIST'!Q464</f>
        <v>1</v>
      </c>
      <c r="DN3" s="65" t="str">
        <f>'PC LIST'!J464</f>
        <v>NFI</v>
      </c>
      <c r="DO3" s="65">
        <f>'PC LIST'!BQ464</f>
        <v>100</v>
      </c>
      <c r="DP3" s="65" t="str">
        <f>'PC LIST'!B496</f>
        <v>PR14YKYWSW_WA1</v>
      </c>
      <c r="DQ3" s="65" t="str">
        <f>'PC LIST'!I496</f>
        <v>WA1: Drinking water quality</v>
      </c>
      <c r="DR3" s="65" t="str">
        <f>'PC LIST'!O496</f>
        <v>%</v>
      </c>
      <c r="DS3" s="65" t="str">
        <f>'PC LIST'!P496</f>
        <v>Mean zonal compliance (%)</v>
      </c>
      <c r="DT3" s="65">
        <f>'PC LIST'!Q496</f>
        <v>3</v>
      </c>
      <c r="DU3" s="65" t="str">
        <f>'PC LIST'!J496</f>
        <v>PO</v>
      </c>
      <c r="DV3" s="65">
        <f>'PC LIST'!BQ496</f>
        <v>99.953999999999994</v>
      </c>
    </row>
    <row r="4" spans="1:126" ht="15.75" customHeight="1" x14ac:dyDescent="0.2">
      <c r="A4" s="65" t="str">
        <f>'PC LIST'!B4</f>
        <v>PR14AFWWSW_W-A2</v>
      </c>
      <c r="B4" s="65" t="str">
        <f>'PC LIST'!I4</f>
        <v>W-A2: Average water use</v>
      </c>
      <c r="C4" s="65" t="str">
        <f>'PC LIST'!O4</f>
        <v>nr</v>
      </c>
      <c r="D4" s="65" t="str">
        <f>'PC LIST'!P4</f>
        <v>Litres per person per day (l/p/d)</v>
      </c>
      <c r="E4" s="65">
        <f>'PC LIST'!Q4</f>
        <v>1</v>
      </c>
      <c r="F4" s="65" t="str">
        <f>'PC LIST'!J4</f>
        <v>PO</v>
      </c>
      <c r="G4" s="65">
        <f>'PC LIST'!BQ4</f>
        <v>154.4</v>
      </c>
      <c r="H4" s="65" t="str">
        <f>'PC LIST'!B17</f>
        <v>PR14ANHWSW_W-A3</v>
      </c>
      <c r="I4" s="65" t="str">
        <f>'PC LIST'!I17</f>
        <v>W-A3: Properties at risk of persistent low pressure</v>
      </c>
      <c r="J4" s="65" t="str">
        <f>'PC LIST'!O17</f>
        <v>nr</v>
      </c>
      <c r="K4" s="65" t="str">
        <f>'PC LIST'!P17</f>
        <v>No. of properties</v>
      </c>
      <c r="L4" s="65">
        <f>'PC LIST'!Q17</f>
        <v>0</v>
      </c>
      <c r="M4" s="65" t="str">
        <f>'PC LIST'!J17</f>
        <v>R&amp;P</v>
      </c>
      <c r="N4" s="788">
        <f>'PC LIST'!BQ17</f>
        <v>462</v>
      </c>
      <c r="O4" s="65" t="str">
        <f>'PC LIST'!B56</f>
        <v>PR14BRLWSW_A2</v>
      </c>
      <c r="P4" s="65" t="str">
        <f>'PC LIST'!I56</f>
        <v>A2: Asset reliability - infrastructure</v>
      </c>
      <c r="Q4" s="65" t="str">
        <f>'PC LIST'!O56</f>
        <v>category</v>
      </c>
      <c r="R4" s="65" t="str">
        <f>'PC LIST'!P56</f>
        <v>Asset health indicator</v>
      </c>
      <c r="S4" s="65" t="str">
        <f>'PC LIST'!Q56</f>
        <v>na</v>
      </c>
      <c r="T4" s="65" t="str">
        <f>'PC LIST'!J56</f>
        <v>PO</v>
      </c>
      <c r="U4" s="788" t="str">
        <f>'PC LIST'!BQ56</f>
        <v>Stable</v>
      </c>
      <c r="V4" s="65" t="str">
        <f>'PC LIST'!B77</f>
        <v>PR14DVWWSW_A2</v>
      </c>
      <c r="W4" s="65" t="str">
        <f>'PC LIST'!I77</f>
        <v>A2: Mean zonal compliance (MZC)</v>
      </c>
      <c r="X4" s="65" t="str">
        <f>'PC LIST'!O77</f>
        <v>%</v>
      </c>
      <c r="Y4" s="65" t="str">
        <f>'PC LIST'!P77</f>
        <v>Mean zonal compliance (%)</v>
      </c>
      <c r="Z4" s="65">
        <f>'PC LIST'!Q77</f>
        <v>2</v>
      </c>
      <c r="AA4" s="65" t="str">
        <f>'PC LIST'!J77</f>
        <v>PO</v>
      </c>
      <c r="AB4" s="788">
        <f>'PC LIST'!BQ77</f>
        <v>99.95</v>
      </c>
      <c r="AC4" s="65" t="str">
        <f>'PC LIST'!B90</f>
        <v>PR14NESWSW_W-B1</v>
      </c>
      <c r="AD4" s="66" t="str">
        <f>'PC LIST'!I90</f>
        <v>W-B1: Satisfaction with taste and odour of tap water</v>
      </c>
      <c r="AE4" s="66" t="str">
        <f>'PC LIST'!O90</f>
        <v>nr</v>
      </c>
      <c r="AF4" s="66" t="str">
        <f>'PC LIST'!P90</f>
        <v>No. of complaints per year</v>
      </c>
      <c r="AG4" s="65">
        <f>'PC LIST'!Q90</f>
        <v>0</v>
      </c>
      <c r="AH4" s="65" t="str">
        <f>'PC LIST'!J90</f>
        <v>R&amp;P</v>
      </c>
      <c r="AI4" s="65">
        <f>'PC LIST'!BQ90</f>
        <v>1225</v>
      </c>
      <c r="AJ4" s="65" t="str">
        <f>'PC LIST'!B134</f>
        <v>PR14PRTWSW_A2</v>
      </c>
      <c r="AK4" s="65" t="str">
        <f>'PC LIST'!I134</f>
        <v>A2: Water quality standards</v>
      </c>
      <c r="AL4" s="65" t="str">
        <f>'PC LIST'!O134</f>
        <v>%</v>
      </c>
      <c r="AM4" s="65" t="str">
        <f>'PC LIST'!P134</f>
        <v>Mean zonal compliance (%)</v>
      </c>
      <c r="AN4" s="65">
        <f>'PC LIST'!Q134</f>
        <v>2</v>
      </c>
      <c r="AO4" s="65" t="str">
        <f>'PC LIST'!J134</f>
        <v>PO</v>
      </c>
      <c r="AP4" s="789">
        <f>'PC LIST'!BQ134</f>
        <v>99.94</v>
      </c>
      <c r="AQ4" s="65" t="str">
        <f>'PC LIST'!B147</f>
        <v>PR14SBWWSW_A2</v>
      </c>
      <c r="AR4" s="65" t="str">
        <f>'PC LIST'!I147</f>
        <v>A2: WS (WQ) regulation compliance - mean zonal compliance (compliance with DWI regulations)</v>
      </c>
      <c r="AS4" s="65" t="str">
        <f>'PC LIST'!O147</f>
        <v>%</v>
      </c>
      <c r="AT4" s="65" t="str">
        <f>'PC LIST'!P147</f>
        <v>Mean zonal compliance (%)</v>
      </c>
      <c r="AU4" s="65">
        <f>'PC LIST'!Q147</f>
        <v>2</v>
      </c>
      <c r="AV4" s="65" t="str">
        <f>'PC LIST'!J147</f>
        <v>PO</v>
      </c>
      <c r="AW4" s="788">
        <f>'PC LIST'!BQ147</f>
        <v>100</v>
      </c>
      <c r="AX4" s="65" t="str">
        <f>'PC LIST'!B162</f>
        <v>PR14SESWSW_A2</v>
      </c>
      <c r="AY4" s="65" t="str">
        <f>'PC LIST'!I162</f>
        <v>A2: Security of supply index (SoSI) critical period</v>
      </c>
      <c r="AZ4" s="65" t="str">
        <f>'PC LIST'!O162</f>
        <v>score</v>
      </c>
      <c r="BA4" s="65" t="str">
        <f>'PC LIST'!P162</f>
        <v>Security of Supply Index (SOSI)</v>
      </c>
      <c r="BB4" s="65">
        <f>'PC LIST'!Q162</f>
        <v>0</v>
      </c>
      <c r="BC4" s="65" t="str">
        <f>'PC LIST'!J162</f>
        <v>NFI</v>
      </c>
      <c r="BD4" s="789">
        <f>'PC LIST'!BQ162</f>
        <v>100</v>
      </c>
      <c r="BE4" s="65" t="str">
        <f>'PC LIST'!B183</f>
        <v>PR14SEWWSW_B1</v>
      </c>
      <c r="BF4" s="65" t="str">
        <f>'PC LIST'!I183</f>
        <v>B1: Customer satisfaction - taste and odour of water</v>
      </c>
      <c r="BG4" s="65" t="str">
        <f>'PC LIST'!O183</f>
        <v>score</v>
      </c>
      <c r="BH4" s="65" t="str">
        <f>'PC LIST'!P183</f>
        <v>Customer satisfaction score out of 5</v>
      </c>
      <c r="BI4" s="65">
        <f>'PC LIST'!Q183</f>
        <v>1</v>
      </c>
      <c r="BJ4" s="65" t="str">
        <f>'PC LIST'!J183</f>
        <v>R&amp;P</v>
      </c>
      <c r="BK4" s="65">
        <f>'PC LIST'!BQ183</f>
        <v>4.0999999999999996</v>
      </c>
      <c r="BL4" s="65" t="str">
        <f>'PC LIST'!B217</f>
        <v>PR14SRNWSW_2</v>
      </c>
      <c r="BM4" s="65" t="str">
        <f>'PC LIST'!I217</f>
        <v>2: Water use restrictions</v>
      </c>
      <c r="BN4" s="65" t="str">
        <f>'PC LIST'!O217</f>
        <v>nr</v>
      </c>
      <c r="BO4" s="65" t="str">
        <f>'PC LIST'!P217</f>
        <v>No. of properties affected per ban</v>
      </c>
      <c r="BP4" s="65">
        <f>'PC LIST'!Q217</f>
        <v>0</v>
      </c>
      <c r="BQ4" s="65" t="str">
        <f>'PC LIST'!J217</f>
        <v>PO</v>
      </c>
      <c r="BR4" s="65">
        <f>'PC LIST'!BQ217</f>
        <v>0</v>
      </c>
      <c r="BS4" s="65" t="str">
        <f>'PC LIST'!B250</f>
        <v>PR14SSCWSW_1.2</v>
      </c>
      <c r="BT4" s="65" t="str">
        <f>'PC LIST'!I250</f>
        <v>1.2: Acceptability of water to customers (combined company)</v>
      </c>
      <c r="BU4" s="65" t="str">
        <f>'PC LIST'!O250</f>
        <v>nr</v>
      </c>
      <c r="BV4" s="65" t="str">
        <f>'PC LIST'!P250</f>
        <v>No. per 1,000 population</v>
      </c>
      <c r="BW4" s="65">
        <f>'PC LIST'!Q250</f>
        <v>2</v>
      </c>
      <c r="BX4" s="65" t="str">
        <f>'PC LIST'!J250</f>
        <v>R&amp;P</v>
      </c>
      <c r="BY4" s="65">
        <f>'PC LIST'!BQ250</f>
        <v>1.9576</v>
      </c>
      <c r="BZ4" s="65" t="str">
        <f>'PC LIST'!B265</f>
        <v>PR14SVTWSW_W-A2</v>
      </c>
      <c r="CA4" s="65" t="str">
        <f>'PC LIST'!I265</f>
        <v>W-A2: Compliance with drinking water quality standards</v>
      </c>
      <c r="CB4" s="65" t="str">
        <f>'PC LIST'!O265</f>
        <v>%</v>
      </c>
      <c r="CC4" s="65" t="str">
        <f>'PC LIST'!P265</f>
        <v>Mean zonal compliance (%)</v>
      </c>
      <c r="CD4" s="65">
        <f>'PC LIST'!Q265</f>
        <v>3</v>
      </c>
      <c r="CE4" s="65" t="str">
        <f>'PC LIST'!J265</f>
        <v>PO</v>
      </c>
      <c r="CF4" s="789">
        <f>'PC LIST'!BQ265</f>
        <v>99.962000000000003</v>
      </c>
      <c r="CG4" s="65" t="str">
        <f>'PC LIST'!B310</f>
        <v>PR14SWTWSW_W-A2</v>
      </c>
      <c r="CH4" s="67" t="str">
        <f>'PC LIST'!I310</f>
        <v>W-A2: Taste, smell and colour contacts</v>
      </c>
      <c r="CI4" s="67" t="str">
        <f>'PC LIST'!O310</f>
        <v>nr</v>
      </c>
      <c r="CJ4" s="67" t="str">
        <f>'PC LIST'!P310</f>
        <v>No. of contacts per 1,000 population</v>
      </c>
      <c r="CK4" s="65">
        <f>'PC LIST'!Q310</f>
        <v>2</v>
      </c>
      <c r="CL4" s="65" t="str">
        <f>'PC LIST'!J310</f>
        <v>R&amp;P</v>
      </c>
      <c r="CM4" s="788">
        <f>'PC LIST'!BQ310</f>
        <v>2.92</v>
      </c>
      <c r="CN4" s="65" t="str">
        <f>'PC LIST'!B352</f>
        <v>PR14TMSWSW_WA2</v>
      </c>
      <c r="CO4" s="65" t="str">
        <f>'PC LIST'!I352</f>
        <v>WA2: Number of written complaints per 10,000 connected properties</v>
      </c>
      <c r="CP4" s="65" t="str">
        <f>'PC LIST'!O352</f>
        <v>nr</v>
      </c>
      <c r="CQ4" s="65" t="str">
        <f>'PC LIST'!P352</f>
        <v>No. written complaints / 10,000 properties</v>
      </c>
      <c r="CR4" s="65">
        <f>'PC LIST'!Q352</f>
        <v>2</v>
      </c>
      <c r="CS4" s="65" t="str">
        <f>'PC LIST'!J352</f>
        <v>NFI</v>
      </c>
      <c r="CT4" s="65">
        <f>'PC LIST'!BQ352</f>
        <v>8.84</v>
      </c>
      <c r="CU4" s="65" t="str">
        <f>'PC LIST'!B407</f>
        <v>PR14UUWSW_A2</v>
      </c>
      <c r="CV4" s="65" t="str">
        <f>'PC LIST'!I407</f>
        <v>A2: Water quality events DWI category 3 or above</v>
      </c>
      <c r="CW4" s="65" t="str">
        <f>'PC LIST'!O407</f>
        <v>nr</v>
      </c>
      <c r="CX4" s="65" t="str">
        <f>'PC LIST'!P407</f>
        <v>No. water quality events DWI cat 3 or above</v>
      </c>
      <c r="CY4" s="65">
        <f>'PC LIST'!Q407</f>
        <v>0</v>
      </c>
      <c r="CZ4" s="65" t="str">
        <f>'PC LIST'!J407</f>
        <v>PO</v>
      </c>
      <c r="DA4" s="65">
        <f>'PC LIST'!BQ407</f>
        <v>35</v>
      </c>
      <c r="DB4" s="65" t="str">
        <f>'PC LIST'!B434</f>
        <v>PR14WSHWSW_A2</v>
      </c>
      <c r="DC4" s="65" t="str">
        <f>'PC LIST'!I434</f>
        <v>A2: Customer acceptability (drinking water) - contacts per 1,000 population</v>
      </c>
      <c r="DD4" s="65" t="str">
        <f>'PC LIST'!O434</f>
        <v>nr</v>
      </c>
      <c r="DE4" s="65" t="str">
        <f>'PC LIST'!P434</f>
        <v>No. of contacts per 1,000 population</v>
      </c>
      <c r="DF4" s="65">
        <f>'PC LIST'!Q434</f>
        <v>2</v>
      </c>
      <c r="DG4" s="65" t="str">
        <f>'PC LIST'!J434</f>
        <v>R&amp;P</v>
      </c>
      <c r="DH4" s="788">
        <f>'PC LIST'!BQ434</f>
        <v>2.91</v>
      </c>
      <c r="DI4" s="65" t="str">
        <f>'PC LIST'!B465</f>
        <v>PR14WSXWSW_B5</v>
      </c>
      <c r="DJ4" s="65" t="str">
        <f>'PC LIST'!I465</f>
        <v>B5: Abstractions at Mere exported (follows principles of the AIM methodology)</v>
      </c>
      <c r="DK4" s="65" t="str">
        <f>'PC LIST'!O465</f>
        <v>nr</v>
      </c>
      <c r="DL4" s="65" t="str">
        <f>'PC LIST'!P465</f>
        <v>Megalitres per annum (Ml/a)</v>
      </c>
      <c r="DM4" s="65">
        <f>'PC LIST'!Q465</f>
        <v>0</v>
      </c>
      <c r="DN4" s="65" t="str">
        <f>'PC LIST'!J465</f>
        <v>PO</v>
      </c>
      <c r="DO4" s="65">
        <f>'PC LIST'!BQ465</f>
        <v>172</v>
      </c>
      <c r="DP4" s="65" t="str">
        <f>'PC LIST'!B497</f>
        <v>PR14YKYWSW_WA2</v>
      </c>
      <c r="DQ4" s="65" t="str">
        <f>'PC LIST'!I497</f>
        <v>WA2: Significant drinking water events which require corrective action</v>
      </c>
      <c r="DR4" s="65" t="str">
        <f>'PC LIST'!O497</f>
        <v>nr</v>
      </c>
      <c r="DS4" s="65" t="str">
        <f>'PC LIST'!P497</f>
        <v>No. of corrective actions required by DWI with respect to potentially significant events notified</v>
      </c>
      <c r="DT4" s="65">
        <f>'PC LIST'!Q497</f>
        <v>0</v>
      </c>
      <c r="DU4" s="65" t="str">
        <f>'PC LIST'!J497</f>
        <v>NFI</v>
      </c>
      <c r="DV4" s="65">
        <f>'PC LIST'!BQ497</f>
        <v>5</v>
      </c>
    </row>
    <row r="5" spans="1:126" ht="15.75" customHeight="1" x14ac:dyDescent="0.2">
      <c r="A5" s="65" t="str">
        <f>'PC LIST'!B5</f>
        <v>PR14AFWWSW_W-A3</v>
      </c>
      <c r="B5" s="65" t="str">
        <f>'PC LIST'!I5</f>
        <v>W-A3: Water available for use</v>
      </c>
      <c r="C5" s="65" t="str">
        <f>'PC LIST'!O5</f>
        <v>nr</v>
      </c>
      <c r="D5" s="65" t="str">
        <f>'PC LIST'!P5</f>
        <v>Megalitres per day (Ml/d)</v>
      </c>
      <c r="E5" s="65">
        <f>'PC LIST'!Q5</f>
        <v>1</v>
      </c>
      <c r="F5" s="65" t="str">
        <f>'PC LIST'!J5</f>
        <v>PO</v>
      </c>
      <c r="G5" s="65">
        <f>'PC LIST'!BQ5</f>
        <v>1139.08</v>
      </c>
      <c r="H5" s="65" t="str">
        <f>'PC LIST'!B18</f>
        <v>PR14ANHWSW_W-A4</v>
      </c>
      <c r="I5" s="65" t="str">
        <f>'PC LIST'!I18</f>
        <v>W-A4: Water quality contacts</v>
      </c>
      <c r="J5" s="65" t="str">
        <f>'PC LIST'!O18</f>
        <v>nr</v>
      </c>
      <c r="K5" s="65" t="str">
        <f>'PC LIST'!P18</f>
        <v>No. per 1,000 population</v>
      </c>
      <c r="L5" s="65">
        <f>'PC LIST'!Q18</f>
        <v>2</v>
      </c>
      <c r="M5" s="65" t="str">
        <f>'PC LIST'!J18</f>
        <v>R&amp;P</v>
      </c>
      <c r="N5" s="788">
        <f>'PC LIST'!BQ18</f>
        <v>1.38</v>
      </c>
      <c r="O5" s="65" t="str">
        <f>'PC LIST'!B57</f>
        <v>PR14BRLWSW_A3</v>
      </c>
      <c r="P5" s="65" t="str">
        <f>'PC LIST'!I57</f>
        <v>A3: Asset reliability - non-infrastructure</v>
      </c>
      <c r="Q5" s="65" t="str">
        <f>'PC LIST'!O57</f>
        <v>category</v>
      </c>
      <c r="R5" s="65" t="str">
        <f>'PC LIST'!P57</f>
        <v>Asset health indicator</v>
      </c>
      <c r="S5" s="65" t="str">
        <f>'PC LIST'!Q57</f>
        <v>na</v>
      </c>
      <c r="T5" s="65" t="str">
        <f>'PC LIST'!J57</f>
        <v>PO</v>
      </c>
      <c r="U5" s="788" t="str">
        <f>'PC LIST'!BQ57</f>
        <v>Stable</v>
      </c>
      <c r="V5" s="65" t="str">
        <f>'PC LIST'!B78</f>
        <v>PR14DVWWSW_A3</v>
      </c>
      <c r="W5" s="65" t="str">
        <f>'PC LIST'!I78</f>
        <v>A3: Delivery of the outcomes of the Legacy water treatment works (south west Wrexham) major scheme</v>
      </c>
      <c r="X5" s="65" t="str">
        <f>'PC LIST'!O78</f>
        <v>text</v>
      </c>
      <c r="Y5" s="65" t="str">
        <f>'PC LIST'!P78</f>
        <v>Pass/fail (until completion)</v>
      </c>
      <c r="Z5" s="65" t="str">
        <f>'PC LIST'!Q78</f>
        <v>na</v>
      </c>
      <c r="AA5" s="65" t="str">
        <f>'PC LIST'!J78</f>
        <v>PO</v>
      </c>
      <c r="AB5" s="788" t="str">
        <f>'PC LIST'!BQ78</f>
        <v>Pass</v>
      </c>
      <c r="AC5" s="65" t="str">
        <f>'PC LIST'!B91</f>
        <v>PR14NESWSW_W-B2</v>
      </c>
      <c r="AD5" s="66" t="str">
        <f>'PC LIST'!I91</f>
        <v>W-B2: Overall drinking water compliance</v>
      </c>
      <c r="AE5" s="66" t="str">
        <f>'PC LIST'!O91</f>
        <v>%</v>
      </c>
      <c r="AF5" s="66" t="str">
        <f>'PC LIST'!P91</f>
        <v>Mean zonal compliance (%)</v>
      </c>
      <c r="AG5" s="65">
        <f>'PC LIST'!Q91</f>
        <v>2</v>
      </c>
      <c r="AH5" s="65" t="str">
        <f>'PC LIST'!J91</f>
        <v>PO</v>
      </c>
      <c r="AI5" s="65">
        <f>'PC LIST'!BQ91</f>
        <v>99.936999999999998</v>
      </c>
      <c r="AJ5" s="65" t="str">
        <f>'PC LIST'!B135</f>
        <v>PR14PRTWSW_A3</v>
      </c>
      <c r="AK5" s="65" t="str">
        <f>'PC LIST'!I135</f>
        <v>A3: Water quality contacts</v>
      </c>
      <c r="AL5" s="65" t="str">
        <f>'PC LIST'!O135</f>
        <v>nr</v>
      </c>
      <c r="AM5" s="65" t="str">
        <f>'PC LIST'!P135</f>
        <v>No. contacts per 1,000 population served</v>
      </c>
      <c r="AN5" s="65">
        <f>'PC LIST'!Q135</f>
        <v>3</v>
      </c>
      <c r="AO5" s="65" t="str">
        <f>'PC LIST'!J135</f>
        <v>R&amp;P</v>
      </c>
      <c r="AP5" s="789">
        <f>'PC LIST'!BQ135</f>
        <v>0.56999999999999995</v>
      </c>
      <c r="AQ5" s="65" t="str">
        <f>'PC LIST'!B148</f>
        <v>PR14SBWWSW_B1</v>
      </c>
      <c r="AR5" s="65" t="str">
        <f>'PC LIST'!I148</f>
        <v>B1: Reduce leakage (to less than or equal to 20.00 Ml/d by 2020)</v>
      </c>
      <c r="AS5" s="65" t="str">
        <f>'PC LIST'!O148</f>
        <v>nr</v>
      </c>
      <c r="AT5" s="65" t="str">
        <f>'PC LIST'!P148</f>
        <v>Megalitres per day (Ml/d)</v>
      </c>
      <c r="AU5" s="65">
        <f>'PC LIST'!Q148</f>
        <v>2</v>
      </c>
      <c r="AV5" s="65" t="str">
        <f>'PC LIST'!J148</f>
        <v>R&amp;P</v>
      </c>
      <c r="AW5" s="788">
        <f>'PC LIST'!BQ148</f>
        <v>19.632999999999999</v>
      </c>
      <c r="AX5" s="65" t="str">
        <f>'PC LIST'!B163</f>
        <v>PR14SESWSW_A3</v>
      </c>
      <c r="AY5" s="65" t="str">
        <f>'PC LIST'!I163</f>
        <v>A3: Supply interruptions &gt;3 hours</v>
      </c>
      <c r="AZ5" s="65" t="str">
        <f>'PC LIST'!O163</f>
        <v>time</v>
      </c>
      <c r="BA5" s="65" t="str">
        <f>'PC LIST'!P163</f>
        <v>Hours / property / year</v>
      </c>
      <c r="BB5" s="65">
        <f>'PC LIST'!Q163</f>
        <v>2</v>
      </c>
      <c r="BC5" s="65" t="str">
        <f>'PC LIST'!J163</f>
        <v>R&amp;P</v>
      </c>
      <c r="BD5" s="789">
        <f>'PC LIST'!BQ163</f>
        <v>0.1</v>
      </c>
      <c r="BE5" s="65" t="str">
        <f>'PC LIST'!B184</f>
        <v>PR14SEWWSW_C1</v>
      </c>
      <c r="BF5" s="65" t="str">
        <f>'PC LIST'!I184</f>
        <v>C1: Customer satisfaction - level of leakage</v>
      </c>
      <c r="BG5" s="65" t="str">
        <f>'PC LIST'!O184</f>
        <v>score</v>
      </c>
      <c r="BH5" s="65" t="str">
        <f>'PC LIST'!P184</f>
        <v>Customer satisfaction score out of 5</v>
      </c>
      <c r="BI5" s="65">
        <f>'PC LIST'!Q184</f>
        <v>1</v>
      </c>
      <c r="BJ5" s="65" t="str">
        <f>'PC LIST'!J184</f>
        <v>R&amp;P</v>
      </c>
      <c r="BK5" s="65">
        <f>'PC LIST'!BQ184</f>
        <v>3.4</v>
      </c>
      <c r="BL5" s="65" t="str">
        <f>'PC LIST'!B218</f>
        <v>PR14SRNWSW_3</v>
      </c>
      <c r="BM5" s="65" t="str">
        <f>'PC LIST'!I218</f>
        <v>3: Leakage (including customer supply-pipe leakage) - five-year average target</v>
      </c>
      <c r="BN5" s="65" t="str">
        <f>'PC LIST'!O218</f>
        <v>nr</v>
      </c>
      <c r="BO5" s="65" t="str">
        <f>'PC LIST'!P218</f>
        <v>Megalitres per day (Ml/d)</v>
      </c>
      <c r="BP5" s="65">
        <f>'PC LIST'!Q218</f>
        <v>1</v>
      </c>
      <c r="BQ5" s="65" t="str">
        <f>'PC LIST'!J218</f>
        <v>R&amp;P</v>
      </c>
      <c r="BR5" s="65">
        <f>'PC LIST'!BQ218</f>
        <v>83.9</v>
      </c>
      <c r="BS5" s="65" t="str">
        <f>'PC LIST'!B251</f>
        <v>PR14SSCWSW_2.1</v>
      </c>
      <c r="BT5" s="65" t="str">
        <f>'PC LIST'!I251</f>
        <v>2.1: Interruptions to supply (combined company)</v>
      </c>
      <c r="BU5" s="65" t="str">
        <f>'PC LIST'!O251</f>
        <v>time</v>
      </c>
      <c r="BV5" s="65" t="str">
        <f>'PC LIST'!P251</f>
        <v>Minutes / property / year</v>
      </c>
      <c r="BW5" s="65">
        <f>'PC LIST'!Q251</f>
        <v>1</v>
      </c>
      <c r="BX5" s="65" t="str">
        <f>'PC LIST'!J251</f>
        <v>R&amp;P</v>
      </c>
      <c r="BY5" s="65">
        <f>'PC LIST'!BQ251</f>
        <v>4.2333333333333334</v>
      </c>
      <c r="BZ5" s="65" t="str">
        <f>'PC LIST'!B266</f>
        <v>PR14SVTWSW_W-A3</v>
      </c>
      <c r="CA5" s="65" t="str">
        <f>'PC LIST'!I266</f>
        <v>W-A3: Asset stewardship - number of sites with coliform failures (WTWs)</v>
      </c>
      <c r="CB5" s="65" t="str">
        <f>'PC LIST'!O266</f>
        <v>nr</v>
      </c>
      <c r="CC5" s="65" t="str">
        <f>'PC LIST'!P266</f>
        <v>No. of sites with coliform failures per year</v>
      </c>
      <c r="CD5" s="65">
        <f>'PC LIST'!Q266</f>
        <v>0</v>
      </c>
      <c r="CE5" s="65" t="str">
        <f>'PC LIST'!J266</f>
        <v>PO</v>
      </c>
      <c r="CF5" s="789">
        <f>'PC LIST'!BQ266</f>
        <v>5</v>
      </c>
      <c r="CG5" s="65" t="str">
        <f>'PC LIST'!B311</f>
        <v>PR14SWTWSW_W-A3</v>
      </c>
      <c r="CH5" s="67" t="str">
        <f>'PC LIST'!I311</f>
        <v>W-A3: Asset reliability (pipes)</v>
      </c>
      <c r="CI5" s="67" t="str">
        <f>'PC LIST'!O311</f>
        <v>category</v>
      </c>
      <c r="CJ5" s="67" t="str">
        <f>'PC LIST'!P311</f>
        <v>Asset health indicator</v>
      </c>
      <c r="CK5" s="65" t="str">
        <f>'PC LIST'!Q311</f>
        <v>na</v>
      </c>
      <c r="CL5" s="65" t="str">
        <f>'PC LIST'!J311</f>
        <v>PO</v>
      </c>
      <c r="CM5" s="788" t="str">
        <f>'PC LIST'!BQ311</f>
        <v>stable</v>
      </c>
      <c r="CN5" s="65" t="str">
        <f>'PC LIST'!B353</f>
        <v>PR14TMSWSW_WA3</v>
      </c>
      <c r="CO5" s="65" t="str">
        <f>'PC LIST'!I353</f>
        <v>WA3: Customer satisfaction surveys (internal CSAT monitor)</v>
      </c>
      <c r="CP5" s="65" t="str">
        <f>'PC LIST'!O353</f>
        <v>score</v>
      </c>
      <c r="CQ5" s="65" t="str">
        <f>'PC LIST'!P353</f>
        <v>TW internal Customer satisfaction score (mean score out of 5)</v>
      </c>
      <c r="CR5" s="65">
        <f>'PC LIST'!Q353</f>
        <v>2</v>
      </c>
      <c r="CS5" s="65" t="str">
        <f>'PC LIST'!J353</f>
        <v>NFI</v>
      </c>
      <c r="CT5" s="65">
        <f>'PC LIST'!BQ353</f>
        <v>4.4400000000000004</v>
      </c>
      <c r="CU5" s="65" t="str">
        <f>'PC LIST'!B408</f>
        <v>PR14UUWSW_A3</v>
      </c>
      <c r="CV5" s="65" t="str">
        <f>'PC LIST'!I408</f>
        <v>A3: Water Quality Service Index</v>
      </c>
      <c r="CW5" s="65" t="str">
        <f>'PC LIST'!O408</f>
        <v>score</v>
      </c>
      <c r="CX5" s="65" t="str">
        <f>'PC LIST'!P408</f>
        <v>Water Quality Service Index (UU bespoke)</v>
      </c>
      <c r="CY5" s="65">
        <f>'PC LIST'!Q408</f>
        <v>3</v>
      </c>
      <c r="CZ5" s="65" t="str">
        <f>'PC LIST'!J408</f>
        <v>R&amp;P</v>
      </c>
      <c r="DA5" s="65">
        <f>'PC LIST'!BQ408</f>
        <v>120.4653572103465</v>
      </c>
      <c r="DB5" s="65" t="str">
        <f>'PC LIST'!B435</f>
        <v>PR14WSHWSW_A3</v>
      </c>
      <c r="DC5" s="65" t="str">
        <f>'PC LIST'!I435</f>
        <v>A3: Reliability of supply - minutes lost per property per year</v>
      </c>
      <c r="DD5" s="65" t="str">
        <f>'PC LIST'!O435</f>
        <v>time</v>
      </c>
      <c r="DE5" s="65" t="str">
        <f>'PC LIST'!P435</f>
        <v>Minutes of supply interruption per property per year</v>
      </c>
      <c r="DF5" s="65">
        <f>'PC LIST'!Q435</f>
        <v>1</v>
      </c>
      <c r="DG5" s="65" t="str">
        <f>'PC LIST'!J435</f>
        <v>R&amp;P</v>
      </c>
      <c r="DH5" s="788">
        <f>'PC LIST'!BQ435</f>
        <v>21.7</v>
      </c>
      <c r="DI5" s="65" t="str">
        <f>'PC LIST'!B466</f>
        <v>PR14WSXWSW_B6</v>
      </c>
      <c r="DJ5" s="65" t="str">
        <f>'PC LIST'!I466</f>
        <v>B6: BAP landholding assessed and managed for biodiversity</v>
      </c>
      <c r="DK5" s="65" t="str">
        <f>'PC LIST'!O466</f>
        <v>%</v>
      </c>
      <c r="DL5" s="65" t="str">
        <f>'PC LIST'!P466</f>
        <v>% WSX landholding assessed &amp; managed for biodiversity</v>
      </c>
      <c r="DM5" s="65">
        <f>'PC LIST'!Q466</f>
        <v>0</v>
      </c>
      <c r="DN5" s="65" t="str">
        <f>'PC LIST'!J466</f>
        <v>PO</v>
      </c>
      <c r="DO5" s="65">
        <f>'PC LIST'!BQ466</f>
        <v>60</v>
      </c>
      <c r="DP5" s="65" t="str">
        <f>'PC LIST'!B498</f>
        <v>PR14YKYWSW_WA3</v>
      </c>
      <c r="DQ5" s="65" t="str">
        <f>'PC LIST'!I498</f>
        <v>WA3: Drinking water contacts</v>
      </c>
      <c r="DR5" s="65" t="str">
        <f>'PC LIST'!O498</f>
        <v>nr</v>
      </c>
      <c r="DS5" s="65" t="str">
        <f>'PC LIST'!P498</f>
        <v>No. of contacts (discolouration, taste &amp; odour and illness) in line with DWI reporting</v>
      </c>
      <c r="DT5" s="65">
        <f>'PC LIST'!Q498</f>
        <v>0</v>
      </c>
      <c r="DU5" s="65" t="str">
        <f>'PC LIST'!J498</f>
        <v>R&amp;P</v>
      </c>
      <c r="DV5" s="65">
        <f>'PC LIST'!BQ498</f>
        <v>10007</v>
      </c>
    </row>
    <row r="6" spans="1:126" ht="15.75" customHeight="1" x14ac:dyDescent="0.2">
      <c r="A6" s="65" t="str">
        <f>'PC LIST'!B6</f>
        <v>PR14AFWWSW_W-A4</v>
      </c>
      <c r="B6" s="65" t="str">
        <f>'PC LIST'!I6</f>
        <v>W-A4: Sustainable abstraction reductions</v>
      </c>
      <c r="C6" s="65" t="str">
        <f>'PC LIST'!O6</f>
        <v>nr</v>
      </c>
      <c r="D6" s="65" t="str">
        <f>'PC LIST'!P6</f>
        <v>Megalitres per day (Ml/d)</v>
      </c>
      <c r="E6" s="65">
        <f>'PC LIST'!Q6</f>
        <v>1</v>
      </c>
      <c r="F6" s="65" t="str">
        <f>'PC LIST'!J6</f>
        <v>R&amp;P</v>
      </c>
      <c r="G6" s="65">
        <f>'PC LIST'!BQ6</f>
        <v>-6.7</v>
      </c>
      <c r="H6" s="65" t="str">
        <f>'PC LIST'!B19</f>
        <v>PR14ANHWSW_W-B1</v>
      </c>
      <c r="I6" s="65" t="str">
        <f>'PC LIST'!I19</f>
        <v>W-B1: Value for money perception - variation from baseline against WaSCs (water)</v>
      </c>
      <c r="J6" s="65" t="str">
        <f>'PC LIST'!O19</f>
        <v>%</v>
      </c>
      <c r="K6" s="65" t="str">
        <f>'PC LIST'!P19</f>
        <v>% variation from WaSC baseline</v>
      </c>
      <c r="L6" s="65">
        <f>'PC LIST'!Q19</f>
        <v>0</v>
      </c>
      <c r="M6" s="65" t="str">
        <f>'PC LIST'!J19</f>
        <v>R&amp;P</v>
      </c>
      <c r="N6" s="788">
        <f>'PC LIST'!BQ19</f>
        <v>3</v>
      </c>
      <c r="O6" s="65" t="str">
        <f>'PC LIST'!B58</f>
        <v>PR14BRLWSW_B1</v>
      </c>
      <c r="P6" s="65" t="str">
        <f>'PC LIST'!I58</f>
        <v>B1: Population in centres &gt;25,000 at risk from asset failure</v>
      </c>
      <c r="Q6" s="65" t="str">
        <f>'PC LIST'!O58</f>
        <v>nr</v>
      </c>
      <c r="R6" s="65" t="str">
        <f>'PC LIST'!P58</f>
        <v>No. of people (population)</v>
      </c>
      <c r="S6" s="65">
        <f>'PC LIST'!Q58</f>
        <v>0</v>
      </c>
      <c r="T6" s="65" t="str">
        <f>'PC LIST'!J58</f>
        <v>R&amp;P</v>
      </c>
      <c r="U6" s="788">
        <f>'PC LIST'!BQ58</f>
        <v>288589</v>
      </c>
      <c r="V6" s="65" t="str">
        <f>'PC LIST'!B79</f>
        <v>PR14DVWWSW_A4</v>
      </c>
      <c r="W6" s="65" t="str">
        <f>'PC LIST'!I79</f>
        <v>A4: Delivery of the outcomes of the service reservoir water quality risk management schemes</v>
      </c>
      <c r="X6" s="65" t="str">
        <f>'PC LIST'!O79</f>
        <v>text</v>
      </c>
      <c r="Y6" s="65" t="str">
        <f>'PC LIST'!P79</f>
        <v>Pass/fail (for each scheme)</v>
      </c>
      <c r="Z6" s="65" t="str">
        <f>'PC LIST'!Q79</f>
        <v>na</v>
      </c>
      <c r="AA6" s="65" t="str">
        <f>'PC LIST'!J79</f>
        <v>PO</v>
      </c>
      <c r="AB6" s="788" t="str">
        <f>'PC LIST'!BQ79</f>
        <v>Pass</v>
      </c>
      <c r="AC6" s="65" t="str">
        <f>'PC LIST'!B92</f>
        <v>PR14NESWSW_W-B3</v>
      </c>
      <c r="AD6" s="66" t="str">
        <f>'PC LIST'!I92</f>
        <v>W-B3: Discoloured water complaints</v>
      </c>
      <c r="AE6" s="66" t="str">
        <f>'PC LIST'!O92</f>
        <v>nr</v>
      </c>
      <c r="AF6" s="66" t="str">
        <f>'PC LIST'!P92</f>
        <v>No. of complaints per year</v>
      </c>
      <c r="AG6" s="65">
        <f>'PC LIST'!Q92</f>
        <v>0</v>
      </c>
      <c r="AH6" s="65" t="str">
        <f>'PC LIST'!J92</f>
        <v>R&amp;P</v>
      </c>
      <c r="AI6" s="65">
        <f>'PC LIST'!BQ92</f>
        <v>3762</v>
      </c>
      <c r="AJ6" s="65" t="str">
        <f>'PC LIST'!B136</f>
        <v>PR14PRTWSW_A4</v>
      </c>
      <c r="AK6" s="65" t="str">
        <f>'PC LIST'!I136</f>
        <v>A4: Temporary usage bans</v>
      </c>
      <c r="AL6" s="65" t="str">
        <f>'PC LIST'!O136</f>
        <v>nr</v>
      </c>
      <c r="AM6" s="65" t="str">
        <f>'PC LIST'!P136</f>
        <v>No. of temporary usage bans per year</v>
      </c>
      <c r="AN6" s="65">
        <f>'PC LIST'!Q136</f>
        <v>0</v>
      </c>
      <c r="AO6" s="65" t="str">
        <f>'PC LIST'!J136</f>
        <v>NFI</v>
      </c>
      <c r="AP6" s="789">
        <f>'PC LIST'!BQ136</f>
        <v>0</v>
      </c>
      <c r="AQ6" s="65" t="str">
        <f>'PC LIST'!B149</f>
        <v>PR14SBWWSW_B2</v>
      </c>
      <c r="AR6" s="65" t="str">
        <f>'PC LIST'!I149</f>
        <v>B2: Large scale interruptions (minimise risk of large scale interruption to 12,000 properties)</v>
      </c>
      <c r="AS6" s="65" t="str">
        <f>'PC LIST'!O149</f>
        <v>nr</v>
      </c>
      <c r="AT6" s="65" t="str">
        <f>'PC LIST'!P149</f>
        <v>1,000 properties</v>
      </c>
      <c r="AU6" s="65">
        <f>'PC LIST'!Q149</f>
        <v>1</v>
      </c>
      <c r="AV6" s="65" t="str">
        <f>'PC LIST'!J149</f>
        <v>R&amp;P</v>
      </c>
      <c r="AW6" s="788">
        <f>'PC LIST'!BQ149</f>
        <v>0</v>
      </c>
      <c r="AX6" s="65" t="str">
        <f>'PC LIST'!B164</f>
        <v>PR14SESWSW_A4</v>
      </c>
      <c r="AY6" s="65" t="str">
        <f>'PC LIST'!I164</f>
        <v>A4: Condition and reliability of the mains network - number of burst pipes a year</v>
      </c>
      <c r="AZ6" s="65" t="str">
        <f>'PC LIST'!O164</f>
        <v>nr</v>
      </c>
      <c r="BA6" s="65" t="str">
        <f>'PC LIST'!P164</f>
        <v>No. of burst mains per year</v>
      </c>
      <c r="BB6" s="65">
        <f>'PC LIST'!Q164</f>
        <v>0</v>
      </c>
      <c r="BC6" s="65" t="str">
        <f>'PC LIST'!J164</f>
        <v>PO</v>
      </c>
      <c r="BD6" s="789">
        <f>'PC LIST'!BQ164</f>
        <v>212</v>
      </c>
      <c r="BE6" s="65" t="str">
        <f>'PC LIST'!B185</f>
        <v>PR14SEWWSW_C2</v>
      </c>
      <c r="BF6" s="65" t="str">
        <f>'PC LIST'!I185</f>
        <v>C2: Leakage (actual reported leakage per Ml/d per year)</v>
      </c>
      <c r="BG6" s="65" t="str">
        <f>'PC LIST'!O185</f>
        <v>nr</v>
      </c>
      <c r="BH6" s="65" t="str">
        <f>'PC LIST'!P185</f>
        <v>Megalitres per day (Ml/d)</v>
      </c>
      <c r="BI6" s="65">
        <f>'PC LIST'!Q185</f>
        <v>1</v>
      </c>
      <c r="BJ6" s="65" t="str">
        <f>'PC LIST'!J185</f>
        <v>R&amp;P</v>
      </c>
      <c r="BK6" s="65">
        <f>'PC LIST'!BQ185</f>
        <v>88.11</v>
      </c>
      <c r="BL6" s="65" t="str">
        <f>'PC LIST'!B219</f>
        <v>PR14SRNWSW_4</v>
      </c>
      <c r="BM6" s="65" t="str">
        <f>'PC LIST'!I219</f>
        <v>4: Interruptions to supply</v>
      </c>
      <c r="BN6" s="65" t="str">
        <f>'PC LIST'!O219</f>
        <v>time</v>
      </c>
      <c r="BO6" s="65" t="str">
        <f>'PC LIST'!P219</f>
        <v>Minutes / property / year</v>
      </c>
      <c r="BP6" s="65">
        <f>'PC LIST'!Q219</f>
        <v>0</v>
      </c>
      <c r="BQ6" s="65" t="str">
        <f>'PC LIST'!J219</f>
        <v>PO</v>
      </c>
      <c r="BR6" s="65">
        <f>'PC LIST'!BQ219</f>
        <v>12</v>
      </c>
      <c r="BS6" s="65" t="str">
        <f>'PC LIST'!B252</f>
        <v>PR14SSCWSW_2.2</v>
      </c>
      <c r="BT6" s="65" t="str">
        <f>'PC LIST'!I252</f>
        <v>2.2: Serviceability infrastructure (combined company)</v>
      </c>
      <c r="BU6" s="65" t="str">
        <f>'PC LIST'!O252</f>
        <v>category</v>
      </c>
      <c r="BV6" s="65" t="str">
        <f>'PC LIST'!P252</f>
        <v>Asset health indicator</v>
      </c>
      <c r="BW6" s="65" t="str">
        <f>'PC LIST'!Q252</f>
        <v>na</v>
      </c>
      <c r="BX6" s="65" t="str">
        <f>'PC LIST'!J252</f>
        <v>PO</v>
      </c>
      <c r="BY6" s="65" t="str">
        <f>'PC LIST'!BQ252</f>
        <v>Stable</v>
      </c>
      <c r="BZ6" s="65" t="str">
        <f>'PC LIST'!B267</f>
        <v>PR14SVTWSW_W-A4</v>
      </c>
      <c r="CA6" s="65" t="str">
        <f>'PC LIST'!I267</f>
        <v>W-A4: Number of successful catchment management schemes</v>
      </c>
      <c r="CB6" s="65" t="str">
        <f>'PC LIST'!O267</f>
        <v>nr</v>
      </c>
      <c r="CC6" s="65" t="str">
        <f>'PC LIST'!P267</f>
        <v>No. catchment management schemes</v>
      </c>
      <c r="CD6" s="65">
        <f>'PC LIST'!Q267</f>
        <v>0</v>
      </c>
      <c r="CE6" s="65" t="str">
        <f>'PC LIST'!J267</f>
        <v>R&amp;P</v>
      </c>
      <c r="CF6" s="789">
        <f>'PC LIST'!BQ267</f>
        <v>0</v>
      </c>
      <c r="CG6" s="65" t="str">
        <f>'PC LIST'!B312</f>
        <v>PR14SWTWSW_W-A4</v>
      </c>
      <c r="CH6" s="67" t="str">
        <f>'PC LIST'!I312</f>
        <v>W-A4: Asset reliability (process)</v>
      </c>
      <c r="CI6" s="67" t="str">
        <f>'PC LIST'!O312</f>
        <v>category</v>
      </c>
      <c r="CJ6" s="67" t="str">
        <f>'PC LIST'!P312</f>
        <v>Asset health indicator</v>
      </c>
      <c r="CK6" s="65" t="str">
        <f>'PC LIST'!Q312</f>
        <v>na</v>
      </c>
      <c r="CL6" s="65" t="str">
        <f>'PC LIST'!J312</f>
        <v>PO</v>
      </c>
      <c r="CM6" s="788" t="str">
        <f>'PC LIST'!BQ312</f>
        <v>stable</v>
      </c>
      <c r="CN6" s="65" t="str">
        <f>'PC LIST'!B354</f>
        <v>PR14TMSWSW_WA4</v>
      </c>
      <c r="CO6" s="65" t="str">
        <f>'PC LIST'!I354</f>
        <v>WA4: Reduced water consumption from issuing water efficiency devices to customers</v>
      </c>
      <c r="CP6" s="65" t="str">
        <f>'PC LIST'!O354</f>
        <v>nr</v>
      </c>
      <c r="CQ6" s="65" t="str">
        <f>'PC LIST'!P354</f>
        <v>Ml/d reduced water consumption (cumulative)</v>
      </c>
      <c r="CR6" s="65">
        <f>'PC LIST'!Q354</f>
        <v>2</v>
      </c>
      <c r="CS6" s="65" t="str">
        <f>'PC LIST'!J354</f>
        <v>PO</v>
      </c>
      <c r="CT6" s="65" t="str">
        <f>'PC LIST'!BQ354</f>
        <v>Not available</v>
      </c>
      <c r="CU6" s="65" t="str">
        <f>'PC LIST'!B409</f>
        <v>PR14UUWSW_B1</v>
      </c>
      <c r="CV6" s="65" t="str">
        <f>'PC LIST'!I409</f>
        <v>B1: Average minutes supply lost per property (a year)</v>
      </c>
      <c r="CW6" s="65" t="str">
        <f>'PC LIST'!O409</f>
        <v>time</v>
      </c>
      <c r="CX6" s="65" t="str">
        <f>'PC LIST'!P409</f>
        <v>Mins:secs supply lost per property per year</v>
      </c>
      <c r="CY6" s="65" t="str">
        <f>'PC LIST'!Q409</f>
        <v>mins:secs</v>
      </c>
      <c r="CZ6" s="65" t="str">
        <f>'PC LIST'!J409</f>
        <v>R&amp;P</v>
      </c>
      <c r="DA6" s="65" t="str">
        <f>'PC LIST'!BQ409</f>
        <v>16:42</v>
      </c>
      <c r="DB6" s="65" t="str">
        <f>'PC LIST'!B436</f>
        <v>PR14WSHWSW_B1</v>
      </c>
      <c r="DC6" s="65" t="str">
        <f>'PC LIST'!I436</f>
        <v>B1: Abstraction for water for use - % compliance with abstraction licences, as regulated by NRW</v>
      </c>
      <c r="DD6" s="65" t="str">
        <f>'PC LIST'!O436</f>
        <v>%</v>
      </c>
      <c r="DE6" s="65" t="str">
        <f>'PC LIST'!P436</f>
        <v>% compliance with abstraction licences (NRW regulated)</v>
      </c>
      <c r="DF6" s="65">
        <f>'PC LIST'!Q436</f>
        <v>0</v>
      </c>
      <c r="DG6" s="65" t="str">
        <f>'PC LIST'!J436</f>
        <v>NFI</v>
      </c>
      <c r="DH6" s="788">
        <f>'PC LIST'!BQ436</f>
        <v>100</v>
      </c>
      <c r="DI6" s="65" t="str">
        <f>'PC LIST'!B467</f>
        <v>PR14WSXWSW_B7</v>
      </c>
      <c r="DJ6" s="65" t="str">
        <f>'PC LIST'!I467</f>
        <v>B7: Length of rivers with improved flows</v>
      </c>
      <c r="DK6" s="65" t="str">
        <f>'PC LIST'!O467</f>
        <v>nr</v>
      </c>
      <c r="DL6" s="65" t="str">
        <f>'PC LIST'!P467</f>
        <v>Kilometres (km) of river with improved flows (cumulative)</v>
      </c>
      <c r="DM6" s="65">
        <f>'PC LIST'!Q467</f>
        <v>0</v>
      </c>
      <c r="DN6" s="65" t="str">
        <f>'PC LIST'!J467</f>
        <v>R&amp;P</v>
      </c>
      <c r="DO6" s="65">
        <f>'PC LIST'!BQ467</f>
        <v>0</v>
      </c>
      <c r="DP6" s="65" t="str">
        <f>'PC LIST'!B499</f>
        <v>PR14YKYWSW_WA4</v>
      </c>
      <c r="DQ6" s="65" t="str">
        <f>'PC LIST'!I499</f>
        <v>WA4: Water quality stability and reliability factor</v>
      </c>
      <c r="DR6" s="65" t="str">
        <f>'PC LIST'!O499</f>
        <v>category</v>
      </c>
      <c r="DS6" s="65" t="str">
        <f>'PC LIST'!P499</f>
        <v>Asset health indicator</v>
      </c>
      <c r="DT6" s="65" t="str">
        <f>'PC LIST'!Q499</f>
        <v>na</v>
      </c>
      <c r="DU6" s="65" t="str">
        <f>'PC LIST'!J499</f>
        <v>PO</v>
      </c>
      <c r="DV6" s="65" t="str">
        <f>'PC LIST'!BQ499</f>
        <v xml:space="preserve">Stable </v>
      </c>
    </row>
    <row r="7" spans="1:126" ht="15.75" customHeight="1" x14ac:dyDescent="0.2">
      <c r="A7" s="65" t="str">
        <f>'PC LIST'!B7</f>
        <v>PR14AFWWSW_W-A5</v>
      </c>
      <c r="B7" s="65" t="str">
        <f>'PC LIST'!I7</f>
        <v>W-A5: Abstraction incentive mechanism (AIM)</v>
      </c>
      <c r="C7" s="65" t="str">
        <f>'PC LIST'!O7</f>
        <v>TBC</v>
      </c>
      <c r="D7" s="65" t="str">
        <f>'PC LIST'!P7</f>
        <v>TBC</v>
      </c>
      <c r="E7" s="65" t="str">
        <f>'PC LIST'!Q7</f>
        <v>TBC</v>
      </c>
      <c r="F7" s="65" t="str">
        <f>'PC LIST'!J7</f>
        <v>NFI</v>
      </c>
      <c r="G7" s="65" t="str">
        <f>'PC LIST'!BQ7</f>
        <v/>
      </c>
      <c r="H7" s="65" t="str">
        <f>'PC LIST'!B20</f>
        <v>PR14ANHWSW_W-C1</v>
      </c>
      <c r="I7" s="65" t="str">
        <f>'PC LIST'!I20</f>
        <v>W-C1: Percentage of population supplied by single supply system</v>
      </c>
      <c r="J7" s="65" t="str">
        <f>'PC LIST'!O20</f>
        <v>%</v>
      </c>
      <c r="K7" s="65" t="str">
        <f>'PC LIST'!P20</f>
        <v>% population with single supply system</v>
      </c>
      <c r="L7" s="65">
        <f>'PC LIST'!Q20</f>
        <v>1</v>
      </c>
      <c r="M7" s="65" t="str">
        <f>'PC LIST'!J20</f>
        <v>PO</v>
      </c>
      <c r="N7" s="788">
        <f>'PC LIST'!BQ20</f>
        <v>46.3</v>
      </c>
      <c r="O7" s="65" t="str">
        <f>'PC LIST'!B59</f>
        <v>PR14BRLWSW_C1</v>
      </c>
      <c r="P7" s="65" t="str">
        <f>'PC LIST'!I59</f>
        <v>C1: Security of supply index (SOSI)</v>
      </c>
      <c r="Q7" s="65" t="str">
        <f>'PC LIST'!O59</f>
        <v>score</v>
      </c>
      <c r="R7" s="65" t="str">
        <f>'PC LIST'!P59</f>
        <v>Security of Supply Index (SOSI)</v>
      </c>
      <c r="S7" s="65">
        <f>'PC LIST'!Q59</f>
        <v>0</v>
      </c>
      <c r="T7" s="65" t="str">
        <f>'PC LIST'!J59</f>
        <v>NFI</v>
      </c>
      <c r="U7" s="788">
        <f>'PC LIST'!BQ59</f>
        <v>100</v>
      </c>
      <c r="V7" s="65" t="str">
        <f>'PC LIST'!B80</f>
        <v>PR14DVWWSW_B1</v>
      </c>
      <c r="W7" s="65" t="str">
        <f>'PC LIST'!I80</f>
        <v>B1: Average duration of interruptions - 3 hours or longer (planned and unplanned interruptions)</v>
      </c>
      <c r="X7" s="65" t="str">
        <f>'PC LIST'!O80</f>
        <v>time</v>
      </c>
      <c r="Y7" s="65" t="str">
        <f>'PC LIST'!P80</f>
        <v>Hours / property / year</v>
      </c>
      <c r="Z7" s="65">
        <f>'PC LIST'!Q80</f>
        <v>2</v>
      </c>
      <c r="AA7" s="65" t="str">
        <f>'PC LIST'!J80</f>
        <v>R&amp;P</v>
      </c>
      <c r="AB7" s="788">
        <f>'PC LIST'!BQ80</f>
        <v>8.6999999999999994E-2</v>
      </c>
      <c r="AC7" s="65" t="str">
        <f>'PC LIST'!B93</f>
        <v>PR14NESWSW_W-C1</v>
      </c>
      <c r="AD7" s="66" t="str">
        <f>'PC LIST'!I93</f>
        <v>W-C1: Interruptions to water supply for more than 3 hours (average time per property per year)</v>
      </c>
      <c r="AE7" s="66" t="str">
        <f>'PC LIST'!O93</f>
        <v>time</v>
      </c>
      <c r="AF7" s="66" t="str">
        <f>'PC LIST'!P93</f>
        <v>Mins:secs per property per year</v>
      </c>
      <c r="AG7" s="65" t="str">
        <f>'PC LIST'!Q93</f>
        <v>mins:secs</v>
      </c>
      <c r="AH7" s="65" t="str">
        <f>'PC LIST'!J93</f>
        <v>R&amp;P</v>
      </c>
      <c r="AI7" s="65">
        <f>'PC LIST'!BQ93</f>
        <v>0.1388888888888889</v>
      </c>
      <c r="AJ7" s="65" t="str">
        <f>'PC LIST'!B137</f>
        <v>PR14PRTWSW_B1</v>
      </c>
      <c r="AK7" s="65" t="str">
        <f>'PC LIST'!I137</f>
        <v>B1: Leakage</v>
      </c>
      <c r="AL7" s="65" t="str">
        <f>'PC LIST'!O137</f>
        <v>nr</v>
      </c>
      <c r="AM7" s="65" t="str">
        <f>'PC LIST'!P137</f>
        <v>Megalitres per day (Ml/d)</v>
      </c>
      <c r="AN7" s="65">
        <f>'PC LIST'!Q137</f>
        <v>2</v>
      </c>
      <c r="AO7" s="65" t="str">
        <f>'PC LIST'!J137</f>
        <v>R&amp;P</v>
      </c>
      <c r="AP7" s="789">
        <f>'PC LIST'!BQ137</f>
        <v>28.06</v>
      </c>
      <c r="AQ7" s="65" t="str">
        <f>'PC LIST'!B150</f>
        <v>PR14SBWWSW_B3</v>
      </c>
      <c r="AR7" s="65" t="str">
        <f>'PC LIST'!I150</f>
        <v>B3: Decreasing average interruptions &gt;3 hours</v>
      </c>
      <c r="AS7" s="65" t="str">
        <f>'PC LIST'!O150</f>
        <v>time</v>
      </c>
      <c r="AT7" s="65" t="str">
        <f>'PC LIST'!P150</f>
        <v>Minutes / property / year</v>
      </c>
      <c r="AU7" s="65">
        <f>'PC LIST'!Q150</f>
        <v>1</v>
      </c>
      <c r="AV7" s="65" t="str">
        <f>'PC LIST'!J150</f>
        <v>PO</v>
      </c>
      <c r="AW7" s="788">
        <f>'PC LIST'!BQ150</f>
        <v>2.54</v>
      </c>
      <c r="AX7" s="65" t="str">
        <f>'PC LIST'!B165</f>
        <v>PR14SESWSW_A5</v>
      </c>
      <c r="AY7" s="65" t="str">
        <f>'PC LIST'!I165</f>
        <v>A5: Drinking Water Inspectorate’s (DWI) index of water quality</v>
      </c>
      <c r="AZ7" s="65" t="str">
        <f>'PC LIST'!O165</f>
        <v>%</v>
      </c>
      <c r="BA7" s="65" t="str">
        <f>'PC LIST'!P165</f>
        <v>Mean zonal compliance (%)</v>
      </c>
      <c r="BB7" s="65">
        <f>'PC LIST'!Q165</f>
        <v>2</v>
      </c>
      <c r="BC7" s="65" t="str">
        <f>'PC LIST'!J165</f>
        <v>PO</v>
      </c>
      <c r="BD7" s="789">
        <f>'PC LIST'!BQ165</f>
        <v>99.95</v>
      </c>
      <c r="BE7" s="65" t="str">
        <f>'PC LIST'!B186</f>
        <v>PR14SEWWSW_D1</v>
      </c>
      <c r="BF7" s="65" t="str">
        <f>'PC LIST'!I186</f>
        <v>D1: Customer satisfaction - direct interaction experience</v>
      </c>
      <c r="BG7" s="65" t="str">
        <f>'PC LIST'!O186</f>
        <v>score</v>
      </c>
      <c r="BH7" s="65" t="str">
        <f>'PC LIST'!P186</f>
        <v>Customer satisfaction score out of 5</v>
      </c>
      <c r="BI7" s="65">
        <f>'PC LIST'!Q186</f>
        <v>1</v>
      </c>
      <c r="BJ7" s="65" t="str">
        <f>'PC LIST'!J186</f>
        <v>R&amp;P</v>
      </c>
      <c r="BK7" s="65">
        <f>'PC LIST'!BQ186</f>
        <v>4.2</v>
      </c>
      <c r="BL7" s="65" t="str">
        <f>'PC LIST'!B220</f>
        <v>PR14SRNWSW_5</v>
      </c>
      <c r="BM7" s="65" t="str">
        <f>'PC LIST'!I220</f>
        <v>5: Mean Zonal Compliance (MZC)</v>
      </c>
      <c r="BN7" s="65" t="str">
        <f>'PC LIST'!O220</f>
        <v>%</v>
      </c>
      <c r="BO7" s="65" t="str">
        <f>'PC LIST'!P220</f>
        <v>Mean zonal compliance (%)</v>
      </c>
      <c r="BP7" s="65">
        <f>'PC LIST'!Q220</f>
        <v>2</v>
      </c>
      <c r="BQ7" s="65" t="str">
        <f>'PC LIST'!J220</f>
        <v>PO</v>
      </c>
      <c r="BR7" s="65">
        <f>'PC LIST'!BQ220</f>
        <v>99.98</v>
      </c>
      <c r="BS7" s="65" t="str">
        <f>'PC LIST'!B253</f>
        <v>PR14SSCWSW_2.3</v>
      </c>
      <c r="BT7" s="65" t="str">
        <f>'PC LIST'!I253</f>
        <v>2.3: Serviceability non-infrastructure (combined company)</v>
      </c>
      <c r="BU7" s="65" t="str">
        <f>'PC LIST'!O253</f>
        <v>category</v>
      </c>
      <c r="BV7" s="65" t="str">
        <f>'PC LIST'!P253</f>
        <v>Asset health indicator</v>
      </c>
      <c r="BW7" s="65" t="str">
        <f>'PC LIST'!Q253</f>
        <v>na</v>
      </c>
      <c r="BX7" s="65" t="str">
        <f>'PC LIST'!J253</f>
        <v>PO</v>
      </c>
      <c r="BY7" s="65" t="str">
        <f>'PC LIST'!BQ253</f>
        <v>Stable</v>
      </c>
      <c r="BZ7" s="65" t="str">
        <f>'PC LIST'!B268</f>
        <v>PR14SVTWSW_W-B1</v>
      </c>
      <c r="CA7" s="65" t="str">
        <f>'PC LIST'!I268</f>
        <v>W-B1: Resource efficiency (distribution input per customer) - amount of water taken out of the environment</v>
      </c>
      <c r="CB7" s="65" t="str">
        <f>'PC LIST'!O268</f>
        <v>nr</v>
      </c>
      <c r="CC7" s="65" t="str">
        <f>'PC LIST'!P268</f>
        <v>Litres per person per day (l/p/d)</v>
      </c>
      <c r="CD7" s="65">
        <f>'PC LIST'!Q268</f>
        <v>0</v>
      </c>
      <c r="CE7" s="65" t="str">
        <f>'PC LIST'!J268</f>
        <v>NFI</v>
      </c>
      <c r="CF7" s="789">
        <f>'PC LIST'!BQ268</f>
        <v>237</v>
      </c>
      <c r="CG7" s="65" t="str">
        <f>'PC LIST'!B313</f>
        <v>PR14SWTWSW_W-A5</v>
      </c>
      <c r="CH7" s="67" t="str">
        <f>'PC LIST'!I313</f>
        <v>W-A5: Duration of interruptions in supply (hours/property)</v>
      </c>
      <c r="CI7" s="67" t="str">
        <f>'PC LIST'!O313</f>
        <v>time</v>
      </c>
      <c r="CJ7" s="67" t="str">
        <f>'PC LIST'!P313</f>
        <v>Hours / property / year</v>
      </c>
      <c r="CK7" s="65">
        <f>'PC LIST'!Q313</f>
        <v>3</v>
      </c>
      <c r="CL7" s="65" t="str">
        <f>'PC LIST'!J313</f>
        <v>R&amp;P</v>
      </c>
      <c r="CM7" s="788">
        <f>'PC LIST'!BQ313</f>
        <v>0.41899999999999998</v>
      </c>
      <c r="CN7" s="65" t="str">
        <f>'PC LIST'!B355</f>
        <v>PR14TMSWSW_WA5</v>
      </c>
      <c r="CO7" s="65" t="str">
        <f>'PC LIST'!I355</f>
        <v>WA5: Provide a free repair service for customers with a customer side leak outside of the property</v>
      </c>
      <c r="CP7" s="65" t="str">
        <f>'PC LIST'!O355</f>
        <v>nr</v>
      </c>
      <c r="CQ7" s="65" t="str">
        <f>'PC LIST'!P355</f>
        <v>Number against target above annual baseline no.</v>
      </c>
      <c r="CR7" s="65">
        <f>'PC LIST'!Q355</f>
        <v>0</v>
      </c>
      <c r="CS7" s="65" t="str">
        <f>'PC LIST'!J355</f>
        <v>NFI</v>
      </c>
      <c r="CT7" s="65">
        <f>'PC LIST'!BQ355</f>
        <v>1404</v>
      </c>
      <c r="CU7" s="65" t="str">
        <f>'PC LIST'!B410</f>
        <v>PR14UUWSW_B2</v>
      </c>
      <c r="CV7" s="65" t="str">
        <f>'PC LIST'!I410</f>
        <v>B2: Reliable water service index</v>
      </c>
      <c r="CW7" s="65" t="str">
        <f>'PC LIST'!O410</f>
        <v>score</v>
      </c>
      <c r="CX7" s="65" t="str">
        <f>'PC LIST'!P410</f>
        <v>Reliable water service index (UU bespoke)</v>
      </c>
      <c r="CY7" s="65">
        <f>'PC LIST'!Q410</f>
        <v>3</v>
      </c>
      <c r="CZ7" s="65" t="str">
        <f>'PC LIST'!J410</f>
        <v>R&amp;P</v>
      </c>
      <c r="DA7" s="65">
        <f>'PC LIST'!BQ410</f>
        <v>16.447259218333841</v>
      </c>
      <c r="DB7" s="65" t="str">
        <f>'PC LIST'!B437</f>
        <v>PR14WSHWSW_C2</v>
      </c>
      <c r="DC7" s="65" t="str">
        <f>'PC LIST'!I437</f>
        <v>C2: Carbon footprint - gigawatt-hours (GWh) of renewable energy generated</v>
      </c>
      <c r="DD7" s="65" t="str">
        <f>'PC LIST'!O437</f>
        <v>nr</v>
      </c>
      <c r="DE7" s="65" t="str">
        <f>'PC LIST'!P437</f>
        <v>GWh (gigawatt-hours)</v>
      </c>
      <c r="DF7" s="65">
        <f>'PC LIST'!Q437</f>
        <v>2</v>
      </c>
      <c r="DG7" s="65" t="str">
        <f>'PC LIST'!J437</f>
        <v>NFI</v>
      </c>
      <c r="DH7" s="788">
        <f>'PC LIST'!BQ437</f>
        <v>50.21</v>
      </c>
      <c r="DI7" s="65" t="str">
        <f>'PC LIST'!B468</f>
        <v>PR14WSXWSW_D2</v>
      </c>
      <c r="DJ7" s="65" t="str">
        <f>'PC LIST'!I468</f>
        <v>D2: Restrictions on water use (hosepipe bans)</v>
      </c>
      <c r="DK7" s="65" t="str">
        <f>'PC LIST'!O468</f>
        <v>nr</v>
      </c>
      <c r="DL7" s="65" t="str">
        <f>'PC LIST'!P468</f>
        <v>No. of hosepipe bans (temporary use ban)</v>
      </c>
      <c r="DM7" s="65">
        <f>'PC LIST'!Q468</f>
        <v>0</v>
      </c>
      <c r="DN7" s="65" t="str">
        <f>'PC LIST'!J468</f>
        <v>PO</v>
      </c>
      <c r="DO7" s="65">
        <f>'PC LIST'!BQ468</f>
        <v>0</v>
      </c>
      <c r="DP7" s="65" t="str">
        <f>'PC LIST'!B500</f>
        <v>PR14YKYWSW_WB1</v>
      </c>
      <c r="DQ7" s="65" t="str">
        <f>'PC LIST'!I500</f>
        <v>WB1: Leakage</v>
      </c>
      <c r="DR7" s="65" t="str">
        <f>'PC LIST'!O500</f>
        <v>nr</v>
      </c>
      <c r="DS7" s="65" t="str">
        <f>'PC LIST'!P500</f>
        <v>Megalitres per day (Ml/d)</v>
      </c>
      <c r="DT7" s="65">
        <f>'PC LIST'!Q500</f>
        <v>1</v>
      </c>
      <c r="DU7" s="65" t="str">
        <f>'PC LIST'!J500</f>
        <v>R&amp;P</v>
      </c>
      <c r="DV7" s="65">
        <f>'PC LIST'!BQ500</f>
        <v>285.12</v>
      </c>
    </row>
    <row r="8" spans="1:126" ht="15.75" customHeight="1" x14ac:dyDescent="0.2">
      <c r="A8" s="65" t="str">
        <f>'PC LIST'!B8</f>
        <v>PR14AFWWSW_W-B1</v>
      </c>
      <c r="B8" s="65" t="str">
        <f>'PC LIST'!I8</f>
        <v>W-B1: Compliance with water quality standards (mean zonal compliance)</v>
      </c>
      <c r="C8" s="65" t="str">
        <f>'PC LIST'!O8</f>
        <v>%</v>
      </c>
      <c r="D8" s="65" t="str">
        <f>'PC LIST'!P8</f>
        <v>Mean zonal compliance (%)</v>
      </c>
      <c r="E8" s="65">
        <f>'PC LIST'!Q8</f>
        <v>2</v>
      </c>
      <c r="F8" s="65" t="str">
        <f>'PC LIST'!J8</f>
        <v>PO</v>
      </c>
      <c r="G8" s="65">
        <f>'PC LIST'!BQ8</f>
        <v>99.99</v>
      </c>
      <c r="H8" s="65" t="str">
        <f>'PC LIST'!B21</f>
        <v>PR14ANHWSW_W-C2</v>
      </c>
      <c r="I8" s="65" t="str">
        <f>'PC LIST'!I21</f>
        <v>W-C2: Frequency of service level restrictions (hosepipe bans)</v>
      </c>
      <c r="J8" s="65" t="str">
        <f>'PC LIST'!O21</f>
        <v>nr</v>
      </c>
      <c r="K8" s="65" t="str">
        <f>'PC LIST'!P21</f>
        <v>No. (frequency) per 10 years</v>
      </c>
      <c r="L8" s="65">
        <f>'PC LIST'!Q21</f>
        <v>0</v>
      </c>
      <c r="M8" s="65" t="str">
        <f>'PC LIST'!J21</f>
        <v>NFI</v>
      </c>
      <c r="N8" s="788">
        <f>'PC LIST'!BQ21</f>
        <v>1</v>
      </c>
      <c r="O8" s="65" t="str">
        <f>'PC LIST'!B60</f>
        <v>PR14BRLWSW_C2</v>
      </c>
      <c r="P8" s="65" t="str">
        <f>'PC LIST'!I60</f>
        <v>C2: Hosepipe ban frequency</v>
      </c>
      <c r="Q8" s="65" t="str">
        <f>'PC LIST'!O60</f>
        <v>nr</v>
      </c>
      <c r="R8" s="65" t="str">
        <f>'PC LIST'!P60</f>
        <v>No. of expected days that water restrictions are placed</v>
      </c>
      <c r="S8" s="65">
        <f>'PC LIST'!Q60</f>
        <v>1</v>
      </c>
      <c r="T8" s="65" t="str">
        <f>'PC LIST'!J60</f>
        <v>PO</v>
      </c>
      <c r="U8" s="788">
        <f>'PC LIST'!BQ60</f>
        <v>1.54</v>
      </c>
      <c r="V8" s="65" t="str">
        <f>'PC LIST'!B81</f>
        <v>PR14DVWWSW_B2</v>
      </c>
      <c r="W8" s="65" t="str">
        <f>'PC LIST'!I81</f>
        <v>B2: Sustainable economic level of leakage target</v>
      </c>
      <c r="X8" s="65" t="str">
        <f>'PC LIST'!O81</f>
        <v>nr</v>
      </c>
      <c r="Y8" s="65" t="str">
        <f>'PC LIST'!P81</f>
        <v>Litres per property per day (l/prop/day)</v>
      </c>
      <c r="Z8" s="65">
        <f>'PC LIST'!Q81</f>
        <v>1</v>
      </c>
      <c r="AA8" s="65" t="str">
        <f>'PC LIST'!J81</f>
        <v>R&amp;P</v>
      </c>
      <c r="AB8" s="788">
        <f>'PC LIST'!BQ81</f>
        <v>78.400000000000006</v>
      </c>
      <c r="AC8" s="65" t="str">
        <f>'PC LIST'!B94</f>
        <v>PR14NESWSW_W-C2</v>
      </c>
      <c r="AD8" s="66" t="str">
        <f>'PC LIST'!I94</f>
        <v>W-C2: Properties experiencing poor water pressure</v>
      </c>
      <c r="AE8" s="66" t="str">
        <f>'PC LIST'!O94</f>
        <v>nr</v>
      </c>
      <c r="AF8" s="66" t="str">
        <f>'PC LIST'!P94</f>
        <v>No. of properties</v>
      </c>
      <c r="AG8" s="65">
        <f>'PC LIST'!Q94</f>
        <v>0</v>
      </c>
      <c r="AH8" s="65" t="str">
        <f>'PC LIST'!J94</f>
        <v>R&amp;P</v>
      </c>
      <c r="AI8" s="65">
        <f>'PC LIST'!BQ94</f>
        <v>238</v>
      </c>
      <c r="AJ8" s="65" t="str">
        <f>'PC LIST'!B138</f>
        <v>PR14PRTWSW_C1</v>
      </c>
      <c r="AK8" s="65" t="str">
        <f>'PC LIST'!I138</f>
        <v>C1: Interruptions to supply</v>
      </c>
      <c r="AL8" s="65" t="str">
        <f>'PC LIST'!O138</f>
        <v>time</v>
      </c>
      <c r="AM8" s="65" t="str">
        <f>'PC LIST'!P138</f>
        <v>Mins:secs per property per year</v>
      </c>
      <c r="AN8" s="65" t="str">
        <f>'PC LIST'!Q138</f>
        <v>mins:secs</v>
      </c>
      <c r="AO8" s="65" t="str">
        <f>'PC LIST'!J138</f>
        <v>R&amp;P</v>
      </c>
      <c r="AP8" s="789" t="str">
        <f>'PC LIST'!BQ138</f>
        <v>3 min 30 secs</v>
      </c>
      <c r="AQ8" s="65" t="str">
        <f>'PC LIST'!B151</f>
        <v>PR14SBWWSW_B4</v>
      </c>
      <c r="AR8" s="65" t="str">
        <f>'PC LIST'!I151</f>
        <v>B4: Maintain serviceable assets</v>
      </c>
      <c r="AS8" s="65" t="str">
        <f>'PC LIST'!O151</f>
        <v>category</v>
      </c>
      <c r="AT8" s="65" t="str">
        <f>'PC LIST'!P151</f>
        <v>Asset health indicator</v>
      </c>
      <c r="AU8" s="65" t="str">
        <f>'PC LIST'!Q151</f>
        <v>na</v>
      </c>
      <c r="AV8" s="65" t="str">
        <f>'PC LIST'!J151</f>
        <v>PO</v>
      </c>
      <c r="AW8" s="788" t="str">
        <f>'PC LIST'!BQ151</f>
        <v>Stable</v>
      </c>
      <c r="AX8" s="65" t="str">
        <f>'PC LIST'!B166</f>
        <v>PR14SESWSW_A6</v>
      </c>
      <c r="AY8" s="65" t="str">
        <f>'PC LIST'!I166</f>
        <v>A6: Taste, odour and discolouration (number of contacts received)</v>
      </c>
      <c r="AZ8" s="65" t="str">
        <f>'PC LIST'!O166</f>
        <v>nr</v>
      </c>
      <c r="BA8" s="65" t="str">
        <f>'PC LIST'!P166</f>
        <v>No. of contacts per year</v>
      </c>
      <c r="BB8" s="65">
        <f>'PC LIST'!Q166</f>
        <v>0</v>
      </c>
      <c r="BC8" s="65" t="str">
        <f>'PC LIST'!J166</f>
        <v>R&amp;P</v>
      </c>
      <c r="BD8" s="789">
        <f>'PC LIST'!BQ166</f>
        <v>419</v>
      </c>
      <c r="BE8" s="65" t="str">
        <f>'PC LIST'!B187</f>
        <v>PR14SEWWSW_D2</v>
      </c>
      <c r="BF8" s="65" t="str">
        <f>'PC LIST'!I187</f>
        <v>D2: Service Incentive Mechanism (SIM)</v>
      </c>
      <c r="BG8" s="65" t="str">
        <f>'PC LIST'!O187</f>
        <v>score</v>
      </c>
      <c r="BH8" s="65" t="str">
        <f>'PC LIST'!P187</f>
        <v>Service incentive mechanism (SIM) score</v>
      </c>
      <c r="BI8" s="65">
        <f>'PC LIST'!Q187</f>
        <v>1</v>
      </c>
      <c r="BJ8" s="65" t="str">
        <f>'PC LIST'!J187</f>
        <v>R&amp;P</v>
      </c>
      <c r="BK8" s="65">
        <f>'PC LIST'!BQ187</f>
        <v>81.95</v>
      </c>
      <c r="BL8" s="65" t="str">
        <f>'PC LIST'!B221</f>
        <v>PR14SRNWSW_5a</v>
      </c>
      <c r="BM8" s="65" t="str">
        <f>'PC LIST'!I221</f>
        <v>5a: Drinking water quality - discolouration contacts</v>
      </c>
      <c r="BN8" s="65" t="str">
        <f>'PC LIST'!O221</f>
        <v>nr</v>
      </c>
      <c r="BO8" s="65" t="str">
        <f>'PC LIST'!P221</f>
        <v>No. per 1,000 population</v>
      </c>
      <c r="BP8" s="65">
        <f>'PC LIST'!Q221</f>
        <v>2</v>
      </c>
      <c r="BQ8" s="65" t="str">
        <f>'PC LIST'!J221</f>
        <v>PO</v>
      </c>
      <c r="BR8" s="65">
        <f>'PC LIST'!BQ221</f>
        <v>0.8</v>
      </c>
      <c r="BS8" s="65" t="str">
        <f>'PC LIST'!B254</f>
        <v>PR14SSCWSW_4.1</v>
      </c>
      <c r="BT8" s="65" t="str">
        <f>'PC LIST'!I254</f>
        <v>4.1: Leakage (South Staffordshire operating region)</v>
      </c>
      <c r="BU8" s="65" t="str">
        <f>'PC LIST'!O254</f>
        <v>nr</v>
      </c>
      <c r="BV8" s="65" t="str">
        <f>'PC LIST'!P254</f>
        <v>Megalitres per day (Ml/d)</v>
      </c>
      <c r="BW8" s="65">
        <f>'PC LIST'!Q254</f>
        <v>1</v>
      </c>
      <c r="BX8" s="65" t="str">
        <f>'PC LIST'!J254</f>
        <v>R&amp;P</v>
      </c>
      <c r="BY8" s="65">
        <f>'PC LIST'!BQ254</f>
        <v>69.88</v>
      </c>
      <c r="BZ8" s="65" t="str">
        <f>'PC LIST'!B269</f>
        <v>PR14SVTWSW_W-B2</v>
      </c>
      <c r="CA8" s="65" t="str">
        <f>'PC LIST'!I269</f>
        <v>W-B2: Leakage levels</v>
      </c>
      <c r="CB8" s="65" t="str">
        <f>'PC LIST'!O269</f>
        <v>nr</v>
      </c>
      <c r="CC8" s="65" t="str">
        <f>'PC LIST'!P269</f>
        <v>Megalitres per day (Ml/d)</v>
      </c>
      <c r="CD8" s="65">
        <f>'PC LIST'!Q269</f>
        <v>0</v>
      </c>
      <c r="CE8" s="65" t="str">
        <f>'PC LIST'!J269</f>
        <v>R&amp;P</v>
      </c>
      <c r="CF8" s="789">
        <f>'PC LIST'!BQ269</f>
        <v>434</v>
      </c>
      <c r="CG8" s="65" t="str">
        <f>'PC LIST'!B314</f>
        <v>PR14SWTWSW_W-B1</v>
      </c>
      <c r="CH8" s="67" t="str">
        <f>'PC LIST'!I314</f>
        <v>W-B1: Water restrictions placed on customers (number)</v>
      </c>
      <c r="CI8" s="67" t="str">
        <f>'PC LIST'!O314</f>
        <v>nr</v>
      </c>
      <c r="CJ8" s="67" t="str">
        <f>'PC LIST'!P314</f>
        <v>No. of water restrictions</v>
      </c>
      <c r="CK8" s="65">
        <f>'PC LIST'!Q314</f>
        <v>0</v>
      </c>
      <c r="CL8" s="65" t="str">
        <f>'PC LIST'!J314</f>
        <v>R&amp;P</v>
      </c>
      <c r="CM8" s="788">
        <f>'PC LIST'!BQ314</f>
        <v>0</v>
      </c>
      <c r="CN8" s="65" t="str">
        <f>'PC LIST'!B356</f>
        <v>PR14TMSWSW_WB1</v>
      </c>
      <c r="CO8" s="65" t="str">
        <f>'PC LIST'!I356</f>
        <v>WB1: Asset health water infrastructure</v>
      </c>
      <c r="CP8" s="65" t="str">
        <f>'PC LIST'!O356</f>
        <v>category</v>
      </c>
      <c r="CQ8" s="65" t="str">
        <f>'PC LIST'!P356</f>
        <v>Asset health indicator</v>
      </c>
      <c r="CR8" s="65" t="str">
        <f>'PC LIST'!Q356</f>
        <v>na</v>
      </c>
      <c r="CS8" s="65" t="str">
        <f>'PC LIST'!J356</f>
        <v>PO</v>
      </c>
      <c r="CT8" s="65" t="str">
        <f>'PC LIST'!BQ356</f>
        <v>Marginal</v>
      </c>
      <c r="CU8" s="65" t="str">
        <f>'PC LIST'!B411</f>
        <v>PR14UUWSW_B3</v>
      </c>
      <c r="CV8" s="65" t="str">
        <f>'PC LIST'!I411</f>
        <v>B3: Security of supply index (SoSI)</v>
      </c>
      <c r="CW8" s="65" t="str">
        <f>'PC LIST'!O411</f>
        <v>score</v>
      </c>
      <c r="CX8" s="65" t="str">
        <f>'PC LIST'!P411</f>
        <v>Security of Supply Index (SOSI)</v>
      </c>
      <c r="CY8" s="65">
        <f>'PC LIST'!Q411</f>
        <v>3</v>
      </c>
      <c r="CZ8" s="65" t="str">
        <f>'PC LIST'!J411</f>
        <v>PO</v>
      </c>
      <c r="DA8" s="65">
        <f>'PC LIST'!BQ411</f>
        <v>100</v>
      </c>
      <c r="DB8" s="65" t="str">
        <f>'PC LIST'!B438</f>
        <v>PR14WSHWSW_D1</v>
      </c>
      <c r="DC8" s="65" t="str">
        <f>'PC LIST'!I438</f>
        <v>D1: Service incentive mechanism (SIM)</v>
      </c>
      <c r="DD8" s="65" t="str">
        <f>'PC LIST'!O438</f>
        <v>text</v>
      </c>
      <c r="DE8" s="65" t="str">
        <f>'PC LIST'!P438</f>
        <v>Service incentive mechanism (SIM) score ranking</v>
      </c>
      <c r="DF8" s="65" t="str">
        <f>'PC LIST'!Q438</f>
        <v>na</v>
      </c>
      <c r="DG8" s="65" t="str">
        <f>'PC LIST'!J438</f>
        <v>R&amp;P</v>
      </c>
      <c r="DH8" s="788">
        <f>'PC LIST'!BQ438</f>
        <v>83</v>
      </c>
      <c r="DI8" s="65" t="str">
        <f>'PC LIST'!B469</f>
        <v>PR14WSXWSW_D3</v>
      </c>
      <c r="DJ8" s="65" t="str">
        <f>'PC LIST'!I469</f>
        <v>D3: Water supply interruptions (&gt; 3 hours including planned, unplanned and third party interruptions)</v>
      </c>
      <c r="DK8" s="65" t="str">
        <f>'PC LIST'!O469</f>
        <v>time</v>
      </c>
      <c r="DL8" s="65" t="str">
        <f>'PC LIST'!P469</f>
        <v>Minutes / property / year</v>
      </c>
      <c r="DM8" s="65">
        <f>'PC LIST'!Q469</f>
        <v>1</v>
      </c>
      <c r="DN8" s="65" t="str">
        <f>'PC LIST'!J469</f>
        <v>R&amp;P</v>
      </c>
      <c r="DO8" s="65">
        <f>'PC LIST'!BQ469</f>
        <v>14.3</v>
      </c>
      <c r="DP8" s="65" t="str">
        <f>'PC LIST'!B501</f>
        <v>PR14YKYWSW_WB2</v>
      </c>
      <c r="DQ8" s="65" t="str">
        <f>'PC LIST'!I501</f>
        <v>WB2: Water supply interruptions</v>
      </c>
      <c r="DR8" s="65" t="str">
        <f>'PC LIST'!O501</f>
        <v>time</v>
      </c>
      <c r="DS8" s="65" t="str">
        <f>'PC LIST'!P501</f>
        <v>Minutes lost per property per year</v>
      </c>
      <c r="DT8" s="65">
        <f>'PC LIST'!Q501</f>
        <v>2</v>
      </c>
      <c r="DU8" s="65" t="str">
        <f>'PC LIST'!J501</f>
        <v>R&amp;P</v>
      </c>
      <c r="DV8" s="65">
        <f>'PC LIST'!BQ501</f>
        <v>12.89</v>
      </c>
    </row>
    <row r="9" spans="1:126" ht="15.75" customHeight="1" x14ac:dyDescent="0.2">
      <c r="A9" s="65" t="str">
        <f>'PC LIST'!B9</f>
        <v>PR14AFWWSW_W-B2</v>
      </c>
      <c r="B9" s="65" t="str">
        <f>'PC LIST'!I9</f>
        <v>W-B2: Customer contacts for discolouration</v>
      </c>
      <c r="C9" s="65" t="str">
        <f>'PC LIST'!O9</f>
        <v>nr</v>
      </c>
      <c r="D9" s="65" t="str">
        <f>'PC LIST'!P9</f>
        <v>No. per 1,000 population</v>
      </c>
      <c r="E9" s="65">
        <f>'PC LIST'!Q9</f>
        <v>2</v>
      </c>
      <c r="F9" s="65" t="str">
        <f>'PC LIST'!J9</f>
        <v>PO</v>
      </c>
      <c r="G9" s="65">
        <f>'PC LIST'!BQ9</f>
        <v>0.31</v>
      </c>
      <c r="H9" s="65" t="str">
        <f>'PC LIST'!B22</f>
        <v>PR14ANHWSW_W-D1</v>
      </c>
      <c r="I9" s="65" t="str">
        <f>'PC LIST'!I22</f>
        <v>W-D1: Security of Supply Index (SoSI) - dry year annual average</v>
      </c>
      <c r="J9" s="65" t="str">
        <f>'PC LIST'!O22</f>
        <v>score</v>
      </c>
      <c r="K9" s="65" t="str">
        <f>'PC LIST'!P22</f>
        <v>Security of Supply Index (SOSI)</v>
      </c>
      <c r="L9" s="65">
        <f>'PC LIST'!Q22</f>
        <v>0</v>
      </c>
      <c r="M9" s="65" t="str">
        <f>'PC LIST'!J22</f>
        <v>NFI</v>
      </c>
      <c r="N9" s="788">
        <f>'PC LIST'!BQ22</f>
        <v>100</v>
      </c>
      <c r="O9" s="65" t="str">
        <f>'PC LIST'!B61</f>
        <v>PR14BRLWSW_D1</v>
      </c>
      <c r="P9" s="65" t="str">
        <f>'PC LIST'!I61</f>
        <v>D1: Mean zonal compliance (MZC)</v>
      </c>
      <c r="Q9" s="65" t="str">
        <f>'PC LIST'!O61</f>
        <v>%</v>
      </c>
      <c r="R9" s="65" t="str">
        <f>'PC LIST'!P61</f>
        <v>Mean zonal compliance (%)</v>
      </c>
      <c r="S9" s="65">
        <f>'PC LIST'!Q61</f>
        <v>2</v>
      </c>
      <c r="T9" s="65" t="str">
        <f>'PC LIST'!J61</f>
        <v>PO</v>
      </c>
      <c r="U9" s="788">
        <f>'PC LIST'!BQ61</f>
        <v>99.93</v>
      </c>
      <c r="V9" s="65" t="str">
        <f>'PC LIST'!B82</f>
        <v>PR14DVWWSW_B3</v>
      </c>
      <c r="W9" s="65" t="str">
        <f>'PC LIST'!I82</f>
        <v>B3: Security of supply index (SOSI)</v>
      </c>
      <c r="X9" s="65" t="str">
        <f>'PC LIST'!O82</f>
        <v>score</v>
      </c>
      <c r="Y9" s="65" t="str">
        <f>'PC LIST'!P82</f>
        <v>Security of Supply Index (SOSI)</v>
      </c>
      <c r="Z9" s="65">
        <f>'PC LIST'!Q82</f>
        <v>0</v>
      </c>
      <c r="AA9" s="65" t="str">
        <f>'PC LIST'!J82</f>
        <v>NFI</v>
      </c>
      <c r="AB9" s="788">
        <f>'PC LIST'!BQ82</f>
        <v>100</v>
      </c>
      <c r="AC9" s="65" t="str">
        <f>'PC LIST'!B95</f>
        <v>PR14NESWSW_W-C3</v>
      </c>
      <c r="AD9" s="66" t="str">
        <f>'PC LIST'!I95</f>
        <v>W-C3: Water mains bursts</v>
      </c>
      <c r="AE9" s="66" t="str">
        <f>'PC LIST'!O95</f>
        <v>nr</v>
      </c>
      <c r="AF9" s="66" t="str">
        <f>'PC LIST'!P95</f>
        <v>No. of burst mains per year</v>
      </c>
      <c r="AG9" s="65">
        <f>'PC LIST'!Q95</f>
        <v>0</v>
      </c>
      <c r="AH9" s="65" t="str">
        <f>'PC LIST'!J95</f>
        <v>PO</v>
      </c>
      <c r="AI9" s="65">
        <f>'PC LIST'!BQ95</f>
        <v>3916</v>
      </c>
      <c r="AJ9" s="65" t="str">
        <f>'PC LIST'!B139</f>
        <v>PR14PRTWSW_D1</v>
      </c>
      <c r="AK9" s="65" t="str">
        <f>'PC LIST'!I139</f>
        <v>D1: Biodiversity</v>
      </c>
      <c r="AL9" s="65" t="str">
        <f>'PC LIST'!O139</f>
        <v>%</v>
      </c>
      <c r="AM9" s="65" t="str">
        <f>'PC LIST'!P139</f>
        <v>% (completion of agreed actions)</v>
      </c>
      <c r="AN9" s="65">
        <f>'PC LIST'!Q139</f>
        <v>0</v>
      </c>
      <c r="AO9" s="65" t="str">
        <f>'PC LIST'!J139</f>
        <v>PO</v>
      </c>
      <c r="AP9" s="789">
        <f>'PC LIST'!BQ139</f>
        <v>20</v>
      </c>
      <c r="AQ9" s="65" t="str">
        <f>'PC LIST'!B152</f>
        <v>PR14SBWWSW_B5</v>
      </c>
      <c r="AR9" s="65" t="str">
        <f>'PC LIST'!I152</f>
        <v>B5: Metering - continue current strategy</v>
      </c>
      <c r="AS9" s="65" t="str">
        <f>'PC LIST'!O152</f>
        <v>nr</v>
      </c>
      <c r="AT9" s="65" t="str">
        <f>'PC LIST'!P152</f>
        <v>No. of additional meters installed</v>
      </c>
      <c r="AU9" s="65">
        <f>'PC LIST'!Q152</f>
        <v>0</v>
      </c>
      <c r="AV9" s="65" t="str">
        <f>'PC LIST'!J152</f>
        <v>PO</v>
      </c>
      <c r="AW9" s="788">
        <f>'PC LIST'!BQ152</f>
        <v>2553</v>
      </c>
      <c r="AX9" s="65" t="str">
        <f>'PC LIST'!B167</f>
        <v>PR14SESWSW_A7</v>
      </c>
      <c r="AY9" s="65" t="str">
        <f>'PC LIST'!I167</f>
        <v>A7: Water softening programme</v>
      </c>
      <c r="AZ9" s="65" t="str">
        <f>'PC LIST'!O167</f>
        <v>text</v>
      </c>
      <c r="BA9" s="65" t="str">
        <f>'PC LIST'!P167</f>
        <v>Programme delivery</v>
      </c>
      <c r="BB9" s="65" t="str">
        <f>'PC LIST'!Q167</f>
        <v>na</v>
      </c>
      <c r="BC9" s="65" t="str">
        <f>'PC LIST'!J167</f>
        <v>PO</v>
      </c>
      <c r="BD9" s="789" t="str">
        <f>'PC LIST'!BQ167</f>
        <v>Delivered</v>
      </c>
      <c r="BE9" s="65" t="str">
        <f>'PC LIST'!B188</f>
        <v>PR14SEWWSW_E1</v>
      </c>
      <c r="BF9" s="65" t="str">
        <f>'PC LIST'!I188</f>
        <v>E1: Customer satisfaction - bills are value for money and affordable</v>
      </c>
      <c r="BG9" s="65" t="str">
        <f>'PC LIST'!O188</f>
        <v>%</v>
      </c>
      <c r="BH9" s="65" t="str">
        <f>'PC LIST'!P188</f>
        <v>% customer satisfaction</v>
      </c>
      <c r="BI9" s="65">
        <f>'PC LIST'!Q188</f>
        <v>0</v>
      </c>
      <c r="BJ9" s="65" t="str">
        <f>'PC LIST'!J188</f>
        <v>NFI</v>
      </c>
      <c r="BK9" s="65">
        <f>'PC LIST'!BQ188</f>
        <v>71</v>
      </c>
      <c r="BL9" s="65" t="str">
        <f>'PC LIST'!B222</f>
        <v>PR14SRNWSW_6</v>
      </c>
      <c r="BM9" s="65" t="str">
        <f>'PC LIST'!I222</f>
        <v>6: Water pressure (number of properties on the DG2 low water pressure register)</v>
      </c>
      <c r="BN9" s="65" t="str">
        <f>'PC LIST'!O222</f>
        <v>nr</v>
      </c>
      <c r="BO9" s="65" t="str">
        <f>'PC LIST'!P222</f>
        <v>No. of properties on DG2 register</v>
      </c>
      <c r="BP9" s="65">
        <f>'PC LIST'!Q222</f>
        <v>0</v>
      </c>
      <c r="BQ9" s="65" t="str">
        <f>'PC LIST'!J222</f>
        <v>PO</v>
      </c>
      <c r="BR9" s="65">
        <f>'PC LIST'!BQ222</f>
        <v>288</v>
      </c>
      <c r="BS9" s="65" t="str">
        <f>'PC LIST'!B255</f>
        <v>PR14SSCWSW_4.2</v>
      </c>
      <c r="BT9" s="65" t="str">
        <f>'PC LIST'!I255</f>
        <v>4.2: Leakage (Cambridge operating region)</v>
      </c>
      <c r="BU9" s="65" t="str">
        <f>'PC LIST'!O255</f>
        <v>nr</v>
      </c>
      <c r="BV9" s="65" t="str">
        <f>'PC LIST'!P255</f>
        <v>Megalitres per day (Ml/d)</v>
      </c>
      <c r="BW9" s="65">
        <f>'PC LIST'!Q255</f>
        <v>1</v>
      </c>
      <c r="BX9" s="65" t="str">
        <f>'PC LIST'!J255</f>
        <v>R&amp;P</v>
      </c>
      <c r="BY9" s="65">
        <f>'PC LIST'!BQ255</f>
        <v>13.24</v>
      </c>
      <c r="BZ9" s="65" t="str">
        <f>'PC LIST'!B270</f>
        <v>PR14SVTWSW_W-B3</v>
      </c>
      <c r="CA9" s="65" t="str">
        <f>'PC LIST'!I270</f>
        <v>W-B3: Speed of response in repairing leaks (% fixed within 24 hours)</v>
      </c>
      <c r="CB9" s="65" t="str">
        <f>'PC LIST'!O270</f>
        <v>%</v>
      </c>
      <c r="CC9" s="65" t="str">
        <f>'PC LIST'!P270</f>
        <v>% visible leaks fixed within 24 hours</v>
      </c>
      <c r="CD9" s="65">
        <f>'PC LIST'!Q270</f>
        <v>0</v>
      </c>
      <c r="CE9" s="65" t="str">
        <f>'PC LIST'!J270</f>
        <v>R&amp;P</v>
      </c>
      <c r="CF9" s="789">
        <f>'PC LIST'!BQ270</f>
        <v>53</v>
      </c>
      <c r="CG9" s="65" t="str">
        <f>'PC LIST'!B315</f>
        <v>PR14SWTWSW_W-B2</v>
      </c>
      <c r="CH9" s="67" t="str">
        <f>'PC LIST'!I315</f>
        <v>W-B2: Ability to move water around the network</v>
      </c>
      <c r="CI9" s="67" t="str">
        <f>'PC LIST'!O315</f>
        <v>text</v>
      </c>
      <c r="CJ9" s="67" t="str">
        <f>'PC LIST'!P315</f>
        <v>Limited / partial / increased / substantial</v>
      </c>
      <c r="CK9" s="65" t="str">
        <f>'PC LIST'!Q315</f>
        <v>na</v>
      </c>
      <c r="CL9" s="65" t="str">
        <f>'PC LIST'!J315</f>
        <v>NFI</v>
      </c>
      <c r="CM9" s="788" t="str">
        <f>'PC LIST'!BQ315</f>
        <v>partial</v>
      </c>
      <c r="CN9" s="65" t="str">
        <f>'PC LIST'!B357</f>
        <v>PR14TMSWSW_WB2</v>
      </c>
      <c r="CO9" s="65" t="str">
        <f>'PC LIST'!I357</f>
        <v>WB2: Asset health water non-infrastructure</v>
      </c>
      <c r="CP9" s="65" t="str">
        <f>'PC LIST'!O357</f>
        <v>category</v>
      </c>
      <c r="CQ9" s="65" t="str">
        <f>'PC LIST'!P357</f>
        <v>Asset health indicator</v>
      </c>
      <c r="CR9" s="65" t="str">
        <f>'PC LIST'!Q357</f>
        <v>na</v>
      </c>
      <c r="CS9" s="65" t="str">
        <f>'PC LIST'!J357</f>
        <v>PO</v>
      </c>
      <c r="CT9" s="65" t="str">
        <f>'PC LIST'!BQ357</f>
        <v>Stable</v>
      </c>
      <c r="CU9" s="65" t="str">
        <f>'PC LIST'!B412</f>
        <v>PR14UUWSW_B4</v>
      </c>
      <c r="CV9" s="65" t="str">
        <f>'PC LIST'!I412</f>
        <v>B4: Total leakage at or below target</v>
      </c>
      <c r="CW9" s="65" t="str">
        <f>'PC LIST'!O412</f>
        <v>nr</v>
      </c>
      <c r="CX9" s="65" t="str">
        <f>'PC LIST'!P412</f>
        <v>Megalitres per day (Ml/d) variance from target</v>
      </c>
      <c r="CY9" s="65">
        <f>'PC LIST'!Q412</f>
        <v>2</v>
      </c>
      <c r="CZ9" s="65" t="str">
        <f>'PC LIST'!J412</f>
        <v>R&amp;P</v>
      </c>
      <c r="DA9" s="65">
        <f>'PC LIST'!BQ412</f>
        <v>10.8</v>
      </c>
      <c r="DB9" s="65" t="str">
        <f>'PC LIST'!B439</f>
        <v>PR14WSHWSW_D2</v>
      </c>
      <c r="DC9" s="65" t="str">
        <f>'PC LIST'!I439</f>
        <v>D2: ‘At risk’ customer services - number of customers who have experienced poor service</v>
      </c>
      <c r="DD9" s="65" t="str">
        <f>'PC LIST'!O439</f>
        <v>nr</v>
      </c>
      <c r="DE9" s="65" t="str">
        <f>'PC LIST'!P439</f>
        <v>No. of properties/ incidents on the internal 'at risk' register</v>
      </c>
      <c r="DF9" s="65">
        <f>'PC LIST'!Q439</f>
        <v>0</v>
      </c>
      <c r="DG9" s="65" t="str">
        <f>'PC LIST'!J439</f>
        <v>NFI</v>
      </c>
      <c r="DH9" s="788">
        <f>'PC LIST'!BQ439</f>
        <v>648</v>
      </c>
      <c r="DI9" s="65" t="str">
        <f>'PC LIST'!B470</f>
        <v>PR14WSXWSW_D4</v>
      </c>
      <c r="DJ9" s="65" t="str">
        <f>'PC LIST'!I470</f>
        <v>D4: Properties supplied by a single source (including the integrated supply grid)</v>
      </c>
      <c r="DK9" s="65" t="str">
        <f>'PC LIST'!O470</f>
        <v>nr</v>
      </c>
      <c r="DL9" s="65" t="str">
        <f>'PC LIST'!P470</f>
        <v>No. of properties supplied by a single source</v>
      </c>
      <c r="DM9" s="65">
        <f>'PC LIST'!Q470</f>
        <v>0</v>
      </c>
      <c r="DN9" s="65" t="str">
        <f>'PC LIST'!J470</f>
        <v>PO</v>
      </c>
      <c r="DO9" s="65">
        <f>'PC LIST'!BQ470</f>
        <v>78000</v>
      </c>
      <c r="DP9" s="65" t="str">
        <f>'PC LIST'!B502</f>
        <v>PR14YKYWSW_WB3</v>
      </c>
      <c r="DQ9" s="65" t="str">
        <f>'PC LIST'!I502</f>
        <v>WB3: Water use</v>
      </c>
      <c r="DR9" s="65" t="str">
        <f>'PC LIST'!O502</f>
        <v>nr</v>
      </c>
      <c r="DS9" s="65" t="str">
        <f>'PC LIST'!P502</f>
        <v>Litres per head per day (l/h/d)</v>
      </c>
      <c r="DT9" s="65">
        <f>'PC LIST'!Q502</f>
        <v>1</v>
      </c>
      <c r="DU9" s="65" t="str">
        <f>'PC LIST'!J502</f>
        <v>NFI</v>
      </c>
      <c r="DV9" s="65">
        <f>'PC LIST'!BQ502</f>
        <v>141.71</v>
      </c>
    </row>
    <row r="10" spans="1:126" ht="15.75" customHeight="1" x14ac:dyDescent="0.2">
      <c r="A10" s="65" t="str">
        <f>'PC LIST'!B10</f>
        <v>PR14AFWWSW_W-C1</v>
      </c>
      <c r="B10" s="65" t="str">
        <f>'PC LIST'!I10</f>
        <v>W-C1: Unplanned interruptions to supply over 12 hours</v>
      </c>
      <c r="C10" s="65" t="str">
        <f>'PC LIST'!O10</f>
        <v>nr</v>
      </c>
      <c r="D10" s="65" t="str">
        <f>'PC LIST'!P10</f>
        <v>No. of properties</v>
      </c>
      <c r="E10" s="65">
        <f>'PC LIST'!Q10</f>
        <v>0</v>
      </c>
      <c r="F10" s="65" t="str">
        <f>'PC LIST'!J10</f>
        <v>R&amp;P</v>
      </c>
      <c r="G10" s="65">
        <f>'PC LIST'!BQ10</f>
        <v>1771</v>
      </c>
      <c r="H10" s="65" t="str">
        <f>'PC LIST'!B23</f>
        <v>PR14ANHWSW_W-D2</v>
      </c>
      <c r="I10" s="65" t="str">
        <f>'PC LIST'!I23</f>
        <v>W-D2: Security of Supply Index (SoSI) - critical period (peak) demand</v>
      </c>
      <c r="J10" s="65" t="str">
        <f>'PC LIST'!O23</f>
        <v>score</v>
      </c>
      <c r="K10" s="65" t="str">
        <f>'PC LIST'!P23</f>
        <v>Security of Supply Index (SOSI)</v>
      </c>
      <c r="L10" s="65">
        <f>'PC LIST'!Q23</f>
        <v>0</v>
      </c>
      <c r="M10" s="65" t="str">
        <f>'PC LIST'!J23</f>
        <v>NFI</v>
      </c>
      <c r="N10" s="788">
        <f>'PC LIST'!BQ23</f>
        <v>100</v>
      </c>
      <c r="O10" s="65" t="str">
        <f>'PC LIST'!B62</f>
        <v>PR14BRLWSW_E1</v>
      </c>
      <c r="P10" s="65" t="str">
        <f>'PC LIST'!I62</f>
        <v>E1: Negative water quality contacts</v>
      </c>
      <c r="Q10" s="65" t="str">
        <f>'PC LIST'!O62</f>
        <v>nr</v>
      </c>
      <c r="R10" s="65" t="str">
        <f>'PC LIST'!P62</f>
        <v>No. of contacts per year</v>
      </c>
      <c r="S10" s="65">
        <f>'PC LIST'!Q62</f>
        <v>0</v>
      </c>
      <c r="T10" s="65" t="str">
        <f>'PC LIST'!J62</f>
        <v>R&amp;P</v>
      </c>
      <c r="U10" s="788">
        <f>'PC LIST'!BQ62</f>
        <v>2329</v>
      </c>
      <c r="V10" s="65" t="str">
        <f>'PC LIST'!B83</f>
        <v>PR14DVWWSW_B4</v>
      </c>
      <c r="W10" s="65" t="str">
        <f>'PC LIST'!I83</f>
        <v>B4: Number of bursts</v>
      </c>
      <c r="X10" s="65" t="str">
        <f>'PC LIST'!O83</f>
        <v>nr</v>
      </c>
      <c r="Y10" s="65" t="str">
        <f>'PC LIST'!P83</f>
        <v>No. of burst mains per year</v>
      </c>
      <c r="Z10" s="65">
        <f>'PC LIST'!Q83</f>
        <v>0</v>
      </c>
      <c r="AA10" s="65" t="str">
        <f>'PC LIST'!J83</f>
        <v>R&amp;P</v>
      </c>
      <c r="AB10" s="788">
        <f>'PC LIST'!BQ83</f>
        <v>169</v>
      </c>
      <c r="AC10" s="65" t="str">
        <f>'PC LIST'!B96</f>
        <v>PR14NESWSW_W-C4</v>
      </c>
      <c r="AD10" s="66" t="str">
        <f>'PC LIST'!I96</f>
        <v>W-C4: Leakage (Ml/d) Northumbrian area</v>
      </c>
      <c r="AE10" s="66" t="str">
        <f>'PC LIST'!O96</f>
        <v>nr</v>
      </c>
      <c r="AF10" s="66" t="str">
        <f>'PC LIST'!P96</f>
        <v>Megalitres per day (Ml/d)</v>
      </c>
      <c r="AG10" s="65">
        <f>'PC LIST'!Q96</f>
        <v>0</v>
      </c>
      <c r="AH10" s="65" t="str">
        <f>'PC LIST'!J96</f>
        <v>R&amp;P</v>
      </c>
      <c r="AI10" s="65">
        <f>'PC LIST'!BQ96</f>
        <v>134.66</v>
      </c>
      <c r="AJ10" s="65" t="str">
        <f>'PC LIST'!B140</f>
        <v>PR14PRTWSW_D2</v>
      </c>
      <c r="AK10" s="65" t="str">
        <f>'PC LIST'!I140</f>
        <v>D2: Water Framework Directive (WFD)</v>
      </c>
      <c r="AL10" s="65" t="str">
        <f>'PC LIST'!O140</f>
        <v>text</v>
      </c>
      <c r="AM10" s="65" t="str">
        <f>'PC LIST'!P140</f>
        <v>Programme completion</v>
      </c>
      <c r="AN10" s="65" t="str">
        <f>'PC LIST'!Q140</f>
        <v>na</v>
      </c>
      <c r="AO10" s="65" t="str">
        <f>'PC LIST'!J140</f>
        <v>R&amp;P</v>
      </c>
      <c r="AP10" s="789" t="str">
        <f>'PC LIST'!BQ140</f>
        <v>Progress as planned</v>
      </c>
      <c r="AQ10" s="65" t="str">
        <f>'PC LIST'!B153</f>
        <v>PR14SBWWSW_B6</v>
      </c>
      <c r="AR10" s="65" t="str">
        <f>'PC LIST'!I153</f>
        <v>B6: Reduce per capita consumption (PCC) to 136 litres/head/day by March 2020</v>
      </c>
      <c r="AS10" s="65" t="str">
        <f>'PC LIST'!O153</f>
        <v>nr</v>
      </c>
      <c r="AT10" s="65" t="str">
        <f>'PC LIST'!P153</f>
        <v>Litres per head per day (l/h/d)</v>
      </c>
      <c r="AU10" s="65">
        <f>'PC LIST'!Q153</f>
        <v>1</v>
      </c>
      <c r="AV10" s="65" t="str">
        <f>'PC LIST'!J153</f>
        <v>NFI</v>
      </c>
      <c r="AW10" s="788">
        <f>'PC LIST'!BQ153</f>
        <v>133.57900000000001</v>
      </c>
      <c r="AX10" s="65" t="str">
        <f>'PC LIST'!B168</f>
        <v>PR14SESWSW_C1</v>
      </c>
      <c r="AY10" s="65" t="str">
        <f>'PC LIST'!I168</f>
        <v>C1: The number of times on average the Company has to impose restrictions on the use of water</v>
      </c>
      <c r="AZ10" s="65" t="str">
        <f>'PC LIST'!O168</f>
        <v>nr</v>
      </c>
      <c r="BA10" s="65" t="str">
        <f>'PC LIST'!P168</f>
        <v>No. of restrictions in last 10 years</v>
      </c>
      <c r="BB10" s="65">
        <f>'PC LIST'!Q168</f>
        <v>0</v>
      </c>
      <c r="BC10" s="65" t="str">
        <f>'PC LIST'!J168</f>
        <v>NFI</v>
      </c>
      <c r="BD10" s="789">
        <f>'PC LIST'!BQ168</f>
        <v>0</v>
      </c>
      <c r="BE10" s="65" t="str">
        <f>'PC LIST'!B189</f>
        <v>PR14SEWWSW_F1</v>
      </c>
      <c r="BF10" s="65" t="str">
        <f>'PC LIST'!I189</f>
        <v>F1: Customer satisfaction - water supply is of sufficient pressure</v>
      </c>
      <c r="BG10" s="65" t="str">
        <f>'PC LIST'!O189</f>
        <v>score</v>
      </c>
      <c r="BH10" s="65" t="str">
        <f>'PC LIST'!P189</f>
        <v>Customer satisfaction score out of 5</v>
      </c>
      <c r="BI10" s="65">
        <f>'PC LIST'!Q189</f>
        <v>1</v>
      </c>
      <c r="BJ10" s="65" t="str">
        <f>'PC LIST'!J189</f>
        <v>R&amp;P</v>
      </c>
      <c r="BK10" s="65">
        <f>'PC LIST'!BQ189</f>
        <v>4.2</v>
      </c>
      <c r="BL10" s="65" t="str">
        <f>'PC LIST'!B223</f>
        <v>PR14SRNWSW_7</v>
      </c>
      <c r="BM10" s="65" t="str">
        <f>'PC LIST'!I223</f>
        <v>7: Distribution input</v>
      </c>
      <c r="BN10" s="65" t="str">
        <f>'PC LIST'!O223</f>
        <v>nr</v>
      </c>
      <c r="BO10" s="65" t="str">
        <f>'PC LIST'!P223</f>
        <v>Megalitres per day (Ml/d)</v>
      </c>
      <c r="BP10" s="65">
        <f>'PC LIST'!Q223</f>
        <v>2</v>
      </c>
      <c r="BQ10" s="65" t="str">
        <f>'PC LIST'!J223</f>
        <v>NFI</v>
      </c>
      <c r="BR10" s="65">
        <f>'PC LIST'!BQ223</f>
        <v>520.64</v>
      </c>
      <c r="BS10" s="65" t="str">
        <f>'PC LIST'!B256</f>
        <v>PR14SSCWSW_4.3</v>
      </c>
      <c r="BT10" s="65" t="str">
        <f>'PC LIST'!I256</f>
        <v>4.3: Water efficiency (household per capita consumption (PCC) reported annually, combined company)</v>
      </c>
      <c r="BU10" s="65" t="str">
        <f>'PC LIST'!O256</f>
        <v>nr</v>
      </c>
      <c r="BV10" s="65" t="str">
        <f>'PC LIST'!P256</f>
        <v>Litres per head per day (l/h/d)</v>
      </c>
      <c r="BW10" s="65">
        <f>'PC LIST'!Q256</f>
        <v>2</v>
      </c>
      <c r="BX10" s="65" t="str">
        <f>'PC LIST'!J256</f>
        <v>NFI</v>
      </c>
      <c r="BY10" s="65">
        <f>'PC LIST'!BQ256</f>
        <v>129.59</v>
      </c>
      <c r="BZ10" s="65" t="str">
        <f>'PC LIST'!B271</f>
        <v>PR14SVTWSW_W-B4</v>
      </c>
      <c r="CA10" s="65" t="str">
        <f>'PC LIST'!I271</f>
        <v>W-B4: Number of minutes customers go without supply each year (interruptions to supply &gt; 3 hours)</v>
      </c>
      <c r="CB10" s="65" t="str">
        <f>'PC LIST'!O271</f>
        <v>time</v>
      </c>
      <c r="CC10" s="65" t="str">
        <f>'PC LIST'!P271</f>
        <v>Minutes / property / year</v>
      </c>
      <c r="CD10" s="65">
        <f>'PC LIST'!Q271</f>
        <v>2</v>
      </c>
      <c r="CE10" s="65" t="str">
        <f>'PC LIST'!J271</f>
        <v>R&amp;P</v>
      </c>
      <c r="CF10" s="789">
        <f>'PC LIST'!BQ271</f>
        <v>11.17</v>
      </c>
      <c r="CG10" s="65" t="str">
        <f>'PC LIST'!B316</f>
        <v>PR14SWTWSW_W-B3</v>
      </c>
      <c r="CH10" s="67" t="str">
        <f>'PC LIST'!I316</f>
        <v>W-B3: Leakage levels (megalitres a day, Ml/d)</v>
      </c>
      <c r="CI10" s="67" t="str">
        <f>'PC LIST'!O316</f>
        <v>nr</v>
      </c>
      <c r="CJ10" s="67" t="str">
        <f>'PC LIST'!P316</f>
        <v>Megalitres per day (Ml/d)</v>
      </c>
      <c r="CK10" s="65">
        <f>'PC LIST'!Q316</f>
        <v>0</v>
      </c>
      <c r="CL10" s="65" t="str">
        <f>'PC LIST'!J316</f>
        <v>R&amp;P</v>
      </c>
      <c r="CM10" s="788">
        <f>'PC LIST'!BQ316</f>
        <v>84</v>
      </c>
      <c r="CN10" s="65" t="str">
        <f>'PC LIST'!B358</f>
        <v>PR14TMSWSW_WB3</v>
      </c>
      <c r="CO10" s="65" t="str">
        <f>'PC LIST'!I358</f>
        <v>WB3: Compliance with drinking water quality standards (MZC) - Ofwat/ DWI KPI</v>
      </c>
      <c r="CP10" s="65" t="str">
        <f>'PC LIST'!O358</f>
        <v>%</v>
      </c>
      <c r="CQ10" s="65" t="str">
        <f>'PC LIST'!P358</f>
        <v>Mean zonal compliance (%)</v>
      </c>
      <c r="CR10" s="65">
        <f>'PC LIST'!Q358</f>
        <v>2</v>
      </c>
      <c r="CS10" s="65" t="str">
        <f>'PC LIST'!J358</f>
        <v>PO</v>
      </c>
      <c r="CT10" s="65">
        <f>'PC LIST'!BQ358</f>
        <v>99.956000000000003</v>
      </c>
      <c r="CU10" s="65" t="str">
        <f>'PC LIST'!B413</f>
        <v>PR14UUWSW_B5</v>
      </c>
      <c r="CV10" s="65" t="str">
        <f>'PC LIST'!I413</f>
        <v>B5: Resilience of impounding reservoirs</v>
      </c>
      <c r="CW10" s="65" t="str">
        <f>'PC LIST'!O413</f>
        <v>nr</v>
      </c>
      <c r="CX10" s="65" t="str">
        <f>'PC LIST'!P413</f>
        <v>Aggregate (cumulative) reduction in risk</v>
      </c>
      <c r="CY10" s="65">
        <f>'PC LIST'!Q413</f>
        <v>2</v>
      </c>
      <c r="CZ10" s="65" t="str">
        <f>'PC LIST'!J413</f>
        <v>PO</v>
      </c>
      <c r="DA10" s="65">
        <f>'PC LIST'!BQ413</f>
        <v>161.61000000000001</v>
      </c>
      <c r="DB10" s="65" t="str">
        <f>'PC LIST'!B440</f>
        <v>PR14WSHWSW_D5</v>
      </c>
      <c r="DC10" s="65" t="str">
        <f>'PC LIST'!I440</f>
        <v>D5: Earning the trust of customers - % of customers surveyed that say they trust the company</v>
      </c>
      <c r="DD10" s="65" t="str">
        <f>'PC LIST'!O440</f>
        <v>%</v>
      </c>
      <c r="DE10" s="65" t="str">
        <f>'PC LIST'!P440</f>
        <v>% customer satisfaction</v>
      </c>
      <c r="DF10" s="65">
        <f>'PC LIST'!Q440</f>
        <v>0</v>
      </c>
      <c r="DG10" s="65" t="str">
        <f>'PC LIST'!J440</f>
        <v>NFI</v>
      </c>
      <c r="DH10" s="788">
        <f>'PC LIST'!BQ440</f>
        <v>82</v>
      </c>
      <c r="DI10" s="65" t="str">
        <f>'PC LIST'!B471</f>
        <v>PR14WSXWSW_D5</v>
      </c>
      <c r="DJ10" s="65" t="str">
        <f>'PC LIST'!I471</f>
        <v>D5: Water main bursts</v>
      </c>
      <c r="DK10" s="65" t="str">
        <f>'PC LIST'!O471</f>
        <v>nr</v>
      </c>
      <c r="DL10" s="65" t="str">
        <f>'PC LIST'!P471</f>
        <v>No. of water main bursts per year</v>
      </c>
      <c r="DM10" s="65">
        <f>'PC LIST'!Q471</f>
        <v>0</v>
      </c>
      <c r="DN10" s="65" t="str">
        <f>'PC LIST'!J471</f>
        <v>PO</v>
      </c>
      <c r="DO10" s="65">
        <f>'PC LIST'!BQ471</f>
        <v>1663</v>
      </c>
      <c r="DP10" s="65" t="str">
        <f>'PC LIST'!B503</f>
        <v>PR14YKYWSW_WB4</v>
      </c>
      <c r="DQ10" s="65" t="str">
        <f>'PC LIST'!I503</f>
        <v>WB4: Water network stability and reliability factor</v>
      </c>
      <c r="DR10" s="65" t="str">
        <f>'PC LIST'!O503</f>
        <v>category</v>
      </c>
      <c r="DS10" s="65" t="str">
        <f>'PC LIST'!P503</f>
        <v>Asset health indicator</v>
      </c>
      <c r="DT10" s="65" t="str">
        <f>'PC LIST'!Q503</f>
        <v>na</v>
      </c>
      <c r="DU10" s="65" t="str">
        <f>'PC LIST'!J503</f>
        <v>PO</v>
      </c>
      <c r="DV10" s="65" t="str">
        <f>'PC LIST'!BQ503</f>
        <v xml:space="preserve">Stable </v>
      </c>
    </row>
    <row r="11" spans="1:126" ht="15.75" customHeight="1" x14ac:dyDescent="0.2">
      <c r="A11" s="65" t="str">
        <f>'PC LIST'!B11</f>
        <v>PR14AFWWSW_W-C2</v>
      </c>
      <c r="B11" s="65" t="str">
        <f>'PC LIST'!I11</f>
        <v>W-C2: Number of burst mains</v>
      </c>
      <c r="C11" s="65" t="str">
        <f>'PC LIST'!O11</f>
        <v>nr</v>
      </c>
      <c r="D11" s="65" t="str">
        <f>'PC LIST'!P11</f>
        <v>No. of burst mains per year</v>
      </c>
      <c r="E11" s="65">
        <f>'PC LIST'!Q11</f>
        <v>0</v>
      </c>
      <c r="F11" s="65" t="str">
        <f>'PC LIST'!J11</f>
        <v>PO</v>
      </c>
      <c r="G11" s="65">
        <f>'PC LIST'!BQ11</f>
        <v>2201</v>
      </c>
      <c r="H11" s="65" t="str">
        <f>'PC LIST'!B24</f>
        <v>PR14ANHWSW_W-D3</v>
      </c>
      <c r="I11" s="65" t="str">
        <f>'PC LIST'!I24</f>
        <v>W-D3: Per property consumption (PPC) (litres/household/day reduction)</v>
      </c>
      <c r="J11" s="65" t="str">
        <f>'PC LIST'!O24</f>
        <v>nr</v>
      </c>
      <c r="K11" s="65" t="str">
        <f>'PC LIST'!P24</f>
        <v>Litres per household per day (l/hh/d)</v>
      </c>
      <c r="L11" s="65">
        <f>'PC LIST'!Q24</f>
        <v>0</v>
      </c>
      <c r="M11" s="65" t="str">
        <f>'PC LIST'!J24</f>
        <v>PO</v>
      </c>
      <c r="N11" s="788">
        <f>'PC LIST'!BQ24</f>
        <v>-2</v>
      </c>
      <c r="O11" s="65" t="str">
        <f>'PC LIST'!B63</f>
        <v>PR14BRLWSW_F1</v>
      </c>
      <c r="P11" s="65" t="str">
        <f>'PC LIST'!I63</f>
        <v>F1: Leakage</v>
      </c>
      <c r="Q11" s="65" t="str">
        <f>'PC LIST'!O63</f>
        <v>nr</v>
      </c>
      <c r="R11" s="65" t="str">
        <f>'PC LIST'!P63</f>
        <v>Megalitres per day (Ml/d)</v>
      </c>
      <c r="S11" s="65">
        <f>'PC LIST'!Q63</f>
        <v>0</v>
      </c>
      <c r="T11" s="65" t="str">
        <f>'PC LIST'!J63</f>
        <v>R&amp;P</v>
      </c>
      <c r="U11" s="788">
        <f>'PC LIST'!BQ63</f>
        <v>44.2</v>
      </c>
      <c r="V11" s="65" t="str">
        <f>'PC LIST'!B84</f>
        <v>PR14DVWWSW_C1</v>
      </c>
      <c r="W11" s="65" t="str">
        <f>'PC LIST'!I84</f>
        <v>C1: Gross operational greenhouse gas emissions</v>
      </c>
      <c r="X11" s="65" t="str">
        <f>'PC LIST'!O84</f>
        <v>nr</v>
      </c>
      <c r="Y11" s="65" t="str">
        <f>'PC LIST'!P84</f>
        <v>tCO2e</v>
      </c>
      <c r="Z11" s="65">
        <f>'PC LIST'!Q84</f>
        <v>0</v>
      </c>
      <c r="AA11" s="65" t="str">
        <f>'PC LIST'!J84</f>
        <v>NFI</v>
      </c>
      <c r="AB11" s="788">
        <f>'PC LIST'!BQ84</f>
        <v>9219</v>
      </c>
      <c r="AC11" s="65" t="str">
        <f>'PC LIST'!B97</f>
        <v>PR14NESWSW_W-C5</v>
      </c>
      <c r="AD11" s="66" t="str">
        <f>'PC LIST'!I97</f>
        <v>W-C5: Leakage (Ml/d) Essex &amp; Suffolk area</v>
      </c>
      <c r="AE11" s="66" t="str">
        <f>'PC LIST'!O97</f>
        <v>nr</v>
      </c>
      <c r="AF11" s="66" t="str">
        <f>'PC LIST'!P97</f>
        <v>Megalitres per day (Ml/d)</v>
      </c>
      <c r="AG11" s="65">
        <f>'PC LIST'!Q97</f>
        <v>0</v>
      </c>
      <c r="AH11" s="65" t="str">
        <f>'PC LIST'!J97</f>
        <v>R&amp;P</v>
      </c>
      <c r="AI11" s="65">
        <f>'PC LIST'!BQ97</f>
        <v>62.42</v>
      </c>
      <c r="AJ11" s="65" t="str">
        <f>'PC LIST'!B141</f>
        <v>PR14PRTWSW_D3</v>
      </c>
      <c r="AK11" s="65" t="str">
        <f>'PC LIST'!I141</f>
        <v>D3: Carbon</v>
      </c>
      <c r="AL11" s="65" t="str">
        <f>'PC LIST'!O141</f>
        <v>%</v>
      </c>
      <c r="AM11" s="65" t="str">
        <f>'PC LIST'!P141</f>
        <v>Energy sourced from renewables (% increase)</v>
      </c>
      <c r="AN11" s="65">
        <f>'PC LIST'!Q141</f>
        <v>0</v>
      </c>
      <c r="AO11" s="65" t="str">
        <f>'PC LIST'!J141</f>
        <v>NFI</v>
      </c>
      <c r="AP11" s="789" t="str">
        <f>'PC LIST'!BQ141</f>
        <v>&gt; 95%</v>
      </c>
      <c r="AQ11" s="65" t="str">
        <f>'PC LIST'!B154</f>
        <v>PR14SBWWSW_C1</v>
      </c>
      <c r="AR11" s="65" t="str">
        <f>'PC LIST'!I154</f>
        <v>C1: Repair visible leaks</v>
      </c>
      <c r="AS11" s="65" t="str">
        <f>'PC LIST'!O154</f>
        <v>%</v>
      </c>
      <c r="AT11" s="65" t="str">
        <f>'PC LIST'!P154</f>
        <v>% visible leaks repaired within 7 days</v>
      </c>
      <c r="AU11" s="65">
        <f>'PC LIST'!Q154</f>
        <v>1</v>
      </c>
      <c r="AV11" s="65" t="str">
        <f>'PC LIST'!J154</f>
        <v>PO</v>
      </c>
      <c r="AW11" s="788">
        <f>'PC LIST'!BQ154</f>
        <v>79.22</v>
      </c>
      <c r="AX11" s="65" t="str">
        <f>'PC LIST'!B169</f>
        <v>PR14SESWSW_C2</v>
      </c>
      <c r="AY11" s="65" t="str">
        <f>'PC LIST'!I169</f>
        <v>C2: Percentage of properties that are connected to more than one treatment works (resilience measure)</v>
      </c>
      <c r="AZ11" s="65" t="str">
        <f>'PC LIST'!O169</f>
        <v>%</v>
      </c>
      <c r="BA11" s="65" t="str">
        <f>'PC LIST'!P169</f>
        <v>% props can be supplied from &gt;1 WTW</v>
      </c>
      <c r="BB11" s="65">
        <f>'PC LIST'!Q169</f>
        <v>0</v>
      </c>
      <c r="BC11" s="65" t="str">
        <f>'PC LIST'!J169</f>
        <v>R&amp;P</v>
      </c>
      <c r="BD11" s="789">
        <f>'PC LIST'!BQ169</f>
        <v>36</v>
      </c>
      <c r="BE11" s="65" t="str">
        <f>'PC LIST'!B190</f>
        <v>PR14SEWWSW_F2</v>
      </c>
      <c r="BF11" s="65" t="str">
        <f>'PC LIST'!I190</f>
        <v>F2: Number of properties at risk of low pressure, as recorded on the DG2 register</v>
      </c>
      <c r="BG11" s="65" t="str">
        <f>'PC LIST'!O190</f>
        <v>nr</v>
      </c>
      <c r="BH11" s="65" t="str">
        <f>'PC LIST'!P190</f>
        <v>No. of properties on DG2 register</v>
      </c>
      <c r="BI11" s="65">
        <f>'PC LIST'!Q190</f>
        <v>0</v>
      </c>
      <c r="BJ11" s="65" t="str">
        <f>'PC LIST'!J190</f>
        <v>R&amp;P</v>
      </c>
      <c r="BK11" s="65">
        <f>'PC LIST'!BQ190</f>
        <v>53</v>
      </c>
      <c r="BL11" s="65" t="str">
        <f>'PC LIST'!B224</f>
        <v>PR14SRNWSW_8</v>
      </c>
      <c r="BM11" s="65" t="str">
        <f>'PC LIST'!I224</f>
        <v>8: Per capita consumption (PCC) - five-year average target</v>
      </c>
      <c r="BN11" s="65" t="str">
        <f>'PC LIST'!O224</f>
        <v>nr</v>
      </c>
      <c r="BO11" s="65" t="str">
        <f>'PC LIST'!P224</f>
        <v>Litres per head per day (l/h/d)</v>
      </c>
      <c r="BP11" s="65">
        <f>'PC LIST'!Q224</f>
        <v>1</v>
      </c>
      <c r="BQ11" s="65" t="str">
        <f>'PC LIST'!J224</f>
        <v>R&amp;P</v>
      </c>
      <c r="BR11" s="65">
        <f>'PC LIST'!BQ224</f>
        <v>129.69999999999999</v>
      </c>
      <c r="BS11" s="65" t="str">
        <f>'PC LIST'!B257</f>
        <v>PR14SSCWSW_4.4</v>
      </c>
      <c r="BT11" s="65" t="str">
        <f>'PC LIST'!I257</f>
        <v>4.4: Biodiversity (cumulative total hectares of land under management per year, combined company)</v>
      </c>
      <c r="BU11" s="65" t="str">
        <f>'PC LIST'!O257</f>
        <v>nr</v>
      </c>
      <c r="BV11" s="65" t="str">
        <f>'PC LIST'!P257</f>
        <v>Cumulative total hectares of land</v>
      </c>
      <c r="BW11" s="65">
        <f>'PC LIST'!Q257</f>
        <v>0</v>
      </c>
      <c r="BX11" s="65" t="str">
        <f>'PC LIST'!J257</f>
        <v>NFI</v>
      </c>
      <c r="BY11" s="65">
        <f>'PC LIST'!BQ257</f>
        <v>76.2</v>
      </c>
      <c r="BZ11" s="65" t="str">
        <f>'PC LIST'!B272</f>
        <v>PR14SVTWSW_W-B5</v>
      </c>
      <c r="CA11" s="65" t="str">
        <f>'PC LIST'!I272</f>
        <v>W-B5: % of customers with resilient supplies (those that benefit from a second source of supply)</v>
      </c>
      <c r="CB11" s="65" t="str">
        <f>'PC LIST'!O272</f>
        <v>%</v>
      </c>
      <c r="CC11" s="65" t="str">
        <f>'PC LIST'!P272</f>
        <v>% customers with 2nd supply source</v>
      </c>
      <c r="CD11" s="65">
        <f>'PC LIST'!Q272</f>
        <v>1</v>
      </c>
      <c r="CE11" s="65" t="str">
        <f>'PC LIST'!J272</f>
        <v>R&amp;P</v>
      </c>
      <c r="CF11" s="789">
        <f>'PC LIST'!BQ272</f>
        <v>77</v>
      </c>
      <c r="CG11" s="65" t="str">
        <f>'PC LIST'!B317</f>
        <v>PR14SWTWSW_W-B4</v>
      </c>
      <c r="CH11" s="67" t="str">
        <f>'PC LIST'!I317</f>
        <v>W-B4: Time taken to fix significant leaks (days)</v>
      </c>
      <c r="CI11" s="67" t="str">
        <f>'PC LIST'!O317</f>
        <v>nr</v>
      </c>
      <c r="CJ11" s="67" t="str">
        <f>'PC LIST'!P317</f>
        <v>No. of days taken to fix significant leaks</v>
      </c>
      <c r="CK11" s="65">
        <f>'PC LIST'!Q317</f>
        <v>0</v>
      </c>
      <c r="CL11" s="65" t="str">
        <f>'PC LIST'!J317</f>
        <v>NFI</v>
      </c>
      <c r="CM11" s="788">
        <f>'PC LIST'!BQ317</f>
        <v>2.8</v>
      </c>
      <c r="CN11" s="65" t="str">
        <f>'PC LIST'!B359</f>
        <v>PR14TMSWSW_WB4</v>
      </c>
      <c r="CO11" s="65" t="str">
        <f>'PC LIST'!I359</f>
        <v>WB4: Properties experiencing chronic low pressure (DG2)</v>
      </c>
      <c r="CP11" s="65" t="str">
        <f>'PC LIST'!O359</f>
        <v>nr</v>
      </c>
      <c r="CQ11" s="65" t="str">
        <f>'PC LIST'!P359</f>
        <v>No. of properties with low pressure (DG2) at the end of the reporting year</v>
      </c>
      <c r="CR11" s="65">
        <f>'PC LIST'!Q359</f>
        <v>0</v>
      </c>
      <c r="CS11" s="65" t="str">
        <f>'PC LIST'!J359</f>
        <v>NFI</v>
      </c>
      <c r="CT11" s="65">
        <f>'PC LIST'!BQ359</f>
        <v>0</v>
      </c>
      <c r="CU11" s="65" t="str">
        <f>'PC LIST'!B414</f>
        <v>PR14UUWSW_B6</v>
      </c>
      <c r="CV11" s="65" t="str">
        <f>'PC LIST'!I414</f>
        <v>B6: Thirlmere transfer into West Cumbria</v>
      </c>
      <c r="CW11" s="65" t="str">
        <f>'PC LIST'!O414</f>
        <v>%</v>
      </c>
      <c r="CX11" s="65" t="str">
        <f>'PC LIST'!P414</f>
        <v>% project complete based on earned value tied to milestones</v>
      </c>
      <c r="CY11" s="65">
        <f>'PC LIST'!Q414</f>
        <v>0</v>
      </c>
      <c r="CZ11" s="65" t="str">
        <f>'PC LIST'!J414</f>
        <v>R&amp;P</v>
      </c>
      <c r="DA11" s="65">
        <f>'PC LIST'!BQ414</f>
        <v>2</v>
      </c>
      <c r="DB11" s="65" t="str">
        <f>'PC LIST'!B441</f>
        <v>PR14WSHWSW_E1</v>
      </c>
      <c r="DC11" s="65" t="str">
        <f>'PC LIST'!I441</f>
        <v>E1: Affordable bills - annual increase</v>
      </c>
      <c r="DD11" s="65" t="str">
        <f>'PC LIST'!O441</f>
        <v>%</v>
      </c>
      <c r="DE11" s="65" t="str">
        <f>'PC LIST'!P441</f>
        <v>% above or below inflation (affordability of bills)</v>
      </c>
      <c r="DF11" s="65">
        <f>'PC LIST'!Q441</f>
        <v>0</v>
      </c>
      <c r="DG11" s="65" t="str">
        <f>'PC LIST'!J441</f>
        <v>NFI</v>
      </c>
      <c r="DH11" s="788">
        <f>'PC LIST'!BQ441</f>
        <v>-1</v>
      </c>
      <c r="DI11" s="65" t="str">
        <f>'PC LIST'!B472</f>
        <v>PR14WSXWSW_F1</v>
      </c>
      <c r="DJ11" s="65" t="str">
        <f>'PC LIST'!I472</f>
        <v>F1: Volume of water leaked</v>
      </c>
      <c r="DK11" s="65" t="str">
        <f>'PC LIST'!O472</f>
        <v>nr</v>
      </c>
      <c r="DL11" s="65" t="str">
        <f>'PC LIST'!P472</f>
        <v>Megalitres per day (Ml/d)</v>
      </c>
      <c r="DM11" s="65">
        <f>'PC LIST'!Q472</f>
        <v>1</v>
      </c>
      <c r="DN11" s="65" t="str">
        <f>'PC LIST'!J472</f>
        <v>R&amp;P</v>
      </c>
      <c r="DO11" s="65">
        <f>'PC LIST'!BQ472</f>
        <v>68.3</v>
      </c>
      <c r="DP11" s="65" t="str">
        <f>'PC LIST'!B504</f>
        <v>PR14YKYWSW_WC1</v>
      </c>
      <c r="DQ11" s="65" t="str">
        <f>'PC LIST'!I504</f>
        <v>WC1: Length of river improved (note: PC is part of a total commitment at Appointee level - see also SB4)</v>
      </c>
      <c r="DR11" s="65" t="str">
        <f>'PC LIST'!O504</f>
        <v>nr</v>
      </c>
      <c r="DS11" s="65" t="str">
        <f>'PC LIST'!P504</f>
        <v>Kilometres (km) of river improved (modelled length)</v>
      </c>
      <c r="DT11" s="65">
        <f>'PC LIST'!Q504</f>
        <v>0</v>
      </c>
      <c r="DU11" s="65" t="str">
        <f>'PC LIST'!J504</f>
        <v>R&amp;P</v>
      </c>
      <c r="DV11" s="65">
        <f>'PC LIST'!BQ504</f>
        <v>0</v>
      </c>
    </row>
    <row r="12" spans="1:126" ht="15.75" customHeight="1" x14ac:dyDescent="0.2">
      <c r="A12" s="65" t="str">
        <f>'PC LIST'!B12</f>
        <v>PR14AFWWSW_W-C3</v>
      </c>
      <c r="B12" s="65" t="str">
        <f>'PC LIST'!I12</f>
        <v>W-C3: Affected customers not notified of planned interruptions</v>
      </c>
      <c r="C12" s="65" t="str">
        <f>'PC LIST'!O12</f>
        <v>nr</v>
      </c>
      <c r="D12" s="65" t="str">
        <f>'PC LIST'!P12</f>
        <v>No. of GSS events</v>
      </c>
      <c r="E12" s="65">
        <f>'PC LIST'!Q12</f>
        <v>0</v>
      </c>
      <c r="F12" s="65" t="str">
        <f>'PC LIST'!J12</f>
        <v>NFI</v>
      </c>
      <c r="G12" s="65">
        <f>'PC LIST'!BQ12</f>
        <v>400</v>
      </c>
      <c r="H12" s="65" t="str">
        <f>'PC LIST'!B25</f>
        <v>PR14ANHWSW_W-D4</v>
      </c>
      <c r="I12" s="65" t="str">
        <f>'PC LIST'!I25</f>
        <v>W-D4: Leakage - three-year average</v>
      </c>
      <c r="J12" s="65" t="str">
        <f>'PC LIST'!O25</f>
        <v>nr</v>
      </c>
      <c r="K12" s="65" t="str">
        <f>'PC LIST'!P25</f>
        <v>Megalitres per day (Ml/d)</v>
      </c>
      <c r="L12" s="65">
        <f>'PC LIST'!Q25</f>
        <v>0</v>
      </c>
      <c r="M12" s="65" t="str">
        <f>'PC LIST'!J25</f>
        <v>R&amp;P</v>
      </c>
      <c r="N12" s="788">
        <f>'PC LIST'!BQ25</f>
        <v>189</v>
      </c>
      <c r="O12" s="65" t="str">
        <f>'PC LIST'!B64</f>
        <v>PR14BRLWSW_G1</v>
      </c>
      <c r="P12" s="65" t="str">
        <f>'PC LIST'!I64</f>
        <v>G1: Meter penetration</v>
      </c>
      <c r="Q12" s="65" t="str">
        <f>'PC LIST'!O64</f>
        <v>%</v>
      </c>
      <c r="R12" s="65" t="str">
        <f>'PC LIST'!P64</f>
        <v xml:space="preserve">% metered supplies </v>
      </c>
      <c r="S12" s="65">
        <f>'PC LIST'!Q64</f>
        <v>1</v>
      </c>
      <c r="T12" s="65" t="str">
        <f>'PC LIST'!J64</f>
        <v>R&amp;P</v>
      </c>
      <c r="U12" s="788">
        <f>'PC LIST'!BQ64</f>
        <v>47.3</v>
      </c>
      <c r="V12" s="65" t="str">
        <f>'PC LIST'!B85</f>
        <v>PR14DVWWSW_D1</v>
      </c>
      <c r="W12" s="65" t="str">
        <f>'PC LIST'!I85</f>
        <v>D1: Customers’ perception based on market research</v>
      </c>
      <c r="X12" s="65" t="str">
        <f>'PC LIST'!O85</f>
        <v>%</v>
      </c>
      <c r="Y12" s="65" t="str">
        <f>'PC LIST'!P85</f>
        <v>% customer satisfaction</v>
      </c>
      <c r="Z12" s="65" t="str">
        <f>'PC LIST'!Q85</f>
        <v>na</v>
      </c>
      <c r="AA12" s="65" t="str">
        <f>'PC LIST'!J85</f>
        <v>NFI</v>
      </c>
      <c r="AB12" s="788">
        <f>'PC LIST'!BQ85</f>
        <v>80</v>
      </c>
      <c r="AC12" s="65" t="str">
        <f>'PC LIST'!B98</f>
        <v>PR14NESWSW_W-D1</v>
      </c>
      <c r="AD12" s="66" t="str">
        <f>'PC LIST'!I98</f>
        <v>W-D1: NWL independent overall customer satisfaction score</v>
      </c>
      <c r="AE12" s="66" t="str">
        <f>'PC LIST'!O98</f>
        <v>score</v>
      </c>
      <c r="AF12" s="66" t="str">
        <f>'PC LIST'!P98</f>
        <v>Score between 0 and 10</v>
      </c>
      <c r="AG12" s="65">
        <f>'PC LIST'!Q98</f>
        <v>1</v>
      </c>
      <c r="AH12" s="65" t="str">
        <f>'PC LIST'!J98</f>
        <v>NFI</v>
      </c>
      <c r="AI12" s="65">
        <f>'PC LIST'!BQ98</f>
        <v>8.5</v>
      </c>
      <c r="AJ12" s="65" t="str">
        <f>'PC LIST'!B142</f>
        <v>PR14PRTWSW_E1</v>
      </c>
      <c r="AK12" s="65" t="str">
        <f>'PC LIST'!I142</f>
        <v>E1: RoSPA Health and Safety accreditation</v>
      </c>
      <c r="AL12" s="65" t="str">
        <f>'PC LIST'!O142</f>
        <v>text</v>
      </c>
      <c r="AM12" s="65" t="str">
        <f>'PC LIST'!P142</f>
        <v>RoSPA Gold award</v>
      </c>
      <c r="AN12" s="65" t="str">
        <f>'PC LIST'!Q142</f>
        <v>na</v>
      </c>
      <c r="AO12" s="65" t="str">
        <f>'PC LIST'!J142</f>
        <v>NFI</v>
      </c>
      <c r="AP12" s="789" t="str">
        <f>'PC LIST'!BQ142</f>
        <v>Awarded</v>
      </c>
      <c r="AQ12" s="65" t="str">
        <f>'PC LIST'!B155</f>
        <v>PR14SBWWSW_D1</v>
      </c>
      <c r="AR12" s="65" t="str">
        <f>'PC LIST'!I155</f>
        <v>D1: Reduce energy used in water delivery</v>
      </c>
      <c r="AS12" s="65" t="str">
        <f>'PC LIST'!O155</f>
        <v>nr</v>
      </c>
      <c r="AT12" s="65" t="str">
        <f>'PC LIST'!P155</f>
        <v>kWh/Ml (kilowatt hours per megalitre)</v>
      </c>
      <c r="AU12" s="65">
        <f>'PC LIST'!Q155</f>
        <v>0</v>
      </c>
      <c r="AV12" s="65" t="str">
        <f>'PC LIST'!J155</f>
        <v>NFI</v>
      </c>
      <c r="AW12" s="788">
        <f>'PC LIST'!BQ155</f>
        <v>589.45000000000005</v>
      </c>
      <c r="AX12" s="65" t="str">
        <f>'PC LIST'!B170</f>
        <v>PR14SESWSW_E1</v>
      </c>
      <c r="AY12" s="65" t="str">
        <f>'PC LIST'!I170</f>
        <v>E1: Level of leakage measured in megalitres per day (including customer supply pipe leakage)</v>
      </c>
      <c r="AZ12" s="65" t="str">
        <f>'PC LIST'!O170</f>
        <v>nr</v>
      </c>
      <c r="BA12" s="65" t="str">
        <f>'PC LIST'!P170</f>
        <v>Megalitres per day (Ml/d)</v>
      </c>
      <c r="BB12" s="65">
        <f>'PC LIST'!Q170</f>
        <v>1</v>
      </c>
      <c r="BC12" s="65" t="str">
        <f>'PC LIST'!J170</f>
        <v>R&amp;P</v>
      </c>
      <c r="BD12" s="789">
        <f>'PC LIST'!BQ170</f>
        <v>24.17</v>
      </c>
      <c r="BE12" s="65" t="str">
        <f>'PC LIST'!B191</f>
        <v>PR14SEWWSW_G1</v>
      </c>
      <c r="BF12" s="65" t="str">
        <f>'PC LIST'!I191</f>
        <v>G1: Customer satisfaction - frequency and duration of supply interruptions</v>
      </c>
      <c r="BG12" s="65" t="str">
        <f>'PC LIST'!O191</f>
        <v>score</v>
      </c>
      <c r="BH12" s="65" t="str">
        <f>'PC LIST'!P191</f>
        <v>Customer satisfaction score out of 5</v>
      </c>
      <c r="BI12" s="65">
        <f>'PC LIST'!Q191</f>
        <v>1</v>
      </c>
      <c r="BJ12" s="65" t="str">
        <f>'PC LIST'!J191</f>
        <v>R&amp;P</v>
      </c>
      <c r="BK12" s="65">
        <f>'PC LIST'!BQ191</f>
        <v>4.5999999999999996</v>
      </c>
      <c r="BL12" s="65" t="str">
        <f>'PC LIST'!B225</f>
        <v>PR14SRNWSWW_1</v>
      </c>
      <c r="BM12" s="65" t="str">
        <f>'PC LIST'!I225</f>
        <v>1: Wastewater asset health (sewer collapses, WwTW PE compliance, external flooding - other causes)</v>
      </c>
      <c r="BN12" s="65" t="str">
        <f>'PC LIST'!O225</f>
        <v>category</v>
      </c>
      <c r="BO12" s="65" t="str">
        <f>'PC LIST'!P225</f>
        <v>Asset health indicator</v>
      </c>
      <c r="BP12" s="65" t="str">
        <f>'PC LIST'!Q225</f>
        <v>na</v>
      </c>
      <c r="BQ12" s="65" t="str">
        <f>'PC LIST'!J225</f>
        <v>PO</v>
      </c>
      <c r="BR12" s="65" t="str">
        <f>'PC LIST'!BQ225</f>
        <v>Stable</v>
      </c>
      <c r="BS12" s="65" t="str">
        <f>'PC LIST'!B258</f>
        <v>PR14SSCWSW_4.5</v>
      </c>
      <c r="BT12" s="65" t="str">
        <f>'PC LIST'!I258</f>
        <v>4.5: Carbon emissions from power consumption (tonnes, combined company)</v>
      </c>
      <c r="BU12" s="65" t="str">
        <f>'PC LIST'!O258</f>
        <v>nr</v>
      </c>
      <c r="BV12" s="65" t="str">
        <f>'PC LIST'!P258</f>
        <v>tCO2e (tonnes CO2e) in real savings</v>
      </c>
      <c r="BW12" s="65">
        <f>'PC LIST'!Q258</f>
        <v>0</v>
      </c>
      <c r="BX12" s="65" t="str">
        <f>'PC LIST'!J258</f>
        <v>NFI</v>
      </c>
      <c r="BY12" s="65">
        <f>'PC LIST'!BQ258</f>
        <v>178</v>
      </c>
      <c r="BZ12" s="65" t="str">
        <f>'PC LIST'!B273</f>
        <v>PR14SVTWSW_W-B6</v>
      </c>
      <c r="CA12" s="65" t="str">
        <f>'PC LIST'!I273</f>
        <v>W-B6: Asset stewardship - mains bursts</v>
      </c>
      <c r="CB12" s="65" t="str">
        <f>'PC LIST'!O273</f>
        <v>nr</v>
      </c>
      <c r="CC12" s="65" t="str">
        <f>'PC LIST'!P273</f>
        <v>No. of burst mains per year</v>
      </c>
      <c r="CD12" s="65">
        <f>'PC LIST'!Q273</f>
        <v>0</v>
      </c>
      <c r="CE12" s="65" t="str">
        <f>'PC LIST'!J273</f>
        <v>PO</v>
      </c>
      <c r="CF12" s="789">
        <f>'PC LIST'!BQ273</f>
        <v>4784</v>
      </c>
      <c r="CG12" s="65" t="str">
        <f>'PC LIST'!B318</f>
        <v>PR14SWTWSW_W-B5</v>
      </c>
      <c r="CH12" s="67" t="str">
        <f>'PC LIST'!I318</f>
        <v>W-B5: Security of supply index (SoSI)</v>
      </c>
      <c r="CI12" s="67" t="str">
        <f>'PC LIST'!O318</f>
        <v>score</v>
      </c>
      <c r="CJ12" s="67" t="str">
        <f>'PC LIST'!P318</f>
        <v>Security of Supply Index (SOSI)</v>
      </c>
      <c r="CK12" s="65">
        <f>'PC LIST'!Q318</f>
        <v>0</v>
      </c>
      <c r="CL12" s="65" t="str">
        <f>'PC LIST'!J318</f>
        <v>NFI</v>
      </c>
      <c r="CM12" s="788">
        <f>'PC LIST'!BQ318</f>
        <v>100</v>
      </c>
      <c r="CN12" s="65" t="str">
        <f>'PC LIST'!B360</f>
        <v>PR14TMSWSW_WB5</v>
      </c>
      <c r="CO12" s="65" t="str">
        <f>'PC LIST'!I360</f>
        <v>WB5: Average hours lost supply per property served, due to interruptions &gt; 4 hours</v>
      </c>
      <c r="CP12" s="65" t="str">
        <f>'PC LIST'!O360</f>
        <v>time</v>
      </c>
      <c r="CQ12" s="65" t="str">
        <f>'PC LIST'!P360</f>
        <v>Hours lost supply per property served</v>
      </c>
      <c r="CR12" s="65">
        <f>'PC LIST'!Q360</f>
        <v>2</v>
      </c>
      <c r="CS12" s="65" t="str">
        <f>'PC LIST'!J360</f>
        <v>R&amp;P</v>
      </c>
      <c r="CT12" s="65">
        <f>'PC LIST'!BQ360</f>
        <v>0.122</v>
      </c>
      <c r="CU12" s="65" t="str">
        <f>'PC LIST'!B415</f>
        <v>PR14UUWSW_C1</v>
      </c>
      <c r="CV12" s="65" t="str">
        <f>'PC LIST'!I415</f>
        <v>C1: Contribution to rivers improved - water programme (NEP schemes and abstraction changes at 4 AIM sites)</v>
      </c>
      <c r="CW12" s="65" t="str">
        <f>'PC LIST'!O415</f>
        <v>nr</v>
      </c>
      <c r="CX12" s="65" t="str">
        <f>'PC LIST'!P415</f>
        <v>Kilometres (km) of river improved (cumulative)</v>
      </c>
      <c r="CY12" s="65">
        <f>'PC LIST'!Q415</f>
        <v>1</v>
      </c>
      <c r="CZ12" s="65" t="str">
        <f>'PC LIST'!J415</f>
        <v>R&amp;P</v>
      </c>
      <c r="DA12" s="65">
        <f>'PC LIST'!BQ415</f>
        <v>36.840000000000003</v>
      </c>
      <c r="DB12" s="65" t="str">
        <f>'PC LIST'!B442</f>
        <v>PR14WSHWSW_F1</v>
      </c>
      <c r="DC12" s="65" t="str">
        <f>'PC LIST'!I442</f>
        <v>F1: Asset serviceability</v>
      </c>
      <c r="DD12" s="65" t="str">
        <f>'PC LIST'!O442</f>
        <v>category</v>
      </c>
      <c r="DE12" s="65" t="str">
        <f>'PC LIST'!P442</f>
        <v>Asset health indicator</v>
      </c>
      <c r="DF12" s="65" t="str">
        <f>'PC LIST'!Q442</f>
        <v>na</v>
      </c>
      <c r="DG12" s="65" t="str">
        <f>'PC LIST'!J442</f>
        <v>PO</v>
      </c>
      <c r="DH12" s="788" t="str">
        <f>'PC LIST'!BQ442</f>
        <v>Stable</v>
      </c>
      <c r="DI12" s="65" t="str">
        <f>'PC LIST'!B473</f>
        <v>PR14WSXWSW_F2</v>
      </c>
      <c r="DJ12" s="65" t="str">
        <f>'PC LIST'!I473</f>
        <v>F2: Customer reported leaks fixed within a day</v>
      </c>
      <c r="DK12" s="65" t="str">
        <f>'PC LIST'!O473</f>
        <v>%</v>
      </c>
      <c r="DL12" s="65" t="str">
        <f>'PC LIST'!P473</f>
        <v>% customer reported leaks fixed within a day</v>
      </c>
      <c r="DM12" s="65">
        <f>'PC LIST'!Q473</f>
        <v>0</v>
      </c>
      <c r="DN12" s="65" t="str">
        <f>'PC LIST'!J473</f>
        <v>NFI</v>
      </c>
      <c r="DO12" s="65">
        <f>'PC LIST'!BQ473</f>
        <v>68</v>
      </c>
      <c r="DP12" s="65" t="str">
        <f>'PC LIST'!B505</f>
        <v>PR14YKYWSW_WC2</v>
      </c>
      <c r="DQ12" s="65" t="str">
        <f>'PC LIST'!I505</f>
        <v>WC2: Solutions delivered by working with others (note: PC is part of a total commitment at Appointee level - see also SB3)</v>
      </c>
      <c r="DR12" s="65" t="str">
        <f>'PC LIST'!O505</f>
        <v>nr</v>
      </c>
      <c r="DS12" s="65" t="str">
        <f>'PC LIST'!P505</f>
        <v>No. of solutions delivered by working with others</v>
      </c>
      <c r="DT12" s="65">
        <f>'PC LIST'!Q505</f>
        <v>0</v>
      </c>
      <c r="DU12" s="65" t="str">
        <f>'PC LIST'!J505</f>
        <v>RO</v>
      </c>
      <c r="DV12" s="65">
        <f>'PC LIST'!BQ505</f>
        <v>4</v>
      </c>
    </row>
    <row r="13" spans="1:126" ht="15.75" customHeight="1" x14ac:dyDescent="0.2">
      <c r="A13" s="65" t="str">
        <f>'PC LIST'!B13</f>
        <v>PR14AFWWSW_W-C4</v>
      </c>
      <c r="B13" s="65" t="str">
        <f>'PC LIST'!I13</f>
        <v>W-C4: Planned work taking longer to complete than notified</v>
      </c>
      <c r="C13" s="65" t="str">
        <f>'PC LIST'!O13</f>
        <v>nr</v>
      </c>
      <c r="D13" s="65" t="str">
        <f>'PC LIST'!P13</f>
        <v>No. of GSS events</v>
      </c>
      <c r="E13" s="65">
        <f>'PC LIST'!Q13</f>
        <v>0</v>
      </c>
      <c r="F13" s="65" t="str">
        <f>'PC LIST'!J13</f>
        <v>NFI</v>
      </c>
      <c r="G13" s="65">
        <f>'PC LIST'!BQ13</f>
        <v>266</v>
      </c>
      <c r="H13" s="65" t="str">
        <f>'PC LIST'!B26</f>
        <v>PR14ANHWSW_W-E1</v>
      </c>
      <c r="I13" s="65" t="str">
        <f>'PC LIST'!I26</f>
        <v>W-E1: Percentage of SSSIs (by area) with favourable status</v>
      </c>
      <c r="J13" s="65" t="str">
        <f>'PC LIST'!O26</f>
        <v>%</v>
      </c>
      <c r="K13" s="65" t="str">
        <f>'PC LIST'!P26</f>
        <v>% SSSIs with favourable status</v>
      </c>
      <c r="L13" s="65">
        <f>'PC LIST'!Q26</f>
        <v>0</v>
      </c>
      <c r="M13" s="65" t="str">
        <f>'PC LIST'!J26</f>
        <v>NFI</v>
      </c>
      <c r="N13" s="788">
        <f>'PC LIST'!BQ26</f>
        <v>98.85</v>
      </c>
      <c r="O13" s="65" t="str">
        <f>'PC LIST'!B65</f>
        <v>PR14BRLWSW_H1</v>
      </c>
      <c r="P13" s="65" t="str">
        <f>'PC LIST'!I65</f>
        <v>H1: Total carbon emissions</v>
      </c>
      <c r="Q13" s="65" t="str">
        <f>'PC LIST'!O65</f>
        <v>nr</v>
      </c>
      <c r="R13" s="65" t="str">
        <f>'PC LIST'!P65</f>
        <v>kgCO2e per person</v>
      </c>
      <c r="S13" s="65">
        <f>'PC LIST'!Q65</f>
        <v>0</v>
      </c>
      <c r="T13" s="65" t="str">
        <f>'PC LIST'!J65</f>
        <v>NFI</v>
      </c>
      <c r="U13" s="788">
        <f>'PC LIST'!BQ65</f>
        <v>35.26</v>
      </c>
      <c r="V13" s="65" t="str">
        <f>'PC LIST'!B86</f>
        <v>PR14DVWNHHR_F1</v>
      </c>
      <c r="W13" s="65" t="str">
        <f>'PC LIST'!I86</f>
        <v>F1: Non-household Service incentive mechanism (SIM)</v>
      </c>
      <c r="X13" s="65" t="str">
        <f>'PC LIST'!O86</f>
        <v>score</v>
      </c>
      <c r="Y13" s="65" t="str">
        <f>'PC LIST'!P86</f>
        <v>Service incentive mechanism (SIM) score</v>
      </c>
      <c r="Z13" s="65">
        <f>'PC LIST'!Q86</f>
        <v>1</v>
      </c>
      <c r="AA13" s="65" t="str">
        <f>'PC LIST'!J86</f>
        <v>R&amp;P</v>
      </c>
      <c r="AB13" s="788">
        <f>'PC LIST'!BQ86</f>
        <v>88.51</v>
      </c>
      <c r="AC13" s="65" t="str">
        <f>'PC LIST'!B99</f>
        <v>PR14NESWSW_W-D2</v>
      </c>
      <c r="AD13" s="66" t="str">
        <f>'PC LIST'!I99</f>
        <v>W-D2: Service incentive mechanism (SIM)</v>
      </c>
      <c r="AE13" s="66" t="str">
        <f>'PC LIST'!O99</f>
        <v>score</v>
      </c>
      <c r="AF13" s="66" t="str">
        <f>'PC LIST'!P99</f>
        <v>Service incentive mechanism (SIM) score</v>
      </c>
      <c r="AG13" s="65">
        <f>'PC LIST'!Q99</f>
        <v>1</v>
      </c>
      <c r="AH13" s="65" t="str">
        <f>'PC LIST'!J99</f>
        <v>R&amp;P</v>
      </c>
      <c r="AI13" s="65">
        <f>'PC LIST'!BQ99</f>
        <v>83.64</v>
      </c>
      <c r="AJ13" s="65" t="str">
        <f>'PC LIST'!B143</f>
        <v>PR14PRTHHR_A1</v>
      </c>
      <c r="AK13" s="65" t="str">
        <f>'PC LIST'!I143</f>
        <v>A1: Service incentive mechanism (SIM)</v>
      </c>
      <c r="AL13" s="65" t="str">
        <f>'PC LIST'!O143</f>
        <v>text</v>
      </c>
      <c r="AM13" s="65" t="str">
        <f>'PC LIST'!P143</f>
        <v>Service incentive mechanism (SIM) score ranking</v>
      </c>
      <c r="AN13" s="65" t="str">
        <f>'PC LIST'!Q143</f>
        <v>na</v>
      </c>
      <c r="AO13" s="65" t="str">
        <f>'PC LIST'!J143</f>
        <v>R&amp;P</v>
      </c>
      <c r="AP13" s="789">
        <f>'PC LIST'!BQ143</f>
        <v>89.5</v>
      </c>
      <c r="AQ13" s="65" t="str">
        <f>'PC LIST'!B156</f>
        <v>PR14SBWWSW_D2</v>
      </c>
      <c r="AR13" s="65" t="str">
        <f>'PC LIST'!I156</f>
        <v>D2: Help support a natural healthy water environment (in addition to NEP statutory obligation work)</v>
      </c>
      <c r="AS13" s="65" t="str">
        <f>'PC LIST'!O156</f>
        <v>text</v>
      </c>
      <c r="AT13" s="65" t="str">
        <f>'PC LIST'!P156</f>
        <v>Annual review of environmental work</v>
      </c>
      <c r="AU13" s="65" t="str">
        <f>'PC LIST'!Q156</f>
        <v>na</v>
      </c>
      <c r="AV13" s="65" t="str">
        <f>'PC LIST'!J156</f>
        <v>NFI</v>
      </c>
      <c r="AW13" s="788" t="str">
        <f>'PC LIST'!BQ156</f>
        <v>Annual report</v>
      </c>
      <c r="AX13" s="65" t="str">
        <f>'PC LIST'!B171</f>
        <v>PR14SESWSW_E2</v>
      </c>
      <c r="AY13" s="65" t="str">
        <f>'PC LIST'!I171</f>
        <v>E2: Per capita consumption (PCC), measured in litres per head per day (l/h/d)</v>
      </c>
      <c r="AZ13" s="65" t="str">
        <f>'PC LIST'!O171</f>
        <v>nr</v>
      </c>
      <c r="BA13" s="65" t="str">
        <f>'PC LIST'!P171</f>
        <v>Litres per head per day (l/h/d)</v>
      </c>
      <c r="BB13" s="65">
        <f>'PC LIST'!Q171</f>
        <v>1</v>
      </c>
      <c r="BC13" s="65" t="str">
        <f>'PC LIST'!J171</f>
        <v>PO</v>
      </c>
      <c r="BD13" s="789">
        <f>'PC LIST'!BQ171</f>
        <v>160.9</v>
      </c>
      <c r="BE13" s="65" t="str">
        <f>'PC LIST'!B192</f>
        <v>PR14SEWWSW_G2</v>
      </c>
      <c r="BF13" s="65" t="str">
        <f>'PC LIST'!I192</f>
        <v>G2: Average time lost per property (measured in minutes, per property served)</v>
      </c>
      <c r="BG13" s="65" t="str">
        <f>'PC LIST'!O192</f>
        <v>time</v>
      </c>
      <c r="BH13" s="65" t="str">
        <f>'PC LIST'!P192</f>
        <v>Minutes / property / year</v>
      </c>
      <c r="BI13" s="65">
        <f>'PC LIST'!Q192</f>
        <v>1</v>
      </c>
      <c r="BJ13" s="65" t="str">
        <f>'PC LIST'!J192</f>
        <v>R&amp;P</v>
      </c>
      <c r="BK13" s="65">
        <f>'PC LIST'!BQ192</f>
        <v>32.049999999999997</v>
      </c>
      <c r="BL13" s="65" t="str">
        <f>'PC LIST'!B226</f>
        <v>PR14SRNWSWW_1a</v>
      </c>
      <c r="BM13" s="65" t="str">
        <f>'PC LIST'!I226</f>
        <v>1a: Category 3 pollution incidents (including transferred assets and excluding private pumping stations)</v>
      </c>
      <c r="BN13" s="65" t="str">
        <f>'PC LIST'!O226</f>
        <v>nr</v>
      </c>
      <c r="BO13" s="65" t="str">
        <f>'PC LIST'!P226</f>
        <v>No. of pollution incidents (cat 3)</v>
      </c>
      <c r="BP13" s="65">
        <f>'PC LIST'!Q226</f>
        <v>0</v>
      </c>
      <c r="BQ13" s="65" t="str">
        <f>'PC LIST'!J226</f>
        <v>PO</v>
      </c>
      <c r="BR13" s="65">
        <f>'PC LIST'!BQ226</f>
        <v>160</v>
      </c>
      <c r="BS13" s="65" t="str">
        <f>'PC LIST'!B259</f>
        <v>PR14SSCWSW_5.1</v>
      </c>
      <c r="BT13" s="65" t="str">
        <f>'PC LIST'!I259</f>
        <v>5.1: Independent customer surveys of value for money and affordability (combined company)</v>
      </c>
      <c r="BU13" s="65" t="str">
        <f>'PC LIST'!O259</f>
        <v>%</v>
      </c>
      <c r="BV13" s="65" t="str">
        <f>'PC LIST'!P259</f>
        <v>% customers satisfied with vfm &amp; affordability</v>
      </c>
      <c r="BW13" s="65">
        <f>'PC LIST'!Q259</f>
        <v>0</v>
      </c>
      <c r="BX13" s="65" t="str">
        <f>'PC LIST'!J259</f>
        <v>NFI</v>
      </c>
      <c r="BY13" s="65">
        <f>'PC LIST'!BQ259</f>
        <v>93</v>
      </c>
      <c r="BZ13" s="65" t="str">
        <f>'PC LIST'!B274</f>
        <v>PR14SVTWSW_W-B7</v>
      </c>
      <c r="CA13" s="65" t="str">
        <f>'PC LIST'!I274</f>
        <v>W-B7: Customers at risk of low pressure</v>
      </c>
      <c r="CB13" s="65" t="str">
        <f>'PC LIST'!O274</f>
        <v>nr</v>
      </c>
      <c r="CC13" s="65" t="str">
        <f>'PC LIST'!P274</f>
        <v>No. customers at risk of low pressure</v>
      </c>
      <c r="CD13" s="65">
        <f>'PC LIST'!Q274</f>
        <v>0</v>
      </c>
      <c r="CE13" s="65" t="str">
        <f>'PC LIST'!J274</f>
        <v>R&amp;P</v>
      </c>
      <c r="CF13" s="789">
        <f>'PC LIST'!BQ274</f>
        <v>162</v>
      </c>
      <c r="CG13" s="65" t="str">
        <f>'PC LIST'!B319</f>
        <v>PR14SWTWSW_W-C1</v>
      </c>
      <c r="CH13" s="67" t="str">
        <f>'PC LIST'!I319</f>
        <v>W-C1: Supplies interrupted due to flooded South West Water sites</v>
      </c>
      <c r="CI13" s="67" t="str">
        <f>'PC LIST'!O319</f>
        <v>nr</v>
      </c>
      <c r="CJ13" s="67" t="str">
        <f>'PC LIST'!P319</f>
        <v>No. of events over AMP6</v>
      </c>
      <c r="CK13" s="65">
        <f>'PC LIST'!Q319</f>
        <v>0</v>
      </c>
      <c r="CL13" s="65" t="str">
        <f>'PC LIST'!J319</f>
        <v>R&amp;P</v>
      </c>
      <c r="CM13" s="788">
        <f>'PC LIST'!BQ319</f>
        <v>0</v>
      </c>
      <c r="CN13" s="65" t="str">
        <f>'PC LIST'!B361</f>
        <v>PR14TMSWSW_WB6</v>
      </c>
      <c r="CO13" s="65" t="str">
        <f>'PC LIST'!I361</f>
        <v>WB6: Security of Supply Index - Ofwat KPI</v>
      </c>
      <c r="CP13" s="65" t="str">
        <f>'PC LIST'!O361</f>
        <v>score</v>
      </c>
      <c r="CQ13" s="65" t="str">
        <f>'PC LIST'!P361</f>
        <v>Security of Supply Index (SOSI)</v>
      </c>
      <c r="CR13" s="65">
        <f>'PC LIST'!Q361</f>
        <v>0</v>
      </c>
      <c r="CS13" s="65" t="str">
        <f>'PC LIST'!J361</f>
        <v>PO</v>
      </c>
      <c r="CT13" s="65">
        <f>'PC LIST'!BQ361</f>
        <v>100</v>
      </c>
      <c r="CU13" s="65" t="str">
        <f>'PC LIST'!B416</f>
        <v>PR14UUWSW_D1</v>
      </c>
      <c r="CV13" s="65" t="str">
        <f>'PC LIST'!I416</f>
        <v>D1: Delivering our commitments to developers, local authorities and highway authorities</v>
      </c>
      <c r="CW13" s="65" t="str">
        <f>'PC LIST'!O416</f>
        <v>%</v>
      </c>
      <c r="CX13" s="65" t="str">
        <f>'PC LIST'!P416</f>
        <v>% of jobs completed within response times</v>
      </c>
      <c r="CY13" s="65">
        <f>'PC LIST'!Q416</f>
        <v>0</v>
      </c>
      <c r="CZ13" s="65" t="str">
        <f>'PC LIST'!J416</f>
        <v>NFI</v>
      </c>
      <c r="DA13" s="65">
        <f>'PC LIST'!BQ416</f>
        <v>95.19</v>
      </c>
      <c r="DB13" s="65" t="str">
        <f>'PC LIST'!B443</f>
        <v>PR14WSHWSW_F2</v>
      </c>
      <c r="DC13" s="65" t="str">
        <f>'PC LIST'!I443</f>
        <v>F2: Leakage</v>
      </c>
      <c r="DD13" s="65" t="str">
        <f>'PC LIST'!O443</f>
        <v>nr</v>
      </c>
      <c r="DE13" s="65" t="str">
        <f>'PC LIST'!P443</f>
        <v>Megalitres per day (Ml/d)</v>
      </c>
      <c r="DF13" s="65">
        <f>'PC LIST'!Q443</f>
        <v>0</v>
      </c>
      <c r="DG13" s="65" t="str">
        <f>'PC LIST'!J443</f>
        <v>R&amp;P</v>
      </c>
      <c r="DH13" s="788">
        <f>'PC LIST'!BQ443</f>
        <v>180</v>
      </c>
      <c r="DI13" s="65" t="str">
        <f>'PC LIST'!B474</f>
        <v>PR14WSXWSW_G1</v>
      </c>
      <c r="DJ13" s="65" t="str">
        <f>'PC LIST'!I474</f>
        <v>G1: Customer contacts about drinking water quality</v>
      </c>
      <c r="DK13" s="65" t="str">
        <f>'PC LIST'!O474</f>
        <v>nr</v>
      </c>
      <c r="DL13" s="65" t="str">
        <f>'PC LIST'!P474</f>
        <v>No. contacts in the year about drinking water quality</v>
      </c>
      <c r="DM13" s="65">
        <f>'PC LIST'!Q474</f>
        <v>0</v>
      </c>
      <c r="DN13" s="65" t="str">
        <f>'PC LIST'!J474</f>
        <v>R&amp;P</v>
      </c>
      <c r="DO13" s="65">
        <f>'PC LIST'!BQ474</f>
        <v>2431</v>
      </c>
      <c r="DP13" s="65" t="str">
        <f>'PC LIST'!B506</f>
        <v>PR14YKYWSW_WC3</v>
      </c>
      <c r="DQ13" s="65" t="str">
        <f>'PC LIST'!I506</f>
        <v>WC3: Amount of land conserved and enhanced (note: PC is part of a total commitment at Appointee level - see also SB5)</v>
      </c>
      <c r="DR13" s="65" t="str">
        <f>'PC LIST'!O506</f>
        <v>nr</v>
      </c>
      <c r="DS13" s="65" t="str">
        <f>'PC LIST'!P506</f>
        <v>No. of hectares of land conserved &amp; enhanced (cumulative)</v>
      </c>
      <c r="DT13" s="65">
        <f>'PC LIST'!Q506</f>
        <v>0</v>
      </c>
      <c r="DU13" s="65" t="str">
        <f>'PC LIST'!J506</f>
        <v>R&amp;P</v>
      </c>
      <c r="DV13" s="65">
        <f>'PC LIST'!BQ506</f>
        <v>11466</v>
      </c>
    </row>
    <row r="14" spans="1:126" ht="15.75" customHeight="1" x14ac:dyDescent="0.2">
      <c r="A14" s="65" t="str">
        <f>'PC LIST'!B14</f>
        <v>PR14AFWHHR_R-A1</v>
      </c>
      <c r="B14" s="65" t="str">
        <f>'PC LIST'!I14</f>
        <v>R-A1: SIM service score</v>
      </c>
      <c r="C14" s="65" t="str">
        <f>'PC LIST'!O14</f>
        <v>score</v>
      </c>
      <c r="D14" s="65" t="str">
        <f>'PC LIST'!P14</f>
        <v>Service incentive mechanism (SIM) score</v>
      </c>
      <c r="E14" s="65">
        <f>'PC LIST'!Q14</f>
        <v>0</v>
      </c>
      <c r="F14" s="65" t="str">
        <f>'PC LIST'!J14</f>
        <v>R&amp;P</v>
      </c>
      <c r="G14" s="65">
        <f>'PC LIST'!BQ14</f>
        <v>76.7</v>
      </c>
      <c r="H14" s="65" t="str">
        <f>'PC LIST'!B27</f>
        <v>PR14ANHWSW_W-E2</v>
      </c>
      <c r="I14" s="65" t="str">
        <f>'PC LIST'!I27</f>
        <v>W-E2: Environmental compliance (water)</v>
      </c>
      <c r="J14" s="65" t="str">
        <f>'PC LIST'!O27</f>
        <v>nr</v>
      </c>
      <c r="K14" s="65" t="str">
        <f>'PC LIST'!P27</f>
        <v>No. of obligations delivered</v>
      </c>
      <c r="L14" s="65">
        <f>'PC LIST'!Q27</f>
        <v>0</v>
      </c>
      <c r="M14" s="65" t="str">
        <f>'PC LIST'!J27</f>
        <v>PO</v>
      </c>
      <c r="N14" s="788">
        <f>'PC LIST'!BQ27</f>
        <v>0</v>
      </c>
      <c r="O14" s="65" t="str">
        <f>'PC LIST'!B66</f>
        <v>PR14BRLWSW_H2</v>
      </c>
      <c r="P14" s="65" t="str">
        <f>'PC LIST'!I66</f>
        <v>H2: Raw water quality of sources</v>
      </c>
      <c r="Q14" s="65" t="str">
        <f>'PC LIST'!O66</f>
        <v>text</v>
      </c>
      <c r="R14" s="65" t="str">
        <f>'PC LIST'!P66</f>
        <v>Raw water quality indicator</v>
      </c>
      <c r="S14" s="65" t="str">
        <f>'PC LIST'!Q66</f>
        <v>na</v>
      </c>
      <c r="T14" s="65" t="str">
        <f>'PC LIST'!J66</f>
        <v>NFI</v>
      </c>
      <c r="U14" s="788" t="str">
        <f>'PC LIST'!BQ66</f>
        <v>Deteriorating</v>
      </c>
      <c r="V14" s="65" t="str">
        <f>'PC LIST'!B87</f>
        <v>PR14DVWHHR_E1</v>
      </c>
      <c r="W14" s="65" t="str">
        <f>'PC LIST'!I87</f>
        <v>E1: Per capita consumption and water efficiency</v>
      </c>
      <c r="X14" s="65" t="str">
        <f>'PC LIST'!O87</f>
        <v>nr</v>
      </c>
      <c r="Y14" s="65" t="str">
        <f>'PC LIST'!P87</f>
        <v>Litres per capita per day</v>
      </c>
      <c r="Z14" s="65">
        <f>'PC LIST'!Q87</f>
        <v>2</v>
      </c>
      <c r="AA14" s="65" t="str">
        <f>'PC LIST'!J87</f>
        <v>NFI</v>
      </c>
      <c r="AB14" s="788">
        <f>'PC LIST'!BQ87</f>
        <v>134.87</v>
      </c>
      <c r="AC14" s="65" t="str">
        <f>'PC LIST'!B100</f>
        <v>PR14NESWSW_W-D3</v>
      </c>
      <c r="AD14" s="66" t="str">
        <f>'PC LIST'!I100</f>
        <v>W-D3: Domestic customer satisfaction, net promoter score</v>
      </c>
      <c r="AE14" s="66" t="str">
        <f>'PC LIST'!O100</f>
        <v>%</v>
      </c>
      <c r="AF14" s="66" t="str">
        <f>'PC LIST'!P100</f>
        <v>% customer satisfaction</v>
      </c>
      <c r="AG14" s="65">
        <f>'PC LIST'!Q100</f>
        <v>0</v>
      </c>
      <c r="AH14" s="65" t="str">
        <f>'PC LIST'!J100</f>
        <v>NFI</v>
      </c>
      <c r="AI14" s="65">
        <f>'PC LIST'!BQ100</f>
        <v>49</v>
      </c>
      <c r="AJ14" s="65" t="str">
        <f>'PC LIST'!B144</f>
        <v>PR14PRTHHR_B1</v>
      </c>
      <c r="AK14" s="65" t="str">
        <f>'PC LIST'!I144</f>
        <v>B1: Reducing per capita consumption (PCC)</v>
      </c>
      <c r="AL14" s="65" t="str">
        <f>'PC LIST'!O144</f>
        <v>nr</v>
      </c>
      <c r="AM14" s="65" t="str">
        <f>'PC LIST'!P144</f>
        <v>Litres per head per day (l/h/d)</v>
      </c>
      <c r="AN14" s="65">
        <f>'PC LIST'!Q144</f>
        <v>2</v>
      </c>
      <c r="AO14" s="65" t="str">
        <f>'PC LIST'!J144</f>
        <v>PO</v>
      </c>
      <c r="AP14" s="789">
        <f>'PC LIST'!BQ144</f>
        <v>143.29</v>
      </c>
      <c r="AQ14" s="65" t="str">
        <f>'PC LIST'!B157</f>
        <v>PR14SBWWSW_E1</v>
      </c>
      <c r="AR14" s="65" t="str">
        <f>'PC LIST'!I157</f>
        <v>E1: Contribute to our community (increase educational visits to schools, and working days for volunteer and charity work)</v>
      </c>
      <c r="AS14" s="65" t="str">
        <f>'PC LIST'!O157</f>
        <v>nr</v>
      </c>
      <c r="AT14" s="65" t="str">
        <f>'PC LIST'!P157</f>
        <v>No. of working days</v>
      </c>
      <c r="AU14" s="65">
        <f>'PC LIST'!Q157</f>
        <v>0</v>
      </c>
      <c r="AV14" s="65" t="str">
        <f>'PC LIST'!J157</f>
        <v>NFI</v>
      </c>
      <c r="AW14" s="788">
        <f>'PC LIST'!BQ157</f>
        <v>201.5</v>
      </c>
      <c r="AX14" s="65" t="str">
        <f>'PC LIST'!B172</f>
        <v>PR14SESWSW_E3</v>
      </c>
      <c r="AY14" s="65" t="str">
        <f>'PC LIST'!I172</f>
        <v>E3: The number of children and adults engaged in environmental education activities</v>
      </c>
      <c r="AZ14" s="65" t="str">
        <f>'PC LIST'!O172</f>
        <v>nr</v>
      </c>
      <c r="BA14" s="65" t="str">
        <f>'PC LIST'!P172</f>
        <v>No. people the company engages with</v>
      </c>
      <c r="BB14" s="65">
        <f>'PC LIST'!Q172</f>
        <v>0</v>
      </c>
      <c r="BC14" s="65" t="str">
        <f>'PC LIST'!J172</f>
        <v>NFI</v>
      </c>
      <c r="BD14" s="789">
        <f>'PC LIST'!BQ172</f>
        <v>13314</v>
      </c>
      <c r="BE14" s="65" t="str">
        <f>'PC LIST'!B193</f>
        <v>PR14SEWWSW_H1</v>
      </c>
      <c r="BF14" s="65" t="str">
        <f>'PC LIST'!I193</f>
        <v>H1: Customer satisfaction - frequency of water use restrictions</v>
      </c>
      <c r="BG14" s="65" t="str">
        <f>'PC LIST'!O193</f>
        <v>score</v>
      </c>
      <c r="BH14" s="65" t="str">
        <f>'PC LIST'!P193</f>
        <v>Customer satisfaction score out of 5</v>
      </c>
      <c r="BI14" s="65">
        <f>'PC LIST'!Q193</f>
        <v>1</v>
      </c>
      <c r="BJ14" s="65" t="str">
        <f>'PC LIST'!J193</f>
        <v>R&amp;P</v>
      </c>
      <c r="BK14" s="65">
        <f>'PC LIST'!BQ193</f>
        <v>4.2</v>
      </c>
      <c r="BL14" s="65" t="str">
        <f>'PC LIST'!B227</f>
        <v>PR14SRNWSWW_2</v>
      </c>
      <c r="BM14" s="65" t="str">
        <f>'PC LIST'!I227</f>
        <v>2: Internal flooding incidents</v>
      </c>
      <c r="BN14" s="65" t="str">
        <f>'PC LIST'!O227</f>
        <v>nr</v>
      </c>
      <c r="BO14" s="65" t="str">
        <f>'PC LIST'!P227</f>
        <v>No. of internal sewer flooding incidents</v>
      </c>
      <c r="BP14" s="65">
        <f>'PC LIST'!Q227</f>
        <v>0</v>
      </c>
      <c r="BQ14" s="65" t="str">
        <f>'PC LIST'!J227</f>
        <v>R&amp;P</v>
      </c>
      <c r="BR14" s="65">
        <f>'PC LIST'!BQ227</f>
        <v>492</v>
      </c>
      <c r="BS14" s="65" t="str">
        <f>'PC LIST'!B260</f>
        <v>PR14SSCWSW_5.2</v>
      </c>
      <c r="BT14" s="65" t="str">
        <f>'PC LIST'!I260</f>
        <v>5.2: Support for customers in debt (combined company)</v>
      </c>
      <c r="BU14" s="65" t="str">
        <f>'PC LIST'!O260</f>
        <v>nr</v>
      </c>
      <c r="BV14" s="65" t="str">
        <f>'PC LIST'!P260</f>
        <v>No. of customers engaged with on debt</v>
      </c>
      <c r="BW14" s="65">
        <f>'PC LIST'!Q260</f>
        <v>0</v>
      </c>
      <c r="BX14" s="65" t="str">
        <f>'PC LIST'!J260</f>
        <v>NFI</v>
      </c>
      <c r="BY14" s="65">
        <f>'PC LIST'!BQ260</f>
        <v>19621</v>
      </c>
      <c r="BZ14" s="65" t="str">
        <f>'PC LIST'!B275</f>
        <v>PR14SVTWSW_W-B8</v>
      </c>
      <c r="CA14" s="65" t="str">
        <f>'PC LIST'!I275</f>
        <v>W-B8: Restrictions on water use</v>
      </c>
      <c r="CB14" s="65" t="str">
        <f>'PC LIST'!O275</f>
        <v>nr</v>
      </c>
      <c r="CC14" s="65" t="str">
        <f>'PC LIST'!P275</f>
        <v>No. water restrictions in five-year period</v>
      </c>
      <c r="CD14" s="65">
        <f>'PC LIST'!Q275</f>
        <v>0</v>
      </c>
      <c r="CE14" s="65" t="str">
        <f>'PC LIST'!J275</f>
        <v>R&amp;P</v>
      </c>
      <c r="CF14" s="789">
        <f>'PC LIST'!BQ275</f>
        <v>0</v>
      </c>
      <c r="CG14" s="65" t="str">
        <f>'PC LIST'!B320</f>
        <v>PR14SWTWSW_W-D1</v>
      </c>
      <c r="CH14" s="67" t="str">
        <f>'PC LIST'!I320</f>
        <v>W-D1: Operational customer contacts resolved first time (%)</v>
      </c>
      <c r="CI14" s="67" t="str">
        <f>'PC LIST'!O320</f>
        <v>%</v>
      </c>
      <c r="CJ14" s="67" t="str">
        <f>'PC LIST'!P320</f>
        <v>% customer contacts resolved 1st time</v>
      </c>
      <c r="CK14" s="65">
        <f>'PC LIST'!Q320</f>
        <v>1</v>
      </c>
      <c r="CL14" s="65" t="str">
        <f>'PC LIST'!J320</f>
        <v>R&amp;P</v>
      </c>
      <c r="CM14" s="788">
        <f>'PC LIST'!BQ320</f>
        <v>94.8</v>
      </c>
      <c r="CN14" s="65" t="str">
        <f>'PC LIST'!B362</f>
        <v>PR14TMSWSW_WB7</v>
      </c>
      <c r="CO14" s="65" t="str">
        <f>'PC LIST'!I362</f>
        <v>WB7: Compliance with SEMD advice notes (with or without derogation)</v>
      </c>
      <c r="CP14" s="65" t="str">
        <f>'PC LIST'!O362</f>
        <v>%</v>
      </c>
      <c r="CQ14" s="65" t="str">
        <f>'PC LIST'!P362</f>
        <v>% compliance with SEMD advice notes</v>
      </c>
      <c r="CR14" s="65">
        <f>'PC LIST'!Q362</f>
        <v>0</v>
      </c>
      <c r="CS14" s="65" t="str">
        <f>'PC LIST'!J362</f>
        <v>PO</v>
      </c>
      <c r="CT14" s="65">
        <f>'PC LIST'!BQ362</f>
        <v>0</v>
      </c>
      <c r="CU14" s="65" t="str">
        <f>'PC LIST'!B417</f>
        <v>PR14UUWSW_E1</v>
      </c>
      <c r="CV14" s="65" t="str">
        <f>'PC LIST'!I417</f>
        <v>E1: Number of free water meters installed</v>
      </c>
      <c r="CW14" s="65" t="str">
        <f>'PC LIST'!O417</f>
        <v>nr</v>
      </c>
      <c r="CX14" s="65" t="str">
        <f>'PC LIST'!P417</f>
        <v>No. of free water meters installed per year</v>
      </c>
      <c r="CY14" s="65">
        <f>'PC LIST'!Q417</f>
        <v>0</v>
      </c>
      <c r="CZ14" s="65" t="str">
        <f>'PC LIST'!J417</f>
        <v>NFI</v>
      </c>
      <c r="DA14" s="65">
        <f>'PC LIST'!BQ417</f>
        <v>27197</v>
      </c>
      <c r="DB14" s="65" t="str">
        <f>'PC LIST'!B444</f>
        <v>PR14WSHWSW_F3</v>
      </c>
      <c r="DC14" s="65" t="str">
        <f>'PC LIST'!I444</f>
        <v>F3: Asset resilience - % of critical assets that are resilient against a set of criteria</v>
      </c>
      <c r="DD14" s="65" t="str">
        <f>'PC LIST'!O444</f>
        <v>%</v>
      </c>
      <c r="DE14" s="65" t="str">
        <f>'PC LIST'!P444</f>
        <v>% critical assets that are resilient against a set of criteria</v>
      </c>
      <c r="DF14" s="65">
        <f>'PC LIST'!Q444</f>
        <v>0</v>
      </c>
      <c r="DG14" s="65" t="str">
        <f>'PC LIST'!J444</f>
        <v>PO</v>
      </c>
      <c r="DH14" s="788">
        <f>'PC LIST'!BQ444</f>
        <v>87</v>
      </c>
      <c r="DI14" s="65" t="str">
        <f>'PC LIST'!B475</f>
        <v>PR14WSXWSW_G2</v>
      </c>
      <c r="DJ14" s="65" t="str">
        <f>'PC LIST'!I475</f>
        <v>G2: Compliance with drinking water standards (MZC)</v>
      </c>
      <c r="DK14" s="65" t="str">
        <f>'PC LIST'!O475</f>
        <v>%</v>
      </c>
      <c r="DL14" s="65" t="str">
        <f>'PC LIST'!P475</f>
        <v>Mean zonal compliance (%)</v>
      </c>
      <c r="DM14" s="65">
        <f>'PC LIST'!Q475</f>
        <v>2</v>
      </c>
      <c r="DN14" s="65" t="str">
        <f>'PC LIST'!J475</f>
        <v>PO</v>
      </c>
      <c r="DO14" s="65">
        <f>'PC LIST'!BQ475</f>
        <v>99.96</v>
      </c>
      <c r="DP14" s="65" t="str">
        <f>'PC LIST'!B507</f>
        <v>PR14YKYWSW_WC4</v>
      </c>
      <c r="DQ14" s="65" t="str">
        <f>'PC LIST'!I507</f>
        <v>WC4: Recreational visitor satisfaction</v>
      </c>
      <c r="DR14" s="65" t="str">
        <f>'PC LIST'!O507</f>
        <v>text</v>
      </c>
      <c r="DS14" s="65" t="str">
        <f>'PC LIST'!P507</f>
        <v>Asessment of customer satisfaction (qualitative survey)</v>
      </c>
      <c r="DT14" s="65" t="str">
        <f>'PC LIST'!Q507</f>
        <v>na</v>
      </c>
      <c r="DU14" s="65" t="str">
        <f>'PC LIST'!J507</f>
        <v>NFI</v>
      </c>
      <c r="DV14" s="65" t="str">
        <f>'PC LIST'!BQ507</f>
        <v xml:space="preserve">Published </v>
      </c>
    </row>
    <row r="15" spans="1:126" ht="15.75" customHeight="1" x14ac:dyDescent="0.2">
      <c r="A15" s="65" t="str">
        <f>'PC LIST'!B15</f>
        <v>PR14AFWHHR_R-A2</v>
      </c>
      <c r="B15" s="65" t="str">
        <f>'PC LIST'!I15</f>
        <v>R-A2: Value for money survey</v>
      </c>
      <c r="C15" s="65" t="str">
        <f>'PC LIST'!O15</f>
        <v>TBC</v>
      </c>
      <c r="D15" s="65" t="str">
        <f>'PC LIST'!P15</f>
        <v>TBC</v>
      </c>
      <c r="E15" s="65" t="str">
        <f>'PC LIST'!Q15</f>
        <v>TBC</v>
      </c>
      <c r="F15" s="65" t="str">
        <f>'PC LIST'!J15</f>
        <v>NFI</v>
      </c>
      <c r="G15" s="65">
        <f>'PC LIST'!BQ15</f>
        <v>71.599999999999994</v>
      </c>
      <c r="H15" s="65" t="str">
        <f>'PC LIST'!B28</f>
        <v>PR14ANHWSW_W-F1</v>
      </c>
      <c r="I15" s="65" t="str">
        <f>'PC LIST'!I28</f>
        <v>W-F1: Operational carbon (% reduction from 2015 baseline)</v>
      </c>
      <c r="J15" s="65" t="str">
        <f>'PC LIST'!O28</f>
        <v>%</v>
      </c>
      <c r="K15" s="65" t="str">
        <f>'PC LIST'!P28</f>
        <v>% reduction from 2015 baseline</v>
      </c>
      <c r="L15" s="65">
        <f>'PC LIST'!Q28</f>
        <v>0</v>
      </c>
      <c r="M15" s="65" t="str">
        <f>'PC LIST'!J28</f>
        <v>NFI</v>
      </c>
      <c r="N15" s="788">
        <f>'PC LIST'!BQ28</f>
        <v>5</v>
      </c>
      <c r="O15" s="65" t="str">
        <f>'PC LIST'!B67</f>
        <v>PR14BRLWSW_H3</v>
      </c>
      <c r="P15" s="65" t="str">
        <f>'PC LIST'!I67</f>
        <v>H3: Biodiversity index</v>
      </c>
      <c r="Q15" s="65" t="str">
        <f>'PC LIST'!O67</f>
        <v>TBC</v>
      </c>
      <c r="R15" s="65" t="str">
        <f>'PC LIST'!P67</f>
        <v>Biodiversity index</v>
      </c>
      <c r="S15" s="65" t="str">
        <f>'PC LIST'!Q67</f>
        <v>TBC</v>
      </c>
      <c r="T15" s="65" t="str">
        <f>'PC LIST'!J67</f>
        <v>NFI</v>
      </c>
      <c r="U15" s="788" t="str">
        <f>'PC LIST'!BQ67</f>
        <v>Improving</v>
      </c>
      <c r="V15" s="65" t="str">
        <f>'PC LIST'!B88</f>
        <v>PR14DVWHHR_E2</v>
      </c>
      <c r="W15" s="65" t="str">
        <f>'PC LIST'!I88</f>
        <v>E2: Service incentive mechanism (SIM)</v>
      </c>
      <c r="X15" s="65" t="str">
        <f>'PC LIST'!O88</f>
        <v>score</v>
      </c>
      <c r="Y15" s="65" t="str">
        <f>'PC LIST'!P88</f>
        <v>Service incentive mechanism (SIM) score</v>
      </c>
      <c r="Z15" s="65">
        <f>'PC LIST'!Q88</f>
        <v>1</v>
      </c>
      <c r="AA15" s="65" t="str">
        <f>'PC LIST'!J88</f>
        <v>R&amp;P</v>
      </c>
      <c r="AB15" s="788">
        <f>'PC LIST'!BQ88</f>
        <v>83.42</v>
      </c>
      <c r="AC15" s="65" t="str">
        <f>'PC LIST'!B101</f>
        <v>PR14NESWSW_W-E1</v>
      </c>
      <c r="AD15" s="66" t="str">
        <f>'PC LIST'!I101</f>
        <v>W-E1: NWL independent survey on keeping customers informed</v>
      </c>
      <c r="AE15" s="66" t="str">
        <f>'PC LIST'!O101</f>
        <v>%</v>
      </c>
      <c r="AF15" s="66" t="str">
        <f>'PC LIST'!P101</f>
        <v>% customer satisfaction</v>
      </c>
      <c r="AG15" s="65" t="str">
        <f>'PC LIST'!Q101</f>
        <v>TBC</v>
      </c>
      <c r="AH15" s="65" t="str">
        <f>'PC LIST'!J101</f>
        <v>NFI</v>
      </c>
      <c r="AI15" s="65">
        <f>'PC LIST'!BQ101</f>
        <v>94</v>
      </c>
      <c r="AJ15" s="65" t="str">
        <f>'PC LIST'!B145</f>
        <v>PR14PRTHHR_C1</v>
      </c>
      <c r="AK15" s="65" t="str">
        <f>'PC LIST'!I145</f>
        <v>C1: Survey of developers</v>
      </c>
      <c r="AL15" s="65" t="str">
        <f>'PC LIST'!O145</f>
        <v>%</v>
      </c>
      <c r="AM15" s="65" t="str">
        <f>'PC LIST'!P145</f>
        <v>Satisfaction rate (%)</v>
      </c>
      <c r="AN15" s="65">
        <f>'PC LIST'!Q145</f>
        <v>0</v>
      </c>
      <c r="AO15" s="65" t="str">
        <f>'PC LIST'!J145</f>
        <v>NFI</v>
      </c>
      <c r="AP15" s="789">
        <f>'PC LIST'!BQ145</f>
        <v>89</v>
      </c>
      <c r="AQ15" s="65" t="str">
        <f>'PC LIST'!B158</f>
        <v>PR14SBWHHR_A1</v>
      </c>
      <c r="AR15" s="65" t="str">
        <f>'PC LIST'!I158</f>
        <v>A1: Service incentive mechanism (SIM)</v>
      </c>
      <c r="AS15" s="65" t="str">
        <f>'PC LIST'!O158</f>
        <v>score</v>
      </c>
      <c r="AT15" s="65" t="str">
        <f>'PC LIST'!P158</f>
        <v>Service incentive mechanism (SIM) score (average)</v>
      </c>
      <c r="AU15" s="65">
        <f>'PC LIST'!Q158</f>
        <v>1</v>
      </c>
      <c r="AV15" s="65" t="str">
        <f>'PC LIST'!J158</f>
        <v>R&amp;P</v>
      </c>
      <c r="AW15" s="788">
        <f>'PC LIST'!BQ158</f>
        <v>86.2</v>
      </c>
      <c r="AX15" s="65" t="str">
        <f>'PC LIST'!B173</f>
        <v>PR14SESWSW_E4</v>
      </c>
      <c r="AY15" s="65" t="str">
        <f>'PC LIST'!I173</f>
        <v>E4: Greenhouse gas emissions per million litres of water supplied</v>
      </c>
      <c r="AZ15" s="65" t="str">
        <f>'PC LIST'!O173</f>
        <v>nr</v>
      </c>
      <c r="BA15" s="65" t="str">
        <f>'PC LIST'!P173</f>
        <v>kgCO2e/Ml</v>
      </c>
      <c r="BB15" s="65">
        <f>'PC LIST'!Q173</f>
        <v>0</v>
      </c>
      <c r="BC15" s="65" t="str">
        <f>'PC LIST'!J173</f>
        <v>NFI</v>
      </c>
      <c r="BD15" s="789">
        <f>'PC LIST'!BQ173</f>
        <v>470</v>
      </c>
      <c r="BE15" s="65" t="str">
        <f>'PC LIST'!B194</f>
        <v>PR14SEWWSW_H2</v>
      </c>
      <c r="BF15" s="65" t="str">
        <f>'PC LIST'!I194</f>
        <v>H2: Meeting the water resource deficit</v>
      </c>
      <c r="BG15" s="65" t="str">
        <f>'PC LIST'!O194</f>
        <v>nr</v>
      </c>
      <c r="BH15" s="65" t="str">
        <f>'PC LIST'!P194</f>
        <v>Megalitres per day (Ml/d)</v>
      </c>
      <c r="BI15" s="65">
        <f>'PC LIST'!Q194</f>
        <v>0</v>
      </c>
      <c r="BJ15" s="65" t="str">
        <f>'PC LIST'!J194</f>
        <v>PO</v>
      </c>
      <c r="BK15" s="65">
        <f>'PC LIST'!BQ194</f>
        <v>0</v>
      </c>
      <c r="BL15" s="65" t="str">
        <f>'PC LIST'!B228</f>
        <v>PR14SRNWSWW_3</v>
      </c>
      <c r="BM15" s="65" t="str">
        <f>'PC LIST'!I228</f>
        <v>3: External flooding incidents</v>
      </c>
      <c r="BN15" s="65" t="str">
        <f>'PC LIST'!O228</f>
        <v>nr</v>
      </c>
      <c r="BO15" s="65" t="str">
        <f>'PC LIST'!P228</f>
        <v>No. of external sewer flooding incidents</v>
      </c>
      <c r="BP15" s="65">
        <f>'PC LIST'!Q228</f>
        <v>0</v>
      </c>
      <c r="BQ15" s="65" t="str">
        <f>'PC LIST'!J228</f>
        <v>NFI</v>
      </c>
      <c r="BR15" s="65">
        <f>'PC LIST'!BQ228</f>
        <v>8314</v>
      </c>
      <c r="BS15" s="65" t="str">
        <f>'PC LIST'!B261</f>
        <v>PR14SSCHHR_3.1</v>
      </c>
      <c r="BT15" s="65" t="str">
        <f>'PC LIST'!I261</f>
        <v>3.1: Service incentive mechanism (SIM, combined company)</v>
      </c>
      <c r="BU15" s="65" t="str">
        <f>'PC LIST'!O261</f>
        <v>score</v>
      </c>
      <c r="BV15" s="65" t="str">
        <f>'PC LIST'!P261</f>
        <v>Service incentive mechanism (SIM) score</v>
      </c>
      <c r="BW15" s="65">
        <f>'PC LIST'!Q261</f>
        <v>1</v>
      </c>
      <c r="BX15" s="65" t="str">
        <f>'PC LIST'!J261</f>
        <v>R&amp;P</v>
      </c>
      <c r="BY15" s="65">
        <f>'PC LIST'!BQ261</f>
        <v>86.3</v>
      </c>
      <c r="BZ15" s="65" t="str">
        <f>'PC LIST'!B276</f>
        <v>PR14SVTWSW_W-B9</v>
      </c>
      <c r="CA15" s="65" t="str">
        <f>'PC LIST'!I276</f>
        <v>W-B9: Timing delays on Birmingham resilience scheme</v>
      </c>
      <c r="CB15" s="65" t="str">
        <f>'PC LIST'!O276</f>
        <v>text</v>
      </c>
      <c r="CC15" s="65" t="str">
        <f>'PC LIST'!P276</f>
        <v>Scheme delivery (3 components)</v>
      </c>
      <c r="CD15" s="65" t="str">
        <f>'PC LIST'!Q276</f>
        <v>na</v>
      </c>
      <c r="CE15" s="65" t="str">
        <f>'PC LIST'!J276</f>
        <v>PO</v>
      </c>
      <c r="CF15" s="789" t="str">
        <f>'PC LIST'!BQ276</f>
        <v>NA</v>
      </c>
      <c r="CG15" s="65" t="str">
        <f>'PC LIST'!B321</f>
        <v>PR14SWTWSW_W-E1</v>
      </c>
      <c r="CH15" s="67" t="str">
        <f>'PC LIST'!I321</f>
        <v>W-E1: Sustainable abstractions (EA/WFD classification)</v>
      </c>
      <c r="CI15" s="67" t="str">
        <f>'PC LIST'!O321</f>
        <v>nr</v>
      </c>
      <c r="CJ15" s="67" t="str">
        <f>'PC LIST'!P321</f>
        <v>No. sites where improvement required</v>
      </c>
      <c r="CK15" s="65">
        <f>'PC LIST'!Q321</f>
        <v>0</v>
      </c>
      <c r="CL15" s="65" t="str">
        <f>'PC LIST'!J321</f>
        <v>NFI</v>
      </c>
      <c r="CM15" s="788">
        <f>'PC LIST'!BQ321</f>
        <v>0</v>
      </c>
      <c r="CN15" s="65" t="str">
        <f>'PC LIST'!B363</f>
        <v>PR14TMSWSW_WB8</v>
      </c>
      <c r="CO15" s="65" t="str">
        <f>'PC LIST'!I363</f>
        <v>WB8: Ml/d of sites made resilient to future extreme rainfall events</v>
      </c>
      <c r="CP15" s="65" t="str">
        <f>'PC LIST'!O363</f>
        <v>nr</v>
      </c>
      <c r="CQ15" s="65" t="str">
        <f>'PC LIST'!P363</f>
        <v>Ml/d of WTWs made resilient</v>
      </c>
      <c r="CR15" s="65">
        <f>'PC LIST'!Q363</f>
        <v>0</v>
      </c>
      <c r="CS15" s="65" t="str">
        <f>'PC LIST'!J363</f>
        <v>R&amp;P</v>
      </c>
      <c r="CT15" s="65" t="str">
        <f>'PC LIST'!BQ363</f>
        <v>Not available</v>
      </c>
      <c r="CU15" s="65" t="str">
        <f>'PC LIST'!B418</f>
        <v>PR14UUWSWW_S-A1</v>
      </c>
      <c r="CV15" s="65" t="str">
        <f>'PC LIST'!I418</f>
        <v>S-A1: Private sewers service index</v>
      </c>
      <c r="CW15" s="65" t="str">
        <f>'PC LIST'!O418</f>
        <v>score</v>
      </c>
      <c r="CX15" s="65" t="str">
        <f>'PC LIST'!P418</f>
        <v>Private sewers service index (UU bespoke)</v>
      </c>
      <c r="CY15" s="65">
        <f>'PC LIST'!Q418</f>
        <v>2</v>
      </c>
      <c r="CZ15" s="65" t="str">
        <f>'PC LIST'!J418</f>
        <v>R&amp;P</v>
      </c>
      <c r="DA15" s="65">
        <f>'PC LIST'!BQ418</f>
        <v>91.69</v>
      </c>
      <c r="DB15" s="65" t="str">
        <f>'PC LIST'!B445</f>
        <v>PR14WSHWSWW_B2</v>
      </c>
      <c r="DC15" s="65" t="str">
        <f>'PC LIST'!I445</f>
        <v>B2: Treating used water - % compliance of WwTW</v>
      </c>
      <c r="DD15" s="65" t="str">
        <f>'PC LIST'!O445</f>
        <v>%</v>
      </c>
      <c r="DE15" s="65" t="str">
        <f>'PC LIST'!P445</f>
        <v>% compliance against WwTW discharge permits</v>
      </c>
      <c r="DF15" s="65">
        <f>'PC LIST'!Q445</f>
        <v>1</v>
      </c>
      <c r="DG15" s="65" t="str">
        <f>'PC LIST'!J445</f>
        <v>NFI</v>
      </c>
      <c r="DH15" s="788">
        <f>'PC LIST'!BQ445</f>
        <v>98.6</v>
      </c>
      <c r="DI15" s="65" t="str">
        <f>'PC LIST'!B476</f>
        <v>PR14WSXWSWW_A1</v>
      </c>
      <c r="DJ15" s="65" t="str">
        <f>'PC LIST'!I476</f>
        <v>A1: Agreed schemes delivered (named outputs with bathing water drivers in the NEP)</v>
      </c>
      <c r="DK15" s="65" t="str">
        <f>'PC LIST'!O476</f>
        <v>%</v>
      </c>
      <c r="DL15" s="65" t="str">
        <f>'PC LIST'!P476</f>
        <v>% of agreed schemes delivered (NEP bathing water)</v>
      </c>
      <c r="DM15" s="65">
        <f>'PC LIST'!Q476</f>
        <v>0</v>
      </c>
      <c r="DN15" s="65" t="str">
        <f>'PC LIST'!J476</f>
        <v>PO</v>
      </c>
      <c r="DO15" s="65">
        <f>'PC LIST'!BQ476</f>
        <v>100</v>
      </c>
      <c r="DP15" s="65" t="str">
        <f>'PC LIST'!B508</f>
        <v>PR14YKYWSW_WD1</v>
      </c>
      <c r="DQ15" s="65" t="str">
        <f>'PC LIST'!I508</f>
        <v>WD1: Proportion of energy use generated by renewable technology (note: PC is part of a total commitment at Appointee level - see also SC1 and RC1)</v>
      </c>
      <c r="DR15" s="65" t="str">
        <f>'PC LIST'!O508</f>
        <v>%</v>
      </c>
      <c r="DS15" s="65" t="str">
        <f>'PC LIST'!P508</f>
        <v>% of energy use generated by renewable technology</v>
      </c>
      <c r="DT15" s="65">
        <f>'PC LIST'!Q508</f>
        <v>0</v>
      </c>
      <c r="DU15" s="65" t="str">
        <f>'PC LIST'!J508</f>
        <v>NFI</v>
      </c>
      <c r="DV15" s="65">
        <f>'PC LIST'!BQ508</f>
        <v>11.257999999999999</v>
      </c>
    </row>
    <row r="16" spans="1:126" ht="15.75" customHeight="1" x14ac:dyDescent="0.2">
      <c r="H16" s="65" t="str">
        <f>'PC LIST'!B29</f>
        <v>PR14ANHWSW_W-F2</v>
      </c>
      <c r="I16" s="65" t="str">
        <f>'PC LIST'!I29</f>
        <v>W-F2: Embodied carbon (% reduction from 2010 baseline)</v>
      </c>
      <c r="J16" s="65" t="str">
        <f>'PC LIST'!O29</f>
        <v>%</v>
      </c>
      <c r="K16" s="65" t="str">
        <f>'PC LIST'!P29</f>
        <v>% reduction from 2010 baseline</v>
      </c>
      <c r="L16" s="65">
        <f>'PC LIST'!Q29</f>
        <v>0</v>
      </c>
      <c r="M16" s="65" t="str">
        <f>'PC LIST'!J29</f>
        <v>NFI</v>
      </c>
      <c r="N16" s="788">
        <f>'PC LIST'!BQ29</f>
        <v>53</v>
      </c>
      <c r="O16" s="65" t="str">
        <f>'PC LIST'!B68</f>
        <v>PR14BRLWSW_H4</v>
      </c>
      <c r="P16" s="65" t="str">
        <f>'PC LIST'!I68</f>
        <v>H4: Waste disposal compliance</v>
      </c>
      <c r="Q16" s="65" t="str">
        <f>'PC LIST'!O68</f>
        <v>%</v>
      </c>
      <c r="R16" s="65" t="str">
        <f>'PC LIST'!P68</f>
        <v>% waste disposal compliance</v>
      </c>
      <c r="S16" s="65">
        <f>'PC LIST'!Q68</f>
        <v>0</v>
      </c>
      <c r="T16" s="65" t="str">
        <f>'PC LIST'!J68</f>
        <v>NFI</v>
      </c>
      <c r="U16" s="788">
        <f>'PC LIST'!BQ68</f>
        <v>96.1</v>
      </c>
      <c r="V16" s="65"/>
      <c r="W16" s="65"/>
      <c r="X16" s="65"/>
      <c r="Y16" s="65"/>
      <c r="AC16" s="65" t="str">
        <f>'PC LIST'!B102</f>
        <v>PR14NESWSW_W-F1</v>
      </c>
      <c r="AD16" s="66" t="str">
        <f>'PC LIST'!I102</f>
        <v>W-F1: Greenhouse gas emissions</v>
      </c>
      <c r="AE16" s="66" t="str">
        <f>'PC LIST'!O102</f>
        <v>nr</v>
      </c>
      <c r="AF16" s="66" t="str">
        <f>'PC LIST'!P102</f>
        <v>ktCO2e</v>
      </c>
      <c r="AG16" s="65">
        <f>'PC LIST'!Q102</f>
        <v>0</v>
      </c>
      <c r="AH16" s="65" t="str">
        <f>'PC LIST'!J102</f>
        <v>NFI</v>
      </c>
      <c r="AI16" s="65">
        <f>'PC LIST'!BQ102</f>
        <v>225.2</v>
      </c>
      <c r="AJ16" s="65"/>
      <c r="AK16" s="65"/>
      <c r="AQ16" s="65" t="str">
        <f>'PC LIST'!B159</f>
        <v>PR14SBWHHR_A2</v>
      </c>
      <c r="AR16" s="65" t="str">
        <f>'PC LIST'!I159</f>
        <v>A2: New customer relationship management (CRM) system</v>
      </c>
      <c r="AS16" s="65" t="str">
        <f>'PC LIST'!O159</f>
        <v>£m</v>
      </c>
      <c r="AT16" s="65" t="str">
        <f>'PC LIST'!P159</f>
        <v>£ million cumulative depreciation</v>
      </c>
      <c r="AU16" s="65">
        <f>'PC LIST'!Q159</f>
        <v>2</v>
      </c>
      <c r="AV16" s="65" t="str">
        <f>'PC LIST'!J159</f>
        <v>PO</v>
      </c>
      <c r="AW16" s="788">
        <f>'PC LIST'!BQ159</f>
        <v>0.33600000000000002</v>
      </c>
      <c r="AX16" s="65" t="str">
        <f>'PC LIST'!B174</f>
        <v>PR14SESWSW_E5</v>
      </c>
      <c r="AY16" s="65" t="str">
        <f>'PC LIST'!I174</f>
        <v>E5: Number of severe pollution incidents (category 3 or worse, as reported by the Environment Agency)</v>
      </c>
      <c r="AZ16" s="65" t="str">
        <f>'PC LIST'!O174</f>
        <v>nr</v>
      </c>
      <c r="BA16" s="65" t="str">
        <f>'PC LIST'!P174</f>
        <v>No. of pollution incidents (cats 1, 2 and 3)</v>
      </c>
      <c r="BB16" s="65">
        <f>'PC LIST'!Q174</f>
        <v>1</v>
      </c>
      <c r="BC16" s="65" t="str">
        <f>'PC LIST'!J174</f>
        <v>NFI</v>
      </c>
      <c r="BD16" s="789">
        <f>'PC LIST'!BQ174</f>
        <v>0.6</v>
      </c>
      <c r="BE16" s="65" t="str">
        <f>'PC LIST'!B195</f>
        <v>PR14SEWWSW_I1</v>
      </c>
      <c r="BF16" s="65" t="str">
        <f>'PC LIST'!I195</f>
        <v>I1: Mean zonal compliance (MZC)</v>
      </c>
      <c r="BG16" s="65" t="str">
        <f>'PC LIST'!O195</f>
        <v>%</v>
      </c>
      <c r="BH16" s="65" t="str">
        <f>'PC LIST'!P195</f>
        <v>Mean zonal compliance (%)</v>
      </c>
      <c r="BI16" s="65">
        <f>'PC LIST'!Q195</f>
        <v>2</v>
      </c>
      <c r="BJ16" s="65" t="str">
        <f>'PC LIST'!J195</f>
        <v>PO</v>
      </c>
      <c r="BK16" s="65">
        <f>'PC LIST'!BQ195</f>
        <v>99.96</v>
      </c>
      <c r="BL16" s="65" t="str">
        <f>'PC LIST'!B229</f>
        <v>PR14SRNWSWW_4</v>
      </c>
      <c r="BM16" s="65" t="str">
        <f>'PC LIST'!I229</f>
        <v>4: Sewer blockages</v>
      </c>
      <c r="BN16" s="65" t="str">
        <f>'PC LIST'!O229</f>
        <v>nr</v>
      </c>
      <c r="BO16" s="65" t="str">
        <f>'PC LIST'!P229</f>
        <v>No. of sewer blockages per km</v>
      </c>
      <c r="BP16" s="65">
        <f>'PC LIST'!Q229</f>
        <v>2</v>
      </c>
      <c r="BQ16" s="65" t="str">
        <f>'PC LIST'!J229</f>
        <v>PO</v>
      </c>
      <c r="BR16" s="65">
        <f>'PC LIST'!BQ229</f>
        <v>0.56000000000000005</v>
      </c>
      <c r="BS16" s="65" t="str">
        <f>'PC LIST'!B262</f>
        <v>PR14SSCHHR_3.2</v>
      </c>
      <c r="BT16" s="65" t="str">
        <f>'PC LIST'!I262</f>
        <v>3.2: Customer satisfaction surveys (combined company)</v>
      </c>
      <c r="BU16" s="65" t="str">
        <f>'PC LIST'!O262</f>
        <v>%</v>
      </c>
      <c r="BV16" s="65" t="str">
        <f>'PC LIST'!P262</f>
        <v>% customer satisfaction</v>
      </c>
      <c r="BW16" s="65">
        <f>'PC LIST'!Q262</f>
        <v>0</v>
      </c>
      <c r="BX16" s="65" t="str">
        <f>'PC LIST'!J262</f>
        <v>NFI</v>
      </c>
      <c r="BY16" s="65">
        <f>'PC LIST'!BQ262</f>
        <v>98</v>
      </c>
      <c r="BZ16" s="65" t="str">
        <f>'PC LIST'!B277</f>
        <v>PR14SVTWSW_W-B10</v>
      </c>
      <c r="CA16" s="65" t="str">
        <f>'PC LIST'!I277</f>
        <v>W-B10: Non-delivery of the outcome of the Birmingham resilience scheme</v>
      </c>
      <c r="CB16" s="65" t="str">
        <f>'PC LIST'!O277</f>
        <v>text</v>
      </c>
      <c r="CC16" s="65" t="str">
        <f>'PC LIST'!P277</f>
        <v>Scheme delivery (3 components)</v>
      </c>
      <c r="CD16" s="65" t="str">
        <f>'PC LIST'!Q277</f>
        <v>na</v>
      </c>
      <c r="CE16" s="65" t="str">
        <f>'PC LIST'!J277</f>
        <v>PO</v>
      </c>
      <c r="CF16" s="789" t="str">
        <f>'PC LIST'!BQ277</f>
        <v>NA</v>
      </c>
      <c r="CG16" s="65" t="str">
        <f>'PC LIST'!B322</f>
        <v>PR14SWTWSW_W-E2</v>
      </c>
      <c r="CH16" s="67" t="str">
        <f>'PC LIST'!I322</f>
        <v>W-E2: Sustainable abstractions (Environment Agency water stress status)</v>
      </c>
      <c r="CI16" s="67" t="str">
        <f>'PC LIST'!O322</f>
        <v>category</v>
      </c>
      <c r="CJ16" s="67" t="str">
        <f>'PC LIST'!P322</f>
        <v>Water scarcity status (defined by EA)</v>
      </c>
      <c r="CK16" s="65" t="str">
        <f>'PC LIST'!Q322</f>
        <v>na</v>
      </c>
      <c r="CL16" s="65" t="str">
        <f>'PC LIST'!J322</f>
        <v>PO</v>
      </c>
      <c r="CM16" s="788" t="str">
        <f>'PC LIST'!BQ322</f>
        <v>not serious</v>
      </c>
      <c r="CN16" s="65" t="str">
        <f>'PC LIST'!B364</f>
        <v>PR14TMSWSW_WC1</v>
      </c>
      <c r="CO16" s="65" t="str">
        <f>'PC LIST'!I364</f>
        <v>WC1: Greenhouse gas emissions from water operations</v>
      </c>
      <c r="CP16" s="65" t="str">
        <f>'PC LIST'!O364</f>
        <v>nr</v>
      </c>
      <c r="CQ16" s="65" t="str">
        <f>'PC LIST'!P364</f>
        <v>ktCO2e</v>
      </c>
      <c r="CR16" s="65">
        <f>'PC LIST'!Q364</f>
        <v>1</v>
      </c>
      <c r="CS16" s="65" t="str">
        <f>'PC LIST'!J364</f>
        <v>NFI</v>
      </c>
      <c r="CT16" s="65">
        <f>'PC LIST'!BQ364</f>
        <v>284.78500000000003</v>
      </c>
      <c r="CU16" s="65" t="str">
        <f>'PC LIST'!B419</f>
        <v>PR14UUWSWW_S-A2</v>
      </c>
      <c r="CV16" s="65" t="str">
        <f>'PC LIST'!I419</f>
        <v>S-A2: Wastewater network performance index</v>
      </c>
      <c r="CW16" s="65" t="str">
        <f>'PC LIST'!O419</f>
        <v>score</v>
      </c>
      <c r="CX16" s="65" t="str">
        <f>'PC LIST'!P419</f>
        <v>Wastewater network performance index (UU bespoke)</v>
      </c>
      <c r="CY16" s="65">
        <f>'PC LIST'!Q419</f>
        <v>2</v>
      </c>
      <c r="CZ16" s="65" t="str">
        <f>'PC LIST'!J419</f>
        <v>PO</v>
      </c>
      <c r="DA16" s="65">
        <f>'PC LIST'!BQ419</f>
        <v>90.95</v>
      </c>
      <c r="DB16" s="65" t="str">
        <f>'PC LIST'!B446</f>
        <v>PR14WSHWSWW_B3</v>
      </c>
      <c r="DC16" s="65" t="str">
        <f>'PC LIST'!I446</f>
        <v>B3: Preventing pollution - number of category 3 pollution incidents</v>
      </c>
      <c r="DD16" s="65" t="str">
        <f>'PC LIST'!O446</f>
        <v>nr</v>
      </c>
      <c r="DE16" s="65" t="str">
        <f>'PC LIST'!P446</f>
        <v>No. of pollution incidents (cat 3)</v>
      </c>
      <c r="DF16" s="65">
        <f>'PC LIST'!Q446</f>
        <v>0</v>
      </c>
      <c r="DG16" s="65" t="str">
        <f>'PC LIST'!J446</f>
        <v>R&amp;P</v>
      </c>
      <c r="DH16" s="788">
        <f>'PC LIST'!BQ446</f>
        <v>110</v>
      </c>
      <c r="DI16" s="65" t="str">
        <f>'PC LIST'!B477</f>
        <v>PR14WSXWSWW_A2</v>
      </c>
      <c r="DJ16" s="65" t="str">
        <f>'PC LIST'!I477</f>
        <v>A2: Beaches passing EU standards</v>
      </c>
      <c r="DK16" s="65" t="str">
        <f>'PC LIST'!O477</f>
        <v>%</v>
      </c>
      <c r="DL16" s="65" t="str">
        <f>'PC LIST'!P477</f>
        <v>% bathing waters meeting the revised BWD standards</v>
      </c>
      <c r="DM16" s="65">
        <f>'PC LIST'!Q477</f>
        <v>0</v>
      </c>
      <c r="DN16" s="65" t="str">
        <f>'PC LIST'!J477</f>
        <v>NFI</v>
      </c>
      <c r="DO16" s="65">
        <f>'PC LIST'!BQ477</f>
        <v>98</v>
      </c>
      <c r="DP16" s="65" t="str">
        <f>'PC LIST'!B509</f>
        <v>PR14YKYWSW_WD2</v>
      </c>
      <c r="DQ16" s="65" t="str">
        <f>'PC LIST'!I509</f>
        <v>WD2: Proportion of waste diverted from landfill (note: PC is part of a total commitment at Appointee level - see also SC2 and RC2)</v>
      </c>
      <c r="DR16" s="65" t="str">
        <f>'PC LIST'!O509</f>
        <v>%</v>
      </c>
      <c r="DS16" s="65" t="str">
        <f>'PC LIST'!P509</f>
        <v>% of waste diverted from landfill (re-used and recycled)</v>
      </c>
      <c r="DT16" s="65">
        <f>'PC LIST'!Q509</f>
        <v>0</v>
      </c>
      <c r="DU16" s="65" t="str">
        <f>'PC LIST'!J509</f>
        <v>NFI</v>
      </c>
      <c r="DV16" s="65">
        <f>'PC LIST'!BQ509</f>
        <v>98.91</v>
      </c>
    </row>
    <row r="17" spans="8:126" ht="15.75" customHeight="1" x14ac:dyDescent="0.2">
      <c r="H17" s="65" t="str">
        <f>'PC LIST'!B30</f>
        <v>PR14ANHWSW_W-G1</v>
      </c>
      <c r="I17" s="65" t="str">
        <f>'PC LIST'!I30</f>
        <v>W-G1: Survey of community perception</v>
      </c>
      <c r="J17" s="65" t="str">
        <f>'PC LIST'!O30</f>
        <v>%</v>
      </c>
      <c r="K17" s="65" t="str">
        <f>'PC LIST'!P30</f>
        <v>% customer satisfaction</v>
      </c>
      <c r="L17" s="65" t="str">
        <f>'PC LIST'!Q30</f>
        <v>na</v>
      </c>
      <c r="M17" s="65" t="str">
        <f>'PC LIST'!J30</f>
        <v>NFI</v>
      </c>
      <c r="N17" s="788">
        <f>'PC LIST'!BQ30</f>
        <v>56</v>
      </c>
      <c r="O17" s="65" t="str">
        <f>'PC LIST'!B69</f>
        <v>PR14BRLHHR_G2</v>
      </c>
      <c r="P17" s="65" t="str">
        <f>'PC LIST'!I69</f>
        <v>G2: Per capita consumption (PCC), measured as litres per head per day (l/h/d)</v>
      </c>
      <c r="Q17" s="65" t="str">
        <f>'PC LIST'!O69</f>
        <v>nr</v>
      </c>
      <c r="R17" s="65" t="str">
        <f>'PC LIST'!P69</f>
        <v>Litres per head per day (l/h/d)</v>
      </c>
      <c r="S17" s="65">
        <f>'PC LIST'!Q69</f>
        <v>1</v>
      </c>
      <c r="T17" s="65" t="str">
        <f>'PC LIST'!J69</f>
        <v>NFI</v>
      </c>
      <c r="U17" s="788">
        <f>'PC LIST'!BQ69</f>
        <v>141.1</v>
      </c>
      <c r="X17" s="60"/>
      <c r="Y17" s="60"/>
      <c r="Z17" s="60"/>
      <c r="AA17" s="60"/>
      <c r="AB17" s="60"/>
      <c r="AC17" s="65" t="str">
        <f>'PC LIST'!B103</f>
        <v>PR14NESWSW_W-F2</v>
      </c>
      <c r="AD17" s="66" t="str">
        <f>'PC LIST'!I103</f>
        <v>W-F2: Annual environmental performance report</v>
      </c>
      <c r="AE17" s="66" t="str">
        <f>'PC LIST'!O103</f>
        <v>text</v>
      </c>
      <c r="AF17" s="66" t="str">
        <f>'PC LIST'!P103</f>
        <v>CRAG report publication</v>
      </c>
      <c r="AG17" s="65" t="str">
        <f>'PC LIST'!Q103</f>
        <v>na</v>
      </c>
      <c r="AH17" s="65" t="str">
        <f>'PC LIST'!J103</f>
        <v>NFI</v>
      </c>
      <c r="AI17" s="65" t="str">
        <f>'PC LIST'!BQ103</f>
        <v xml:space="preserve">Report published </v>
      </c>
      <c r="AQ17" s="65" t="str">
        <f>'PC LIST'!B160</f>
        <v>PR14SBWHHR_B1</v>
      </c>
      <c r="AR17" s="65" t="str">
        <f>'PC LIST'!I160</f>
        <v>B1: Fair customer bills (efficient debt management: % of average bill)</v>
      </c>
      <c r="AS17" s="65" t="str">
        <f>'PC LIST'!O160</f>
        <v>%</v>
      </c>
      <c r="AT17" s="65" t="str">
        <f>'PC LIST'!P160</f>
        <v>% of average bill</v>
      </c>
      <c r="AU17" s="65">
        <f>'PC LIST'!Q160</f>
        <v>2</v>
      </c>
      <c r="AV17" s="65" t="str">
        <f>'PC LIST'!J160</f>
        <v>NFI</v>
      </c>
      <c r="AW17" s="788">
        <f>'PC LIST'!BQ160</f>
        <v>3.71</v>
      </c>
      <c r="AX17" s="65" t="str">
        <f>'PC LIST'!B175</f>
        <v>PR14SESWSW_E6</v>
      </c>
      <c r="AY17" s="65" t="str">
        <f>'PC LIST'!I175</f>
        <v>E6: Environmental investigations or catchment management schemes carried out as part of the NEP</v>
      </c>
      <c r="AZ17" s="65" t="str">
        <f>'PC LIST'!O175</f>
        <v>nr</v>
      </c>
      <c r="BA17" s="65" t="str">
        <f>'PC LIST'!P175</f>
        <v>No. of NEP schemes</v>
      </c>
      <c r="BB17" s="65">
        <f>'PC LIST'!Q175</f>
        <v>0</v>
      </c>
      <c r="BC17" s="65" t="str">
        <f>'PC LIST'!J175</f>
        <v>NFI</v>
      </c>
      <c r="BD17" s="789">
        <f>'PC LIST'!BQ175</f>
        <v>0</v>
      </c>
      <c r="BE17" s="65" t="str">
        <f>'PC LIST'!B196</f>
        <v>PR14SEWWSW_J1</v>
      </c>
      <c r="BF17" s="65" t="str">
        <f>'PC LIST'!I196</f>
        <v>J1: Number of breaches of abstraction licences, discharge consents and environmental permits</v>
      </c>
      <c r="BG17" s="65" t="str">
        <f>'PC LIST'!O196</f>
        <v>nr</v>
      </c>
      <c r="BH17" s="65" t="str">
        <f>'PC LIST'!P196</f>
        <v>No. of breaches</v>
      </c>
      <c r="BI17" s="65">
        <f>'PC LIST'!Q196</f>
        <v>0</v>
      </c>
      <c r="BJ17" s="65" t="str">
        <f>'PC LIST'!J196</f>
        <v>NFI</v>
      </c>
      <c r="BK17" s="65">
        <f>'PC LIST'!BQ196</f>
        <v>25</v>
      </c>
      <c r="BL17" s="65" t="str">
        <f>'PC LIST'!B230</f>
        <v>PR14SRNWSWW_5</v>
      </c>
      <c r="BM17" s="65" t="str">
        <f>'PC LIST'!I230</f>
        <v>5: Odour complaints (Portswood and Tonbridge treatment works)</v>
      </c>
      <c r="BN17" s="65" t="str">
        <f>'PC LIST'!O230</f>
        <v>nr</v>
      </c>
      <c r="BO17" s="65" t="str">
        <f>'PC LIST'!P230</f>
        <v>No. of odour complaints</v>
      </c>
      <c r="BP17" s="65">
        <f>'PC LIST'!Q230</f>
        <v>0</v>
      </c>
      <c r="BQ17" s="65" t="str">
        <f>'PC LIST'!J230</f>
        <v>PO</v>
      </c>
      <c r="BR17" s="65" t="str">
        <f>'PC LIST'!BQ230</f>
        <v>N/A</v>
      </c>
      <c r="BS17" s="65" t="str">
        <f>'PC LIST'!B263</f>
        <v>PR14SSCHHR_3.3</v>
      </c>
      <c r="BT17" s="65" t="str">
        <f>'PC LIST'!I263</f>
        <v>3.3: Community engagement (combined company)</v>
      </c>
      <c r="BU17" s="65" t="str">
        <f>'PC LIST'!O263</f>
        <v>nr</v>
      </c>
      <c r="BV17" s="65" t="str">
        <f>'PC LIST'!P263</f>
        <v>No. of employee days per year</v>
      </c>
      <c r="BW17" s="65">
        <f>'PC LIST'!Q263</f>
        <v>0</v>
      </c>
      <c r="BX17" s="65" t="str">
        <f>'PC LIST'!J263</f>
        <v>NFI</v>
      </c>
      <c r="BY17" s="65">
        <f>'PC LIST'!BQ263</f>
        <v>256.5</v>
      </c>
      <c r="BZ17" s="65" t="str">
        <f>'PC LIST'!B278</f>
        <v>PR14SVTWSW_W-B11</v>
      </c>
      <c r="CA17" s="65" t="str">
        <f>'PC LIST'!I278</f>
        <v>W-B11: Timing delays on community risk schemes</v>
      </c>
      <c r="CB17" s="65" t="str">
        <f>'PC LIST'!O278</f>
        <v>text</v>
      </c>
      <c r="CC17" s="65" t="str">
        <f>'PC LIST'!P278</f>
        <v>Scheme delivery (3 components)</v>
      </c>
      <c r="CD17" s="65" t="str">
        <f>'PC LIST'!Q278</f>
        <v>na</v>
      </c>
      <c r="CE17" s="65" t="str">
        <f>'PC LIST'!J278</f>
        <v>PO</v>
      </c>
      <c r="CF17" s="789" t="str">
        <f>'PC LIST'!BQ278</f>
        <v>NA</v>
      </c>
      <c r="CG17" s="65" t="str">
        <f>'PC LIST'!B323</f>
        <v>PR14SWTWSW_W-E3a</v>
      </c>
      <c r="CH17" s="67" t="str">
        <f>'PC LIST'!I323</f>
        <v>W-E3a: Catchment management (number of acres)</v>
      </c>
      <c r="CI17" s="67" t="str">
        <f>'PC LIST'!O323</f>
        <v>nr</v>
      </c>
      <c r="CJ17" s="67" t="str">
        <f>'PC LIST'!P323</f>
        <v>No. of acres (cumulative)</v>
      </c>
      <c r="CK17" s="65">
        <f>'PC LIST'!Q323</f>
        <v>0</v>
      </c>
      <c r="CL17" s="65" t="str">
        <f>'PC LIST'!J323</f>
        <v>NFI</v>
      </c>
      <c r="CM17" s="788">
        <f>'PC LIST'!BQ323</f>
        <v>5673</v>
      </c>
      <c r="CN17" s="65" t="str">
        <f>'PC LIST'!B365</f>
        <v>PR14TMSWSW_WC2</v>
      </c>
      <c r="CO17" s="65" t="str">
        <f>'PC LIST'!I365</f>
        <v>WC2: Leakage</v>
      </c>
      <c r="CP17" s="65" t="str">
        <f>'PC LIST'!O365</f>
        <v>nr</v>
      </c>
      <c r="CQ17" s="65" t="str">
        <f>'PC LIST'!P365</f>
        <v>Megalitres per day (Ml/d) (annual average)</v>
      </c>
      <c r="CR17" s="65">
        <f>'PC LIST'!Q365</f>
        <v>0</v>
      </c>
      <c r="CS17" s="65" t="str">
        <f>'PC LIST'!J365</f>
        <v>R&amp;P</v>
      </c>
      <c r="CT17" s="65">
        <f>'PC LIST'!BQ365</f>
        <v>642.46</v>
      </c>
      <c r="CU17" s="65" t="str">
        <f>'PC LIST'!B420</f>
        <v>PR14UUWSWW_S-B1</v>
      </c>
      <c r="CV17" s="65" t="str">
        <f>'PC LIST'!I420</f>
        <v>S-B1: Future flood risk</v>
      </c>
      <c r="CW17" s="65" t="str">
        <f>'PC LIST'!O420</f>
        <v>nr</v>
      </c>
      <c r="CX17" s="65" t="str">
        <f>'PC LIST'!P420</f>
        <v>No. of properties at risk</v>
      </c>
      <c r="CY17" s="65">
        <f>'PC LIST'!Q420</f>
        <v>0</v>
      </c>
      <c r="CZ17" s="65" t="str">
        <f>'PC LIST'!J420</f>
        <v>NFI</v>
      </c>
      <c r="DA17" s="65">
        <f>'PC LIST'!BQ420</f>
        <v>16472</v>
      </c>
      <c r="DB17" s="65" t="str">
        <f>'PC LIST'!B447</f>
        <v>PR14WSHWSWW_C1</v>
      </c>
      <c r="DC17" s="65" t="str">
        <f>'PC LIST'!I447</f>
        <v>C1: Adapting to climate change - the volume of surface water removed from the system, expressed in number of properties equivalent</v>
      </c>
      <c r="DD17" s="65" t="str">
        <f>'PC LIST'!O447</f>
        <v>nr</v>
      </c>
      <c r="DE17" s="65" t="str">
        <f>'PC LIST'!P447</f>
        <v>Surface water removed expressed in no. props equivalent</v>
      </c>
      <c r="DF17" s="65">
        <f>'PC LIST'!Q447</f>
        <v>0</v>
      </c>
      <c r="DG17" s="65" t="str">
        <f>'PC LIST'!J447</f>
        <v>PO</v>
      </c>
      <c r="DH17" s="788">
        <f>'PC LIST'!BQ447</f>
        <v>1531</v>
      </c>
      <c r="DI17" s="65" t="str">
        <f>'PC LIST'!B478</f>
        <v>PR14WSXWSWW_B1</v>
      </c>
      <c r="DJ17" s="65" t="str">
        <f>'PC LIST'!I478</f>
        <v>B1: The EA’s Environmental Performance Assessment (reward mechanism based on pollution incidents)</v>
      </c>
      <c r="DK17" s="65" t="str">
        <f>'PC LIST'!O478</f>
        <v>text</v>
      </c>
      <c r="DL17" s="65" t="str">
        <f>'PC LIST'!P478</f>
        <v>EA’s Environmental Performance Assessment standing</v>
      </c>
      <c r="DM17" s="65" t="str">
        <f>'PC LIST'!Q478</f>
        <v>na</v>
      </c>
      <c r="DN17" s="65" t="str">
        <f>'PC LIST'!J478</f>
        <v>R&amp;P</v>
      </c>
      <c r="DO17" s="65" t="str">
        <f>'PC LIST'!BQ478</f>
        <v>Industry leading</v>
      </c>
      <c r="DP17" s="65" t="str">
        <f>'PC LIST'!B510</f>
        <v>PR14YKYWSWW_SA1</v>
      </c>
      <c r="DQ17" s="65" t="str">
        <f>'PC LIST'!I510</f>
        <v>SA1: Internal sewer flooding incidents</v>
      </c>
      <c r="DR17" s="65" t="str">
        <f>'PC LIST'!O510</f>
        <v>nr</v>
      </c>
      <c r="DS17" s="65" t="str">
        <f>'PC LIST'!P510</f>
        <v>No. of internal sewer flooding incidents</v>
      </c>
      <c r="DT17" s="65">
        <f>'PC LIST'!Q510</f>
        <v>0</v>
      </c>
      <c r="DU17" s="65" t="str">
        <f>'PC LIST'!J510</f>
        <v>R&amp;P</v>
      </c>
      <c r="DV17" s="65">
        <f>'PC LIST'!BQ510</f>
        <v>1842</v>
      </c>
    </row>
    <row r="18" spans="8:126" ht="15.75" customHeight="1" x14ac:dyDescent="0.2">
      <c r="H18" s="65" t="str">
        <f>'PC LIST'!B31</f>
        <v>PR14ANHWSW_W-H1</v>
      </c>
      <c r="I18" s="65" t="str">
        <f>'PC LIST'!I31</f>
        <v>W-H1: Water infrastructure</v>
      </c>
      <c r="J18" s="65" t="str">
        <f>'PC LIST'!O31</f>
        <v>category</v>
      </c>
      <c r="K18" s="65" t="str">
        <f>'PC LIST'!P31</f>
        <v>Asset health indicator (RAG)</v>
      </c>
      <c r="L18" s="65" t="str">
        <f>'PC LIST'!Q31</f>
        <v>na</v>
      </c>
      <c r="M18" s="65" t="str">
        <f>'PC LIST'!J31</f>
        <v>PO</v>
      </c>
      <c r="N18" s="788" t="str">
        <f>'PC LIST'!BQ31</f>
        <v>Green</v>
      </c>
      <c r="O18" s="65" t="str">
        <f>'PC LIST'!B70</f>
        <v>PR14BRLHHR_I1</v>
      </c>
      <c r="P18" s="65" t="str">
        <f>'PC LIST'!I70</f>
        <v>I1: Percentage of customers in water poverty</v>
      </c>
      <c r="Q18" s="65" t="str">
        <f>'PC LIST'!O70</f>
        <v>%</v>
      </c>
      <c r="R18" s="65" t="str">
        <f>'PC LIST'!P70</f>
        <v>% customers in water poverty</v>
      </c>
      <c r="S18" s="65">
        <f>'PC LIST'!Q70</f>
        <v>1</v>
      </c>
      <c r="T18" s="65" t="str">
        <f>'PC LIST'!J70</f>
        <v>NFI</v>
      </c>
      <c r="U18" s="788">
        <f>'PC LIST'!BQ70</f>
        <v>0.37</v>
      </c>
      <c r="X18" s="60"/>
      <c r="Y18" s="60"/>
      <c r="Z18" s="60"/>
      <c r="AA18" s="60"/>
      <c r="AB18" s="60"/>
      <c r="AC18" s="65" t="str">
        <f>'PC LIST'!B104</f>
        <v>PR14NESWSWW_S-A1</v>
      </c>
      <c r="AD18" s="66" t="str">
        <f>'PC LIST'!I104</f>
        <v>S-A1: Asset health measures - wastewater</v>
      </c>
      <c r="AE18" s="66" t="str">
        <f>'PC LIST'!O104</f>
        <v>N/A</v>
      </c>
      <c r="AF18" s="66" t="str">
        <f>'PC LIST'!P104</f>
        <v>N/A (measured in separate PCs)</v>
      </c>
      <c r="AG18" s="65" t="str">
        <f>'PC LIST'!Q104</f>
        <v>na</v>
      </c>
      <c r="AH18" s="65" t="str">
        <f>'PC LIST'!J104</f>
        <v>NFI</v>
      </c>
      <c r="AI18" s="65" t="str">
        <f>'PC LIST'!BQ104</f>
        <v>n/a</v>
      </c>
      <c r="AQ18" s="65"/>
      <c r="AR18" s="65"/>
      <c r="AX18" s="65" t="str">
        <f>'PC LIST'!B176</f>
        <v>PR14SESHHR_B1</v>
      </c>
      <c r="AY18" s="65" t="str">
        <f>'PC LIST'!I176</f>
        <v>B1: Number of customers that are in water poverty and receiving assistance</v>
      </c>
      <c r="AZ18" s="65" t="str">
        <f>'PC LIST'!O176</f>
        <v>nr</v>
      </c>
      <c r="BA18" s="65" t="str">
        <f>'PC LIST'!P176</f>
        <v>No. of customers</v>
      </c>
      <c r="BB18" s="65">
        <f>'PC LIST'!Q176</f>
        <v>0</v>
      </c>
      <c r="BC18" s="65" t="str">
        <f>'PC LIST'!J176</f>
        <v>NFI</v>
      </c>
      <c r="BD18" s="789">
        <f>'PC LIST'!BQ176</f>
        <v>5686</v>
      </c>
      <c r="BE18" s="65" t="str">
        <f>'PC LIST'!B197</f>
        <v>PR14SEWWSW_J2</v>
      </c>
      <c r="BF18" s="65" t="str">
        <f>'PC LIST'!I197</f>
        <v>J2: Number of pollution incidents (category 1-2)</v>
      </c>
      <c r="BG18" s="65" t="str">
        <f>'PC LIST'!O197</f>
        <v>nr</v>
      </c>
      <c r="BH18" s="65" t="str">
        <f>'PC LIST'!P197</f>
        <v>No. of pollution incidents (cat 1 and 2)</v>
      </c>
      <c r="BI18" s="65">
        <f>'PC LIST'!Q197</f>
        <v>0</v>
      </c>
      <c r="BJ18" s="65" t="str">
        <f>'PC LIST'!J197</f>
        <v>NFI</v>
      </c>
      <c r="BK18" s="65">
        <f>'PC LIST'!BQ197</f>
        <v>0</v>
      </c>
      <c r="BL18" s="65" t="str">
        <f>'PC LIST'!B231</f>
        <v>PR14SRNWSWW_6</v>
      </c>
      <c r="BM18" s="65" t="str">
        <f>'PC LIST'!I231</f>
        <v>6: Wastewater treatment works numeric compliance</v>
      </c>
      <c r="BN18" s="65" t="str">
        <f>'PC LIST'!O231</f>
        <v>%</v>
      </c>
      <c r="BO18" s="65" t="str">
        <f>'PC LIST'!P231</f>
        <v>% compliance with WwTW regulations</v>
      </c>
      <c r="BP18" s="65">
        <f>'PC LIST'!Q231</f>
        <v>1</v>
      </c>
      <c r="BQ18" s="65" t="str">
        <f>'PC LIST'!J231</f>
        <v>PO</v>
      </c>
      <c r="BR18" s="65">
        <f>'PC LIST'!BQ231</f>
        <v>99.3</v>
      </c>
      <c r="BS18" s="65"/>
      <c r="BT18" s="65"/>
      <c r="BU18" s="65"/>
      <c r="BV18" s="65"/>
      <c r="BZ18" s="65" t="str">
        <f>'PC LIST'!B279</f>
        <v>PR14SVTWSW_W-B12</v>
      </c>
      <c r="CA18" s="65" t="str">
        <f>'PC LIST'!I279</f>
        <v>W-B12: Non-delivery of the community risk schemes</v>
      </c>
      <c r="CB18" s="65" t="str">
        <f>'PC LIST'!O279</f>
        <v>text</v>
      </c>
      <c r="CC18" s="65" t="str">
        <f>'PC LIST'!P279</f>
        <v>Scheme delivery (3 components)</v>
      </c>
      <c r="CD18" s="65" t="str">
        <f>'PC LIST'!Q279</f>
        <v>na</v>
      </c>
      <c r="CE18" s="65" t="str">
        <f>'PC LIST'!J279</f>
        <v>PO</v>
      </c>
      <c r="CF18" s="789" t="str">
        <f>'PC LIST'!BQ279</f>
        <v>NA</v>
      </c>
      <c r="CG18" s="65" t="str">
        <f>'PC LIST'!B324</f>
        <v>PR14SWTWSW_W-E3b</v>
      </c>
      <c r="CH18" s="67" t="str">
        <f>'PC LIST'!I324</f>
        <v>W-E3b: Catchment management (number of farms)</v>
      </c>
      <c r="CI18" s="67" t="str">
        <f>'PC LIST'!O324</f>
        <v>nr</v>
      </c>
      <c r="CJ18" s="67" t="str">
        <f>'PC LIST'!P324</f>
        <v>No. of farms (cumulative)</v>
      </c>
      <c r="CK18" s="65">
        <f>'PC LIST'!Q324</f>
        <v>0</v>
      </c>
      <c r="CL18" s="65" t="str">
        <f>'PC LIST'!J324</f>
        <v>NFI</v>
      </c>
      <c r="CM18" s="788">
        <f>'PC LIST'!BQ324</f>
        <v>849</v>
      </c>
      <c r="CN18" s="65" t="str">
        <f>'PC LIST'!B366</f>
        <v>PR14TMSWSW_WC3</v>
      </c>
      <c r="CO18" s="65" t="str">
        <f>'PC LIST'!I366</f>
        <v xml:space="preserve">WC3: Abstraction Incentive Mechanism (AIM) </v>
      </c>
      <c r="CP18" s="65" t="str">
        <f>'PC LIST'!O366</f>
        <v>TBC</v>
      </c>
      <c r="CQ18" s="65" t="str">
        <f>'PC LIST'!P366</f>
        <v>AIM score</v>
      </c>
      <c r="CR18" s="65" t="str">
        <f>'PC LIST'!Q366</f>
        <v>TBC</v>
      </c>
      <c r="CS18" s="65" t="str">
        <f>'PC LIST'!J366</f>
        <v>NFI</v>
      </c>
      <c r="CT18" s="65" t="str">
        <f>'PC LIST'!BQ366</f>
        <v>Not available</v>
      </c>
      <c r="CU18" s="65" t="str">
        <f>'PC LIST'!B421</f>
        <v>PR14UUWSWW_S-B2</v>
      </c>
      <c r="CV18" s="65" t="str">
        <f>'PC LIST'!I421</f>
        <v>S-B2: Sewer flooding index</v>
      </c>
      <c r="CW18" s="65" t="str">
        <f>'PC LIST'!O421</f>
        <v>score</v>
      </c>
      <c r="CX18" s="65" t="str">
        <f>'PC LIST'!P421</f>
        <v>Sewer flooding index (UU bespoke)</v>
      </c>
      <c r="CY18" s="65">
        <f>'PC LIST'!Q421</f>
        <v>1</v>
      </c>
      <c r="CZ18" s="65" t="str">
        <f>'PC LIST'!J421</f>
        <v>R&amp;P</v>
      </c>
      <c r="DA18" s="65">
        <f>'PC LIST'!BQ421</f>
        <v>100.8</v>
      </c>
      <c r="DB18" s="65" t="str">
        <f>'PC LIST'!B448</f>
        <v>PR14WSHWSWW_C2</v>
      </c>
      <c r="DC18" s="65" t="str">
        <f>'PC LIST'!I448</f>
        <v>C2: Carbon footprint - gigawatt-hours (GWh) of renewable energy generated</v>
      </c>
      <c r="DD18" s="65" t="str">
        <f>'PC LIST'!O448</f>
        <v>nr</v>
      </c>
      <c r="DE18" s="65" t="str">
        <f>'PC LIST'!P448</f>
        <v>GWh (gigawatt-hours)</v>
      </c>
      <c r="DF18" s="65">
        <f>'PC LIST'!Q448</f>
        <v>2</v>
      </c>
      <c r="DG18" s="65" t="str">
        <f>'PC LIST'!J448</f>
        <v>NFI</v>
      </c>
      <c r="DH18" s="788">
        <f>'PC LIST'!BQ448</f>
        <v>47.16</v>
      </c>
      <c r="DI18" s="65" t="str">
        <f>'PC LIST'!B479</f>
        <v>PR14WSXWSWW_B2</v>
      </c>
      <c r="DJ18" s="65" t="str">
        <f>'PC LIST'!I479</f>
        <v>B2: Monitoring CSOs</v>
      </c>
      <c r="DK18" s="65" t="str">
        <f>'PC LIST'!O479</f>
        <v>%</v>
      </c>
      <c r="DL18" s="65" t="str">
        <f>'PC LIST'!P479</f>
        <v>% CSOs presenting environmental risk with EDM installed</v>
      </c>
      <c r="DM18" s="65">
        <f>'PC LIST'!Q479</f>
        <v>0</v>
      </c>
      <c r="DN18" s="65" t="str">
        <f>'PC LIST'!J479</f>
        <v>PO</v>
      </c>
      <c r="DO18" s="65">
        <f>'PC LIST'!BQ479</f>
        <v>46</v>
      </c>
      <c r="DP18" s="65" t="str">
        <f>'PC LIST'!B511</f>
        <v>PR14YKYWSWW_SA2</v>
      </c>
      <c r="DQ18" s="65" t="str">
        <f>'PC LIST'!I511</f>
        <v>SA2: External sewer flooding incidents</v>
      </c>
      <c r="DR18" s="65" t="str">
        <f>'PC LIST'!O511</f>
        <v>nr</v>
      </c>
      <c r="DS18" s="65" t="str">
        <f>'PC LIST'!P511</f>
        <v>No. of external sewer flooding incidents</v>
      </c>
      <c r="DT18" s="65">
        <f>'PC LIST'!Q511</f>
        <v>0</v>
      </c>
      <c r="DU18" s="65" t="str">
        <f>'PC LIST'!J511</f>
        <v>NFI</v>
      </c>
      <c r="DV18" s="65">
        <f>'PC LIST'!BQ511</f>
        <v>9037</v>
      </c>
    </row>
    <row r="19" spans="8:126" ht="15.75" customHeight="1" x14ac:dyDescent="0.2">
      <c r="H19" s="65" t="str">
        <f>'PC LIST'!B32</f>
        <v>PR14ANHWSW_W-H2</v>
      </c>
      <c r="I19" s="65" t="str">
        <f>'PC LIST'!I32</f>
        <v>W-H2: Water non-infrastructure</v>
      </c>
      <c r="J19" s="65" t="str">
        <f>'PC LIST'!O32</f>
        <v>category</v>
      </c>
      <c r="K19" s="65" t="str">
        <f>'PC LIST'!P32</f>
        <v>Asset health indicator (RAG)</v>
      </c>
      <c r="L19" s="65" t="str">
        <f>'PC LIST'!Q32</f>
        <v>na</v>
      </c>
      <c r="M19" s="65" t="str">
        <f>'PC LIST'!J32</f>
        <v>PO</v>
      </c>
      <c r="N19" s="788" t="str">
        <f>'PC LIST'!BQ32</f>
        <v>Green</v>
      </c>
      <c r="O19" s="65" t="str">
        <f>'PC LIST'!B71</f>
        <v>PR14BRLHHR_J1</v>
      </c>
      <c r="P19" s="65" t="str">
        <f>'PC LIST'!I71</f>
        <v>J1: Service incentive mechanism (SIM)</v>
      </c>
      <c r="Q19" s="65" t="str">
        <f>'PC LIST'!O71</f>
        <v>text</v>
      </c>
      <c r="R19" s="65" t="str">
        <f>'PC LIST'!P71</f>
        <v>Service incentive mechanism (SIM) score ranking</v>
      </c>
      <c r="S19" s="65" t="str">
        <f>'PC LIST'!Q71</f>
        <v>na</v>
      </c>
      <c r="T19" s="65" t="str">
        <f>'PC LIST'!J71</f>
        <v>R&amp;P</v>
      </c>
      <c r="U19" s="788">
        <f>'PC LIST'!BQ71</f>
        <v>85.1</v>
      </c>
      <c r="X19" s="60"/>
      <c r="Y19" s="60"/>
      <c r="Z19" s="60"/>
      <c r="AA19" s="60"/>
      <c r="AB19" s="60"/>
      <c r="AC19" s="65" t="str">
        <f>'PC LIST'!B105</f>
        <v>PR14NESWSWW_S-B1</v>
      </c>
      <c r="AD19" s="66" t="str">
        <f>'PC LIST'!I105</f>
        <v>S-B1: Properties flooded externally</v>
      </c>
      <c r="AE19" s="66" t="str">
        <f>'PC LIST'!O105</f>
        <v>nr</v>
      </c>
      <c r="AF19" s="66" t="str">
        <f>'PC LIST'!P105</f>
        <v>No. of properties per year</v>
      </c>
      <c r="AG19" s="65">
        <f>'PC LIST'!Q105</f>
        <v>0</v>
      </c>
      <c r="AH19" s="65" t="str">
        <f>'PC LIST'!J105</f>
        <v>R&amp;P</v>
      </c>
      <c r="AI19" s="65">
        <f>'PC LIST'!BQ105</f>
        <v>1061</v>
      </c>
      <c r="AX19" s="65" t="str">
        <f>'PC LIST'!B177</f>
        <v>PR14SESHHR_B2</v>
      </c>
      <c r="AY19" s="65" t="str">
        <f>'PC LIST'!I177</f>
        <v>B2: Effectiveness of bad debt recovery (bad debt expressed as a percentage of turnover)</v>
      </c>
      <c r="AZ19" s="65" t="str">
        <f>'PC LIST'!O177</f>
        <v>%</v>
      </c>
      <c r="BA19" s="65" t="str">
        <f>'PC LIST'!P177</f>
        <v>Bad debt as % of total turnover</v>
      </c>
      <c r="BB19" s="65">
        <f>'PC LIST'!Q177</f>
        <v>2</v>
      </c>
      <c r="BC19" s="65" t="str">
        <f>'PC LIST'!J177</f>
        <v>NFI</v>
      </c>
      <c r="BD19" s="789">
        <f>'PC LIST'!BQ177</f>
        <v>0.75</v>
      </c>
      <c r="BE19" s="65" t="str">
        <f>'PC LIST'!B198</f>
        <v>PR14SEWWSW_K1</v>
      </c>
      <c r="BF19" s="65" t="str">
        <f>'PC LIST'!I198</f>
        <v>K1: Number of breaches of health and safety regulations, as defined by the Health and Safety Executive</v>
      </c>
      <c r="BG19" s="65" t="str">
        <f>'PC LIST'!O198</f>
        <v>nr</v>
      </c>
      <c r="BH19" s="65" t="str">
        <f>'PC LIST'!P198</f>
        <v>No. of H&amp;S regulation breaches</v>
      </c>
      <c r="BI19" s="65">
        <f>'PC LIST'!Q198</f>
        <v>0</v>
      </c>
      <c r="BJ19" s="65" t="str">
        <f>'PC LIST'!J198</f>
        <v>NFI</v>
      </c>
      <c r="BK19" s="65">
        <f>'PC LIST'!BQ198</f>
        <v>0</v>
      </c>
      <c r="BL19" s="65" t="str">
        <f>'PC LIST'!B232</f>
        <v>PR14SRNWSWW_7</v>
      </c>
      <c r="BM19" s="65" t="str">
        <f>'PC LIST'!I232</f>
        <v>7: Proportion of energy from renewable sources</v>
      </c>
      <c r="BN19" s="65" t="str">
        <f>'PC LIST'!O232</f>
        <v>%</v>
      </c>
      <c r="BO19" s="65" t="str">
        <f>'PC LIST'!P232</f>
        <v>% energy from renewable sources</v>
      </c>
      <c r="BP19" s="65">
        <f>'PC LIST'!Q232</f>
        <v>1</v>
      </c>
      <c r="BQ19" s="65" t="str">
        <f>'PC LIST'!J232</f>
        <v>NFI</v>
      </c>
      <c r="BR19" s="65">
        <f>'PC LIST'!BQ232</f>
        <v>17.3</v>
      </c>
      <c r="BU19" s="60"/>
      <c r="BV19" s="60"/>
      <c r="BW19" s="60"/>
      <c r="BX19" s="60"/>
      <c r="BY19" s="60"/>
      <c r="BZ19" s="65" t="str">
        <f>'PC LIST'!B280</f>
        <v>PR14SVTWSW_W-B13</v>
      </c>
      <c r="CA19" s="65" t="str">
        <f>'PC LIST'!I280</f>
        <v xml:space="preserve">W-B13: Timing delays on Elan Valley Aqueduct (EVA) maintenance </v>
      </c>
      <c r="CB19" s="65" t="str">
        <f>'PC LIST'!O280</f>
        <v>text</v>
      </c>
      <c r="CC19" s="65" t="str">
        <f>'PC LIST'!P280</f>
        <v>Scheme delivery</v>
      </c>
      <c r="CD19" s="65" t="str">
        <f>'PC LIST'!Q280</f>
        <v>na</v>
      </c>
      <c r="CE19" s="65" t="str">
        <f>'PC LIST'!J280</f>
        <v>PO</v>
      </c>
      <c r="CF19" s="789" t="str">
        <f>'PC LIST'!BQ280</f>
        <v>NA</v>
      </c>
      <c r="CG19" s="65" t="str">
        <f>'PC LIST'!B325</f>
        <v>PR14SWTWSW_W-E4</v>
      </c>
      <c r="CH19" s="67" t="str">
        <f>'PC LIST'!I325</f>
        <v>W-E4: Pollution incidents (category 1 and 2)</v>
      </c>
      <c r="CI19" s="67" t="str">
        <f>'PC LIST'!O325</f>
        <v>nr</v>
      </c>
      <c r="CJ19" s="67" t="str">
        <f>'PC LIST'!P325</f>
        <v>No. of pollution incidents (cats 1 and 2)</v>
      </c>
      <c r="CK19" s="65">
        <f>'PC LIST'!Q325</f>
        <v>0</v>
      </c>
      <c r="CL19" s="65" t="str">
        <f>'PC LIST'!J325</f>
        <v>PO</v>
      </c>
      <c r="CM19" s="788">
        <f>'PC LIST'!BQ325</f>
        <v>0</v>
      </c>
      <c r="CN19" s="65" t="str">
        <f>'PC LIST'!B367</f>
        <v>PR14TMSWSW_WC4</v>
      </c>
      <c r="CO19" s="65" t="str">
        <f>'PC LIST'!I367</f>
        <v>WC4: We will educate our existing and future customers</v>
      </c>
      <c r="CP19" s="65" t="str">
        <f>'PC LIST'!O367</f>
        <v>nr</v>
      </c>
      <c r="CQ19" s="65" t="str">
        <f>'PC LIST'!P367</f>
        <v>No. of children directly engaged</v>
      </c>
      <c r="CR19" s="65">
        <f>'PC LIST'!Q367</f>
        <v>0</v>
      </c>
      <c r="CS19" s="65" t="str">
        <f>'PC LIST'!J367</f>
        <v>NFI</v>
      </c>
      <c r="CT19" s="65">
        <f>'PC LIST'!BQ367</f>
        <v>17491</v>
      </c>
      <c r="CU19" s="65" t="str">
        <f>'PC LIST'!B422</f>
        <v>PR14UUWSWW_S-C1</v>
      </c>
      <c r="CV19" s="65" t="str">
        <f>'PC LIST'!I422</f>
        <v>S-C1: Contribution to bathing waters improved (includes NEP phase 3&amp;4 bathing water intermittent discharge projects)</v>
      </c>
      <c r="CW19" s="65" t="str">
        <f>'PC LIST'!O422</f>
        <v>nr</v>
      </c>
      <c r="CX19" s="65" t="str">
        <f>'PC LIST'!P422</f>
        <v>Bathing water equivalent (BWE)</v>
      </c>
      <c r="CY19" s="65">
        <f>'PC LIST'!Q422</f>
        <v>2</v>
      </c>
      <c r="CZ19" s="65" t="str">
        <f>'PC LIST'!J422</f>
        <v>PO</v>
      </c>
      <c r="DA19" s="65">
        <f>'PC LIST'!BQ422</f>
        <v>0.47</v>
      </c>
      <c r="DB19" s="65" t="str">
        <f>'PC LIST'!B449</f>
        <v>PR14WSHWSWW_D1</v>
      </c>
      <c r="DC19" s="65" t="str">
        <f>'PC LIST'!I449</f>
        <v>D1: Service incentive mechanism</v>
      </c>
      <c r="DD19" s="65" t="str">
        <f>'PC LIST'!O449</f>
        <v>text</v>
      </c>
      <c r="DE19" s="65" t="str">
        <f>'PC LIST'!P449</f>
        <v>Service incentive mechanism (SIM) score ranking</v>
      </c>
      <c r="DF19" s="65" t="str">
        <f>'PC LIST'!Q449</f>
        <v>na</v>
      </c>
      <c r="DG19" s="65" t="str">
        <f>'PC LIST'!J449</f>
        <v>R&amp;P</v>
      </c>
      <c r="DH19" s="788">
        <f>'PC LIST'!BQ449</f>
        <v>83</v>
      </c>
      <c r="DI19" s="65" t="str">
        <f>'PC LIST'!B480</f>
        <v>PR14WSXWSWW_B3</v>
      </c>
      <c r="DJ19" s="65" t="str">
        <f>'PC LIST'!I480</f>
        <v>B3: River water quality improved</v>
      </c>
      <c r="DK19" s="65" t="str">
        <f>'PC LIST'!O480</f>
        <v>nr</v>
      </c>
      <c r="DL19" s="65" t="str">
        <f>'PC LIST'!P480</f>
        <v>No. water bodies improved through WwTW investments</v>
      </c>
      <c r="DM19" s="65">
        <f>'PC LIST'!Q480</f>
        <v>0</v>
      </c>
      <c r="DN19" s="65" t="str">
        <f>'PC LIST'!J480</f>
        <v>R&amp;P</v>
      </c>
      <c r="DO19" s="65">
        <f>'PC LIST'!BQ480</f>
        <v>0</v>
      </c>
      <c r="DP19" s="65" t="str">
        <f>'PC LIST'!B512</f>
        <v>PR14YKYWSWW_SA3a</v>
      </c>
      <c r="DQ19" s="65" t="str">
        <f>'PC LIST'!I512</f>
        <v>SA3a: Pollution incidents - category 1 and 2</v>
      </c>
      <c r="DR19" s="65" t="str">
        <f>'PC LIST'!O512</f>
        <v>nr</v>
      </c>
      <c r="DS19" s="65" t="str">
        <f>'PC LIST'!P512</f>
        <v>No. of pollution incidents (cats 1 and 2)</v>
      </c>
      <c r="DT19" s="65">
        <f>'PC LIST'!Q512</f>
        <v>0</v>
      </c>
      <c r="DU19" s="65" t="str">
        <f>'PC LIST'!J512</f>
        <v>NFI</v>
      </c>
      <c r="DV19" s="65">
        <f>'PC LIST'!BQ512</f>
        <v>5</v>
      </c>
    </row>
    <row r="20" spans="8:126" ht="15.75" customHeight="1" x14ac:dyDescent="0.2">
      <c r="H20" s="65" t="str">
        <f>'PC LIST'!B33</f>
        <v>PR14ANHWSW_W-I1</v>
      </c>
      <c r="I20" s="65" t="str">
        <f>'PC LIST'!I33</f>
        <v>W-I1: Mean zonal compliance (MZC)</v>
      </c>
      <c r="J20" s="65" t="str">
        <f>'PC LIST'!O33</f>
        <v>%</v>
      </c>
      <c r="K20" s="65" t="str">
        <f>'PC LIST'!P33</f>
        <v>Mean zonal compliance (%)</v>
      </c>
      <c r="L20" s="65">
        <f>'PC LIST'!Q33</f>
        <v>2</v>
      </c>
      <c r="M20" s="65" t="str">
        <f>'PC LIST'!J33</f>
        <v>PO</v>
      </c>
      <c r="N20" s="788">
        <f>'PC LIST'!BQ33</f>
        <v>99.97</v>
      </c>
      <c r="O20" s="65" t="str">
        <f>'PC LIST'!B72</f>
        <v>PR14BRLHHR_J2</v>
      </c>
      <c r="P20" s="65" t="str">
        <f>'PC LIST'!I72</f>
        <v>J2: General satisfaction from surveys</v>
      </c>
      <c r="Q20" s="65" t="str">
        <f>'PC LIST'!O72</f>
        <v>%</v>
      </c>
      <c r="R20" s="65" t="str">
        <f>'PC LIST'!P72</f>
        <v>% customer satisfaction</v>
      </c>
      <c r="S20" s="65">
        <f>'PC LIST'!Q72</f>
        <v>0</v>
      </c>
      <c r="T20" s="65" t="str">
        <f>'PC LIST'!J72</f>
        <v>NFI</v>
      </c>
      <c r="U20" s="788">
        <f>'PC LIST'!BQ72</f>
        <v>83</v>
      </c>
      <c r="AC20" s="65" t="str">
        <f>'PC LIST'!B106</f>
        <v>PR14NESWSWW_S-B2</v>
      </c>
      <c r="AD20" s="66" t="str">
        <f>'PC LIST'!I106</f>
        <v>S-B2: Properties flooded internally</v>
      </c>
      <c r="AE20" s="66" t="str">
        <f>'PC LIST'!O106</f>
        <v>nr</v>
      </c>
      <c r="AF20" s="66" t="str">
        <f>'PC LIST'!P106</f>
        <v>No. of properties flooded internally per year</v>
      </c>
      <c r="AG20" s="65">
        <f>'PC LIST'!Q106</f>
        <v>0</v>
      </c>
      <c r="AH20" s="65" t="str">
        <f>'PC LIST'!J106</f>
        <v>R&amp;P</v>
      </c>
      <c r="AI20" s="65">
        <f>'PC LIST'!BQ106</f>
        <v>143</v>
      </c>
      <c r="AX20" s="65" t="str">
        <f>'PC LIST'!B178</f>
        <v>PR14SESHHR_B3</v>
      </c>
      <c r="AY20" s="65" t="str">
        <f>'PC LIST'!I178</f>
        <v>B3: Customer perception of value for money</v>
      </c>
      <c r="AZ20" s="65" t="str">
        <f>'PC LIST'!O178</f>
        <v>%</v>
      </c>
      <c r="BA20" s="65" t="str">
        <f>'PC LIST'!P178</f>
        <v>% customer satisfaction</v>
      </c>
      <c r="BB20" s="65">
        <f>'PC LIST'!Q178</f>
        <v>0</v>
      </c>
      <c r="BC20" s="65" t="str">
        <f>'PC LIST'!J178</f>
        <v>NFI</v>
      </c>
      <c r="BD20" s="789">
        <f>'PC LIST'!BQ178</f>
        <v>9</v>
      </c>
      <c r="BE20" s="65" t="str">
        <f>'PC LIST'!B199</f>
        <v>PR14SEWWSW_L1</v>
      </c>
      <c r="BF20" s="65" t="str">
        <f>'PC LIST'!I199</f>
        <v>L1: Number of breaches of National Security obligations (Security and Emergency Measures Direction)</v>
      </c>
      <c r="BG20" s="65" t="str">
        <f>'PC LIST'!O199</f>
        <v>nr</v>
      </c>
      <c r="BH20" s="65" t="str">
        <f>'PC LIST'!P199</f>
        <v>No. of SEMD compliance breaches</v>
      </c>
      <c r="BI20" s="65">
        <f>'PC LIST'!Q199</f>
        <v>0</v>
      </c>
      <c r="BJ20" s="65" t="str">
        <f>'PC LIST'!J199</f>
        <v>NFI</v>
      </c>
      <c r="BK20" s="65">
        <f>'PC LIST'!BQ199</f>
        <v>0</v>
      </c>
      <c r="BL20" s="65" t="str">
        <f>'PC LIST'!B233</f>
        <v>PR14SRNWSWW_8</v>
      </c>
      <c r="BM20" s="65" t="str">
        <f>'PC LIST'!I233</f>
        <v>8: Bathing waters with ‘excellent’ water quality (part 1)</v>
      </c>
      <c r="BN20" s="65" t="str">
        <f>'PC LIST'!O233</f>
        <v>nr</v>
      </c>
      <c r="BO20" s="65" t="str">
        <f>'PC LIST'!P233</f>
        <v>No. of bathing waters</v>
      </c>
      <c r="BP20" s="65">
        <f>'PC LIST'!Q233</f>
        <v>0</v>
      </c>
      <c r="BQ20" s="65" t="str">
        <f>'PC LIST'!J233</f>
        <v>R&amp;P</v>
      </c>
      <c r="BR20" s="65">
        <f>'PC LIST'!BQ233</f>
        <v>43</v>
      </c>
      <c r="BU20" s="60"/>
      <c r="BV20" s="60"/>
      <c r="BW20" s="60"/>
      <c r="BX20" s="60"/>
      <c r="BY20" s="60"/>
      <c r="BZ20" s="65" t="str">
        <f>'PC LIST'!B281</f>
        <v>PR14SVTWSW_W-B14</v>
      </c>
      <c r="CA20" s="65" t="str">
        <f>'PC LIST'!I281</f>
        <v>W-B14: Non-delivery of the Elan Valley Aqueduct (EVA) maintenance</v>
      </c>
      <c r="CB20" s="65" t="str">
        <f>'PC LIST'!O281</f>
        <v>text</v>
      </c>
      <c r="CC20" s="65" t="str">
        <f>'PC LIST'!P281</f>
        <v>Scheme delivery</v>
      </c>
      <c r="CD20" s="65" t="str">
        <f>'PC LIST'!Q281</f>
        <v>na</v>
      </c>
      <c r="CE20" s="65" t="str">
        <f>'PC LIST'!J281</f>
        <v>PO</v>
      </c>
      <c r="CF20" s="789" t="str">
        <f>'PC LIST'!BQ281</f>
        <v>NA</v>
      </c>
      <c r="CG20" s="65" t="str">
        <f>'PC LIST'!B326</f>
        <v>PR14SWTWSW_W-E5</v>
      </c>
      <c r="CH20" s="67" t="str">
        <f>'PC LIST'!I326</f>
        <v>W-E5: Pollution incidents (category 3 and 4)</v>
      </c>
      <c r="CI20" s="67" t="str">
        <f>'PC LIST'!O326</f>
        <v>nr</v>
      </c>
      <c r="CJ20" s="67" t="str">
        <f>'PC LIST'!P326</f>
        <v>No. of pollution incidents (cats 3 and 4)</v>
      </c>
      <c r="CK20" s="65">
        <f>'PC LIST'!Q326</f>
        <v>0</v>
      </c>
      <c r="CL20" s="65" t="str">
        <f>'PC LIST'!J326</f>
        <v>PO</v>
      </c>
      <c r="CM20" s="788">
        <f>'PC LIST'!BQ326</f>
        <v>5</v>
      </c>
      <c r="CN20" s="65" t="str">
        <f>'PC LIST'!B368</f>
        <v>PR14TMSWSW_WC5</v>
      </c>
      <c r="CO20" s="65" t="str">
        <f>'PC LIST'!I368</f>
        <v>WC5: Deliver 100% of agreed measures to meet new environmental regulations</v>
      </c>
      <c r="CP20" s="65" t="str">
        <f>'PC LIST'!O368</f>
        <v>%</v>
      </c>
      <c r="CQ20" s="65" t="str">
        <f>'PC LIST'!P368</f>
        <v>% of agreed schemes completed</v>
      </c>
      <c r="CR20" s="65">
        <f>'PC LIST'!Q368</f>
        <v>0</v>
      </c>
      <c r="CS20" s="65" t="str">
        <f>'PC LIST'!J368</f>
        <v>PO</v>
      </c>
      <c r="CT20" s="65">
        <f>'PC LIST'!BQ368</f>
        <v>0</v>
      </c>
      <c r="CU20" s="65" t="str">
        <f>'PC LIST'!B423</f>
        <v>PR14UUWSWW_S-D1</v>
      </c>
      <c r="CV20" s="65" t="str">
        <f>'PC LIST'!I423</f>
        <v>S-D1: Protecting rivers from deterioration due to population growth (includes Davyhulme non-delivery penalty)</v>
      </c>
      <c r="CW20" s="65" t="str">
        <f>'PC LIST'!O423</f>
        <v>nr</v>
      </c>
      <c r="CX20" s="65" t="str">
        <f>'PC LIST'!P423</f>
        <v>Kilometers (km) rivers protected from deterioration</v>
      </c>
      <c r="CY20" s="65">
        <f>'PC LIST'!Q423</f>
        <v>1</v>
      </c>
      <c r="CZ20" s="65" t="str">
        <f>'PC LIST'!J423</f>
        <v>PO</v>
      </c>
      <c r="DA20" s="65">
        <f>'PC LIST'!BQ423</f>
        <v>48</v>
      </c>
      <c r="DB20" s="65" t="str">
        <f>'PC LIST'!B450</f>
        <v>PR14WSHWSWW_D2</v>
      </c>
      <c r="DC20" s="65" t="str">
        <f>'PC LIST'!I450</f>
        <v>D2: ‘At risk’ customer services - number of customers who have experienced poor service</v>
      </c>
      <c r="DD20" s="65" t="str">
        <f>'PC LIST'!O450</f>
        <v>nr</v>
      </c>
      <c r="DE20" s="65" t="str">
        <f>'PC LIST'!P450</f>
        <v>No. of properties/ incidents on the internal 'at risk' register</v>
      </c>
      <c r="DF20" s="65">
        <f>'PC LIST'!Q450</f>
        <v>0</v>
      </c>
      <c r="DG20" s="65" t="str">
        <f>'PC LIST'!J450</f>
        <v>NFI</v>
      </c>
      <c r="DH20" s="788">
        <f>'PC LIST'!BQ450</f>
        <v>648</v>
      </c>
      <c r="DI20" s="65" t="str">
        <f>'PC LIST'!B481</f>
        <v>PR14WSXWSWW_C1</v>
      </c>
      <c r="DJ20" s="65" t="str">
        <f>'PC LIST'!I481</f>
        <v>C1: Internal flooding incidents</v>
      </c>
      <c r="DK20" s="65" t="str">
        <f>'PC LIST'!O481</f>
        <v>nr</v>
      </c>
      <c r="DL20" s="65" t="str">
        <f>'PC LIST'!P481</f>
        <v>No. of internal sewer flooding incidents / 10,000 properties</v>
      </c>
      <c r="DM20" s="65">
        <f>'PC LIST'!Q481</f>
        <v>2</v>
      </c>
      <c r="DN20" s="65" t="str">
        <f>'PC LIST'!J481</f>
        <v>R&amp;P</v>
      </c>
      <c r="DO20" s="65">
        <f>'PC LIST'!BQ481</f>
        <v>1.36</v>
      </c>
      <c r="DP20" s="65" t="str">
        <f>'PC LIST'!B513</f>
        <v>PR14YKYWSWW_SA3b</v>
      </c>
      <c r="DQ20" s="65" t="str">
        <f>'PC LIST'!I513</f>
        <v>SA3b: Pollution incidents - category 3</v>
      </c>
      <c r="DR20" s="65" t="str">
        <f>'PC LIST'!O513</f>
        <v>nr</v>
      </c>
      <c r="DS20" s="65" t="str">
        <f>'PC LIST'!P513</f>
        <v>No. of pollution incidents (cat 3)</v>
      </c>
      <c r="DT20" s="65">
        <f>'PC LIST'!Q513</f>
        <v>0</v>
      </c>
      <c r="DU20" s="65" t="str">
        <f>'PC LIST'!J513</f>
        <v>R&amp;P</v>
      </c>
      <c r="DV20" s="65">
        <f>'PC LIST'!BQ513</f>
        <v>180</v>
      </c>
    </row>
    <row r="21" spans="8:126" ht="15.75" customHeight="1" x14ac:dyDescent="0.2">
      <c r="H21" s="65" t="str">
        <f>'PC LIST'!B34</f>
        <v>PR14ANHWSWW_S-A2</v>
      </c>
      <c r="I21" s="65" t="str">
        <f>'PC LIST'!I34</f>
        <v>S-A2: Properties flooded internally from sewers - three-year average (reduction)</v>
      </c>
      <c r="J21" s="65" t="str">
        <f>'PC LIST'!O34</f>
        <v>nr</v>
      </c>
      <c r="K21" s="65" t="str">
        <f>'PC LIST'!P34</f>
        <v>No. of properties flooded internally (reduction)</v>
      </c>
      <c r="L21" s="65">
        <f>'PC LIST'!Q34</f>
        <v>0</v>
      </c>
      <c r="M21" s="65" t="str">
        <f>'PC LIST'!J34</f>
        <v>R&amp;P</v>
      </c>
      <c r="N21" s="788">
        <f>'PC LIST'!BQ34</f>
        <v>61</v>
      </c>
      <c r="O21" s="65" t="str">
        <f>'PC LIST'!B73</f>
        <v>PR14BRLHHR_J3</v>
      </c>
      <c r="P21" s="65" t="str">
        <f>'PC LIST'!I73</f>
        <v>J3: Value for money</v>
      </c>
      <c r="Q21" s="65" t="str">
        <f>'PC LIST'!O73</f>
        <v>%</v>
      </c>
      <c r="R21" s="65" t="str">
        <f>'PC LIST'!P73</f>
        <v>% customer satisfaction</v>
      </c>
      <c r="S21" s="65">
        <f>'PC LIST'!Q73</f>
        <v>0</v>
      </c>
      <c r="T21" s="65" t="str">
        <f>'PC LIST'!J73</f>
        <v>NFI</v>
      </c>
      <c r="U21" s="788">
        <f>'PC LIST'!BQ73</f>
        <v>78</v>
      </c>
      <c r="AC21" s="65" t="str">
        <f>'PC LIST'!B107</f>
        <v>PR14NESWSWW_S-B3</v>
      </c>
      <c r="AD21" s="66" t="str">
        <f>'PC LIST'!I107</f>
        <v>S-B3: Repeat sewer flooding</v>
      </c>
      <c r="AE21" s="66" t="str">
        <f>'PC LIST'!O107</f>
        <v>nr</v>
      </c>
      <c r="AF21" s="66" t="str">
        <f>'PC LIST'!P107</f>
        <v>No. of properties per year</v>
      </c>
      <c r="AG21" s="65">
        <f>'PC LIST'!Q107</f>
        <v>0</v>
      </c>
      <c r="AH21" s="65" t="str">
        <f>'PC LIST'!J107</f>
        <v>R&amp;P</v>
      </c>
      <c r="AI21" s="65">
        <f>'PC LIST'!BQ107</f>
        <v>184</v>
      </c>
      <c r="AX21" s="65" t="str">
        <f>'PC LIST'!B179</f>
        <v>PR14SESHHR_D1</v>
      </c>
      <c r="AY21" s="65" t="str">
        <f>'PC LIST'!I179</f>
        <v>D1: Customer satisfaction (level of satisfaction in response to the tracker survey (overall quality score))</v>
      </c>
      <c r="AZ21" s="65" t="str">
        <f>'PC LIST'!O179</f>
        <v>%</v>
      </c>
      <c r="BA21" s="65" t="str">
        <f>'PC LIST'!P179</f>
        <v>% customer satisfaction</v>
      </c>
      <c r="BB21" s="65">
        <f>'PC LIST'!Q179</f>
        <v>1</v>
      </c>
      <c r="BC21" s="65" t="str">
        <f>'PC LIST'!J179</f>
        <v>NFI</v>
      </c>
      <c r="BD21" s="789">
        <f>'PC LIST'!BQ179</f>
        <v>91.5</v>
      </c>
      <c r="BE21" s="65" t="str">
        <f>'PC LIST'!B200</f>
        <v>PR14SEWWSW_M1</v>
      </c>
      <c r="BF21" s="65" t="str">
        <f>'PC LIST'!I200</f>
        <v>M1: Number of compliance breaches with statutory obligations and licence conditions, not already reported in performance on outcomes I through to K</v>
      </c>
      <c r="BG21" s="65" t="str">
        <f>'PC LIST'!O200</f>
        <v>nr</v>
      </c>
      <c r="BH21" s="65" t="str">
        <f>'PC LIST'!P200</f>
        <v>No. of other compliance breaches</v>
      </c>
      <c r="BI21" s="65">
        <f>'PC LIST'!Q200</f>
        <v>0</v>
      </c>
      <c r="BJ21" s="65" t="str">
        <f>'PC LIST'!J200</f>
        <v>NFI</v>
      </c>
      <c r="BK21" s="65">
        <f>'PC LIST'!BQ200</f>
        <v>0</v>
      </c>
      <c r="BL21" s="65" t="str">
        <f>'PC LIST'!B234</f>
        <v>PR14SRNWSWW_9</v>
      </c>
      <c r="BM21" s="65" t="str">
        <f>'PC LIST'!I234</f>
        <v>9: Bathing waters with ‘excellent’ water quality (part 2)</v>
      </c>
      <c r="BN21" s="65" t="str">
        <f>'PC LIST'!O234</f>
        <v>nr</v>
      </c>
      <c r="BO21" s="65" t="str">
        <f>'PC LIST'!P234</f>
        <v>No. of bathing waters</v>
      </c>
      <c r="BP21" s="65">
        <f>'PC LIST'!Q234</f>
        <v>0</v>
      </c>
      <c r="BQ21" s="65" t="str">
        <f>'PC LIST'!J234</f>
        <v>R&amp;P</v>
      </c>
      <c r="BR21" s="65">
        <f>'PC LIST'!BQ234</f>
        <v>0</v>
      </c>
      <c r="BU21" s="60"/>
      <c r="BV21" s="60"/>
      <c r="BW21" s="60"/>
      <c r="BX21" s="60"/>
      <c r="BY21" s="60"/>
      <c r="BZ21" s="65" t="str">
        <f>'PC LIST'!B282</f>
        <v>PR14SVTWSW_W-C1</v>
      </c>
      <c r="CA21" s="65" t="str">
        <f>'PC LIST'!I282</f>
        <v>W-C1: Customers rating our services as good value for money (based on tracker survey)</v>
      </c>
      <c r="CB21" s="65" t="str">
        <f>'PC LIST'!O282</f>
        <v>%</v>
      </c>
      <c r="CC21" s="65" t="str">
        <f>'PC LIST'!P282</f>
        <v>% customer satisfaction</v>
      </c>
      <c r="CD21" s="65">
        <f>'PC LIST'!Q282</f>
        <v>0</v>
      </c>
      <c r="CE21" s="65" t="str">
        <f>'PC LIST'!J282</f>
        <v>R&amp;P</v>
      </c>
      <c r="CF21" s="789">
        <f>'PC LIST'!BQ282</f>
        <v>57.5</v>
      </c>
      <c r="CG21" s="65" t="str">
        <f>'PC LIST'!B327</f>
        <v>PR14SWTWSW_W-E6</v>
      </c>
      <c r="CH21" s="67" t="str">
        <f>'PC LIST'!I327</f>
        <v>W-E6: Operational carbon emissions (ktCO2e)</v>
      </c>
      <c r="CI21" s="67" t="str">
        <f>'PC LIST'!O327</f>
        <v>nr</v>
      </c>
      <c r="CJ21" s="67" t="str">
        <f>'PC LIST'!P327</f>
        <v>ktCO2e</v>
      </c>
      <c r="CK21" s="65">
        <f>'PC LIST'!Q327</f>
        <v>1</v>
      </c>
      <c r="CL21" s="65" t="str">
        <f>'PC LIST'!J327</f>
        <v>NFI</v>
      </c>
      <c r="CM21" s="788">
        <f>'PC LIST'!BQ327</f>
        <v>61.8</v>
      </c>
      <c r="CN21" s="65" t="str">
        <f>'PC LIST'!B369</f>
        <v>PR14TMSWSW_WD1</v>
      </c>
      <c r="CO21" s="65" t="str">
        <f>'PC LIST'!I369</f>
        <v>WD1: Energy imported less energy exported</v>
      </c>
      <c r="CP21" s="65" t="str">
        <f>'PC LIST'!O369</f>
        <v>nr</v>
      </c>
      <c r="CQ21" s="65" t="str">
        <f>'PC LIST'!P369</f>
        <v>GWh (gigawatt-hours)</v>
      </c>
      <c r="CR21" s="65">
        <f>'PC LIST'!Q369</f>
        <v>0</v>
      </c>
      <c r="CS21" s="65" t="str">
        <f>'PC LIST'!J369</f>
        <v>NFI</v>
      </c>
      <c r="CT21" s="65">
        <f>'PC LIST'!BQ369</f>
        <v>495.80599999999998</v>
      </c>
      <c r="CU21" s="65" t="str">
        <f>'PC LIST'!B424</f>
        <v>PR14UUWSWW_S-D2</v>
      </c>
      <c r="CV21" s="65" t="str">
        <f>'PC LIST'!I424</f>
        <v>S-D2: Maintaining our wastewater treatment works (includes Oldham and Royton WwTWs special cost factor claims)</v>
      </c>
      <c r="CW21" s="65" t="str">
        <f>'PC LIST'!O424</f>
        <v>score</v>
      </c>
      <c r="CX21" s="65" t="str">
        <f>'PC LIST'!P424</f>
        <v>Maintaining WwTWs index (UU bespoke)</v>
      </c>
      <c r="CY21" s="65">
        <f>'PC LIST'!Q424</f>
        <v>4</v>
      </c>
      <c r="CZ21" s="65" t="str">
        <f>'PC LIST'!J424</f>
        <v>PO</v>
      </c>
      <c r="DA21" s="65">
        <f>'PC LIST'!BQ424</f>
        <v>91.484700000000004</v>
      </c>
      <c r="DB21" s="65" t="str">
        <f>'PC LIST'!B451</f>
        <v>PR14WSHWSWW_D3</v>
      </c>
      <c r="DC21" s="65" t="str">
        <f>'PC LIST'!I451</f>
        <v>D3: Internal sewer flooding - properties flooded in the year</v>
      </c>
      <c r="DD21" s="65" t="str">
        <f>'PC LIST'!O451</f>
        <v>nr</v>
      </c>
      <c r="DE21" s="65" t="str">
        <f>'PC LIST'!P451</f>
        <v>No. of properties subjected to internal sewer flooding</v>
      </c>
      <c r="DF21" s="65">
        <f>'PC LIST'!Q451</f>
        <v>0</v>
      </c>
      <c r="DG21" s="65" t="str">
        <f>'PC LIST'!J451</f>
        <v>R&amp;P</v>
      </c>
      <c r="DH21" s="788">
        <f>'PC LIST'!BQ451</f>
        <v>223</v>
      </c>
      <c r="DI21" s="65" t="str">
        <f>'PC LIST'!B482</f>
        <v>PR14WSXWSWW_C2</v>
      </c>
      <c r="DJ21" s="65" t="str">
        <f>'PC LIST'!I482</f>
        <v>C2: Risk of flooding from public sewers due to hydraulic inadequacy</v>
      </c>
      <c r="DK21" s="65" t="str">
        <f>'PC LIST'!O482</f>
        <v>nr</v>
      </c>
      <c r="DL21" s="65" t="str">
        <f>'PC LIST'!P482</f>
        <v>Flooding risk as measured by sewer flooding risk grid</v>
      </c>
      <c r="DM21" s="65">
        <f>'PC LIST'!Q482</f>
        <v>0</v>
      </c>
      <c r="DN21" s="65" t="str">
        <f>'PC LIST'!J482</f>
        <v>R&amp;P</v>
      </c>
      <c r="DO21" s="65">
        <f>'PC LIST'!BQ482</f>
        <v>51509</v>
      </c>
      <c r="DP21" s="65" t="str">
        <f>'PC LIST'!B514</f>
        <v>PR14YKYWSWW_SA4</v>
      </c>
      <c r="DQ21" s="65" t="str">
        <f>'PC LIST'!I514</f>
        <v>SA4: Sewer network stability and reliability factor</v>
      </c>
      <c r="DR21" s="65" t="str">
        <f>'PC LIST'!O514</f>
        <v>category</v>
      </c>
      <c r="DS21" s="65" t="str">
        <f>'PC LIST'!P514</f>
        <v>Asset health indicator</v>
      </c>
      <c r="DT21" s="65" t="str">
        <f>'PC LIST'!Q514</f>
        <v>na</v>
      </c>
      <c r="DU21" s="65" t="str">
        <f>'PC LIST'!J514</f>
        <v>PO</v>
      </c>
      <c r="DV21" s="65" t="str">
        <f>'PC LIST'!BQ514</f>
        <v xml:space="preserve">Stable </v>
      </c>
    </row>
    <row r="22" spans="8:126" ht="15.75" customHeight="1" x14ac:dyDescent="0.2">
      <c r="H22" s="65" t="str">
        <f>'PC LIST'!B35</f>
        <v>PR14ANHWSWW_S-A3</v>
      </c>
      <c r="I22" s="65" t="str">
        <f>'PC LIST'!I35</f>
        <v>S-A3: Properties flooded externally from sewers - three-year average (reduction)</v>
      </c>
      <c r="J22" s="65" t="str">
        <f>'PC LIST'!O35</f>
        <v>nr</v>
      </c>
      <c r="K22" s="65" t="str">
        <f>'PC LIST'!P35</f>
        <v>No. of properties flooded externally (reduction)</v>
      </c>
      <c r="L22" s="65">
        <f>'PC LIST'!Q35</f>
        <v>0</v>
      </c>
      <c r="M22" s="65" t="str">
        <f>'PC LIST'!J35</f>
        <v>PO</v>
      </c>
      <c r="N22" s="788">
        <f>'PC LIST'!BQ35</f>
        <v>536</v>
      </c>
      <c r="O22" s="65" t="str">
        <f>'PC LIST'!B74</f>
        <v>PR14BRLHHR_K1</v>
      </c>
      <c r="P22" s="65" t="str">
        <f>'PC LIST'!I74</f>
        <v>K1: Ease of contact from surveys</v>
      </c>
      <c r="Q22" s="65" t="str">
        <f>'PC LIST'!O74</f>
        <v>%</v>
      </c>
      <c r="R22" s="65" t="str">
        <f>'PC LIST'!P74</f>
        <v>% customer satisfaction</v>
      </c>
      <c r="S22" s="65">
        <f>'PC LIST'!Q74</f>
        <v>1</v>
      </c>
      <c r="T22" s="65" t="str">
        <f>'PC LIST'!J74</f>
        <v>NFI</v>
      </c>
      <c r="U22" s="788">
        <f>'PC LIST'!BQ74</f>
        <v>93.1</v>
      </c>
      <c r="AC22" s="65" t="str">
        <f>'PC LIST'!B108</f>
        <v>PR14NESWSWW_S-B4</v>
      </c>
      <c r="AD22" s="66" t="str">
        <f>'PC LIST'!I108</f>
        <v>S-B4: Sewer collapses</v>
      </c>
      <c r="AE22" s="66" t="str">
        <f>'PC LIST'!O108</f>
        <v>nr</v>
      </c>
      <c r="AF22" s="66" t="str">
        <f>'PC LIST'!P108</f>
        <v>No. of sewer collapses per year - excluding TDSs</v>
      </c>
      <c r="AG22" s="65">
        <f>'PC LIST'!Q108</f>
        <v>0</v>
      </c>
      <c r="AH22" s="65" t="str">
        <f>'PC LIST'!J108</f>
        <v>PO</v>
      </c>
      <c r="AI22" s="65">
        <f>'PC LIST'!BQ108</f>
        <v>48</v>
      </c>
      <c r="AX22" s="65" t="str">
        <f>'PC LIST'!B180</f>
        <v>PR14SESHHR_D2</v>
      </c>
      <c r="AY22" s="65" t="str">
        <f>'PC LIST'!I180</f>
        <v>D2: Service incentive mechanism (SIM)</v>
      </c>
      <c r="AZ22" s="65" t="str">
        <f>'PC LIST'!O180</f>
        <v>score</v>
      </c>
      <c r="BA22" s="65" t="str">
        <f>'PC LIST'!P180</f>
        <v>Service incentive mechanism (SIM) score</v>
      </c>
      <c r="BB22" s="65">
        <f>'PC LIST'!Q180</f>
        <v>1</v>
      </c>
      <c r="BC22" s="65" t="str">
        <f>'PC LIST'!J180</f>
        <v>R&amp;P</v>
      </c>
      <c r="BD22" s="789">
        <f>'PC LIST'!BQ180</f>
        <v>80.8</v>
      </c>
      <c r="BE22" s="65" t="str">
        <f>'PC LIST'!B201</f>
        <v>PR14SEWWSW_N1</v>
      </c>
      <c r="BF22" s="65" t="str">
        <f>'PC LIST'!I201</f>
        <v>N1: Discolouration contacts</v>
      </c>
      <c r="BG22" s="65" t="str">
        <f>'PC LIST'!O201</f>
        <v>nr</v>
      </c>
      <c r="BH22" s="65" t="str">
        <f>'PC LIST'!P201</f>
        <v>No. per 1,000 population</v>
      </c>
      <c r="BI22" s="65">
        <f>'PC LIST'!Q201</f>
        <v>2</v>
      </c>
      <c r="BJ22" s="65" t="str">
        <f>'PC LIST'!J201</f>
        <v>R&amp;P</v>
      </c>
      <c r="BK22" s="65">
        <f>'PC LIST'!BQ201</f>
        <v>0.98</v>
      </c>
      <c r="BL22" s="65" t="str">
        <f>'PC LIST'!B235</f>
        <v>PR14SRNWSWW_10</v>
      </c>
      <c r="BM22" s="65" t="str">
        <f>'PC LIST'!I235</f>
        <v>10: Bathing waters with ‘excellent’ water quality (part 3)</v>
      </c>
      <c r="BN22" s="65" t="str">
        <f>'PC LIST'!O235</f>
        <v>£m</v>
      </c>
      <c r="BO22" s="65" t="str">
        <f>'PC LIST'!P235</f>
        <v>£ million estimated scheme costs</v>
      </c>
      <c r="BP22" s="65">
        <f>'PC LIST'!Q235</f>
        <v>1</v>
      </c>
      <c r="BQ22" s="65" t="str">
        <f>'PC LIST'!J235</f>
        <v>PO</v>
      </c>
      <c r="BR22" s="65" t="str">
        <f>'PC LIST'!BQ235</f>
        <v>N/A</v>
      </c>
      <c r="BU22" s="60"/>
      <c r="BV22" s="60"/>
      <c r="BW22" s="60"/>
      <c r="BX22" s="60"/>
      <c r="BY22" s="60"/>
      <c r="BZ22" s="65" t="str">
        <f>'PC LIST'!B283</f>
        <v>PR14SVTWSW_W-D1</v>
      </c>
      <c r="CA22" s="65" t="str">
        <f>'PC LIST'!I283</f>
        <v>W-D1: Improvements in river water quality against WFD criteria</v>
      </c>
      <c r="CB22" s="65" t="str">
        <f>'PC LIST'!O283</f>
        <v>nr</v>
      </c>
      <c r="CC22" s="65" t="str">
        <f>'PC LIST'!P283</f>
        <v>No. WFD classification improvements</v>
      </c>
      <c r="CD22" s="65">
        <f>'PC LIST'!Q283</f>
        <v>0</v>
      </c>
      <c r="CE22" s="65" t="str">
        <f>'PC LIST'!J283</f>
        <v>R&amp;P</v>
      </c>
      <c r="CF22" s="789">
        <f>'PC LIST'!BQ283</f>
        <v>0</v>
      </c>
      <c r="CG22" s="65" t="str">
        <f>'PC LIST'!B328</f>
        <v>PR14SWTWSW_W-E7</v>
      </c>
      <c r="CH22" s="67" t="str">
        <f>'PC LIST'!I328</f>
        <v>W-E7: Energy from renewable sources (%)</v>
      </c>
      <c r="CI22" s="67" t="str">
        <f>'PC LIST'!O328</f>
        <v>%</v>
      </c>
      <c r="CJ22" s="67" t="str">
        <f>'PC LIST'!P328</f>
        <v>% energy from renewable sources</v>
      </c>
      <c r="CK22" s="65">
        <f>'PC LIST'!Q328</f>
        <v>2</v>
      </c>
      <c r="CL22" s="65" t="str">
        <f>'PC LIST'!J328</f>
        <v>NFI</v>
      </c>
      <c r="CM22" s="788">
        <f>'PC LIST'!BQ328</f>
        <v>7.14</v>
      </c>
      <c r="CN22" s="65" t="str">
        <f>'PC LIST'!B370</f>
        <v>PR14TMSWSWW_SA1</v>
      </c>
      <c r="CO22" s="65" t="str">
        <f>'PC LIST'!I370</f>
        <v>SA1: Improve handling of written complaints by increasing first time resolution</v>
      </c>
      <c r="CP22" s="65" t="str">
        <f>'PC LIST'!O370</f>
        <v>%</v>
      </c>
      <c r="CQ22" s="65" t="str">
        <f>'PC LIST'!P370</f>
        <v>% written complaints resolved 1st time</v>
      </c>
      <c r="CR22" s="65">
        <f>'PC LIST'!Q370</f>
        <v>0</v>
      </c>
      <c r="CS22" s="65" t="str">
        <f>'PC LIST'!J370</f>
        <v>NFI</v>
      </c>
      <c r="CT22" s="65">
        <f>'PC LIST'!BQ370</f>
        <v>86.72</v>
      </c>
      <c r="CU22" s="65" t="str">
        <f>'PC LIST'!B425</f>
        <v>PR14UUWSWW_S-D3</v>
      </c>
      <c r="CV22" s="65" t="str">
        <f>'PC LIST'!I425</f>
        <v>S-D3: Contribution to rivers improved - wastewater programme (includes Oldham, Royton and Windermere)</v>
      </c>
      <c r="CW22" s="65" t="str">
        <f>'PC LIST'!O425</f>
        <v>nr</v>
      </c>
      <c r="CX22" s="65" t="str">
        <f>'PC LIST'!P425</f>
        <v>Kilometres (km) of river improved (cumulative)</v>
      </c>
      <c r="CY22" s="65">
        <f>'PC LIST'!Q425</f>
        <v>2</v>
      </c>
      <c r="CZ22" s="65" t="str">
        <f>'PC LIST'!J425</f>
        <v>R&amp;P</v>
      </c>
      <c r="DA22" s="65">
        <f>'PC LIST'!BQ425</f>
        <v>0.75</v>
      </c>
      <c r="DB22" s="65" t="str">
        <f>'PC LIST'!B452</f>
        <v>PR14WSHWSWW_D5</v>
      </c>
      <c r="DC22" s="65" t="str">
        <f>'PC LIST'!I452</f>
        <v>D5: Earning the trust of customers  - % of customers surveyed that say they trust the company</v>
      </c>
      <c r="DD22" s="65" t="str">
        <f>'PC LIST'!O452</f>
        <v>%</v>
      </c>
      <c r="DE22" s="65" t="str">
        <f>'PC LIST'!P452</f>
        <v>% customer satisfaction</v>
      </c>
      <c r="DF22" s="65">
        <f>'PC LIST'!Q452</f>
        <v>0</v>
      </c>
      <c r="DG22" s="65" t="str">
        <f>'PC LIST'!J452</f>
        <v>NFI</v>
      </c>
      <c r="DH22" s="788">
        <f>'PC LIST'!BQ452</f>
        <v>82</v>
      </c>
      <c r="DI22" s="65" t="str">
        <f>'PC LIST'!B483</f>
        <v>PR14WSXWSWW_C3a</v>
      </c>
      <c r="DJ22" s="65" t="str">
        <f>'PC LIST'!I483</f>
        <v>C3a: North Bristol Sewer Scheme - Frome catchment</v>
      </c>
      <c r="DK22" s="65" t="str">
        <f>'PC LIST'!O483</f>
        <v>text</v>
      </c>
      <c r="DL22" s="65" t="str">
        <f>'PC LIST'!P483</f>
        <v>Scheme delivery - Frome catchment</v>
      </c>
      <c r="DM22" s="65" t="str">
        <f>'PC LIST'!Q483</f>
        <v>na</v>
      </c>
      <c r="DN22" s="65" t="str">
        <f>'PC LIST'!J483</f>
        <v>PO</v>
      </c>
      <c r="DO22" s="65" t="str">
        <f>'PC LIST'!BQ483</f>
        <v>-</v>
      </c>
      <c r="DP22" s="65" t="str">
        <f>'PC LIST'!B515</f>
        <v>PR14YKYWSWW_SB1</v>
      </c>
      <c r="DQ22" s="65" t="str">
        <f>'PC LIST'!I515</f>
        <v>SB1: Number of Yorkshire's designated bathing waters that exceed the required quality standard</v>
      </c>
      <c r="DR22" s="65" t="str">
        <f>'PC LIST'!O515</f>
        <v>nr</v>
      </c>
      <c r="DS22" s="65" t="str">
        <f>'PC LIST'!P515</f>
        <v>No. of bathing waters exceeding required standard</v>
      </c>
      <c r="DT22" s="65">
        <f>'PC LIST'!Q515</f>
        <v>0</v>
      </c>
      <c r="DU22" s="65" t="str">
        <f>'PC LIST'!J515</f>
        <v>NFI</v>
      </c>
      <c r="DV22" s="65">
        <f>'PC LIST'!BQ515</f>
        <v>18</v>
      </c>
    </row>
    <row r="23" spans="8:126" ht="15.75" customHeight="1" x14ac:dyDescent="0.2">
      <c r="H23" s="65" t="str">
        <f>'PC LIST'!B36</f>
        <v>PR14ANHWSWW_S-A4</v>
      </c>
      <c r="I23" s="65" t="str">
        <f>'PC LIST'!I36</f>
        <v>S-A4: Percentage of sewerage capacity schemes incorporating sustainable solutions</v>
      </c>
      <c r="J23" s="65" t="str">
        <f>'PC LIST'!O36</f>
        <v>%</v>
      </c>
      <c r="K23" s="65" t="str">
        <f>'PC LIST'!P36</f>
        <v>% sustainable sewerage capacity schemes</v>
      </c>
      <c r="L23" s="65">
        <f>'PC LIST'!Q36</f>
        <v>0</v>
      </c>
      <c r="M23" s="65" t="str">
        <f>'PC LIST'!J36</f>
        <v>NFI</v>
      </c>
      <c r="N23" s="788">
        <f>'PC LIST'!BQ36</f>
        <v>4</v>
      </c>
      <c r="O23" s="65" t="str">
        <f>'PC LIST'!B75</f>
        <v>PR14BRLHHR_L1</v>
      </c>
      <c r="P23" s="65" t="str">
        <f>'PC LIST'!I75</f>
        <v>L1: Negative billing contacts</v>
      </c>
      <c r="Q23" s="65" t="str">
        <f>'PC LIST'!O75</f>
        <v>nr</v>
      </c>
      <c r="R23" s="65" t="str">
        <f>'PC LIST'!P75</f>
        <v>No. of contacts per year</v>
      </c>
      <c r="S23" s="65">
        <f>'PC LIST'!Q75</f>
        <v>0</v>
      </c>
      <c r="T23" s="65" t="str">
        <f>'PC LIST'!J75</f>
        <v>NFI</v>
      </c>
      <c r="U23" s="788">
        <f>'PC LIST'!BQ75</f>
        <v>2301</v>
      </c>
      <c r="AC23" s="65" t="str">
        <f>'PC LIST'!B109</f>
        <v>PR14NESWSWW_S-B5</v>
      </c>
      <c r="AD23" s="66" t="str">
        <f>'PC LIST'!I109</f>
        <v>S-B5: Transferred drains and sewers - internal sewer flooding</v>
      </c>
      <c r="AE23" s="66" t="str">
        <f>'PC LIST'!O109</f>
        <v>nr</v>
      </c>
      <c r="AF23" s="66" t="str">
        <f>'PC LIST'!P109</f>
        <v>No. of properties per year</v>
      </c>
      <c r="AG23" s="65">
        <f>'PC LIST'!Q109</f>
        <v>0</v>
      </c>
      <c r="AH23" s="65" t="str">
        <f>'PC LIST'!J109</f>
        <v>R&amp;P</v>
      </c>
      <c r="AI23" s="65">
        <f>'PC LIST'!BQ109</f>
        <v>219</v>
      </c>
      <c r="AX23" s="65" t="str">
        <f>'PC LIST'!B181</f>
        <v>PR14SESHHR_D3</v>
      </c>
      <c r="AY23" s="65" t="str">
        <f>'PC LIST'!I181</f>
        <v>D3: Total number of complaints</v>
      </c>
      <c r="AZ23" s="65" t="str">
        <f>'PC LIST'!O181</f>
        <v>nr</v>
      </c>
      <c r="BA23" s="65" t="str">
        <f>'PC LIST'!P181</f>
        <v>No. per 1,000 billed properties</v>
      </c>
      <c r="BB23" s="65">
        <f>'PC LIST'!Q181</f>
        <v>1</v>
      </c>
      <c r="BC23" s="65" t="str">
        <f>'PC LIST'!J181</f>
        <v>NFI</v>
      </c>
      <c r="BD23" s="789">
        <f>'PC LIST'!BQ181</f>
        <v>10</v>
      </c>
      <c r="BE23" s="65" t="str">
        <f>'PC LIST'!B202</f>
        <v>PR14SEWWSW_N2</v>
      </c>
      <c r="BF23" s="65" t="str">
        <f>'PC LIST'!I202</f>
        <v>N2: Above ground asset performance assessment</v>
      </c>
      <c r="BG23" s="65" t="str">
        <f>'PC LIST'!O202</f>
        <v>category</v>
      </c>
      <c r="BH23" s="65" t="str">
        <f>'PC LIST'!P202</f>
        <v>Asset health indicator</v>
      </c>
      <c r="BI23" s="65" t="str">
        <f>'PC LIST'!Q202</f>
        <v>na</v>
      </c>
      <c r="BJ23" s="65" t="str">
        <f>'PC LIST'!J202</f>
        <v>PO</v>
      </c>
      <c r="BK23" s="65" t="str">
        <f>'PC LIST'!BQ202</f>
        <v>Stable</v>
      </c>
      <c r="BL23" s="65" t="str">
        <f>'PC LIST'!B236</f>
        <v>PR14SRNWSWW_11</v>
      </c>
      <c r="BM23" s="65" t="str">
        <f>'PC LIST'!I236</f>
        <v>11: Serious pollution incidents (category 1 and 2 pollution incidents, as reported by the EA on MD109)</v>
      </c>
      <c r="BN23" s="65" t="str">
        <f>'PC LIST'!O236</f>
        <v>nr</v>
      </c>
      <c r="BO23" s="65" t="str">
        <f>'PC LIST'!P236</f>
        <v>No. of pollution incidents (cats 1 and 2)</v>
      </c>
      <c r="BP23" s="65">
        <f>'PC LIST'!Q236</f>
        <v>0</v>
      </c>
      <c r="BQ23" s="65" t="str">
        <f>'PC LIST'!J236</f>
        <v>NFI</v>
      </c>
      <c r="BR23" s="65">
        <f>'PC LIST'!BQ236</f>
        <v>7</v>
      </c>
      <c r="BZ23" s="65" t="str">
        <f>'PC LIST'!B284</f>
        <v>PR14SVTWSW_W-D2</v>
      </c>
      <c r="CA23" s="65" t="str">
        <f>'PC LIST'!I284</f>
        <v>W-D2: Asset stewardship - environmental compliance</v>
      </c>
      <c r="CB23" s="65" t="str">
        <f>'PC LIST'!O284</f>
        <v>%</v>
      </c>
      <c r="CC23" s="65" t="str">
        <f>'PC LIST'!P284</f>
        <v>% environmental compliance</v>
      </c>
      <c r="CD23" s="65">
        <f>'PC LIST'!Q284</f>
        <v>0</v>
      </c>
      <c r="CE23" s="65" t="str">
        <f>'PC LIST'!J284</f>
        <v>NFI</v>
      </c>
      <c r="CF23" s="789">
        <f>'PC LIST'!BQ284</f>
        <v>97.508496246767137</v>
      </c>
      <c r="CG23" s="65" t="str">
        <f>'PC LIST'!B329</f>
        <v>PR14SWTWSW_W-F1</v>
      </c>
      <c r="CH23" s="67" t="str">
        <f>'PC LIST'!I329</f>
        <v>W-F1: Customers paying a metered bill</v>
      </c>
      <c r="CI23" s="67" t="str">
        <f>'PC LIST'!O329</f>
        <v>%</v>
      </c>
      <c r="CJ23" s="67" t="str">
        <f>'PC LIST'!P329</f>
        <v>% domestic customers with metered bill</v>
      </c>
      <c r="CK23" s="65">
        <f>'PC LIST'!Q329</f>
        <v>1</v>
      </c>
      <c r="CL23" s="65" t="str">
        <f>'PC LIST'!J329</f>
        <v>PO</v>
      </c>
      <c r="CM23" s="788">
        <f>'PC LIST'!BQ329</f>
        <v>79.099999999999994</v>
      </c>
      <c r="CN23" s="65" t="str">
        <f>'PC LIST'!B371</f>
        <v>PR14TMSWSWW_SA2</v>
      </c>
      <c r="CO23" s="65" t="str">
        <f>'PC LIST'!I371</f>
        <v>SA2: Number of written complaints per 10,000 connected properties</v>
      </c>
      <c r="CP23" s="65" t="str">
        <f>'PC LIST'!O371</f>
        <v>nr</v>
      </c>
      <c r="CQ23" s="65" t="str">
        <f>'PC LIST'!P371</f>
        <v>No. written complaints / 10,000 properties</v>
      </c>
      <c r="CR23" s="65">
        <f>'PC LIST'!Q371</f>
        <v>2</v>
      </c>
      <c r="CS23" s="65" t="str">
        <f>'PC LIST'!J371</f>
        <v>NFI</v>
      </c>
      <c r="CT23" s="65">
        <f>'PC LIST'!BQ371</f>
        <v>6.46</v>
      </c>
      <c r="CU23" s="65" t="str">
        <f>'PC LIST'!B426</f>
        <v>PR14UUWSWW_S-D4a</v>
      </c>
      <c r="CV23" s="65" t="str">
        <f>'PC LIST'!I426</f>
        <v>S-D4a: Wastewater serious (category 1 and 2) pollution incidents</v>
      </c>
      <c r="CW23" s="65" t="str">
        <f>'PC LIST'!O426</f>
        <v>nr</v>
      </c>
      <c r="CX23" s="65" t="str">
        <f>'PC LIST'!P426</f>
        <v>No. of pollution incidents (cats 1 and 2)</v>
      </c>
      <c r="CY23" s="65">
        <f>'PC LIST'!Q426</f>
        <v>0</v>
      </c>
      <c r="CZ23" s="65" t="str">
        <f>'PC LIST'!J426</f>
        <v>PO</v>
      </c>
      <c r="DA23" s="65">
        <f>'PC LIST'!BQ426</f>
        <v>4</v>
      </c>
      <c r="DB23" s="65" t="str">
        <f>'PC LIST'!B453</f>
        <v>PR14WSHWSWW_E1</v>
      </c>
      <c r="DC23" s="65" t="str">
        <f>'PC LIST'!I453</f>
        <v>E1: Affordable bills - annual increase</v>
      </c>
      <c r="DD23" s="65" t="str">
        <f>'PC LIST'!O453</f>
        <v>%</v>
      </c>
      <c r="DE23" s="65" t="str">
        <f>'PC LIST'!P453</f>
        <v>% above or below inflation (affordability of bills)</v>
      </c>
      <c r="DF23" s="65">
        <f>'PC LIST'!Q453</f>
        <v>0</v>
      </c>
      <c r="DG23" s="65" t="str">
        <f>'PC LIST'!J453</f>
        <v>NFI</v>
      </c>
      <c r="DH23" s="788">
        <f>'PC LIST'!BQ453</f>
        <v>-1</v>
      </c>
      <c r="DI23" s="65" t="str">
        <f>'PC LIST'!B484</f>
        <v>PR14WSXWSWW_C3b</v>
      </c>
      <c r="DJ23" s="65" t="str">
        <f>'PC LIST'!I484</f>
        <v>C3b: North Bristol Sewer Scheme - Trym catchment</v>
      </c>
      <c r="DK23" s="65" t="str">
        <f>'PC LIST'!O484</f>
        <v>text</v>
      </c>
      <c r="DL23" s="65" t="str">
        <f>'PC LIST'!P484</f>
        <v>Scheme delivery - Trym catchment</v>
      </c>
      <c r="DM23" s="65" t="str">
        <f>'PC LIST'!Q484</f>
        <v>na</v>
      </c>
      <c r="DN23" s="65" t="str">
        <f>'PC LIST'!J484</f>
        <v>PO</v>
      </c>
      <c r="DO23" s="65" t="str">
        <f>'PC LIST'!BQ484</f>
        <v>-</v>
      </c>
      <c r="DP23" s="65" t="str">
        <f>'PC LIST'!B516</f>
        <v>PR14YKYWSWW_SB2</v>
      </c>
      <c r="DQ23" s="65" t="str">
        <f>'PC LIST'!I516</f>
        <v>SB2: Wastewater quality stability and reliability factor</v>
      </c>
      <c r="DR23" s="65" t="str">
        <f>'PC LIST'!O516</f>
        <v>category</v>
      </c>
      <c r="DS23" s="65" t="str">
        <f>'PC LIST'!P516</f>
        <v>Asset health indicator</v>
      </c>
      <c r="DT23" s="65" t="str">
        <f>'PC LIST'!Q516</f>
        <v>na</v>
      </c>
      <c r="DU23" s="65" t="str">
        <f>'PC LIST'!J516</f>
        <v>PO</v>
      </c>
      <c r="DV23" s="65" t="str">
        <f>'PC LIST'!BQ516</f>
        <v xml:space="preserve">Stable </v>
      </c>
    </row>
    <row r="24" spans="8:126" ht="15.75" customHeight="1" x14ac:dyDescent="0.2">
      <c r="H24" s="65" t="str">
        <f>'PC LIST'!B37</f>
        <v>PR14ANHWSWW_S-B1</v>
      </c>
      <c r="I24" s="65" t="str">
        <f>'PC LIST'!I37</f>
        <v>S-B1: Value for money perception variation from baseline against WaSCs (wastewater)</v>
      </c>
      <c r="J24" s="65" t="str">
        <f>'PC LIST'!O37</f>
        <v>%</v>
      </c>
      <c r="K24" s="65" t="str">
        <f>'PC LIST'!P37</f>
        <v>% variation from WaSC baseline</v>
      </c>
      <c r="L24" s="65">
        <f>'PC LIST'!Q37</f>
        <v>0</v>
      </c>
      <c r="M24" s="65" t="str">
        <f>'PC LIST'!J37</f>
        <v>R&amp;P</v>
      </c>
      <c r="N24" s="788">
        <f>'PC LIST'!BQ37</f>
        <v>4</v>
      </c>
      <c r="O24" s="65"/>
      <c r="P24" s="65"/>
      <c r="Q24" s="65"/>
      <c r="R24" s="65"/>
      <c r="T24" s="65"/>
      <c r="U24" s="65"/>
      <c r="AC24" s="65" t="str">
        <f>'PC LIST'!B110</f>
        <v>PR14NESWSWW_S-B6</v>
      </c>
      <c r="AD24" s="66" t="str">
        <f>'PC LIST'!I110</f>
        <v>S-B6: Transferred drains and sewers - external sewer flooding</v>
      </c>
      <c r="AE24" s="66" t="str">
        <f>'PC LIST'!O110</f>
        <v>nr</v>
      </c>
      <c r="AF24" s="66" t="str">
        <f>'PC LIST'!P110</f>
        <v>No. of properties per year</v>
      </c>
      <c r="AG24" s="65">
        <f>'PC LIST'!Q110</f>
        <v>0</v>
      </c>
      <c r="AH24" s="65" t="str">
        <f>'PC LIST'!J110</f>
        <v>R&amp;P</v>
      </c>
      <c r="AI24" s="65">
        <f>'PC LIST'!BQ110</f>
        <v>2506</v>
      </c>
      <c r="AX24" s="65"/>
      <c r="AY24" s="65"/>
      <c r="AZ24" s="65"/>
      <c r="BA24" s="65"/>
      <c r="BE24" s="65" t="str">
        <f>'PC LIST'!B203</f>
        <v>PR14SEWWSW_N3</v>
      </c>
      <c r="BF24" s="65" t="str">
        <f>'PC LIST'!I203</f>
        <v>N3: Number of company sites at risk of flooding</v>
      </c>
      <c r="BG24" s="65" t="str">
        <f>'PC LIST'!O203</f>
        <v>nr</v>
      </c>
      <c r="BH24" s="65" t="str">
        <f>'PC LIST'!P203</f>
        <v>No. of SEW sites at risk of flooding</v>
      </c>
      <c r="BI24" s="65">
        <f>'PC LIST'!Q203</f>
        <v>0</v>
      </c>
      <c r="BJ24" s="65" t="str">
        <f>'PC LIST'!J203</f>
        <v>NFI</v>
      </c>
      <c r="BK24" s="65">
        <f>'PC LIST'!BQ203</f>
        <v>55</v>
      </c>
      <c r="BL24" s="65" t="str">
        <f>'PC LIST'!B237</f>
        <v>PR14SRNWSWW_12</v>
      </c>
      <c r="BM24" s="65" t="str">
        <f>'PC LIST'!I237</f>
        <v>12: Avoiding blocked drains</v>
      </c>
      <c r="BN24" s="65" t="str">
        <f>'PC LIST'!O237</f>
        <v>%</v>
      </c>
      <c r="BO24" s="65" t="str">
        <f>'PC LIST'!P237</f>
        <v>% customers aware of avoidance measures</v>
      </c>
      <c r="BP24" s="65">
        <f>'PC LIST'!Q237</f>
        <v>0</v>
      </c>
      <c r="BQ24" s="65" t="str">
        <f>'PC LIST'!J237</f>
        <v>NFI</v>
      </c>
      <c r="BR24" s="65">
        <f>'PC LIST'!BQ237</f>
        <v>77</v>
      </c>
      <c r="BZ24" s="65" t="str">
        <f>'PC LIST'!B285</f>
        <v>PR14SVTWSW_W-D3</v>
      </c>
      <c r="CA24" s="65" t="str">
        <f>'PC LIST'!I285</f>
        <v>W-D3: Biodiversity</v>
      </c>
      <c r="CB24" s="65" t="str">
        <f>'PC LIST'!O285</f>
        <v>nr</v>
      </c>
      <c r="CC24" s="65" t="str">
        <f>'PC LIST'!P285</f>
        <v>No. of hectares improved</v>
      </c>
      <c r="CD24" s="65">
        <f>'PC LIST'!Q285</f>
        <v>0</v>
      </c>
      <c r="CE24" s="65" t="str">
        <f>'PC LIST'!J285</f>
        <v>NFI</v>
      </c>
      <c r="CF24" s="789">
        <f>'PC LIST'!BQ285</f>
        <v>322.89999999999998</v>
      </c>
      <c r="CG24" s="65" t="str">
        <f>'PC LIST'!B330</f>
        <v>PR14SWTWSWW_S-A1</v>
      </c>
      <c r="CH24" s="67" t="str">
        <f>'PC LIST'!I330</f>
        <v>S-A1: Internal sewer flooding incidents</v>
      </c>
      <c r="CI24" s="67" t="str">
        <f>'PC LIST'!O330</f>
        <v>nr</v>
      </c>
      <c r="CJ24" s="67" t="str">
        <f>'PC LIST'!P330</f>
        <v>No. of internal sewer flooding incidents</v>
      </c>
      <c r="CK24" s="65">
        <f>'PC LIST'!Q330</f>
        <v>0</v>
      </c>
      <c r="CL24" s="65" t="str">
        <f>'PC LIST'!J330</f>
        <v>R&amp;P</v>
      </c>
      <c r="CM24" s="788">
        <f>'PC LIST'!BQ330</f>
        <v>189</v>
      </c>
      <c r="CN24" s="65" t="str">
        <f>'PC LIST'!B372</f>
        <v>PR14TMSWSWW_SA3</v>
      </c>
      <c r="CO24" s="65" t="str">
        <f>'PC LIST'!I372</f>
        <v>SA3: Customer satisfaction surveys (internal CSAT monitor)</v>
      </c>
      <c r="CP24" s="65" t="str">
        <f>'PC LIST'!O372</f>
        <v>score</v>
      </c>
      <c r="CQ24" s="65" t="str">
        <f>'PC LIST'!P372</f>
        <v>TW internal Customer satisfaction score (mean score out of 5)</v>
      </c>
      <c r="CR24" s="65">
        <f>'PC LIST'!Q372</f>
        <v>2</v>
      </c>
      <c r="CS24" s="65" t="str">
        <f>'PC LIST'!J372</f>
        <v>NFI</v>
      </c>
      <c r="CT24" s="65">
        <f>'PC LIST'!BQ372</f>
        <v>4.5</v>
      </c>
      <c r="CU24" s="65" t="str">
        <f>'PC LIST'!B427</f>
        <v>PR14UUWSWW_S-D4b</v>
      </c>
      <c r="CV24" s="65" t="str">
        <f>'PC LIST'!I427</f>
        <v>S-D4b: Wastewater category 3 pollution incidents</v>
      </c>
      <c r="CW24" s="65" t="str">
        <f>'PC LIST'!O427</f>
        <v>nr</v>
      </c>
      <c r="CX24" s="65" t="str">
        <f>'PC LIST'!P427</f>
        <v>No. of pollution incidents (cat 3)</v>
      </c>
      <c r="CY24" s="65">
        <f>'PC LIST'!Q427</f>
        <v>0</v>
      </c>
      <c r="CZ24" s="65" t="str">
        <f>'PC LIST'!J427</f>
        <v>R&amp;P</v>
      </c>
      <c r="DA24" s="65">
        <f>'PC LIST'!BQ427</f>
        <v>136</v>
      </c>
      <c r="DB24" s="65" t="str">
        <f>'PC LIST'!B454</f>
        <v>PR14WSHWSWW_F1</v>
      </c>
      <c r="DC24" s="65" t="str">
        <f>'PC LIST'!I454</f>
        <v>F1: Asset serviceability</v>
      </c>
      <c r="DD24" s="65" t="str">
        <f>'PC LIST'!O454</f>
        <v>category</v>
      </c>
      <c r="DE24" s="65" t="str">
        <f>'PC LIST'!P454</f>
        <v>Asset health indicator</v>
      </c>
      <c r="DF24" s="65" t="str">
        <f>'PC LIST'!Q454</f>
        <v>na</v>
      </c>
      <c r="DG24" s="65" t="str">
        <f>'PC LIST'!J454</f>
        <v>PO</v>
      </c>
      <c r="DH24" s="788" t="str">
        <f>'PC LIST'!BQ454</f>
        <v>Stable</v>
      </c>
      <c r="DI24" s="65" t="str">
        <f>'PC LIST'!B485</f>
        <v>PR14WSXWSWW_D1</v>
      </c>
      <c r="DJ24" s="65" t="str">
        <f>'PC LIST'!I485</f>
        <v>D1: Collapses and bursts on sewer network</v>
      </c>
      <c r="DK24" s="65" t="str">
        <f>'PC LIST'!O485</f>
        <v>nr</v>
      </c>
      <c r="DL24" s="65" t="str">
        <f>'PC LIST'!P485</f>
        <v>No. of sewer collapses and rising main bursts</v>
      </c>
      <c r="DM24" s="65">
        <f>'PC LIST'!Q485</f>
        <v>0</v>
      </c>
      <c r="DN24" s="65" t="str">
        <f>'PC LIST'!J485</f>
        <v>PO</v>
      </c>
      <c r="DO24" s="65">
        <f>'PC LIST'!BQ485</f>
        <v>282</v>
      </c>
      <c r="DP24" s="65" t="str">
        <f>'PC LIST'!B517</f>
        <v>PR14YKYWSWW_SB3</v>
      </c>
      <c r="DQ24" s="65" t="str">
        <f>'PC LIST'!I517</f>
        <v>SB3: Solutions delivered by working with others (note: PC is part of a total commitment at Appointee level - see also WC2)</v>
      </c>
      <c r="DR24" s="65" t="str">
        <f>'PC LIST'!O517</f>
        <v>nr</v>
      </c>
      <c r="DS24" s="65" t="str">
        <f>'PC LIST'!P517</f>
        <v>No. of solutions delivered by working with others</v>
      </c>
      <c r="DT24" s="65">
        <f>'PC LIST'!Q517</f>
        <v>0</v>
      </c>
      <c r="DU24" s="65" t="str">
        <f>'PC LIST'!J517</f>
        <v>RO</v>
      </c>
      <c r="DV24" s="65">
        <f>'PC LIST'!BQ517</f>
        <v>4</v>
      </c>
    </row>
    <row r="25" spans="8:126" ht="15.75" customHeight="1" x14ac:dyDescent="0.2">
      <c r="H25" s="65" t="str">
        <f>'PC LIST'!B38</f>
        <v>PR14ANHWSWW_S-C1</v>
      </c>
      <c r="I25" s="65" t="str">
        <f>'PC LIST'!I38</f>
        <v>S-C1: Percentage of bathing waters attaining excellent status</v>
      </c>
      <c r="J25" s="65" t="str">
        <f>'PC LIST'!O38</f>
        <v>%</v>
      </c>
      <c r="K25" s="65" t="str">
        <f>'PC LIST'!P38</f>
        <v>% bathing waters - excellent status</v>
      </c>
      <c r="L25" s="65">
        <f>'PC LIST'!Q38</f>
        <v>0</v>
      </c>
      <c r="M25" s="65" t="str">
        <f>'PC LIST'!J38</f>
        <v>R&amp;P</v>
      </c>
      <c r="N25" s="788">
        <f>'PC LIST'!BQ38</f>
        <v>71</v>
      </c>
      <c r="Q25" s="60"/>
      <c r="R25" s="60"/>
      <c r="S25" s="60"/>
      <c r="T25" s="65"/>
      <c r="U25" s="65"/>
      <c r="AC25" s="65" t="str">
        <f>'PC LIST'!B111</f>
        <v>PR14NESWSWW_S-B7</v>
      </c>
      <c r="AD25" s="66" t="str">
        <f>'PC LIST'!I111</f>
        <v>S-B7: Transferred drains and sewers - sewer collapses</v>
      </c>
      <c r="AE25" s="66" t="str">
        <f>'PC LIST'!O111</f>
        <v>nr</v>
      </c>
      <c r="AF25" s="66" t="str">
        <f>'PC LIST'!P111</f>
        <v>No. of sewer collapses per year - TDSs</v>
      </c>
      <c r="AG25" s="65">
        <f>'PC LIST'!Q111</f>
        <v>0</v>
      </c>
      <c r="AH25" s="65" t="str">
        <f>'PC LIST'!J111</f>
        <v>NFI</v>
      </c>
      <c r="AI25" s="65">
        <f>'PC LIST'!BQ111</f>
        <v>58</v>
      </c>
      <c r="AZ25" s="60"/>
      <c r="BA25" s="60"/>
      <c r="BB25" s="60"/>
      <c r="BC25" s="60"/>
      <c r="BD25" s="60"/>
      <c r="BE25" s="65" t="str">
        <f>'PC LIST'!B204</f>
        <v>PR14SEWWSW_N4</v>
      </c>
      <c r="BF25" s="65" t="str">
        <f>'PC LIST'!I204</f>
        <v>N4: Water mains bursts</v>
      </c>
      <c r="BG25" s="65" t="str">
        <f>'PC LIST'!O204</f>
        <v>nr</v>
      </c>
      <c r="BH25" s="65" t="str">
        <f>'PC LIST'!P204</f>
        <v>No. of burst mains per year</v>
      </c>
      <c r="BI25" s="65">
        <f>'PC LIST'!Q204</f>
        <v>0</v>
      </c>
      <c r="BJ25" s="65" t="str">
        <f>'PC LIST'!J204</f>
        <v>PO</v>
      </c>
      <c r="BK25" s="65">
        <f>'PC LIST'!BQ204</f>
        <v>2307</v>
      </c>
      <c r="BL25" s="65" t="str">
        <f>'PC LIST'!B238</f>
        <v>PR14SRNWSWW_13</v>
      </c>
      <c r="BM25" s="65" t="str">
        <f>'PC LIST'!I238</f>
        <v>13: Thanet sewers</v>
      </c>
      <c r="BN25" s="65" t="str">
        <f>'PC LIST'!O238</f>
        <v>text</v>
      </c>
      <c r="BO25" s="65" t="str">
        <f>'PC LIST'!P238</f>
        <v>Scheme delivery</v>
      </c>
      <c r="BP25" s="65" t="str">
        <f>'PC LIST'!Q238</f>
        <v>na</v>
      </c>
      <c r="BQ25" s="65" t="str">
        <f>'PC LIST'!J238</f>
        <v>PO</v>
      </c>
      <c r="BR25" s="65" t="str">
        <f>'PC LIST'!BQ238</f>
        <v>N/A</v>
      </c>
      <c r="BZ25" s="65" t="str">
        <f>'PC LIST'!B286</f>
        <v>PR14SVTWSW_W-D4</v>
      </c>
      <c r="CA25" s="65" t="str">
        <f>'PC LIST'!I286</f>
        <v>W-D4: Sites with eel protection at intakes</v>
      </c>
      <c r="CB25" s="65" t="str">
        <f>'PC LIST'!O286</f>
        <v>nr</v>
      </c>
      <c r="CC25" s="65" t="str">
        <f>'PC LIST'!P286</f>
        <v>No. sites with eel protection at intakes</v>
      </c>
      <c r="CD25" s="65">
        <f>'PC LIST'!Q286</f>
        <v>0</v>
      </c>
      <c r="CE25" s="65" t="str">
        <f>'PC LIST'!J286</f>
        <v>NFI</v>
      </c>
      <c r="CF25" s="789">
        <f>'PC LIST'!BQ286</f>
        <v>0</v>
      </c>
      <c r="CG25" s="65" t="str">
        <f>'PC LIST'!B331</f>
        <v>PR14SWTWSWW_S-A2</v>
      </c>
      <c r="CH25" s="67" t="str">
        <f>'PC LIST'!I331</f>
        <v>S-A2: External sewer flooding incidents</v>
      </c>
      <c r="CI25" s="67" t="str">
        <f>'PC LIST'!O331</f>
        <v>nr</v>
      </c>
      <c r="CJ25" s="67" t="str">
        <f>'PC LIST'!P331</f>
        <v>No. of external sewer flooding incidents</v>
      </c>
      <c r="CK25" s="65">
        <f>'PC LIST'!Q331</f>
        <v>0</v>
      </c>
      <c r="CL25" s="65" t="str">
        <f>'PC LIST'!J331</f>
        <v>R&amp;P</v>
      </c>
      <c r="CM25" s="788">
        <f>'PC LIST'!BQ331</f>
        <v>3702</v>
      </c>
      <c r="CN25" s="65" t="str">
        <f>'PC LIST'!B373</f>
        <v>PR14TMSWSWW_SB1</v>
      </c>
      <c r="CO25" s="65" t="str">
        <f>'PC LIST'!I373</f>
        <v>SB1: Asset health wastewater non-infrastructure</v>
      </c>
      <c r="CP25" s="65" t="str">
        <f>'PC LIST'!O373</f>
        <v>category</v>
      </c>
      <c r="CQ25" s="65" t="str">
        <f>'PC LIST'!P373</f>
        <v>Asset health indicator</v>
      </c>
      <c r="CR25" s="65" t="str">
        <f>'PC LIST'!Q373</f>
        <v>na</v>
      </c>
      <c r="CS25" s="65" t="str">
        <f>'PC LIST'!J373</f>
        <v>PO</v>
      </c>
      <c r="CT25" s="65" t="str">
        <f>'PC LIST'!BQ373</f>
        <v>Stable</v>
      </c>
      <c r="CU25" s="65" t="str">
        <f>'PC LIST'!B428</f>
        <v>PR14UUWSWW_S-D5</v>
      </c>
      <c r="CV25" s="65" t="str">
        <f>'PC LIST'!I428</f>
        <v>S-D5: Satisfactory sludge disposal</v>
      </c>
      <c r="CW25" s="65" t="str">
        <f>'PC LIST'!O428</f>
        <v>%</v>
      </c>
      <c r="CX25" s="65" t="str">
        <f>'PC LIST'!P428</f>
        <v>% satisfactory sludge disposal compliance</v>
      </c>
      <c r="CY25" s="65">
        <f>'PC LIST'!Q428</f>
        <v>2</v>
      </c>
      <c r="CZ25" s="65" t="str">
        <f>'PC LIST'!J428</f>
        <v>PO</v>
      </c>
      <c r="DA25" s="65">
        <f>'PC LIST'!BQ428</f>
        <v>100</v>
      </c>
      <c r="DB25" s="65" t="str">
        <f>'PC LIST'!B455</f>
        <v>PR14WSHWSWW_F3</v>
      </c>
      <c r="DC25" s="65" t="str">
        <f>'PC LIST'!I455</f>
        <v>F3: Asset resilience - % of critical assets that are resilient against a set of criteria</v>
      </c>
      <c r="DD25" s="65" t="str">
        <f>'PC LIST'!O455</f>
        <v>%</v>
      </c>
      <c r="DE25" s="65" t="str">
        <f>'PC LIST'!P455</f>
        <v>% critical assets that are resilient against a set of criteria</v>
      </c>
      <c r="DF25" s="65">
        <f>'PC LIST'!Q455</f>
        <v>0</v>
      </c>
      <c r="DG25" s="65" t="str">
        <f>'PC LIST'!J455</f>
        <v>PO</v>
      </c>
      <c r="DH25" s="788">
        <f>'PC LIST'!BQ455</f>
        <v>74</v>
      </c>
      <c r="DI25" s="65" t="str">
        <f>'PC LIST'!B486</f>
        <v>PR14WSXWSWW_E1</v>
      </c>
      <c r="DJ25" s="65" t="str">
        <f>'PC LIST'!I486</f>
        <v>E1: Greenhouse gas emissions (annual greenhouse gas emissions from operational services)</v>
      </c>
      <c r="DK25" s="65" t="str">
        <f>'PC LIST'!O486</f>
        <v>nr</v>
      </c>
      <c r="DL25" s="65" t="str">
        <f>'PC LIST'!P486</f>
        <v>ktCO2e</v>
      </c>
      <c r="DM25" s="65">
        <f>'PC LIST'!Q486</f>
        <v>0</v>
      </c>
      <c r="DN25" s="65" t="str">
        <f>'PC LIST'!J486</f>
        <v>NFI</v>
      </c>
      <c r="DO25" s="65">
        <f>'PC LIST'!BQ486</f>
        <v>138</v>
      </c>
      <c r="DP25" s="65" t="str">
        <f>'PC LIST'!B518</f>
        <v>PR14YKYWSWW_SB4</v>
      </c>
      <c r="DQ25" s="65" t="str">
        <f>'PC LIST'!I518</f>
        <v>SB4: Length of river improved (against WFD component measures) (note: PC is part of a total commitment at Appointee level - see also WC1)</v>
      </c>
      <c r="DR25" s="65" t="str">
        <f>'PC LIST'!O518</f>
        <v>nr</v>
      </c>
      <c r="DS25" s="65" t="str">
        <f>'PC LIST'!P518</f>
        <v>Kilometres (km) of river improved (modelled length)</v>
      </c>
      <c r="DT25" s="65">
        <f>'PC LIST'!Q518</f>
        <v>0</v>
      </c>
      <c r="DU25" s="65" t="str">
        <f>'PC LIST'!J518</f>
        <v>R&amp;P</v>
      </c>
      <c r="DV25" s="65">
        <f>'PC LIST'!BQ518</f>
        <v>0</v>
      </c>
    </row>
    <row r="26" spans="8:126" ht="15.75" customHeight="1" x14ac:dyDescent="0.2">
      <c r="H26" s="65" t="str">
        <f>'PC LIST'!B39</f>
        <v>PR14ANHWSWW_S-C2</v>
      </c>
      <c r="I26" s="65" t="str">
        <f>'PC LIST'!I39</f>
        <v>S-C2: Percentage of SSSIs (by area) with favourable status</v>
      </c>
      <c r="J26" s="65" t="str">
        <f>'PC LIST'!O39</f>
        <v>%</v>
      </c>
      <c r="K26" s="65" t="str">
        <f>'PC LIST'!P39</f>
        <v>% SSSIs with favourable status</v>
      </c>
      <c r="L26" s="65">
        <f>'PC LIST'!Q39</f>
        <v>0</v>
      </c>
      <c r="M26" s="65" t="str">
        <f>'PC LIST'!J39</f>
        <v>NFI</v>
      </c>
      <c r="N26" s="788">
        <f>'PC LIST'!BQ39</f>
        <v>98.85</v>
      </c>
      <c r="T26" s="65"/>
      <c r="U26" s="65"/>
      <c r="AC26" s="65" t="str">
        <f>'PC LIST'!B112</f>
        <v>PR14NESWSWW_S-C1</v>
      </c>
      <c r="AD26" s="66" t="str">
        <f>'PC LIST'!I112</f>
        <v>S-C1: Sewage treatment works discharge compliance</v>
      </c>
      <c r="AE26" s="66" t="str">
        <f>'PC LIST'!O112</f>
        <v>nr</v>
      </c>
      <c r="AF26" s="66" t="str">
        <f>'PC LIST'!P112</f>
        <v>No. discharge permit condition failures per year</v>
      </c>
      <c r="AG26" s="65">
        <f>'PC LIST'!Q112</f>
        <v>0</v>
      </c>
      <c r="AH26" s="65" t="str">
        <f>'PC LIST'!J112</f>
        <v>PO</v>
      </c>
      <c r="AI26" s="65">
        <f>'PC LIST'!BQ112</f>
        <v>1</v>
      </c>
      <c r="AZ26" s="60"/>
      <c r="BA26" s="60"/>
      <c r="BB26" s="60"/>
      <c r="BC26" s="60"/>
      <c r="BD26" s="60"/>
      <c r="BE26" s="65" t="str">
        <f>'PC LIST'!B205</f>
        <v>PR14SEWWSW_O1</v>
      </c>
      <c r="BF26" s="65" t="str">
        <f>'PC LIST'!I205</f>
        <v>O1: Kg of carbon emissions per customer per year</v>
      </c>
      <c r="BG26" s="65" t="str">
        <f>'PC LIST'!O205</f>
        <v>nr</v>
      </c>
      <c r="BH26" s="65" t="str">
        <f>'PC LIST'!P205</f>
        <v>Kg of carbon emissions per customer per year</v>
      </c>
      <c r="BI26" s="65">
        <f>'PC LIST'!Q205</f>
        <v>1</v>
      </c>
      <c r="BJ26" s="65" t="str">
        <f>'PC LIST'!J205</f>
        <v>NFI</v>
      </c>
      <c r="BK26" s="65">
        <f>'PC LIST'!BQ205</f>
        <v>36.799999999999997</v>
      </c>
      <c r="BL26" s="65" t="str">
        <f>'PC LIST'!B239</f>
        <v>PR14SRNWSWW_14</v>
      </c>
      <c r="BM26" s="65" t="str">
        <f>'PC LIST'!I239</f>
        <v>14: Woolston STW</v>
      </c>
      <c r="BN26" s="65" t="str">
        <f>'PC LIST'!O239</f>
        <v>text</v>
      </c>
      <c r="BO26" s="65" t="str">
        <f>'PC LIST'!P239</f>
        <v>Scheme delivery</v>
      </c>
      <c r="BP26" s="65" t="str">
        <f>'PC LIST'!Q239</f>
        <v>na</v>
      </c>
      <c r="BQ26" s="65" t="str">
        <f>'PC LIST'!J239</f>
        <v>PO</v>
      </c>
      <c r="BR26" s="65" t="str">
        <f>'PC LIST'!BQ239</f>
        <v>N/A</v>
      </c>
      <c r="BZ26" s="65" t="str">
        <f>'PC LIST'!B287</f>
        <v>PR14SVTWSW_W-E1</v>
      </c>
      <c r="CA26" s="65" t="str">
        <f>'PC LIST'!I287</f>
        <v>W-E1: Size of our carbon footprint</v>
      </c>
      <c r="CB26" s="65" t="str">
        <f>'PC LIST'!O287</f>
        <v>nr</v>
      </c>
      <c r="CC26" s="65" t="str">
        <f>'PC LIST'!P287</f>
        <v>ktCO2e</v>
      </c>
      <c r="CD26" s="65">
        <f>'PC LIST'!Q287</f>
        <v>0</v>
      </c>
      <c r="CE26" s="65" t="str">
        <f>'PC LIST'!J287</f>
        <v>R&amp;P</v>
      </c>
      <c r="CF26" s="789">
        <f>'PC LIST'!BQ287</f>
        <v>246.63200000000001</v>
      </c>
      <c r="CG26" s="65" t="str">
        <f>'PC LIST'!B332</f>
        <v>PR14SWTWSWW_S-A3</v>
      </c>
      <c r="CH26" s="67" t="str">
        <f>'PC LIST'!I332</f>
        <v>S-A3: Odour contacts (wastewater treatment works)</v>
      </c>
      <c r="CI26" s="67" t="str">
        <f>'PC LIST'!O332</f>
        <v>nr</v>
      </c>
      <c r="CJ26" s="67" t="str">
        <f>'PC LIST'!P332</f>
        <v>No. of odour contacts (WwTWs)</v>
      </c>
      <c r="CK26" s="65">
        <f>'PC LIST'!Q332</f>
        <v>0</v>
      </c>
      <c r="CL26" s="65" t="str">
        <f>'PC LIST'!J332</f>
        <v>R&amp;P</v>
      </c>
      <c r="CM26" s="788">
        <f>'PC LIST'!BQ332</f>
        <v>230</v>
      </c>
      <c r="CN26" s="65" t="str">
        <f>'PC LIST'!B374</f>
        <v>PR14TMSWSWW_SB2</v>
      </c>
      <c r="CO26" s="65" t="str">
        <f>'PC LIST'!I374</f>
        <v>SB2: Asset health wastewater infrastructure</v>
      </c>
      <c r="CP26" s="65" t="str">
        <f>'PC LIST'!O374</f>
        <v>category</v>
      </c>
      <c r="CQ26" s="65" t="str">
        <f>'PC LIST'!P374</f>
        <v>Asset health indicator</v>
      </c>
      <c r="CR26" s="65" t="str">
        <f>'PC LIST'!Q374</f>
        <v>na</v>
      </c>
      <c r="CS26" s="65" t="str">
        <f>'PC LIST'!J374</f>
        <v>PO</v>
      </c>
      <c r="CT26" s="65" t="str">
        <f>'PC LIST'!BQ374</f>
        <v>Stable</v>
      </c>
      <c r="CU26" s="65" t="str">
        <f>'PC LIST'!B429</f>
        <v>PR14UUHHR_A-1</v>
      </c>
      <c r="CV26" s="65" t="str">
        <f>'PC LIST'!I429</f>
        <v>A-1: Service incentive mechanism (SIM)</v>
      </c>
      <c r="CW26" s="65" t="str">
        <f>'PC LIST'!O429</f>
        <v>text</v>
      </c>
      <c r="CX26" s="65" t="str">
        <f>'PC LIST'!P429</f>
        <v>Service incentive mechanism (SIM) score ranking</v>
      </c>
      <c r="CY26" s="65" t="str">
        <f>'PC LIST'!Q429</f>
        <v>na</v>
      </c>
      <c r="CZ26" s="65" t="str">
        <f>'PC LIST'!J429</f>
        <v>R&amp;P</v>
      </c>
      <c r="DA26" s="65">
        <f>'PC LIST'!BQ429</f>
        <v>81.55</v>
      </c>
      <c r="DB26" s="65" t="str">
        <f>'PC LIST'!B456</f>
        <v>PR14WSHNHHR_D1</v>
      </c>
      <c r="DC26" s="65" t="str">
        <f>'PC LIST'!I456</f>
        <v>D1: Service incentive mechanism (SIM)</v>
      </c>
      <c r="DD26" s="65" t="str">
        <f>'PC LIST'!O456</f>
        <v>text</v>
      </c>
      <c r="DE26" s="65" t="str">
        <f>'PC LIST'!P456</f>
        <v>Service incentive mechanism (SIM) score ranking</v>
      </c>
      <c r="DF26" s="65" t="str">
        <f>'PC LIST'!Q456</f>
        <v>na</v>
      </c>
      <c r="DG26" s="65" t="str">
        <f>'PC LIST'!J456</f>
        <v>R&amp;P</v>
      </c>
      <c r="DH26" s="788">
        <f>'PC LIST'!BQ456</f>
        <v>83</v>
      </c>
      <c r="DI26" s="65" t="str">
        <f>'PC LIST'!B487</f>
        <v>PR14WSXWSWW_E2</v>
      </c>
      <c r="DJ26" s="65" t="str">
        <f>'PC LIST'!I487</f>
        <v>E2: Proportion of energy self-generated</v>
      </c>
      <c r="DK26" s="65" t="str">
        <f>'PC LIST'!O487</f>
        <v>%</v>
      </c>
      <c r="DL26" s="65" t="str">
        <f>'PC LIST'!P487</f>
        <v>% of energy (electricty and gas) self-generated</v>
      </c>
      <c r="DM26" s="65">
        <f>'PC LIST'!Q487</f>
        <v>0</v>
      </c>
      <c r="DN26" s="65" t="str">
        <f>'PC LIST'!J487</f>
        <v>PO</v>
      </c>
      <c r="DO26" s="65">
        <f>'PC LIST'!BQ487</f>
        <v>25</v>
      </c>
      <c r="DP26" s="65" t="str">
        <f>'PC LIST'!B519</f>
        <v>PR14YKYWSWW_SB5</v>
      </c>
      <c r="DQ26" s="65" t="str">
        <f>'PC LIST'!I519</f>
        <v>SB5: Amount of land conserved and enhanced (total cumulative area) (note: PC is part of a total commitment at Appointee level - see also WC3)</v>
      </c>
      <c r="DR26" s="65" t="str">
        <f>'PC LIST'!O519</f>
        <v>nr</v>
      </c>
      <c r="DS26" s="65" t="str">
        <f>'PC LIST'!P519</f>
        <v>No. of hectares of land conserved &amp; enhanced (cumulative)</v>
      </c>
      <c r="DT26" s="65">
        <f>'PC LIST'!Q519</f>
        <v>0</v>
      </c>
      <c r="DU26" s="65" t="str">
        <f>'PC LIST'!J519</f>
        <v>R&amp;P</v>
      </c>
      <c r="DV26" s="65">
        <f>'PC LIST'!BQ519</f>
        <v>11466</v>
      </c>
    </row>
    <row r="27" spans="8:126" ht="15.75" customHeight="1" x14ac:dyDescent="0.2">
      <c r="H27" s="65" t="str">
        <f>'PC LIST'!B40</f>
        <v>PR14ANHWSWW_S-C3</v>
      </c>
      <c r="I27" s="65" t="str">
        <f>'PC LIST'!I40</f>
        <v>S-C3: Pollution incidents (category 3)</v>
      </c>
      <c r="J27" s="65" t="str">
        <f>'PC LIST'!O40</f>
        <v>nr</v>
      </c>
      <c r="K27" s="65" t="str">
        <f>'PC LIST'!P40</f>
        <v>No. of pollution incidents (cat 3)</v>
      </c>
      <c r="L27" s="65">
        <f>'PC LIST'!Q40</f>
        <v>0</v>
      </c>
      <c r="M27" s="65" t="str">
        <f>'PC LIST'!J40</f>
        <v>R&amp;P</v>
      </c>
      <c r="N27" s="788">
        <f>'PC LIST'!BQ40</f>
        <v>144</v>
      </c>
      <c r="T27" s="65"/>
      <c r="U27" s="65"/>
      <c r="AC27" s="65" t="str">
        <f>'PC LIST'!B113</f>
        <v>PR14NESWSWW_S-C2</v>
      </c>
      <c r="AD27" s="66" t="str">
        <f>'PC LIST'!I113</f>
        <v>S-C2: Pollution incidents (category 3)</v>
      </c>
      <c r="AE27" s="66" t="str">
        <f>'PC LIST'!O113</f>
        <v>nr</v>
      </c>
      <c r="AF27" s="66" t="str">
        <f>'PC LIST'!P113</f>
        <v>No. of pollution incidents (cat 3)</v>
      </c>
      <c r="AG27" s="65">
        <f>'PC LIST'!Q113</f>
        <v>0</v>
      </c>
      <c r="AH27" s="65" t="str">
        <f>'PC LIST'!J113</f>
        <v>R&amp;P</v>
      </c>
      <c r="AI27" s="65">
        <f>'PC LIST'!BQ113</f>
        <v>124</v>
      </c>
      <c r="AZ27" s="60"/>
      <c r="BA27" s="60"/>
      <c r="BB27" s="60"/>
      <c r="BC27" s="60"/>
      <c r="BD27" s="60"/>
      <c r="BE27" s="65" t="str">
        <f>'PC LIST'!B206</f>
        <v>PR14SEWWSW_O2</v>
      </c>
      <c r="BF27" s="65" t="str">
        <f>'PC LIST'!I206</f>
        <v>O2: We will monitor our abstractions at low flows at environmentally sensitive sites (in line with AIM)</v>
      </c>
      <c r="BG27" s="65" t="str">
        <f>'PC LIST'!O206</f>
        <v>TBC</v>
      </c>
      <c r="BH27" s="65" t="str">
        <f>'PC LIST'!P206</f>
        <v>TBC (in line with AIM)</v>
      </c>
      <c r="BI27" s="65" t="str">
        <f>'PC LIST'!Q206</f>
        <v>TBC</v>
      </c>
      <c r="BJ27" s="65" t="str">
        <f>'PC LIST'!J206</f>
        <v>NFI</v>
      </c>
      <c r="BK27" s="65" t="str">
        <f>'PC LIST'!BQ206</f>
        <v/>
      </c>
      <c r="BL27" s="65" t="str">
        <f>'PC LIST'!B240</f>
        <v>PR14SRNWSWW_15</v>
      </c>
      <c r="BM27" s="65" t="str">
        <f>'PC LIST'!I240</f>
        <v>15: Millbrook sludge</v>
      </c>
      <c r="BN27" s="65" t="str">
        <f>'PC LIST'!O240</f>
        <v>nr</v>
      </c>
      <c r="BO27" s="65" t="str">
        <f>'PC LIST'!P240</f>
        <v>Tonnes of dry solids removed</v>
      </c>
      <c r="BP27" s="65">
        <f>'PC LIST'!Q240</f>
        <v>0</v>
      </c>
      <c r="BQ27" s="65" t="str">
        <f>'PC LIST'!J240</f>
        <v>PO</v>
      </c>
      <c r="BR27" s="65" t="str">
        <f>'PC LIST'!BQ240</f>
        <v>N/A</v>
      </c>
      <c r="BZ27" s="65" t="str">
        <f>'PC LIST'!B288</f>
        <v>PR14SVTWSW_W-F1</v>
      </c>
      <c r="CA27" s="65" t="str">
        <f>'PC LIST'!I288</f>
        <v>W-F1: Improved understanding of our services through education</v>
      </c>
      <c r="CB27" s="65" t="str">
        <f>'PC LIST'!O288</f>
        <v>nr</v>
      </c>
      <c r="CC27" s="65" t="str">
        <f>'PC LIST'!P288</f>
        <v>No. of people - education programme</v>
      </c>
      <c r="CD27" s="65">
        <f>'PC LIST'!Q288</f>
        <v>0</v>
      </c>
      <c r="CE27" s="65" t="str">
        <f>'PC LIST'!J288</f>
        <v>NFI</v>
      </c>
      <c r="CF27" s="789">
        <f>'PC LIST'!BQ288</f>
        <v>117728</v>
      </c>
      <c r="CG27" s="65" t="str">
        <f>'PC LIST'!B333</f>
        <v>PR14SWTWSWW_S-A4</v>
      </c>
      <c r="CH27" s="67" t="str">
        <f>'PC LIST'!I333</f>
        <v>S-A4: Asset reliability (pipes)</v>
      </c>
      <c r="CI27" s="67" t="str">
        <f>'PC LIST'!O333</f>
        <v>category</v>
      </c>
      <c r="CJ27" s="67" t="str">
        <f>'PC LIST'!P333</f>
        <v>Asset health indicator</v>
      </c>
      <c r="CK27" s="65" t="str">
        <f>'PC LIST'!Q333</f>
        <v>na</v>
      </c>
      <c r="CL27" s="65" t="str">
        <f>'PC LIST'!J333</f>
        <v>PO</v>
      </c>
      <c r="CM27" s="788" t="str">
        <f>'PC LIST'!BQ333</f>
        <v>stable</v>
      </c>
      <c r="CN27" s="65" t="str">
        <f>'PC LIST'!B375</f>
        <v>PR14TMSWSWW_SB3</v>
      </c>
      <c r="CO27" s="65" t="str">
        <f>'PC LIST'!I375</f>
        <v>SB3: Properties protected from flooding due to rainfall (including Counters Creek project)</v>
      </c>
      <c r="CP27" s="65" t="str">
        <f>'PC LIST'!O375</f>
        <v>nr</v>
      </c>
      <c r="CQ27" s="65" t="str">
        <f>'PC LIST'!P375</f>
        <v>No. properties protected from flooding due to rainfall</v>
      </c>
      <c r="CR27" s="65">
        <f>'PC LIST'!Q375</f>
        <v>0</v>
      </c>
      <c r="CS27" s="65" t="str">
        <f>'PC LIST'!J375</f>
        <v>R&amp;P</v>
      </c>
      <c r="CT27" s="65" t="str">
        <f>'PC LIST'!BQ375</f>
        <v>Not available</v>
      </c>
      <c r="CU27" s="65" t="str">
        <f>'PC LIST'!B430</f>
        <v>PR14UUHHR_R-A2</v>
      </c>
      <c r="CV27" s="65" t="str">
        <f>'PC LIST'!I430</f>
        <v>R-A2: Customer experience programme</v>
      </c>
      <c r="CW27" s="65" t="str">
        <f>'PC LIST'!O430</f>
        <v>£m</v>
      </c>
      <c r="CX27" s="65" t="str">
        <f>'PC LIST'!P430</f>
        <v>£ million cumulative depreciation</v>
      </c>
      <c r="CY27" s="65">
        <f>'PC LIST'!Q430</f>
        <v>3</v>
      </c>
      <c r="CZ27" s="65" t="str">
        <f>'PC LIST'!J430</f>
        <v>PO</v>
      </c>
      <c r="DA27" s="65">
        <f>'PC LIST'!BQ430</f>
        <v>1E-3</v>
      </c>
      <c r="DB27" s="65" t="str">
        <f>'PC LIST'!B457</f>
        <v>PR14WSHNHHR_D4</v>
      </c>
      <c r="DC27" s="65" t="str">
        <f>'PC LIST'!I457</f>
        <v>D4: Business customer satisfaction</v>
      </c>
      <c r="DD27" s="65" t="str">
        <f>'PC LIST'!O457</f>
        <v>%</v>
      </c>
      <c r="DE27" s="65" t="str">
        <f>'PC LIST'!P457</f>
        <v>% customer satisfaction</v>
      </c>
      <c r="DF27" s="65">
        <f>'PC LIST'!Q457</f>
        <v>0</v>
      </c>
      <c r="DG27" s="65" t="str">
        <f>'PC LIST'!J457</f>
        <v>PO</v>
      </c>
      <c r="DH27" s="788">
        <f>'PC LIST'!BQ457</f>
        <v>88</v>
      </c>
      <c r="DI27" s="65" t="str">
        <f>'PC LIST'!B488</f>
        <v>PR14WSXHHR_A1</v>
      </c>
      <c r="DJ27" s="65" t="str">
        <f>'PC LIST'!I488</f>
        <v>A1: SIM service score</v>
      </c>
      <c r="DK27" s="65" t="str">
        <f>'PC LIST'!O488</f>
        <v>score</v>
      </c>
      <c r="DL27" s="65" t="str">
        <f>'PC LIST'!P488</f>
        <v>Service incentive mechanism (SIM) score</v>
      </c>
      <c r="DM27" s="65">
        <f>'PC LIST'!Q488</f>
        <v>0</v>
      </c>
      <c r="DN27" s="65" t="str">
        <f>'PC LIST'!J488</f>
        <v>R&amp;P</v>
      </c>
      <c r="DO27" s="65">
        <f>'PC LIST'!BQ488</f>
        <v>87</v>
      </c>
      <c r="DP27" s="65" t="str">
        <f>'PC LIST'!B520</f>
        <v>PR14YKYWSWW_SC1</v>
      </c>
      <c r="DQ27" s="65" t="str">
        <f>'PC LIST'!I520</f>
        <v>SC1: Proportion of energy use generated by renewable technology (note: PC is part of a total commitment at Appointee level - see also WD1 and RC1)</v>
      </c>
      <c r="DR27" s="65" t="str">
        <f>'PC LIST'!O520</f>
        <v>%</v>
      </c>
      <c r="DS27" s="65" t="str">
        <f>'PC LIST'!P520</f>
        <v>% of energy use generated by renewable technology</v>
      </c>
      <c r="DT27" s="65">
        <f>'PC LIST'!Q520</f>
        <v>0</v>
      </c>
      <c r="DU27" s="65" t="str">
        <f>'PC LIST'!J520</f>
        <v>NFI</v>
      </c>
      <c r="DV27" s="65">
        <f>'PC LIST'!BQ520</f>
        <v>11.257999999999999</v>
      </c>
    </row>
    <row r="28" spans="8:126" ht="15.75" customHeight="1" x14ac:dyDescent="0.2">
      <c r="H28" s="65" t="str">
        <f>'PC LIST'!B41</f>
        <v>PR14ANHWSWW_S-C4</v>
      </c>
      <c r="I28" s="65" t="str">
        <f>'PC LIST'!I41</f>
        <v>S-C4: Environmental compliance (wastewater)</v>
      </c>
      <c r="J28" s="65" t="str">
        <f>'PC LIST'!O41</f>
        <v>nr</v>
      </c>
      <c r="K28" s="65" t="str">
        <f>'PC LIST'!P41</f>
        <v>No. of obligations delivered</v>
      </c>
      <c r="L28" s="65">
        <f>'PC LIST'!Q41</f>
        <v>0</v>
      </c>
      <c r="M28" s="65" t="str">
        <f>'PC LIST'!J41</f>
        <v>PO</v>
      </c>
      <c r="N28" s="788">
        <f>'PC LIST'!BQ41</f>
        <v>0</v>
      </c>
      <c r="T28" s="65"/>
      <c r="U28" s="65"/>
      <c r="AC28" s="65" t="str">
        <f>'PC LIST'!B114</f>
        <v>PR14NESWSWW_S-C3</v>
      </c>
      <c r="AD28" s="66" t="str">
        <f>'PC LIST'!I114</f>
        <v>S-C3: Bathing water compliance</v>
      </c>
      <c r="AE28" s="66" t="str">
        <f>'PC LIST'!O114</f>
        <v>nr</v>
      </c>
      <c r="AF28" s="66" t="str">
        <f>'PC LIST'!P114</f>
        <v>No. of bathing waters per year</v>
      </c>
      <c r="AG28" s="65">
        <f>'PC LIST'!Q114</f>
        <v>0</v>
      </c>
      <c r="AH28" s="65" t="str">
        <f>'PC LIST'!J114</f>
        <v>PO</v>
      </c>
      <c r="AI28" s="65">
        <f>'PC LIST'!BQ114</f>
        <v>33</v>
      </c>
      <c r="AZ28" s="60"/>
      <c r="BA28" s="60"/>
      <c r="BB28" s="60"/>
      <c r="BC28" s="60"/>
      <c r="BD28" s="60"/>
      <c r="BE28" s="65" t="str">
        <f>'PC LIST'!B207</f>
        <v>PR14SEWHHR_A1</v>
      </c>
      <c r="BF28" s="65" t="str">
        <f>'PC LIST'!I207</f>
        <v>A1: Customer satisfaction - appearance of water</v>
      </c>
      <c r="BG28" s="65" t="str">
        <f>'PC LIST'!O207</f>
        <v>score</v>
      </c>
      <c r="BH28" s="65" t="str">
        <f>'PC LIST'!P207</f>
        <v>Customer satisfaction score out of 5</v>
      </c>
      <c r="BI28" s="65">
        <f>'PC LIST'!Q207</f>
        <v>1</v>
      </c>
      <c r="BJ28" s="65" t="str">
        <f>'PC LIST'!J207</f>
        <v>R&amp;P</v>
      </c>
      <c r="BK28" s="65">
        <f>'PC LIST'!BQ207</f>
        <v>4.4000000000000004</v>
      </c>
      <c r="BL28" s="65" t="str">
        <f>'PC LIST'!B241</f>
        <v>PR14SRNHHR_1</v>
      </c>
      <c r="BM28" s="65" t="str">
        <f>'PC LIST'!I241</f>
        <v>1: First time resolution of customer contacts</v>
      </c>
      <c r="BN28" s="65" t="str">
        <f>'PC LIST'!O241</f>
        <v>%</v>
      </c>
      <c r="BO28" s="65" t="str">
        <f>'PC LIST'!P241</f>
        <v>% customer contacts resolved 1st time</v>
      </c>
      <c r="BP28" s="65">
        <f>'PC LIST'!Q241</f>
        <v>0</v>
      </c>
      <c r="BQ28" s="65" t="str">
        <f>'PC LIST'!J241</f>
        <v>NFI</v>
      </c>
      <c r="BR28" s="65">
        <f>'PC LIST'!BQ241</f>
        <v>67</v>
      </c>
      <c r="BZ28" s="65" t="str">
        <f>'PC LIST'!B289</f>
        <v>PR14SVTWSWW_S-A1</v>
      </c>
      <c r="CA28" s="65" t="str">
        <f>'PC LIST'!I289</f>
        <v>S-A1: Number of internal sewer flooding incidents</v>
      </c>
      <c r="CB28" s="65" t="str">
        <f>'PC LIST'!O289</f>
        <v>nr</v>
      </c>
      <c r="CC28" s="65" t="str">
        <f>'PC LIST'!P289</f>
        <v>No. of internal sewer flooding incidents</v>
      </c>
      <c r="CD28" s="65">
        <f>'PC LIST'!Q289</f>
        <v>0</v>
      </c>
      <c r="CE28" s="65" t="str">
        <f>'PC LIST'!J289</f>
        <v>R&amp;P</v>
      </c>
      <c r="CF28" s="789">
        <f>'PC LIST'!BQ289</f>
        <v>804</v>
      </c>
      <c r="CG28" s="65" t="str">
        <f>'PC LIST'!B334</f>
        <v>PR14SWTWSWW_S-A5</v>
      </c>
      <c r="CH28" s="67" t="str">
        <f>'PC LIST'!I334</f>
        <v>S-A5: Asset reliability (process)</v>
      </c>
      <c r="CI28" s="67" t="str">
        <f>'PC LIST'!O334</f>
        <v>category</v>
      </c>
      <c r="CJ28" s="67" t="str">
        <f>'PC LIST'!P334</f>
        <v>Asset health indicator</v>
      </c>
      <c r="CK28" s="65" t="str">
        <f>'PC LIST'!Q334</f>
        <v>na</v>
      </c>
      <c r="CL28" s="65" t="str">
        <f>'PC LIST'!J334</f>
        <v>PO</v>
      </c>
      <c r="CM28" s="788" t="str">
        <f>'PC LIST'!BQ334</f>
        <v>stable</v>
      </c>
      <c r="CN28" s="65" t="str">
        <f>'PC LIST'!B376</f>
        <v>PR14TMSWSWW_SB4</v>
      </c>
      <c r="CO28" s="65" t="str">
        <f>'PC LIST'!I376</f>
        <v>SB4: Number of internal flooding incidents, excluding those due to overloaded sewers (SFOC)</v>
      </c>
      <c r="CP28" s="65" t="str">
        <f>'PC LIST'!O376</f>
        <v>nr</v>
      </c>
      <c r="CQ28" s="65" t="str">
        <f>'PC LIST'!P376</f>
        <v>No. of internal sewer flooding (other causes) incidents</v>
      </c>
      <c r="CR28" s="65">
        <f>'PC LIST'!Q376</f>
        <v>0</v>
      </c>
      <c r="CS28" s="65" t="str">
        <f>'PC LIST'!J376</f>
        <v>R&amp;P</v>
      </c>
      <c r="CT28" s="65">
        <f>'PC LIST'!BQ376</f>
        <v>1410</v>
      </c>
      <c r="CU28" s="65" t="str">
        <f>'PC LIST'!B431</f>
        <v>PR14UUHHR_B1</v>
      </c>
      <c r="CV28" s="65" t="str">
        <f>'PC LIST'!I431</f>
        <v>B1: Customers saying that we offer value for money</v>
      </c>
      <c r="CW28" s="65" t="str">
        <f>'PC LIST'!O431</f>
        <v>%</v>
      </c>
      <c r="CX28" s="65" t="str">
        <f>'PC LIST'!P431</f>
        <v>% customer satisfaction</v>
      </c>
      <c r="CY28" s="65">
        <f>'PC LIST'!Q431</f>
        <v>0</v>
      </c>
      <c r="CZ28" s="65" t="str">
        <f>'PC LIST'!J431</f>
        <v>NFI</v>
      </c>
      <c r="DA28" s="65">
        <f>'PC LIST'!BQ431</f>
        <v>50</v>
      </c>
      <c r="DB28" s="65" t="str">
        <f>'PC LIST'!B458</f>
        <v>PR14WSHNHHR_D5</v>
      </c>
      <c r="DC28" s="65" t="str">
        <f>'PC LIST'!I458</f>
        <v>D5: Earning the trust of customers - % of customers surveyed that say they trust the company</v>
      </c>
      <c r="DD28" s="65" t="str">
        <f>'PC LIST'!O458</f>
        <v>%</v>
      </c>
      <c r="DE28" s="65" t="str">
        <f>'PC LIST'!P458</f>
        <v>% customer satisfaction</v>
      </c>
      <c r="DF28" s="65">
        <f>'PC LIST'!Q458</f>
        <v>0</v>
      </c>
      <c r="DG28" s="65" t="str">
        <f>'PC LIST'!J458</f>
        <v>NFI</v>
      </c>
      <c r="DH28" s="788">
        <f>'PC LIST'!BQ458</f>
        <v>82</v>
      </c>
      <c r="DI28" s="65" t="str">
        <f>'PC LIST'!B489</f>
        <v>PR14WSXHHR_A2</v>
      </c>
      <c r="DJ28" s="65" t="str">
        <f>'PC LIST'!I489</f>
        <v>A2: Percentage rating service good/very good</v>
      </c>
      <c r="DK28" s="65" t="str">
        <f>'PC LIST'!O489</f>
        <v>%</v>
      </c>
      <c r="DL28" s="65" t="str">
        <f>'PC LIST'!P489</f>
        <v>% customer satisfaction</v>
      </c>
      <c r="DM28" s="65">
        <f>'PC LIST'!Q489</f>
        <v>0</v>
      </c>
      <c r="DN28" s="65" t="str">
        <f>'PC LIST'!J489</f>
        <v>NFI</v>
      </c>
      <c r="DO28" s="65">
        <f>'PC LIST'!BQ489</f>
        <v>96</v>
      </c>
      <c r="DP28" s="65" t="str">
        <f>'PC LIST'!B521</f>
        <v>PR14YKYWSWW_SC2</v>
      </c>
      <c r="DQ28" s="65" t="str">
        <f>'PC LIST'!I521</f>
        <v>SC2: Proportion of waste diverted from landfill (re-used and recycled) (note: PC is part of a total commitment at Appointee level - see also WD2 and RC2)</v>
      </c>
      <c r="DR28" s="65" t="str">
        <f>'PC LIST'!O521</f>
        <v>%</v>
      </c>
      <c r="DS28" s="65" t="str">
        <f>'PC LIST'!P521</f>
        <v>% of waste diverted from landfill (re-used and recycled)</v>
      </c>
      <c r="DT28" s="65">
        <f>'PC LIST'!Q521</f>
        <v>0</v>
      </c>
      <c r="DU28" s="65" t="str">
        <f>'PC LIST'!J521</f>
        <v>NFI</v>
      </c>
      <c r="DV28" s="65">
        <f>'PC LIST'!BQ521</f>
        <v>98.91</v>
      </c>
    </row>
    <row r="29" spans="8:126" ht="15.75" customHeight="1" x14ac:dyDescent="0.2">
      <c r="H29" s="65" t="str">
        <f>'PC LIST'!B42</f>
        <v>PR14ANHWSWW_S-D1</v>
      </c>
      <c r="I29" s="65" t="str">
        <f>'PC LIST'!I42</f>
        <v>S-D1: Operational carbon (% reduction from 2015 baseline)</v>
      </c>
      <c r="J29" s="65" t="str">
        <f>'PC LIST'!O42</f>
        <v>%</v>
      </c>
      <c r="K29" s="65" t="str">
        <f>'PC LIST'!P42</f>
        <v>% reduction from 2015 baseline</v>
      </c>
      <c r="L29" s="65">
        <f>'PC LIST'!Q42</f>
        <v>0</v>
      </c>
      <c r="M29" s="65" t="str">
        <f>'PC LIST'!J42</f>
        <v>NFI</v>
      </c>
      <c r="N29" s="788">
        <f>'PC LIST'!BQ42</f>
        <v>5</v>
      </c>
      <c r="T29" s="65"/>
      <c r="U29" s="65"/>
      <c r="AC29" s="65" t="str">
        <f>'PC LIST'!B115</f>
        <v>PR14NESWSWW_S-C4</v>
      </c>
      <c r="AD29" s="66" t="str">
        <f>'PC LIST'!I115</f>
        <v>S-C4: Whitburn combined sewer overflow (CSO) scheme</v>
      </c>
      <c r="AE29" s="66" t="str">
        <f>'PC LIST'!O115</f>
        <v>text</v>
      </c>
      <c r="AF29" s="66" t="str">
        <f>'PC LIST'!P115</f>
        <v>Delivery / non-delivery</v>
      </c>
      <c r="AG29" s="65" t="str">
        <f>'PC LIST'!Q115</f>
        <v>na</v>
      </c>
      <c r="AH29" s="65" t="str">
        <f>'PC LIST'!J115</f>
        <v>PO</v>
      </c>
      <c r="AI29" s="65" t="str">
        <f>'PC LIST'!BQ115</f>
        <v>n/a</v>
      </c>
      <c r="AZ29" s="60"/>
      <c r="BA29" s="60"/>
      <c r="BB29" s="60"/>
      <c r="BC29" s="60"/>
      <c r="BD29" s="60"/>
      <c r="BE29" s="65" t="str">
        <f>'PC LIST'!B208</f>
        <v>PR14SEWHHR_B1</v>
      </c>
      <c r="BF29" s="65" t="str">
        <f>'PC LIST'!I208</f>
        <v>B1: Customer satisfaction - taste and odour of water</v>
      </c>
      <c r="BG29" s="65" t="str">
        <f>'PC LIST'!O208</f>
        <v>score</v>
      </c>
      <c r="BH29" s="65" t="str">
        <f>'PC LIST'!P208</f>
        <v>Customer satisfaction score out of 5</v>
      </c>
      <c r="BI29" s="65">
        <f>'PC LIST'!Q208</f>
        <v>1</v>
      </c>
      <c r="BJ29" s="65" t="str">
        <f>'PC LIST'!J208</f>
        <v>R&amp;P</v>
      </c>
      <c r="BK29" s="65">
        <f>'PC LIST'!BQ208</f>
        <v>4.0999999999999996</v>
      </c>
      <c r="BL29" s="65" t="str">
        <f>'PC LIST'!B242</f>
        <v>PR14SRNHHR_2</v>
      </c>
      <c r="BM29" s="65" t="str">
        <f>'PC LIST'!I242</f>
        <v>2: Dealing with customers’ individual needs</v>
      </c>
      <c r="BN29" s="65" t="str">
        <f>'PC LIST'!O242</f>
        <v>%</v>
      </c>
      <c r="BO29" s="65" t="str">
        <f>'PC LIST'!P242</f>
        <v>% customers agreeing with survey statement</v>
      </c>
      <c r="BP29" s="65">
        <f>'PC LIST'!Q242</f>
        <v>1</v>
      </c>
      <c r="BQ29" s="65" t="str">
        <f>'PC LIST'!J242</f>
        <v>NFI</v>
      </c>
      <c r="BR29" s="65">
        <f>'PC LIST'!BQ242</f>
        <v>66</v>
      </c>
      <c r="BZ29" s="65" t="str">
        <f>'PC LIST'!B290</f>
        <v>PR14SVTWSWW_S-A2</v>
      </c>
      <c r="CA29" s="65" t="str">
        <f>'PC LIST'!I290</f>
        <v>S-A2: Number of external sewer flooding incidents</v>
      </c>
      <c r="CB29" s="65" t="str">
        <f>'PC LIST'!O290</f>
        <v>nr</v>
      </c>
      <c r="CC29" s="65" t="str">
        <f>'PC LIST'!P290</f>
        <v>No. of external sewer flooding incidents</v>
      </c>
      <c r="CD29" s="65">
        <f>'PC LIST'!Q290</f>
        <v>0</v>
      </c>
      <c r="CE29" s="65" t="str">
        <f>'PC LIST'!J290</f>
        <v>R&amp;P</v>
      </c>
      <c r="CF29" s="789">
        <f>'PC LIST'!BQ290</f>
        <v>7142</v>
      </c>
      <c r="CG29" s="65" t="str">
        <f>'PC LIST'!B335</f>
        <v>PR14SWTWSWW_S-A6</v>
      </c>
      <c r="CH29" s="67" t="str">
        <f>'PC LIST'!I335</f>
        <v>S-A6: Compliance with sludge standard (%)</v>
      </c>
      <c r="CI29" s="67" t="str">
        <f>'PC LIST'!O335</f>
        <v>%</v>
      </c>
      <c r="CJ29" s="67" t="str">
        <f>'PC LIST'!P335</f>
        <v>% satisfactory sludge disposal compliance</v>
      </c>
      <c r="CK29" s="65" t="str">
        <f>'PC LIST'!Q335</f>
        <v>na</v>
      </c>
      <c r="CL29" s="65" t="str">
        <f>'PC LIST'!J335</f>
        <v>NFI</v>
      </c>
      <c r="CM29" s="788">
        <f>'PC LIST'!BQ335</f>
        <v>99.94</v>
      </c>
      <c r="CN29" s="65" t="str">
        <f>'PC LIST'!B377</f>
        <v>PR14TMSWSWW_SB5</v>
      </c>
      <c r="CO29" s="65" t="str">
        <f>'PC LIST'!I377</f>
        <v>SB5: Contributing area disconnected from combined sewers by retrofitting sustainable drainage</v>
      </c>
      <c r="CP29" s="65" t="str">
        <f>'PC LIST'!O377</f>
        <v>nr</v>
      </c>
      <c r="CQ29" s="65" t="str">
        <f>'PC LIST'!P377</f>
        <v>No. of hectares (cumulative)</v>
      </c>
      <c r="CR29" s="65">
        <f>'PC LIST'!Q377</f>
        <v>0</v>
      </c>
      <c r="CS29" s="65" t="str">
        <f>'PC LIST'!J377</f>
        <v>R&amp;P</v>
      </c>
      <c r="CT29" s="65">
        <f>'PC LIST'!BQ377</f>
        <v>0</v>
      </c>
      <c r="CU29" s="65" t="str">
        <f>'PC LIST'!B432</f>
        <v>PR14UUHHR_B2</v>
      </c>
      <c r="CV29" s="65" t="str">
        <f>'PC LIST'!I432</f>
        <v>B2: Per household consumption</v>
      </c>
      <c r="CW29" s="65" t="str">
        <f>'PC LIST'!O432</f>
        <v>nr</v>
      </c>
      <c r="CX29" s="65" t="str">
        <f>'PC LIST'!P432</f>
        <v>Litres per household per day (l/hh/d)</v>
      </c>
      <c r="CY29" s="65">
        <f>'PC LIST'!Q432</f>
        <v>0</v>
      </c>
      <c r="CZ29" s="65" t="str">
        <f>'PC LIST'!J432</f>
        <v>NFI</v>
      </c>
      <c r="DA29" s="65">
        <f>'PC LIST'!BQ432</f>
        <v>303</v>
      </c>
      <c r="DB29" s="65" t="str">
        <f>'PC LIST'!B459</f>
        <v>PR14WSHNHHR_E1</v>
      </c>
      <c r="DC29" s="65" t="str">
        <f>'PC LIST'!I459</f>
        <v>E1: Affordable bills - annual increase</v>
      </c>
      <c r="DD29" s="65" t="str">
        <f>'PC LIST'!O459</f>
        <v>%</v>
      </c>
      <c r="DE29" s="65" t="str">
        <f>'PC LIST'!P459</f>
        <v>% above or below inflation (affordability of bills)</v>
      </c>
      <c r="DF29" s="65">
        <f>'PC LIST'!Q459</f>
        <v>0</v>
      </c>
      <c r="DG29" s="65" t="str">
        <f>'PC LIST'!J459</f>
        <v>NFI</v>
      </c>
      <c r="DH29" s="788">
        <f>'PC LIST'!BQ459</f>
        <v>-1</v>
      </c>
      <c r="DI29" s="65" t="str">
        <f>'PC LIST'!B490</f>
        <v>PR14WSXHHR_A3</v>
      </c>
      <c r="DJ29" s="65" t="str">
        <f>'PC LIST'!I490</f>
        <v>A3: Percentage rating good value for money</v>
      </c>
      <c r="DK29" s="65" t="str">
        <f>'PC LIST'!O490</f>
        <v>%</v>
      </c>
      <c r="DL29" s="65" t="str">
        <f>'PC LIST'!P490</f>
        <v>% customer satisfaction</v>
      </c>
      <c r="DM29" s="65">
        <f>'PC LIST'!Q490</f>
        <v>0</v>
      </c>
      <c r="DN29" s="65" t="str">
        <f>'PC LIST'!J490</f>
        <v>NFI</v>
      </c>
      <c r="DO29" s="65">
        <f>'PC LIST'!BQ490</f>
        <v>78</v>
      </c>
      <c r="DP29" s="65" t="str">
        <f>'PC LIST'!B522</f>
        <v>PR14YKYHHR_RA1</v>
      </c>
      <c r="DQ29" s="65" t="str">
        <f>'PC LIST'!I522</f>
        <v>RA1: Service incentive mechanism (SIM)</v>
      </c>
      <c r="DR29" s="65" t="str">
        <f>'PC LIST'!O522</f>
        <v>score</v>
      </c>
      <c r="DS29" s="65" t="str">
        <f>'PC LIST'!P522</f>
        <v>Service incentive mechanism (SIM) score</v>
      </c>
      <c r="DT29" s="65">
        <f>'PC LIST'!Q522</f>
        <v>1</v>
      </c>
      <c r="DU29" s="65" t="str">
        <f>'PC LIST'!J522</f>
        <v>R&amp;P</v>
      </c>
      <c r="DV29" s="65">
        <f>'PC LIST'!BQ522</f>
        <v>82.6</v>
      </c>
    </row>
    <row r="30" spans="8:126" ht="15.75" customHeight="1" x14ac:dyDescent="0.2">
      <c r="H30" s="65" t="str">
        <f>'PC LIST'!B43</f>
        <v>PR14ANHWSWW_S-D2</v>
      </c>
      <c r="I30" s="65" t="str">
        <f>'PC LIST'!I43</f>
        <v>S-D2: Embodied carbon (% reduction from 2010 baseline)</v>
      </c>
      <c r="J30" s="65" t="str">
        <f>'PC LIST'!O43</f>
        <v>%</v>
      </c>
      <c r="K30" s="65" t="str">
        <f>'PC LIST'!P43</f>
        <v>% reduction from 2010 baseline</v>
      </c>
      <c r="L30" s="65">
        <f>'PC LIST'!Q43</f>
        <v>0</v>
      </c>
      <c r="M30" s="65" t="str">
        <f>'PC LIST'!J43</f>
        <v>NFI</v>
      </c>
      <c r="N30" s="788">
        <f>'PC LIST'!BQ43</f>
        <v>53</v>
      </c>
      <c r="T30" s="65"/>
      <c r="U30" s="65"/>
      <c r="AC30" s="65" t="str">
        <f>'PC LIST'!B116</f>
        <v>PR14NESWSWW_S-D1</v>
      </c>
      <c r="AD30" s="66" t="str">
        <f>'PC LIST'!I116</f>
        <v>S-D1: NWL independent overall customer satisfaction score</v>
      </c>
      <c r="AE30" s="66" t="str">
        <f>'PC LIST'!O116</f>
        <v>score</v>
      </c>
      <c r="AF30" s="66" t="str">
        <f>'PC LIST'!P116</f>
        <v>Customer satisfaction score out of 10</v>
      </c>
      <c r="AG30" s="65">
        <f>'PC LIST'!Q116</f>
        <v>1</v>
      </c>
      <c r="AH30" s="65" t="str">
        <f>'PC LIST'!J116</f>
        <v>NFI</v>
      </c>
      <c r="AI30" s="65">
        <f>'PC LIST'!BQ116</f>
        <v>8.5</v>
      </c>
      <c r="AZ30" s="60"/>
      <c r="BA30" s="60"/>
      <c r="BB30" s="60"/>
      <c r="BC30" s="60"/>
      <c r="BD30" s="60"/>
      <c r="BE30" s="65" t="str">
        <f>'PC LIST'!B209</f>
        <v>PR14SEWHHR_C1</v>
      </c>
      <c r="BF30" s="65" t="str">
        <f>'PC LIST'!I209</f>
        <v>C1: Customer satisfaction - level of leakage</v>
      </c>
      <c r="BG30" s="65" t="str">
        <f>'PC LIST'!O209</f>
        <v>score</v>
      </c>
      <c r="BH30" s="65" t="str">
        <f>'PC LIST'!P209</f>
        <v>Customer satisfaction score out of 5</v>
      </c>
      <c r="BI30" s="65">
        <f>'PC LIST'!Q209</f>
        <v>1</v>
      </c>
      <c r="BJ30" s="65" t="str">
        <f>'PC LIST'!J209</f>
        <v>R&amp;P</v>
      </c>
      <c r="BK30" s="65">
        <f>'PC LIST'!BQ209</f>
        <v>3.4</v>
      </c>
      <c r="BL30" s="65" t="str">
        <f>'PC LIST'!B243</f>
        <v>PR14SRNHHR_3</v>
      </c>
      <c r="BM30" s="65" t="str">
        <f>'PC LIST'!I243</f>
        <v>3: Awareness of water hardness measures</v>
      </c>
      <c r="BN30" s="65" t="str">
        <f>'PC LIST'!O243</f>
        <v>%</v>
      </c>
      <c r="BO30" s="65" t="str">
        <f>'PC LIST'!P243</f>
        <v>% customers aware of water hardness measures</v>
      </c>
      <c r="BP30" s="65">
        <f>'PC LIST'!Q243</f>
        <v>1</v>
      </c>
      <c r="BQ30" s="65" t="str">
        <f>'PC LIST'!J243</f>
        <v>NFI</v>
      </c>
      <c r="BR30" s="65">
        <f>'PC LIST'!BQ243</f>
        <v>57</v>
      </c>
      <c r="BZ30" s="65" t="str">
        <f>'PC LIST'!B291</f>
        <v>PR14SVTWSWW_S-A3</v>
      </c>
      <c r="CA30" s="65" t="str">
        <f>'PC LIST'!I291</f>
        <v>S-A3: Partnership working</v>
      </c>
      <c r="CB30" s="65" t="str">
        <f>'PC LIST'!O291</f>
        <v>nr</v>
      </c>
      <c r="CC30" s="65" t="str">
        <f>'PC LIST'!P291</f>
        <v>No. of partnership working projects</v>
      </c>
      <c r="CD30" s="65">
        <f>'PC LIST'!Q291</f>
        <v>0</v>
      </c>
      <c r="CE30" s="65" t="str">
        <f>'PC LIST'!J291</f>
        <v>R&amp;P</v>
      </c>
      <c r="CF30" s="789">
        <f>'PC LIST'!BQ291</f>
        <v>0</v>
      </c>
      <c r="CG30" s="65" t="str">
        <f>'PC LIST'!B336</f>
        <v>PR14SWTWSWW_S-B1</v>
      </c>
      <c r="CH30" s="67" t="str">
        <f>'PC LIST'!I336</f>
        <v>S-B1: Operational customer contacts resolved first time (%)</v>
      </c>
      <c r="CI30" s="67" t="str">
        <f>'PC LIST'!O336</f>
        <v>%</v>
      </c>
      <c r="CJ30" s="67" t="str">
        <f>'PC LIST'!P336</f>
        <v>% customer contacts resolved 1st time</v>
      </c>
      <c r="CK30" s="65">
        <f>'PC LIST'!Q336</f>
        <v>1</v>
      </c>
      <c r="CL30" s="65" t="str">
        <f>'PC LIST'!J336</f>
        <v>R&amp;P</v>
      </c>
      <c r="CM30" s="788">
        <f>'PC LIST'!BQ336</f>
        <v>88.2</v>
      </c>
      <c r="CN30" s="65" t="str">
        <f>'PC LIST'!B378</f>
        <v>PR14TMSWSWW_SB6</v>
      </c>
      <c r="CO30" s="65" t="str">
        <f>'PC LIST'!I378</f>
        <v>SB6: Compliance with SEMD advice notes (with or without derogation)</v>
      </c>
      <c r="CP30" s="65" t="str">
        <f>'PC LIST'!O378</f>
        <v>%</v>
      </c>
      <c r="CQ30" s="65" t="str">
        <f>'PC LIST'!P378</f>
        <v>% compliance with SEMD advice notes</v>
      </c>
      <c r="CR30" s="65">
        <f>'PC LIST'!Q378</f>
        <v>0</v>
      </c>
      <c r="CS30" s="65" t="str">
        <f>'PC LIST'!J378</f>
        <v>PO</v>
      </c>
      <c r="CT30" s="65">
        <f>'PC LIST'!BQ378</f>
        <v>0</v>
      </c>
      <c r="CU30" s="65"/>
      <c r="CV30" s="65"/>
      <c r="CW30" s="65"/>
      <c r="CX30" s="65"/>
      <c r="DB30" s="65" t="str">
        <f>'PC LIST'!B460</f>
        <v>PR14WSHHHR_D1</v>
      </c>
      <c r="DC30" s="65" t="str">
        <f>'PC LIST'!I460</f>
        <v>D1: Service incentive mechanism (SIM)</v>
      </c>
      <c r="DD30" s="65" t="str">
        <f>'PC LIST'!O460</f>
        <v>text</v>
      </c>
      <c r="DE30" s="65" t="str">
        <f>'PC LIST'!P460</f>
        <v>Service incentive mechanism (SIM) score ranking</v>
      </c>
      <c r="DF30" s="65" t="str">
        <f>'PC LIST'!Q460</f>
        <v>na</v>
      </c>
      <c r="DG30" s="65" t="str">
        <f>'PC LIST'!J460</f>
        <v>R&amp;P</v>
      </c>
      <c r="DH30" s="788">
        <f>'PC LIST'!BQ460</f>
        <v>83</v>
      </c>
      <c r="DI30" s="65" t="str">
        <f>'PC LIST'!B491</f>
        <v>PR14WSXHHR_A4</v>
      </c>
      <c r="DJ30" s="65" t="str">
        <f>'PC LIST'!I491</f>
        <v>A4: Percentage rating ease of resolution</v>
      </c>
      <c r="DK30" s="65" t="str">
        <f>'PC LIST'!O491</f>
        <v>%</v>
      </c>
      <c r="DL30" s="65" t="str">
        <f>'PC LIST'!P491</f>
        <v>% customer satisfaction</v>
      </c>
      <c r="DM30" s="65">
        <f>'PC LIST'!Q491</f>
        <v>0</v>
      </c>
      <c r="DN30" s="65" t="str">
        <f>'PC LIST'!J491</f>
        <v>NFI</v>
      </c>
      <c r="DO30" s="65">
        <f>'PC LIST'!BQ491</f>
        <v>81</v>
      </c>
      <c r="DP30" s="65" t="str">
        <f>'PC LIST'!B523</f>
        <v>PR14YKYHHR_RA2</v>
      </c>
      <c r="DQ30" s="65" t="str">
        <f>'PC LIST'!I523</f>
        <v>RA2: Service commitment failures</v>
      </c>
      <c r="DR30" s="65" t="str">
        <f>'PC LIST'!O523</f>
        <v>nr</v>
      </c>
      <c r="DS30" s="65" t="str">
        <f>'PC LIST'!P523</f>
        <v>No. of GSS (Guaranteed Standards of Service) events</v>
      </c>
      <c r="DT30" s="65">
        <f>'PC LIST'!Q523</f>
        <v>0</v>
      </c>
      <c r="DU30" s="65" t="str">
        <f>'PC LIST'!J523</f>
        <v>NFI</v>
      </c>
      <c r="DV30" s="65">
        <f>'PC LIST'!BQ523</f>
        <v>10567</v>
      </c>
    </row>
    <row r="31" spans="8:126" ht="15.75" customHeight="1" x14ac:dyDescent="0.2">
      <c r="H31" s="65" t="str">
        <f>'PC LIST'!B44</f>
        <v>PR14ANHWSWW_S-E1</v>
      </c>
      <c r="I31" s="65" t="str">
        <f>'PC LIST'!I44</f>
        <v>S-E1: Survey of community perception</v>
      </c>
      <c r="J31" s="65" t="str">
        <f>'PC LIST'!O44</f>
        <v>%</v>
      </c>
      <c r="K31" s="65" t="str">
        <f>'PC LIST'!P44</f>
        <v>% customer satisfaction</v>
      </c>
      <c r="L31" s="65" t="str">
        <f>'PC LIST'!Q44</f>
        <v>na</v>
      </c>
      <c r="M31" s="65" t="str">
        <f>'PC LIST'!J44</f>
        <v>NFI</v>
      </c>
      <c r="N31" s="788">
        <f>'PC LIST'!BQ44</f>
        <v>56</v>
      </c>
      <c r="T31" s="65"/>
      <c r="U31" s="65"/>
      <c r="AC31" s="65" t="str">
        <f>'PC LIST'!B117</f>
        <v>PR14NESWSWW_S-D2</v>
      </c>
      <c r="AD31" s="66" t="str">
        <f>'PC LIST'!I117</f>
        <v>S-D2: Service incentive mechanism (SIM)</v>
      </c>
      <c r="AE31" s="66" t="str">
        <f>'PC LIST'!O117</f>
        <v>score</v>
      </c>
      <c r="AF31" s="66" t="str">
        <f>'PC LIST'!P117</f>
        <v>Service incentive mechanism (SIM) score</v>
      </c>
      <c r="AG31" s="65">
        <f>'PC LIST'!Q117</f>
        <v>1</v>
      </c>
      <c r="AH31" s="65" t="str">
        <f>'PC LIST'!J117</f>
        <v>R&amp;P</v>
      </c>
      <c r="AI31" s="65">
        <f>'PC LIST'!BQ117</f>
        <v>83.64</v>
      </c>
      <c r="BE31" s="65" t="str">
        <f>'PC LIST'!B210</f>
        <v>PR14SEWHHR_D1</v>
      </c>
      <c r="BF31" s="65" t="str">
        <f>'PC LIST'!I210</f>
        <v>D1: Customer satisfaction - direct interaction experience</v>
      </c>
      <c r="BG31" s="65" t="str">
        <f>'PC LIST'!O210</f>
        <v>score</v>
      </c>
      <c r="BH31" s="65" t="str">
        <f>'PC LIST'!P210</f>
        <v>Customer satisfaction score out of 5</v>
      </c>
      <c r="BI31" s="65">
        <f>'PC LIST'!Q210</f>
        <v>1</v>
      </c>
      <c r="BJ31" s="65" t="str">
        <f>'PC LIST'!J210</f>
        <v>R&amp;P</v>
      </c>
      <c r="BK31" s="65">
        <f>'PC LIST'!BQ210</f>
        <v>4.2</v>
      </c>
      <c r="BL31" s="65" t="str">
        <f>'PC LIST'!B244</f>
        <v>PR14SRNHHR_4</v>
      </c>
      <c r="BM31" s="65" t="str">
        <f>'PC LIST'!I244</f>
        <v>4: Where your money goes</v>
      </c>
      <c r="BN31" s="65" t="str">
        <f>'PC LIST'!O244</f>
        <v>%</v>
      </c>
      <c r="BO31" s="65" t="str">
        <f>'PC LIST'!P244</f>
        <v>% customers aware of where money goes</v>
      </c>
      <c r="BP31" s="65">
        <f>'PC LIST'!Q244</f>
        <v>1</v>
      </c>
      <c r="BQ31" s="65" t="str">
        <f>'PC LIST'!J244</f>
        <v>NFI</v>
      </c>
      <c r="BR31" s="65">
        <f>'PC LIST'!BQ244</f>
        <v>60</v>
      </c>
      <c r="BZ31" s="65" t="str">
        <f>'PC LIST'!B292</f>
        <v>PR14SVTWSWW_S-A4</v>
      </c>
      <c r="CA31" s="65" t="str">
        <f>'PC LIST'!I292</f>
        <v>S-A4: Asset stewardship - blockages</v>
      </c>
      <c r="CB31" s="65" t="str">
        <f>'PC LIST'!O292</f>
        <v>nr</v>
      </c>
      <c r="CC31" s="65" t="str">
        <f>'PC LIST'!P292</f>
        <v>No. of sewer blockages per year</v>
      </c>
      <c r="CD31" s="65">
        <f>'PC LIST'!Q292</f>
        <v>0</v>
      </c>
      <c r="CE31" s="65" t="str">
        <f>'PC LIST'!J292</f>
        <v>PO</v>
      </c>
      <c r="CF31" s="789">
        <f>'PC LIST'!BQ292</f>
        <v>44107</v>
      </c>
      <c r="CG31" s="65" t="str">
        <f>'PC LIST'!B337</f>
        <v>PR14SWTWSWW_S-C1</v>
      </c>
      <c r="CH31" s="67" t="str">
        <f>'PC LIST'!I337</f>
        <v>S-C1: Wastewater treatment numeric compliance (%)</v>
      </c>
      <c r="CI31" s="67" t="str">
        <f>'PC LIST'!O337</f>
        <v>%</v>
      </c>
      <c r="CJ31" s="67" t="str">
        <f>'PC LIST'!P337</f>
        <v>% wastewater treatment numeric compliance</v>
      </c>
      <c r="CK31" s="65">
        <f>'PC LIST'!Q337</f>
        <v>1</v>
      </c>
      <c r="CL31" s="65" t="str">
        <f>'PC LIST'!J337</f>
        <v>PO</v>
      </c>
      <c r="CM31" s="788">
        <f>'PC LIST'!BQ337</f>
        <v>95.8</v>
      </c>
      <c r="CN31" s="65" t="str">
        <f>'PC LIST'!B379</f>
        <v>PR14TMSWSWW_SB7</v>
      </c>
      <c r="CO31" s="65" t="str">
        <f>'PC LIST'!I379</f>
        <v>SB7: Population equivalent of sites made resilient to future extreme rainfall events</v>
      </c>
      <c r="CP31" s="65" t="str">
        <f>'PC LIST'!O379</f>
        <v>nr</v>
      </c>
      <c r="CQ31" s="65" t="str">
        <f>'PC LIST'!P379</f>
        <v>Population equivalent (cumulative)</v>
      </c>
      <c r="CR31" s="65">
        <f>'PC LIST'!Q379</f>
        <v>0</v>
      </c>
      <c r="CS31" s="65" t="str">
        <f>'PC LIST'!J379</f>
        <v>PO</v>
      </c>
      <c r="CT31" s="65">
        <f>'PC LIST'!BQ379</f>
        <v>0</v>
      </c>
      <c r="CW31" s="60"/>
      <c r="CX31" s="60"/>
      <c r="CY31" s="60"/>
      <c r="CZ31" s="60"/>
      <c r="DA31" s="60"/>
      <c r="DB31" s="65" t="str">
        <f>'PC LIST'!B461</f>
        <v>PR14WSHHHR_D5</v>
      </c>
      <c r="DC31" s="65" t="str">
        <f>'PC LIST'!I461</f>
        <v>D5: Earning the trust of customers - % of customers surveyed that say they trust the company</v>
      </c>
      <c r="DD31" s="65" t="str">
        <f>'PC LIST'!O461</f>
        <v>%</v>
      </c>
      <c r="DE31" s="65" t="str">
        <f>'PC LIST'!P461</f>
        <v>% customer satisfaction</v>
      </c>
      <c r="DF31" s="65">
        <f>'PC LIST'!Q461</f>
        <v>0</v>
      </c>
      <c r="DG31" s="65" t="str">
        <f>'PC LIST'!J461</f>
        <v>NFI</v>
      </c>
      <c r="DH31" s="788">
        <f>'PC LIST'!BQ461</f>
        <v>82</v>
      </c>
      <c r="DI31" s="65" t="str">
        <f>'PC LIST'!B492</f>
        <v>PR14WSXHHR_A5</v>
      </c>
      <c r="DJ31" s="65" t="str">
        <f>'PC LIST'!I492</f>
        <v>A5: Accessible communications</v>
      </c>
      <c r="DK31" s="65" t="str">
        <f>'PC LIST'!O492</f>
        <v>text</v>
      </c>
      <c r="DL31" s="65" t="str">
        <f>'PC LIST'!P492</f>
        <v>Meet best practice</v>
      </c>
      <c r="DM31" s="65" t="str">
        <f>'PC LIST'!Q492</f>
        <v>na</v>
      </c>
      <c r="DN31" s="65" t="str">
        <f>'PC LIST'!J492</f>
        <v>NFI</v>
      </c>
      <c r="DO31" s="65" t="str">
        <f>'PC LIST'!BQ492</f>
        <v>BS18477 &amp; Customer Service Excellence Award</v>
      </c>
      <c r="DP31" s="65" t="str">
        <f>'PC LIST'!B524</f>
        <v>PR14YKYHHR_RA3</v>
      </c>
      <c r="DQ31" s="65" t="str">
        <f>'PC LIST'!I524</f>
        <v>RA3: Overall customer satisfaction (CCWater annual tracking survey)</v>
      </c>
      <c r="DR31" s="65" t="str">
        <f>'PC LIST'!O524</f>
        <v>%</v>
      </c>
      <c r="DS31" s="65" t="str">
        <f>'PC LIST'!P524</f>
        <v>% overall customer satisfaction (CCWater tracking survey)</v>
      </c>
      <c r="DT31" s="65">
        <f>'PC LIST'!Q524</f>
        <v>0</v>
      </c>
      <c r="DU31" s="65" t="str">
        <f>'PC LIST'!J524</f>
        <v>NFI</v>
      </c>
      <c r="DV31" s="65" t="str">
        <f>'PC LIST'!BQ524</f>
        <v xml:space="preserve">95% (Water)
92% (Waste) </v>
      </c>
    </row>
    <row r="32" spans="8:126" ht="15.75" customHeight="1" x14ac:dyDescent="0.2">
      <c r="H32" s="65" t="str">
        <f>'PC LIST'!B45</f>
        <v>PR14ANHWSWW_S-F1</v>
      </c>
      <c r="I32" s="65" t="str">
        <f>'PC LIST'!I45</f>
        <v>S-F1: Sewerage infrastructure</v>
      </c>
      <c r="J32" s="65" t="str">
        <f>'PC LIST'!O45</f>
        <v>category</v>
      </c>
      <c r="K32" s="65" t="str">
        <f>'PC LIST'!P45</f>
        <v>Asset health indicator (RAG)</v>
      </c>
      <c r="L32" s="65" t="str">
        <f>'PC LIST'!Q45</f>
        <v>na</v>
      </c>
      <c r="M32" s="65" t="str">
        <f>'PC LIST'!J45</f>
        <v>PO</v>
      </c>
      <c r="N32" s="788" t="str">
        <f>'PC LIST'!BQ45</f>
        <v>Green</v>
      </c>
      <c r="T32" s="65"/>
      <c r="U32" s="65"/>
      <c r="AC32" s="65" t="str">
        <f>'PC LIST'!B118</f>
        <v>PR14NESWSWW_S-D3</v>
      </c>
      <c r="AD32" s="66" t="str">
        <f>'PC LIST'!I118</f>
        <v>S-D3: Domestic customer satisfaction, net promoter score</v>
      </c>
      <c r="AE32" s="66" t="str">
        <f>'PC LIST'!O118</f>
        <v>%</v>
      </c>
      <c r="AF32" s="66" t="str">
        <f>'PC LIST'!P118</f>
        <v>% customer satisfaction</v>
      </c>
      <c r="AG32" s="65">
        <f>'PC LIST'!Q118</f>
        <v>0</v>
      </c>
      <c r="AH32" s="65" t="str">
        <f>'PC LIST'!J118</f>
        <v>NFI</v>
      </c>
      <c r="AI32" s="65">
        <f>'PC LIST'!BQ118</f>
        <v>49</v>
      </c>
      <c r="BE32" s="65" t="str">
        <f>'PC LIST'!B211</f>
        <v>PR14SEWHHR_D2</v>
      </c>
      <c r="BF32" s="65" t="str">
        <f>'PC LIST'!I211</f>
        <v>D2: Service Incentive Mechanism (SIM)</v>
      </c>
      <c r="BG32" s="65" t="str">
        <f>'PC LIST'!O211</f>
        <v>score</v>
      </c>
      <c r="BH32" s="65" t="str">
        <f>'PC LIST'!P211</f>
        <v>Service incentive mechanism (SIM) score</v>
      </c>
      <c r="BI32" s="65">
        <f>'PC LIST'!Q211</f>
        <v>1</v>
      </c>
      <c r="BJ32" s="65" t="str">
        <f>'PC LIST'!J211</f>
        <v>R&amp;P</v>
      </c>
      <c r="BK32" s="65">
        <f>'PC LIST'!BQ211</f>
        <v>81.95</v>
      </c>
      <c r="BL32" s="65" t="str">
        <f>'PC LIST'!B245</f>
        <v>PR14SRNHHR_5</v>
      </c>
      <c r="BM32" s="65" t="str">
        <f>'PC LIST'!I245</f>
        <v>5: Billing queries</v>
      </c>
      <c r="BN32" s="65" t="str">
        <f>'PC LIST'!O245</f>
        <v>nr</v>
      </c>
      <c r="BO32" s="65" t="str">
        <f>'PC LIST'!P245</f>
        <v>No. of billing queries</v>
      </c>
      <c r="BP32" s="65">
        <f>'PC LIST'!Q245</f>
        <v>0</v>
      </c>
      <c r="BQ32" s="65" t="str">
        <f>'PC LIST'!J245</f>
        <v>NFI</v>
      </c>
      <c r="BR32" s="65">
        <f>'PC LIST'!BQ245</f>
        <v>62726</v>
      </c>
      <c r="BZ32" s="65" t="str">
        <f>'PC LIST'!B293</f>
        <v>PR14SVTWSWW_S-A5</v>
      </c>
      <c r="CA32" s="65" t="str">
        <f>'PC LIST'!I293</f>
        <v>S-A5: Statutory obligations (Section 101A schemes)</v>
      </c>
      <c r="CB32" s="65" t="str">
        <f>'PC LIST'!O293</f>
        <v>nr</v>
      </c>
      <c r="CC32" s="65" t="str">
        <f>'PC LIST'!P293</f>
        <v>No. of connectable properties, identified as polluting or likely to pollute, associated with new Section 101A schemes</v>
      </c>
      <c r="CD32" s="65">
        <f>'PC LIST'!Q293</f>
        <v>0</v>
      </c>
      <c r="CE32" s="65" t="str">
        <f>'PC LIST'!J293</f>
        <v>NFI</v>
      </c>
      <c r="CF32" s="789">
        <f>'PC LIST'!BQ293</f>
        <v>35</v>
      </c>
      <c r="CG32" s="65" t="str">
        <f>'PC LIST'!B338</f>
        <v>PR14SWTWSWW_S-C2</v>
      </c>
      <c r="CH32" s="67" t="str">
        <f>'PC LIST'!I338</f>
        <v>S-C2: Wastewater population equivalent sanitary compliance (%)</v>
      </c>
      <c r="CI32" s="67" t="str">
        <f>'PC LIST'!O338</f>
        <v>%</v>
      </c>
      <c r="CJ32" s="67" t="str">
        <f>'PC LIST'!P338</f>
        <v>% wastewater p.e. sanitary compliance</v>
      </c>
      <c r="CK32" s="65">
        <f>'PC LIST'!Q338</f>
        <v>1</v>
      </c>
      <c r="CL32" s="65" t="str">
        <f>'PC LIST'!J338</f>
        <v>NFI</v>
      </c>
      <c r="CM32" s="788">
        <f>'PC LIST'!BQ338</f>
        <v>99.13</v>
      </c>
      <c r="CN32" s="65" t="str">
        <f>'PC LIST'!B380</f>
        <v>PR14TMSWSWW_SB8</v>
      </c>
      <c r="CO32" s="65" t="str">
        <f>'PC LIST'!I380</f>
        <v>SB8: Lee Tunnel including Shaft G</v>
      </c>
      <c r="CP32" s="65" t="str">
        <f>'PC LIST'!O380</f>
        <v>text</v>
      </c>
      <c r="CQ32" s="65" t="str">
        <f>'PC LIST'!P380</f>
        <v>Scheme delivery</v>
      </c>
      <c r="CR32" s="65" t="str">
        <f>'PC LIST'!Q380</f>
        <v>na</v>
      </c>
      <c r="CS32" s="65" t="str">
        <f>'PC LIST'!J380</f>
        <v>PO</v>
      </c>
      <c r="CT32" s="65" t="str">
        <f>'PC LIST'!BQ380</f>
        <v>Scheme delivered</v>
      </c>
      <c r="CW32" s="60"/>
      <c r="CX32" s="60"/>
      <c r="CY32" s="60"/>
      <c r="CZ32" s="60"/>
      <c r="DA32" s="60"/>
      <c r="DB32" s="65" t="str">
        <f>'PC LIST'!B462</f>
        <v>PR14WSHHHR_E1</v>
      </c>
      <c r="DC32" s="65" t="str">
        <f>'PC LIST'!I462</f>
        <v>E1: Affordable bills - annual increase</v>
      </c>
      <c r="DD32" s="65" t="str">
        <f>'PC LIST'!O462</f>
        <v>%</v>
      </c>
      <c r="DE32" s="65" t="str">
        <f>'PC LIST'!P462</f>
        <v>% above or below inflation (affordability of bills)</v>
      </c>
      <c r="DF32" s="65">
        <f>'PC LIST'!Q462</f>
        <v>0</v>
      </c>
      <c r="DG32" s="65" t="str">
        <f>'PC LIST'!J462</f>
        <v>NFI</v>
      </c>
      <c r="DH32" s="788">
        <f>'PC LIST'!BQ462</f>
        <v>-1</v>
      </c>
      <c r="DI32" s="65" t="str">
        <f>'PC LIST'!B493</f>
        <v>PR14WSXHHR_B1a</v>
      </c>
      <c r="DJ32" s="65" t="str">
        <f>'PC LIST'!I493</f>
        <v>B1a: Volume of water used per person</v>
      </c>
      <c r="DK32" s="65" t="str">
        <f>'PC LIST'!O493</f>
        <v>nr</v>
      </c>
      <c r="DL32" s="65" t="str">
        <f>'PC LIST'!P493</f>
        <v>Litres per person per day (l/p/d)</v>
      </c>
      <c r="DM32" s="65">
        <f>'PC LIST'!Q493</f>
        <v>0</v>
      </c>
      <c r="DN32" s="65" t="str">
        <f>'PC LIST'!J493</f>
        <v>NFI</v>
      </c>
      <c r="DO32" s="65">
        <f>'PC LIST'!BQ493</f>
        <v>138</v>
      </c>
      <c r="DP32" s="65" t="str">
        <f>'PC LIST'!B525</f>
        <v>PR14YKYHHR_RB1</v>
      </c>
      <c r="DQ32" s="65" t="str">
        <f>'PC LIST'!I525</f>
        <v>RB1: Cost of bad debt to customers (expressed as proportion of bill)</v>
      </c>
      <c r="DR32" s="65" t="str">
        <f>'PC LIST'!O525</f>
        <v>%</v>
      </c>
      <c r="DS32" s="65" t="str">
        <f>'PC LIST'!P525</f>
        <v>Cost of bad debt as % of average annual bill</v>
      </c>
      <c r="DT32" s="65">
        <f>'PC LIST'!Q525</f>
        <v>2</v>
      </c>
      <c r="DU32" s="65" t="str">
        <f>'PC LIST'!J525</f>
        <v>NFI</v>
      </c>
      <c r="DV32" s="65">
        <f>'PC LIST'!BQ525</f>
        <v>3.05</v>
      </c>
    </row>
    <row r="33" spans="8:126" ht="15.75" customHeight="1" x14ac:dyDescent="0.2">
      <c r="H33" s="65" t="str">
        <f>'PC LIST'!B46</f>
        <v>PR14ANHWSWW_S-F2</v>
      </c>
      <c r="I33" s="65" t="str">
        <f>'PC LIST'!I46</f>
        <v>S-F2: Sewerage non-infrastructure</v>
      </c>
      <c r="J33" s="65" t="str">
        <f>'PC LIST'!O46</f>
        <v>category</v>
      </c>
      <c r="K33" s="65" t="str">
        <f>'PC LIST'!P46</f>
        <v>Asset health indicator (RAG)</v>
      </c>
      <c r="L33" s="65" t="str">
        <f>'PC LIST'!Q46</f>
        <v>na</v>
      </c>
      <c r="M33" s="65" t="str">
        <f>'PC LIST'!J46</f>
        <v>PO</v>
      </c>
      <c r="N33" s="788" t="str">
        <f>'PC LIST'!BQ46</f>
        <v>Green</v>
      </c>
      <c r="T33" s="65"/>
      <c r="U33" s="65"/>
      <c r="AC33" s="65" t="str">
        <f>'PC LIST'!B119</f>
        <v>PR14NESWSWW_S-E1</v>
      </c>
      <c r="AD33" s="66" t="str">
        <f>'PC LIST'!I119</f>
        <v>S-E1: NWL independent survey on keeping customers informed</v>
      </c>
      <c r="AE33" s="66" t="str">
        <f>'PC LIST'!O119</f>
        <v>%</v>
      </c>
      <c r="AF33" s="66" t="str">
        <f>'PC LIST'!P119</f>
        <v>% customer satisfaction</v>
      </c>
      <c r="AG33" s="65" t="str">
        <f>'PC LIST'!Q119</f>
        <v>TBC</v>
      </c>
      <c r="AH33" s="65" t="str">
        <f>'PC LIST'!J119</f>
        <v>NFI</v>
      </c>
      <c r="AI33" s="65">
        <f>'PC LIST'!BQ119</f>
        <v>94</v>
      </c>
      <c r="BE33" s="65" t="str">
        <f>'PC LIST'!B212</f>
        <v>PR14SEWHHR_E1</v>
      </c>
      <c r="BF33" s="65" t="str">
        <f>'PC LIST'!I212</f>
        <v>E1: Customer satisfaction - bills are value for money and affordable</v>
      </c>
      <c r="BG33" s="65" t="str">
        <f>'PC LIST'!O212</f>
        <v>%</v>
      </c>
      <c r="BH33" s="65" t="str">
        <f>'PC LIST'!P212</f>
        <v>% customer satisfaction</v>
      </c>
      <c r="BI33" s="65">
        <f>'PC LIST'!Q212</f>
        <v>0</v>
      </c>
      <c r="BJ33" s="65" t="str">
        <f>'PC LIST'!J212</f>
        <v>NFI</v>
      </c>
      <c r="BK33" s="65">
        <f>'PC LIST'!BQ212</f>
        <v>71</v>
      </c>
      <c r="BL33" s="65" t="str">
        <f>'PC LIST'!B246</f>
        <v>PR14SRNHHR_6</v>
      </c>
      <c r="BM33" s="65" t="str">
        <f>'PC LIST'!I246</f>
        <v>6: Take up of assistance schemes (number of customers who are receiving support through one of our financial assistance schemes)</v>
      </c>
      <c r="BN33" s="65" t="str">
        <f>'PC LIST'!O246</f>
        <v>nr</v>
      </c>
      <c r="BO33" s="65" t="str">
        <f>'PC LIST'!P246</f>
        <v>No. of assistance scheme customers</v>
      </c>
      <c r="BP33" s="65">
        <f>'PC LIST'!Q246</f>
        <v>0</v>
      </c>
      <c r="BQ33" s="65" t="str">
        <f>'PC LIST'!J246</f>
        <v>NFI</v>
      </c>
      <c r="BR33" s="65">
        <f>'PC LIST'!BQ246</f>
        <v>142040</v>
      </c>
      <c r="BZ33" s="65" t="str">
        <f>'PC LIST'!B294</f>
        <v>PR14SVTWSWW_S-B1</v>
      </c>
      <c r="CA33" s="65" t="str">
        <f>'PC LIST'!I294</f>
        <v>S-B1: Customers rating our services as good value for money (based on tracker survey)</v>
      </c>
      <c r="CB33" s="65" t="str">
        <f>'PC LIST'!O294</f>
        <v>%</v>
      </c>
      <c r="CC33" s="65" t="str">
        <f>'PC LIST'!P294</f>
        <v>% customer satisfaction</v>
      </c>
      <c r="CD33" s="65">
        <f>'PC LIST'!Q294</f>
        <v>0</v>
      </c>
      <c r="CE33" s="65" t="str">
        <f>'PC LIST'!J294</f>
        <v>R&amp;P</v>
      </c>
      <c r="CF33" s="789">
        <f>'PC LIST'!BQ294</f>
        <v>57.5</v>
      </c>
      <c r="CG33" s="65" t="str">
        <f>'PC LIST'!B339</f>
        <v>PR14SWTWSWW_S-C3</v>
      </c>
      <c r="CH33" s="67" t="str">
        <f>'PC LIST'!I339</f>
        <v>S-C3: Wastewater descriptive works permit compliance (%)</v>
      </c>
      <c r="CI33" s="67" t="str">
        <f>'PC LIST'!O339</f>
        <v>%</v>
      </c>
      <c r="CJ33" s="67" t="str">
        <f>'PC LIST'!P339</f>
        <v>% wastewater desc works permit compliance</v>
      </c>
      <c r="CK33" s="65">
        <f>'PC LIST'!Q339</f>
        <v>1</v>
      </c>
      <c r="CL33" s="65" t="str">
        <f>'PC LIST'!J339</f>
        <v>PO</v>
      </c>
      <c r="CM33" s="788">
        <f>'PC LIST'!BQ339</f>
        <v>99.09</v>
      </c>
      <c r="CN33" s="65" t="str">
        <f>'PC LIST'!B381</f>
        <v>PR14TMSWSWW_SB9</v>
      </c>
      <c r="CO33" s="65" t="str">
        <f>'PC LIST'!I381</f>
        <v>SB9: Deephams Wastewater Treatment Works</v>
      </c>
      <c r="CP33" s="65" t="str">
        <f>'PC LIST'!O381</f>
        <v>text</v>
      </c>
      <c r="CQ33" s="65" t="str">
        <f>'PC LIST'!P381</f>
        <v>Scheme delivery</v>
      </c>
      <c r="CR33" s="65" t="str">
        <f>'PC LIST'!Q381</f>
        <v>na</v>
      </c>
      <c r="CS33" s="65" t="str">
        <f>'PC LIST'!J381</f>
        <v>PO</v>
      </c>
      <c r="CT33" s="65" t="str">
        <f>'PC LIST'!BQ381</f>
        <v>Not available</v>
      </c>
      <c r="CW33" s="60"/>
      <c r="CX33" s="60"/>
      <c r="CY33" s="60"/>
      <c r="CZ33" s="60"/>
      <c r="DA33" s="60"/>
      <c r="DB33" s="65" t="str">
        <f>'PC LIST'!B463</f>
        <v>PR14WSHHHR_E2</v>
      </c>
      <c r="DC33" s="65" t="str">
        <f>'PC LIST'!I463</f>
        <v>E2: Help for disadvantaged customers (customers benefiting from social tariffs)</v>
      </c>
      <c r="DD33" s="65" t="str">
        <f>'PC LIST'!O463</f>
        <v>nr</v>
      </c>
      <c r="DE33" s="65" t="str">
        <f>'PC LIST'!P463</f>
        <v>No. of customers benefiting from social tariffs</v>
      </c>
      <c r="DF33" s="65">
        <f>'PC LIST'!Q463</f>
        <v>0</v>
      </c>
      <c r="DG33" s="65" t="str">
        <f>'PC LIST'!J463</f>
        <v>NFI</v>
      </c>
      <c r="DH33" s="788">
        <f>'PC LIST'!BQ463</f>
        <v>54845</v>
      </c>
      <c r="DI33" s="65" t="str">
        <f>'PC LIST'!B494</f>
        <v>PR14WSXHHR_B1b</v>
      </c>
      <c r="DJ33" s="65" t="str">
        <f>'PC LIST'!I494</f>
        <v>B1b: Volume of water saved by water efficiency promotion</v>
      </c>
      <c r="DK33" s="65" t="str">
        <f>'PC LIST'!O494</f>
        <v>nr</v>
      </c>
      <c r="DL33" s="65" t="str">
        <f>'PC LIST'!P494</f>
        <v>Litres per person per day (l/p/d)</v>
      </c>
      <c r="DM33" s="65">
        <f>'PC LIST'!Q494</f>
        <v>2</v>
      </c>
      <c r="DN33" s="65" t="str">
        <f>'PC LIST'!J494</f>
        <v>PO</v>
      </c>
      <c r="DO33" s="65">
        <f>'PC LIST'!BQ494</f>
        <v>0.68</v>
      </c>
      <c r="DP33" s="65" t="str">
        <f>'PC LIST'!B526</f>
        <v>PR14YKYHHR_RB2</v>
      </c>
      <c r="DQ33" s="65" t="str">
        <f>'PC LIST'!I526</f>
        <v>RB2: Number of people who we help to pay their bill</v>
      </c>
      <c r="DR33" s="65" t="str">
        <f>'PC LIST'!O526</f>
        <v>nr</v>
      </c>
      <c r="DS33" s="65" t="str">
        <f>'PC LIST'!P526</f>
        <v>No. of customers who are assisted to pay their bill</v>
      </c>
      <c r="DT33" s="65">
        <f>'PC LIST'!Q526</f>
        <v>0</v>
      </c>
      <c r="DU33" s="65" t="str">
        <f>'PC LIST'!J526</f>
        <v>NFI</v>
      </c>
      <c r="DV33" s="65">
        <f>'PC LIST'!BQ526</f>
        <v>22735</v>
      </c>
    </row>
    <row r="34" spans="8:126" ht="15.75" customHeight="1" x14ac:dyDescent="0.2">
      <c r="H34" s="65" t="str">
        <f>'PC LIST'!B47</f>
        <v>PR14ANHHHR_R-A1</v>
      </c>
      <c r="I34" s="65" t="str">
        <f>'PC LIST'!I47</f>
        <v>R-A1: Qualitative service incentive mechanism (SIM) score</v>
      </c>
      <c r="J34" s="65" t="str">
        <f>'PC LIST'!O47</f>
        <v>text</v>
      </c>
      <c r="K34" s="65" t="str">
        <f>'PC LIST'!P47</f>
        <v>Service incentive mechanism (SIM) score ranking (WaSCs)</v>
      </c>
      <c r="L34" s="65" t="str">
        <f>'PC LIST'!Q47</f>
        <v>na</v>
      </c>
      <c r="M34" s="65" t="str">
        <f>'PC LIST'!J47</f>
        <v>NFI</v>
      </c>
      <c r="N34" s="788" t="str">
        <f>'PC LIST'!BQ47</f>
        <v>3rd among the 10 WaSCs</v>
      </c>
      <c r="T34" s="65"/>
      <c r="U34" s="65"/>
      <c r="AC34" s="65" t="str">
        <f>'PC LIST'!B120</f>
        <v>PR14NESWSWW_S-F1</v>
      </c>
      <c r="AD34" s="66" t="str">
        <f>'PC LIST'!I120</f>
        <v>S-F1: Greenhouse gas emissions</v>
      </c>
      <c r="AE34" s="66" t="str">
        <f>'PC LIST'!O120</f>
        <v>nr</v>
      </c>
      <c r="AF34" s="66" t="str">
        <f>'PC LIST'!P120</f>
        <v>ktCO2e</v>
      </c>
      <c r="AG34" s="65">
        <f>'PC LIST'!Q120</f>
        <v>0</v>
      </c>
      <c r="AH34" s="65" t="str">
        <f>'PC LIST'!J120</f>
        <v>NFI</v>
      </c>
      <c r="AI34" s="65">
        <f>'PC LIST'!BQ120</f>
        <v>225.2</v>
      </c>
      <c r="BE34" s="65" t="str">
        <f>'PC LIST'!B213</f>
        <v>PR14SEWHHR_F1</v>
      </c>
      <c r="BF34" s="65" t="str">
        <f>'PC LIST'!I213</f>
        <v>F1: Customer satisfaction - water supply is of sufficient pressure</v>
      </c>
      <c r="BG34" s="65" t="str">
        <f>'PC LIST'!O213</f>
        <v>score</v>
      </c>
      <c r="BH34" s="65" t="str">
        <f>'PC LIST'!P213</f>
        <v>Customer satisfaction score out of 5</v>
      </c>
      <c r="BI34" s="65">
        <f>'PC LIST'!Q213</f>
        <v>1</v>
      </c>
      <c r="BJ34" s="65" t="str">
        <f>'PC LIST'!J213</f>
        <v>R&amp;P</v>
      </c>
      <c r="BK34" s="65">
        <f>'PC LIST'!BQ213</f>
        <v>4.2</v>
      </c>
      <c r="BL34" s="65" t="str">
        <f>'PC LIST'!B247</f>
        <v>PR14SRNHHR_7</v>
      </c>
      <c r="BM34" s="65" t="str">
        <f>'PC LIST'!I247</f>
        <v>7: Value-for-money</v>
      </c>
      <c r="BN34" s="65" t="str">
        <f>'PC LIST'!O247</f>
        <v>%</v>
      </c>
      <c r="BO34" s="65" t="str">
        <f>'PC LIST'!P247</f>
        <v>% of customers who feel they get vfm</v>
      </c>
      <c r="BP34" s="65">
        <f>'PC LIST'!Q247</f>
        <v>0</v>
      </c>
      <c r="BQ34" s="65" t="str">
        <f>'PC LIST'!J247</f>
        <v>NFI</v>
      </c>
      <c r="BR34" s="65">
        <f>'PC LIST'!BQ247</f>
        <v>61</v>
      </c>
      <c r="BZ34" s="65" t="str">
        <f>'PC LIST'!B295</f>
        <v>PR14SVTWSWW_S-C1</v>
      </c>
      <c r="CA34" s="65" t="str">
        <f>'PC LIST'!I295</f>
        <v>S-C1: Improvements in river water quality against WFD criteria</v>
      </c>
      <c r="CB34" s="65" t="str">
        <f>'PC LIST'!O295</f>
        <v>nr</v>
      </c>
      <c r="CC34" s="65" t="str">
        <f>'PC LIST'!P295</f>
        <v>No. of WFD classification improvements</v>
      </c>
      <c r="CD34" s="65">
        <f>'PC LIST'!Q295</f>
        <v>0</v>
      </c>
      <c r="CE34" s="65" t="str">
        <f>'PC LIST'!J295</f>
        <v>R&amp;P</v>
      </c>
      <c r="CF34" s="789">
        <f>'PC LIST'!BQ295</f>
        <v>0</v>
      </c>
      <c r="CG34" s="65" t="str">
        <f>'PC LIST'!B340</f>
        <v>PR14SWTWSWW_S-C4</v>
      </c>
      <c r="CH34" s="67" t="str">
        <f>'PC LIST'!I340</f>
        <v>S-C4: Pollution incidents (category 1 and 2)</v>
      </c>
      <c r="CI34" s="67" t="str">
        <f>'PC LIST'!O340</f>
        <v>nr</v>
      </c>
      <c r="CJ34" s="67" t="str">
        <f>'PC LIST'!P340</f>
        <v>No. of pollution incidents (cats 1 and 2)</v>
      </c>
      <c r="CK34" s="65">
        <f>'PC LIST'!Q340</f>
        <v>0</v>
      </c>
      <c r="CL34" s="65" t="str">
        <f>'PC LIST'!J340</f>
        <v>PO</v>
      </c>
      <c r="CM34" s="788">
        <f>'PC LIST'!BQ340</f>
        <v>7</v>
      </c>
      <c r="CN34" s="65" t="str">
        <f>'PC LIST'!B382</f>
        <v>PR14TMSWSWW_SC1</v>
      </c>
      <c r="CO34" s="65" t="str">
        <f>'PC LIST'!I382</f>
        <v>SC1: Greenhouse gas emissions from wastewater operations</v>
      </c>
      <c r="CP34" s="65" t="str">
        <f>'PC LIST'!O382</f>
        <v>nr</v>
      </c>
      <c r="CQ34" s="65" t="str">
        <f>'PC LIST'!P382</f>
        <v>ktCO2e</v>
      </c>
      <c r="CR34" s="65">
        <f>'PC LIST'!Q382</f>
        <v>1</v>
      </c>
      <c r="CS34" s="65" t="str">
        <f>'PC LIST'!J382</f>
        <v>NFI</v>
      </c>
      <c r="CT34" s="65">
        <f>'PC LIST'!BQ382</f>
        <v>468.53500000000003</v>
      </c>
      <c r="CW34" s="60"/>
      <c r="CX34" s="60"/>
      <c r="CY34" s="60"/>
      <c r="CZ34" s="60"/>
      <c r="DA34" s="60"/>
      <c r="DD34" s="60"/>
      <c r="DE34" s="60"/>
      <c r="DI34" s="65" t="str">
        <f>'PC LIST'!B495</f>
        <v>PR14WSXHHR_B2</v>
      </c>
      <c r="DJ34" s="65" t="str">
        <f>'PC LIST'!I495</f>
        <v>B2: Bill as a proportion of disposable income</v>
      </c>
      <c r="DK34" s="65" t="str">
        <f>'PC LIST'!O495</f>
        <v>%</v>
      </c>
      <c r="DL34" s="65" t="str">
        <f>'PC LIST'!P495</f>
        <v>Bill as a proportion (%) of disposable income</v>
      </c>
      <c r="DM34" s="65">
        <f>'PC LIST'!Q495</f>
        <v>1</v>
      </c>
      <c r="DN34" s="65" t="str">
        <f>'PC LIST'!J495</f>
        <v>NFI</v>
      </c>
      <c r="DO34" s="65">
        <f>'PC LIST'!BQ495</f>
        <v>1.5</v>
      </c>
      <c r="DP34" s="65" t="str">
        <f>'PC LIST'!B527</f>
        <v>PR14YKYHHR_RB3</v>
      </c>
      <c r="DQ34" s="65" t="str">
        <f>'PC LIST'!I527</f>
        <v>RB3: Value for money (CCWater annual tracking survey)</v>
      </c>
      <c r="DR34" s="65" t="str">
        <f>'PC LIST'!O527</f>
        <v>%</v>
      </c>
      <c r="DS34" s="65" t="str">
        <f>'PC LIST'!P527</f>
        <v>% customer satisfaction (CCWater tracking survey)</v>
      </c>
      <c r="DT34" s="65">
        <f>'PC LIST'!Q527</f>
        <v>0</v>
      </c>
      <c r="DU34" s="65" t="str">
        <f>'PC LIST'!J527</f>
        <v>NFI</v>
      </c>
      <c r="DV34" s="65" t="str">
        <f>'PC LIST'!BQ527</f>
        <v xml:space="preserve">82% (Water)
83% (Waste) </v>
      </c>
    </row>
    <row r="35" spans="8:126" ht="15.75" customHeight="1" x14ac:dyDescent="0.2">
      <c r="H35" s="65" t="str">
        <f>'PC LIST'!B48</f>
        <v>PR14ANHHHR_R-A2</v>
      </c>
      <c r="I35" s="65" t="str">
        <f>'PC LIST'!I48</f>
        <v>R-A2: Service incentive mechanism (SIM)</v>
      </c>
      <c r="J35" s="65" t="str">
        <f>'PC LIST'!O48</f>
        <v>score</v>
      </c>
      <c r="K35" s="65" t="str">
        <f>'PC LIST'!P48</f>
        <v>Service incentive mechanism (SIM) score</v>
      </c>
      <c r="L35" s="65">
        <f>'PC LIST'!Q48</f>
        <v>0</v>
      </c>
      <c r="M35" s="65" t="str">
        <f>'PC LIST'!J48</f>
        <v>R&amp;P</v>
      </c>
      <c r="N35" s="788">
        <f>'PC LIST'!BQ48</f>
        <v>85</v>
      </c>
      <c r="T35" s="65"/>
      <c r="U35" s="65"/>
      <c r="AC35" s="65" t="str">
        <f>'PC LIST'!B121</f>
        <v>PR14NESWSWW_S-F2</v>
      </c>
      <c r="AD35" s="66" t="str">
        <f>'PC LIST'!I121</f>
        <v>S-F2: Annual environmental performance report</v>
      </c>
      <c r="AE35" s="66" t="str">
        <f>'PC LIST'!O121</f>
        <v>text</v>
      </c>
      <c r="AF35" s="66" t="str">
        <f>'PC LIST'!P121</f>
        <v>CRAG report publication</v>
      </c>
      <c r="AG35" s="65" t="str">
        <f>'PC LIST'!Q121</f>
        <v>na</v>
      </c>
      <c r="AH35" s="65" t="str">
        <f>'PC LIST'!J121</f>
        <v>NFI</v>
      </c>
      <c r="AI35" s="65" t="str">
        <f>'PC LIST'!BQ121</f>
        <v>Report published</v>
      </c>
      <c r="BE35" s="65" t="str">
        <f>'PC LIST'!B214</f>
        <v>PR14SEWHHR_G1</v>
      </c>
      <c r="BF35" s="65" t="str">
        <f>'PC LIST'!I214</f>
        <v>G1: Customer satisfaction - frequency and duration of supply interruptions</v>
      </c>
      <c r="BG35" s="65" t="str">
        <f>'PC LIST'!O214</f>
        <v>score</v>
      </c>
      <c r="BH35" s="65" t="str">
        <f>'PC LIST'!P214</f>
        <v>Customer satisfaction score out of 5</v>
      </c>
      <c r="BI35" s="65">
        <f>'PC LIST'!Q214</f>
        <v>1</v>
      </c>
      <c r="BJ35" s="65" t="str">
        <f>'PC LIST'!J214</f>
        <v>R&amp;P</v>
      </c>
      <c r="BK35" s="65">
        <f>'PC LIST'!BQ214</f>
        <v>4.5999999999999996</v>
      </c>
      <c r="BL35" s="65" t="str">
        <f>'PC LIST'!B248</f>
        <v>PR14SRNHHR_8</v>
      </c>
      <c r="BM35" s="65" t="str">
        <f>'PC LIST'!I248</f>
        <v>8: Service Incentive Mechanism (SIM)</v>
      </c>
      <c r="BN35" s="65" t="str">
        <f>'PC LIST'!O248</f>
        <v>score</v>
      </c>
      <c r="BO35" s="65" t="str">
        <f>'PC LIST'!P248</f>
        <v>Service incentive mechanism (SIM) score</v>
      </c>
      <c r="BP35" s="65">
        <f>'PC LIST'!Q248</f>
        <v>0</v>
      </c>
      <c r="BQ35" s="65" t="str">
        <f>'PC LIST'!J248</f>
        <v>R&amp;P</v>
      </c>
      <c r="BR35" s="65">
        <f>'PC LIST'!BQ248</f>
        <v>73</v>
      </c>
      <c r="BZ35" s="65" t="str">
        <f>'PC LIST'!B296</f>
        <v>PR14SVTWSWW_S-C2</v>
      </c>
      <c r="CA35" s="65" t="str">
        <f>'PC LIST'!I296</f>
        <v>S-C2: The number of category 3 pollution incidents</v>
      </c>
      <c r="CB35" s="65" t="str">
        <f>'PC LIST'!O296</f>
        <v>nr</v>
      </c>
      <c r="CC35" s="65" t="str">
        <f>'PC LIST'!P296</f>
        <v>No. of pollution incidents (cat 3)</v>
      </c>
      <c r="CD35" s="65">
        <f>'PC LIST'!Q296</f>
        <v>0</v>
      </c>
      <c r="CE35" s="65" t="str">
        <f>'PC LIST'!J296</f>
        <v>R&amp;P</v>
      </c>
      <c r="CF35" s="789">
        <f>'PC LIST'!BQ296</f>
        <v>293</v>
      </c>
      <c r="CG35" s="65" t="str">
        <f>'PC LIST'!B341</f>
        <v>PR14SWTWSWW_S-C5</v>
      </c>
      <c r="CH35" s="67" t="str">
        <f>'PC LIST'!I341</f>
        <v>S-C5: Pollution incidents (category 3 and 4)</v>
      </c>
      <c r="CI35" s="67" t="str">
        <f>'PC LIST'!O341</f>
        <v>nr</v>
      </c>
      <c r="CJ35" s="67" t="str">
        <f>'PC LIST'!P341</f>
        <v>No. of pollution incidents (cats 3 and 4)</v>
      </c>
      <c r="CK35" s="65">
        <f>'PC LIST'!Q341</f>
        <v>0</v>
      </c>
      <c r="CL35" s="65" t="str">
        <f>'PC LIST'!J341</f>
        <v>PO</v>
      </c>
      <c r="CM35" s="788">
        <f>'PC LIST'!BQ341</f>
        <v>222</v>
      </c>
      <c r="CN35" s="65" t="str">
        <f>'PC LIST'!B383</f>
        <v>PR14TMSWSWW_SC2</v>
      </c>
      <c r="CO35" s="65" t="str">
        <f>'PC LIST'!I383</f>
        <v>SC2: Total category 1-3 pollution incidents from sewage related premises</v>
      </c>
      <c r="CP35" s="65" t="str">
        <f>'PC LIST'!O383</f>
        <v>nr</v>
      </c>
      <c r="CQ35" s="65" t="str">
        <f>'PC LIST'!P383</f>
        <v>No. of pollution incidents (cats 1, 2 and 3)</v>
      </c>
      <c r="CR35" s="65">
        <f>'PC LIST'!Q383</f>
        <v>0</v>
      </c>
      <c r="CS35" s="65" t="str">
        <f>'PC LIST'!J383</f>
        <v>R&amp;P</v>
      </c>
      <c r="CT35" s="65">
        <f>'PC LIST'!BQ383</f>
        <v>232</v>
      </c>
      <c r="DD35" s="60"/>
      <c r="DE35" s="60"/>
      <c r="DF35" s="60"/>
      <c r="DG35" s="60"/>
      <c r="DH35" s="60"/>
      <c r="DK35" s="60"/>
      <c r="DL35" s="60"/>
      <c r="DO35" s="65"/>
      <c r="DP35" s="65" t="str">
        <f>'PC LIST'!B528</f>
        <v>PR14YKYHHR_RC1</v>
      </c>
      <c r="DQ35" s="65" t="str">
        <f>'PC LIST'!I528</f>
        <v>RC1: Proportion of energy use generated by renewable technology (note: PC is part of a total commitment at Appointee level - see also WD1 and SC1)</v>
      </c>
      <c r="DR35" s="65" t="str">
        <f>'PC LIST'!O528</f>
        <v>%</v>
      </c>
      <c r="DS35" s="65" t="str">
        <f>'PC LIST'!P528</f>
        <v>% of energy use generated by renewable technology</v>
      </c>
      <c r="DT35" s="65">
        <f>'PC LIST'!Q528</f>
        <v>0</v>
      </c>
      <c r="DU35" s="65" t="str">
        <f>'PC LIST'!J528</f>
        <v>NFI</v>
      </c>
      <c r="DV35" s="65">
        <f>'PC LIST'!BQ528</f>
        <v>11.257999999999999</v>
      </c>
    </row>
    <row r="36" spans="8:126" ht="15.75" customHeight="1" x14ac:dyDescent="0.2">
      <c r="H36" s="65" t="str">
        <f>'PC LIST'!B49</f>
        <v>PR14ANHHHR_R-A3</v>
      </c>
      <c r="I36" s="65" t="str">
        <f>'PC LIST'!I49</f>
        <v>R-A3: Customer Satisfaction Index prepared by UK Institute of Customer Service</v>
      </c>
      <c r="J36" s="65" t="str">
        <f>'PC LIST'!O49</f>
        <v>TBC</v>
      </c>
      <c r="K36" s="65" t="str">
        <f>'PC LIST'!P49</f>
        <v>UK ICS Customer Satisfaction Index score ranking among utility companies</v>
      </c>
      <c r="L36" s="65" t="str">
        <f>'PC LIST'!Q49</f>
        <v>TBC</v>
      </c>
      <c r="M36" s="65" t="str">
        <f>'PC LIST'!J49</f>
        <v>NFI</v>
      </c>
      <c r="N36" s="788" t="str">
        <f>'PC LIST'!BQ49</f>
        <v>9/15</v>
      </c>
      <c r="T36" s="65"/>
      <c r="U36" s="65"/>
      <c r="AC36" s="65" t="str">
        <f>'PC LIST'!B122</f>
        <v>PR14NESHHR_R-B1</v>
      </c>
      <c r="AD36" s="66" t="str">
        <f>'PC LIST'!I122</f>
        <v>R-B1: NWL independent overall customer satisfaction score</v>
      </c>
      <c r="AE36" s="66" t="str">
        <f>'PC LIST'!O122</f>
        <v>score</v>
      </c>
      <c r="AF36" s="66" t="str">
        <f>'PC LIST'!P122</f>
        <v>Customer satisfaction score out of 10</v>
      </c>
      <c r="AG36" s="65">
        <f>'PC LIST'!Q122</f>
        <v>1</v>
      </c>
      <c r="AH36" s="65" t="str">
        <f>'PC LIST'!J122</f>
        <v>NFI</v>
      </c>
      <c r="AI36" s="65">
        <f>'PC LIST'!BQ122</f>
        <v>8.5</v>
      </c>
      <c r="BE36" s="65" t="str">
        <f>'PC LIST'!B215</f>
        <v>PR14SEWHHR_H1</v>
      </c>
      <c r="BF36" s="65" t="str">
        <f>'PC LIST'!I215</f>
        <v>H1: Customer satisfaction - frequency of water use restrictions</v>
      </c>
      <c r="BG36" s="65" t="str">
        <f>'PC LIST'!O215</f>
        <v>score</v>
      </c>
      <c r="BH36" s="65" t="str">
        <f>'PC LIST'!P215</f>
        <v>Customer satisfaction score out of 5</v>
      </c>
      <c r="BI36" s="65">
        <f>'PC LIST'!Q215</f>
        <v>1</v>
      </c>
      <c r="BJ36" s="65" t="str">
        <f>'PC LIST'!J215</f>
        <v>R&amp;P</v>
      </c>
      <c r="BK36" s="65">
        <f>'PC LIST'!BQ215</f>
        <v>4.2</v>
      </c>
      <c r="BL36" s="65"/>
      <c r="BM36" s="65"/>
      <c r="BN36" s="65"/>
      <c r="BO36" s="65"/>
      <c r="BZ36" s="65" t="str">
        <f>'PC LIST'!B297</f>
        <v>PR14SVTWSWW_S-C3</v>
      </c>
      <c r="CA36" s="65" t="str">
        <f>'PC LIST'!I297</f>
        <v>S-C3: Asset stewardship - environmental compliance (basket of measures)</v>
      </c>
      <c r="CB36" s="65" t="str">
        <f>'PC LIST'!O297</f>
        <v>%</v>
      </c>
      <c r="CC36" s="65" t="str">
        <f>'PC LIST'!P297</f>
        <v>% compliance with WwTW regulations</v>
      </c>
      <c r="CD36" s="65">
        <f>'PC LIST'!Q297</f>
        <v>2</v>
      </c>
      <c r="CE36" s="65" t="str">
        <f>'PC LIST'!J297</f>
        <v>PO</v>
      </c>
      <c r="CF36" s="789">
        <f>'PC LIST'!BQ297</f>
        <v>97.508496246767137</v>
      </c>
      <c r="CG36" s="65" t="str">
        <f>'PC LIST'!B342</f>
        <v>PR14SWTWSWW_S-C6</v>
      </c>
      <c r="CH36" s="67" t="str">
        <f>'PC LIST'!I342</f>
        <v>S-C6: Operational carbon emissions (ktCO2e)</v>
      </c>
      <c r="CI36" s="67" t="str">
        <f>'PC LIST'!O342</f>
        <v>nr</v>
      </c>
      <c r="CJ36" s="67" t="str">
        <f>'PC LIST'!P342</f>
        <v>ktCO2e</v>
      </c>
      <c r="CK36" s="65">
        <f>'PC LIST'!Q342</f>
        <v>1</v>
      </c>
      <c r="CL36" s="65" t="str">
        <f>'PC LIST'!J342</f>
        <v>NFI</v>
      </c>
      <c r="CM36" s="788">
        <f>'PC LIST'!BQ342</f>
        <v>98.6</v>
      </c>
      <c r="CN36" s="65" t="str">
        <f>'PC LIST'!B384</f>
        <v>PR14TMSWSWW_SC3</v>
      </c>
      <c r="CO36" s="65" t="str">
        <f>'PC LIST'!I384</f>
        <v>SC3: Sewage treatment works discharge compliance</v>
      </c>
      <c r="CP36" s="65" t="str">
        <f>'PC LIST'!O384</f>
        <v>%</v>
      </c>
      <c r="CQ36" s="65" t="str">
        <f>'PC LIST'!P384</f>
        <v>% WwTW discharge compliance</v>
      </c>
      <c r="CR36" s="65">
        <f>'PC LIST'!Q384</f>
        <v>2</v>
      </c>
      <c r="CS36" s="65" t="str">
        <f>'PC LIST'!J384</f>
        <v>PO</v>
      </c>
      <c r="CT36" s="65">
        <f>'PC LIST'!BQ384</f>
        <v>99.132947976878611</v>
      </c>
      <c r="DD36" s="60"/>
      <c r="DE36" s="60"/>
      <c r="DF36" s="60"/>
      <c r="DG36" s="60"/>
      <c r="DH36" s="60"/>
      <c r="DK36" s="60"/>
      <c r="DL36" s="60"/>
      <c r="DM36" s="60"/>
      <c r="DN36" s="60"/>
      <c r="DO36" s="65"/>
      <c r="DP36" s="65" t="str">
        <f>'PC LIST'!B529</f>
        <v>PR14YKYHHR_RC2</v>
      </c>
      <c r="DQ36" s="65" t="str">
        <f>'PC LIST'!I529</f>
        <v>RC2: Proportion of waste diverted from landfill (re-used and recycled) (note: PC is part of a total commitment at Appointee level - see also WD2 and SC2)</v>
      </c>
      <c r="DR36" s="65" t="str">
        <f>'PC LIST'!O529</f>
        <v>%</v>
      </c>
      <c r="DS36" s="65" t="str">
        <f>'PC LIST'!P529</f>
        <v>% of waste diverted from landfill (re-used and recycled)</v>
      </c>
      <c r="DT36" s="65">
        <f>'PC LIST'!Q529</f>
        <v>0</v>
      </c>
      <c r="DU36" s="65" t="str">
        <f>'PC LIST'!J529</f>
        <v>NFI</v>
      </c>
      <c r="DV36" s="65">
        <f>'PC LIST'!BQ529</f>
        <v>98.91</v>
      </c>
    </row>
    <row r="37" spans="8:126" ht="15.75" customHeight="1" x14ac:dyDescent="0.2">
      <c r="H37" s="65" t="str">
        <f>'PC LIST'!B50</f>
        <v>PR14ANHHHR_R-B1</v>
      </c>
      <c r="I37" s="65" t="str">
        <f>'PC LIST'!I50</f>
        <v>R-B1: Fairness of bills perception - variation from baseline against WaSCs</v>
      </c>
      <c r="J37" s="65" t="str">
        <f>'PC LIST'!O50</f>
        <v>%</v>
      </c>
      <c r="K37" s="65" t="str">
        <f>'PC LIST'!P50</f>
        <v>% variation from WaSC baseline</v>
      </c>
      <c r="L37" s="65">
        <f>'PC LIST'!Q50</f>
        <v>0</v>
      </c>
      <c r="M37" s="65" t="str">
        <f>'PC LIST'!J50</f>
        <v>R&amp;P</v>
      </c>
      <c r="N37" s="788">
        <f>'PC LIST'!BQ50</f>
        <v>5</v>
      </c>
      <c r="T37" s="65"/>
      <c r="U37" s="65"/>
      <c r="AC37" s="65" t="str">
        <f>'PC LIST'!B123</f>
        <v>PR14NESHHR_R-B2</v>
      </c>
      <c r="AD37" s="66" t="str">
        <f>'PC LIST'!I123</f>
        <v>R-B2: Service incentive mechanism (SIM)</v>
      </c>
      <c r="AE37" s="66" t="str">
        <f>'PC LIST'!O123</f>
        <v>score</v>
      </c>
      <c r="AF37" s="66" t="str">
        <f>'PC LIST'!P123</f>
        <v>Service incentive mechanism (SIM) score</v>
      </c>
      <c r="AG37" s="65">
        <f>'PC LIST'!Q123</f>
        <v>1</v>
      </c>
      <c r="AH37" s="65" t="str">
        <f>'PC LIST'!J123</f>
        <v>R&amp;P</v>
      </c>
      <c r="AI37" s="65">
        <f>'PC LIST'!BQ123</f>
        <v>83.64</v>
      </c>
      <c r="BE37" s="65"/>
      <c r="BF37" s="65"/>
      <c r="BG37" s="65"/>
      <c r="BH37" s="65"/>
      <c r="BJ37" s="65"/>
      <c r="BK37" s="65"/>
      <c r="BN37" s="60"/>
      <c r="BO37" s="60"/>
      <c r="BP37" s="60"/>
      <c r="BQ37" s="60"/>
      <c r="BR37" s="60"/>
      <c r="BZ37" s="65" t="str">
        <f>'PC LIST'!B298</f>
        <v>PR14SVTWSWW_S-C4</v>
      </c>
      <c r="CA37" s="65" t="str">
        <f>'PC LIST'!I298</f>
        <v>S-C4: Biodiversity</v>
      </c>
      <c r="CB37" s="65" t="str">
        <f>'PC LIST'!O298</f>
        <v>nr</v>
      </c>
      <c r="CC37" s="65" t="str">
        <f>'PC LIST'!P298</f>
        <v>No. of hectares improved</v>
      </c>
      <c r="CD37" s="65">
        <f>'PC LIST'!Q298</f>
        <v>0</v>
      </c>
      <c r="CE37" s="65" t="str">
        <f>'PC LIST'!J298</f>
        <v>R&amp;P</v>
      </c>
      <c r="CF37" s="789">
        <f>'PC LIST'!BQ298</f>
        <v>322.89999999999998</v>
      </c>
      <c r="CG37" s="65" t="str">
        <f>'PC LIST'!B343</f>
        <v>PR14SWTWSWW_S-C7</v>
      </c>
      <c r="CH37" s="67" t="str">
        <f>'PC LIST'!I343</f>
        <v>S-C7: Energy from renewable sources (%)</v>
      </c>
      <c r="CI37" s="67" t="str">
        <f>'PC LIST'!O343</f>
        <v>%</v>
      </c>
      <c r="CJ37" s="67" t="str">
        <f>'PC LIST'!P343</f>
        <v>% energy from renewable sources</v>
      </c>
      <c r="CK37" s="65">
        <f>'PC LIST'!Q343</f>
        <v>2</v>
      </c>
      <c r="CL37" s="65" t="str">
        <f>'PC LIST'!J343</f>
        <v>NFI</v>
      </c>
      <c r="CM37" s="788">
        <f>'PC LIST'!BQ343</f>
        <v>2.4</v>
      </c>
      <c r="CN37" s="65" t="str">
        <f>'PC LIST'!B385</f>
        <v>PR14TMSWSWW_SC4</v>
      </c>
      <c r="CO37" s="65" t="str">
        <f>'PC LIST'!I385</f>
        <v>SC4: Water bodies improved or protected from deterioration as a result of Thames Water's activities</v>
      </c>
      <c r="CP37" s="65" t="str">
        <f>'PC LIST'!O385</f>
        <v>nr</v>
      </c>
      <c r="CQ37" s="65" t="str">
        <f>'PC LIST'!P385</f>
        <v>No. of water bodies improved or protected by catchment management</v>
      </c>
      <c r="CR37" s="65">
        <f>'PC LIST'!Q385</f>
        <v>0</v>
      </c>
      <c r="CS37" s="65" t="str">
        <f>'PC LIST'!J385</f>
        <v>NFI</v>
      </c>
      <c r="CT37" s="65">
        <f>'PC LIST'!BQ385</f>
        <v>0</v>
      </c>
      <c r="DD37" s="60"/>
      <c r="DE37" s="60"/>
      <c r="DF37" s="60"/>
      <c r="DG37" s="60"/>
      <c r="DH37" s="60"/>
      <c r="DI37" s="65"/>
      <c r="DJ37" s="65"/>
      <c r="DK37" s="65"/>
      <c r="DL37" s="65"/>
      <c r="DM37" s="65"/>
      <c r="DN37" s="65"/>
      <c r="DO37" s="65"/>
      <c r="DV37" s="65"/>
    </row>
    <row r="38" spans="8:126" ht="15.75" customHeight="1" x14ac:dyDescent="0.2">
      <c r="H38" s="65" t="str">
        <f>'PC LIST'!B51</f>
        <v>PR14ANHHHR_R-B2</v>
      </c>
      <c r="I38" s="65" t="str">
        <f>'PC LIST'!I51</f>
        <v>R-B2: Affordability perception - variation from baseline against WaSCs</v>
      </c>
      <c r="J38" s="65" t="str">
        <f>'PC LIST'!O51</f>
        <v>%</v>
      </c>
      <c r="K38" s="65" t="str">
        <f>'PC LIST'!P51</f>
        <v>% variation from WaSC baseline</v>
      </c>
      <c r="L38" s="65">
        <f>'PC LIST'!Q51</f>
        <v>0</v>
      </c>
      <c r="M38" s="65" t="str">
        <f>'PC LIST'!J51</f>
        <v>R&amp;P</v>
      </c>
      <c r="N38" s="788">
        <f>'PC LIST'!BQ51</f>
        <v>6</v>
      </c>
      <c r="T38" s="65"/>
      <c r="U38" s="65"/>
      <c r="AC38" s="65" t="str">
        <f>'PC LIST'!B124</f>
        <v>PR14NESHHR_R-B3</v>
      </c>
      <c r="AD38" s="66" t="str">
        <f>'PC LIST'!I124</f>
        <v>R-B3: Domestic customer satisfaction, net promoter score</v>
      </c>
      <c r="AE38" s="66" t="str">
        <f>'PC LIST'!O124</f>
        <v>%</v>
      </c>
      <c r="AF38" s="66" t="str">
        <f>'PC LIST'!P124</f>
        <v>% customer satisfaction</v>
      </c>
      <c r="AG38" s="65">
        <f>'PC LIST'!Q124</f>
        <v>0</v>
      </c>
      <c r="AH38" s="65" t="str">
        <f>'PC LIST'!J124</f>
        <v>NFI</v>
      </c>
      <c r="AI38" s="65">
        <f>'PC LIST'!BQ124</f>
        <v>49</v>
      </c>
      <c r="BG38" s="60"/>
      <c r="BH38" s="60"/>
      <c r="BI38" s="60"/>
      <c r="BJ38" s="65"/>
      <c r="BK38" s="65"/>
      <c r="BN38" s="60"/>
      <c r="BO38" s="60"/>
      <c r="BP38" s="60"/>
      <c r="BQ38" s="60"/>
      <c r="BR38" s="60"/>
      <c r="BZ38" s="65" t="str">
        <f>'PC LIST'!B299</f>
        <v>PR14SVTWSWW_S-C5</v>
      </c>
      <c r="CA38" s="65" t="str">
        <f>'PC LIST'!I299</f>
        <v>S-C5: Sustainable sewage treatment</v>
      </c>
      <c r="CB38" s="65" t="str">
        <f>'PC LIST'!O299</f>
        <v>nr</v>
      </c>
      <c r="CC38" s="65" t="str">
        <f>'PC LIST'!P299</f>
        <v>No. of WwTWs avoiding investment</v>
      </c>
      <c r="CD38" s="65">
        <f>'PC LIST'!Q299</f>
        <v>0</v>
      </c>
      <c r="CE38" s="65" t="str">
        <f>'PC LIST'!J299</f>
        <v>RO</v>
      </c>
      <c r="CF38" s="789">
        <f>'PC LIST'!BQ299</f>
        <v>0</v>
      </c>
      <c r="CG38" s="65" t="str">
        <f>'PC LIST'!B344</f>
        <v>PR14SWTWSWW_S-D1</v>
      </c>
      <c r="CH38" s="67" t="str">
        <f>'PC LIST'!I344</f>
        <v>S-D1: Bathing water quality</v>
      </c>
      <c r="CI38" s="67" t="str">
        <f>'PC LIST'!O344</f>
        <v>nr</v>
      </c>
      <c r="CJ38" s="67" t="str">
        <f>'PC LIST'!P344</f>
        <v>No. of bathing waters meeting or exceeding agreed standard</v>
      </c>
      <c r="CK38" s="65">
        <f>'PC LIST'!Q344</f>
        <v>0</v>
      </c>
      <c r="CL38" s="65" t="str">
        <f>'PC LIST'!J344</f>
        <v>R&amp;P</v>
      </c>
      <c r="CM38" s="788">
        <f>'PC LIST'!BQ344</f>
        <v>0</v>
      </c>
      <c r="CN38" s="65" t="str">
        <f>'PC LIST'!B386</f>
        <v>PR14TMSWSWW_SC5</v>
      </c>
      <c r="CO38" s="65" t="str">
        <f>'PC LIST'!I386</f>
        <v>SC5: Satisfactory sludge disposal compliance</v>
      </c>
      <c r="CP38" s="65" t="str">
        <f>'PC LIST'!O386</f>
        <v>%</v>
      </c>
      <c r="CQ38" s="65" t="str">
        <f>'PC LIST'!P386</f>
        <v>% satisfactory sludge disposal compliance</v>
      </c>
      <c r="CR38" s="65">
        <f>'PC LIST'!Q386</f>
        <v>0</v>
      </c>
      <c r="CS38" s="65" t="str">
        <f>'PC LIST'!J386</f>
        <v>NFI</v>
      </c>
      <c r="CT38" s="65">
        <f>'PC LIST'!BQ386</f>
        <v>100</v>
      </c>
      <c r="DD38" s="60"/>
      <c r="DE38" s="60"/>
      <c r="DF38" s="60"/>
      <c r="DG38" s="60"/>
      <c r="DH38" s="60"/>
      <c r="DI38" s="65"/>
      <c r="DJ38" s="65"/>
      <c r="DK38" s="65"/>
      <c r="DL38" s="65"/>
      <c r="DM38" s="65"/>
      <c r="DN38" s="65"/>
      <c r="DO38" s="65"/>
      <c r="DV38" s="65"/>
    </row>
    <row r="39" spans="8:126" ht="15.75" customHeight="1" x14ac:dyDescent="0.2">
      <c r="H39" s="65" t="str">
        <f>'PC LIST'!B52</f>
        <v>PR14ANHHHR_R-C1</v>
      </c>
      <c r="I39" s="65" t="str">
        <f>'PC LIST'!I52</f>
        <v>R-C1: Operational carbon (% reduction from 2015 baseline)</v>
      </c>
      <c r="J39" s="65" t="str">
        <f>'PC LIST'!O52</f>
        <v>%</v>
      </c>
      <c r="K39" s="65" t="str">
        <f>'PC LIST'!P52</f>
        <v>% reduction from 2015 baseline</v>
      </c>
      <c r="L39" s="65">
        <f>'PC LIST'!Q52</f>
        <v>0</v>
      </c>
      <c r="M39" s="65" t="str">
        <f>'PC LIST'!J52</f>
        <v>NFI</v>
      </c>
      <c r="N39" s="788">
        <f>'PC LIST'!BQ52</f>
        <v>5</v>
      </c>
      <c r="T39" s="65"/>
      <c r="U39" s="65"/>
      <c r="AC39" s="65" t="str">
        <f>'PC LIST'!B125</f>
        <v>PR14NESHHR_R-C1</v>
      </c>
      <c r="AD39" s="66" t="str">
        <f>'PC LIST'!I125</f>
        <v>R-C1: NWL independent value for money survey</v>
      </c>
      <c r="AE39" s="66" t="str">
        <f>'PC LIST'!O125</f>
        <v>score</v>
      </c>
      <c r="AF39" s="66" t="str">
        <f>'PC LIST'!P125</f>
        <v>Customer satisfaction score out of 10</v>
      </c>
      <c r="AG39" s="65">
        <f>'PC LIST'!Q125</f>
        <v>1</v>
      </c>
      <c r="AH39" s="65" t="str">
        <f>'PC LIST'!J125</f>
        <v>NFI</v>
      </c>
      <c r="AI39" s="65">
        <f>'PC LIST'!BQ125</f>
        <v>8.1999999999999993</v>
      </c>
      <c r="BG39" s="60"/>
      <c r="BH39" s="60"/>
      <c r="BI39" s="60"/>
      <c r="BJ39" s="65"/>
      <c r="BK39" s="65"/>
      <c r="BN39" s="60"/>
      <c r="BO39" s="60"/>
      <c r="BP39" s="60"/>
      <c r="BQ39" s="60"/>
      <c r="BR39" s="60"/>
      <c r="BZ39" s="65" t="str">
        <f>'PC LIST'!B300</f>
        <v>PR14SVTWSWW_S-C6</v>
      </c>
      <c r="CA39" s="65" t="str">
        <f>'PC LIST'!I300</f>
        <v>S-C6: Serious pollution incidents</v>
      </c>
      <c r="CB39" s="65" t="str">
        <f>'PC LIST'!O300</f>
        <v>nr</v>
      </c>
      <c r="CC39" s="65" t="str">
        <f>'PC LIST'!P300</f>
        <v>No. of pollution incidents (cats 1 and 2)</v>
      </c>
      <c r="CD39" s="65">
        <f>'PC LIST'!Q300</f>
        <v>0</v>
      </c>
      <c r="CE39" s="65" t="str">
        <f>'PC LIST'!J300</f>
        <v>NFI</v>
      </c>
      <c r="CF39" s="789">
        <f>'PC LIST'!BQ300</f>
        <v>2</v>
      </c>
      <c r="CG39" s="65" t="str">
        <f>'PC LIST'!B345</f>
        <v>PR14SWTWSWW_S-D2</v>
      </c>
      <c r="CH39" s="67" t="str">
        <f>'PC LIST'!I345</f>
        <v>S-D2: Combined sewer overflow spills (number)</v>
      </c>
      <c r="CI39" s="67" t="str">
        <f>'PC LIST'!O345</f>
        <v>nr</v>
      </c>
      <c r="CJ39" s="67" t="str">
        <f>'PC LIST'!P345</f>
        <v>No. of combined sewer overflow (CSO) spills per year</v>
      </c>
      <c r="CK39" s="65">
        <f>'PC LIST'!Q345</f>
        <v>0</v>
      </c>
      <c r="CL39" s="65" t="str">
        <f>'PC LIST'!J345</f>
        <v>NFI</v>
      </c>
      <c r="CM39" s="788" t="str">
        <f>'PC LIST'!BQ345</f>
        <v>n/a</v>
      </c>
      <c r="CN39" s="65" t="str">
        <f>'PC LIST'!B387</f>
        <v>PR14TMSWSWW_SC6</v>
      </c>
      <c r="CO39" s="65" t="str">
        <f>'PC LIST'!I387</f>
        <v>SC6: We will educate our existing and future customers</v>
      </c>
      <c r="CP39" s="65" t="str">
        <f>'PC LIST'!O387</f>
        <v>nr</v>
      </c>
      <c r="CQ39" s="65" t="str">
        <f>'PC LIST'!P387</f>
        <v>No. of children directly engaged</v>
      </c>
      <c r="CR39" s="65">
        <f>'PC LIST'!Q387</f>
        <v>0</v>
      </c>
      <c r="CS39" s="65" t="str">
        <f>'PC LIST'!J387</f>
        <v>NFI</v>
      </c>
      <c r="CT39" s="65">
        <f>'PC LIST'!BQ387</f>
        <v>17491</v>
      </c>
      <c r="DD39" s="60"/>
      <c r="DE39" s="60"/>
      <c r="DF39" s="60"/>
      <c r="DG39" s="60"/>
      <c r="DH39" s="60"/>
      <c r="DK39" s="60"/>
      <c r="DL39" s="60"/>
      <c r="DM39" s="60"/>
      <c r="DN39" s="60"/>
      <c r="DO39" s="65"/>
      <c r="DV39" s="65"/>
    </row>
    <row r="40" spans="8:126" ht="15.75" customHeight="1" x14ac:dyDescent="0.2">
      <c r="H40" s="65" t="str">
        <f>'PC LIST'!B53</f>
        <v>PR14ANHHHR_R-C2</v>
      </c>
      <c r="I40" s="65" t="str">
        <f>'PC LIST'!I53</f>
        <v>R-C2: Embodied carbon (% reduction from 2010 baseline)</v>
      </c>
      <c r="J40" s="65" t="str">
        <f>'PC LIST'!O53</f>
        <v>%</v>
      </c>
      <c r="K40" s="65" t="str">
        <f>'PC LIST'!P53</f>
        <v>% reduction from 2010 baseline</v>
      </c>
      <c r="L40" s="65">
        <f>'PC LIST'!Q53</f>
        <v>0</v>
      </c>
      <c r="M40" s="65" t="str">
        <f>'PC LIST'!J53</f>
        <v>NFI</v>
      </c>
      <c r="N40" s="788">
        <f>'PC LIST'!BQ53</f>
        <v>53</v>
      </c>
      <c r="T40" s="65"/>
      <c r="U40" s="65"/>
      <c r="AC40" s="65" t="str">
        <f>'PC LIST'!B126</f>
        <v>PR14NESHHR_R-C2</v>
      </c>
      <c r="AD40" s="66" t="str">
        <f>'PC LIST'!I126</f>
        <v>R-C2: Satisfied with value for money of water services - Northumbrian region (CCWater research)</v>
      </c>
      <c r="AE40" s="66" t="str">
        <f>'PC LIST'!O126</f>
        <v>%</v>
      </c>
      <c r="AF40" s="66" t="str">
        <f>'PC LIST'!P126</f>
        <v>% customer satisfaction</v>
      </c>
      <c r="AG40" s="65">
        <f>'PC LIST'!Q126</f>
        <v>0</v>
      </c>
      <c r="AH40" s="65" t="str">
        <f>'PC LIST'!J126</f>
        <v>NFI</v>
      </c>
      <c r="AI40" s="65">
        <f>'PC LIST'!BQ126</f>
        <v>77</v>
      </c>
      <c r="BG40" s="60"/>
      <c r="BH40" s="60"/>
      <c r="BI40" s="60"/>
      <c r="BJ40" s="65"/>
      <c r="BK40" s="65"/>
      <c r="BN40" s="60"/>
      <c r="BO40" s="60"/>
      <c r="BP40" s="60"/>
      <c r="BQ40" s="60"/>
      <c r="BR40" s="60"/>
      <c r="BZ40" s="65" t="str">
        <f>'PC LIST'!B301</f>
        <v>PR14SVTWSWW_S-C7</v>
      </c>
      <c r="CA40" s="65" t="str">
        <f>'PC LIST'!I301</f>
        <v>S-C7: Overall environmental performance (basket of environmental measures)</v>
      </c>
      <c r="CB40" s="65" t="str">
        <f>'PC LIST'!O301</f>
        <v>nr</v>
      </c>
      <c r="CC40" s="65" t="str">
        <f>'PC LIST'!P301</f>
        <v>No. of environmental targets met</v>
      </c>
      <c r="CD40" s="65">
        <f>'PC LIST'!Q301</f>
        <v>0</v>
      </c>
      <c r="CE40" s="65" t="str">
        <f>'PC LIST'!J301</f>
        <v>R&amp;P</v>
      </c>
      <c r="CF40" s="789" t="str">
        <f>'PC LIST'!BQ301</f>
        <v>Calculated in 2018/19</v>
      </c>
      <c r="CG40" s="65" t="str">
        <f>'PC LIST'!B346</f>
        <v>PR14SWTWSWW_S-D3</v>
      </c>
      <c r="CH40" s="67" t="str">
        <f>'PC LIST'!I346</f>
        <v>S-D3: River water quality improved (km)</v>
      </c>
      <c r="CI40" s="67" t="str">
        <f>'PC LIST'!O346</f>
        <v>nr</v>
      </c>
      <c r="CJ40" s="67" t="str">
        <f>'PC LIST'!P346</f>
        <v>Kilometres (km) of river water quality improved</v>
      </c>
      <c r="CK40" s="65">
        <f>'PC LIST'!Q346</f>
        <v>0</v>
      </c>
      <c r="CL40" s="65" t="str">
        <f>'PC LIST'!J346</f>
        <v>NFI</v>
      </c>
      <c r="CM40" s="788">
        <f>'PC LIST'!BQ346</f>
        <v>62</v>
      </c>
      <c r="CN40" s="65" t="str">
        <f>'PC LIST'!B388</f>
        <v>PR14TMSWSWW_SC7</v>
      </c>
      <c r="CO40" s="65" t="str">
        <f>'PC LIST'!I388</f>
        <v>SC7: Modelled reduction in properties affected by odour</v>
      </c>
      <c r="CP40" s="65" t="str">
        <f>'PC LIST'!O388</f>
        <v>nr</v>
      </c>
      <c r="CQ40" s="65" t="str">
        <f>'PC LIST'!P388</f>
        <v>No. of properties (modelled cumulative reduction)</v>
      </c>
      <c r="CR40" s="65">
        <f>'PC LIST'!Q388</f>
        <v>0</v>
      </c>
      <c r="CS40" s="65" t="str">
        <f>'PC LIST'!J388</f>
        <v>R&amp;P</v>
      </c>
      <c r="CT40" s="65">
        <f>'PC LIST'!BQ388</f>
        <v>0</v>
      </c>
      <c r="DD40" s="60"/>
      <c r="DE40" s="60"/>
      <c r="DF40" s="60"/>
      <c r="DG40" s="60"/>
      <c r="DH40" s="60"/>
      <c r="DK40" s="60"/>
      <c r="DL40" s="60"/>
      <c r="DM40" s="60"/>
      <c r="DN40" s="60"/>
      <c r="DO40" s="65"/>
      <c r="DV40" s="65"/>
    </row>
    <row r="41" spans="8:126" ht="15.75" customHeight="1" x14ac:dyDescent="0.2">
      <c r="H41" s="65" t="str">
        <f>'PC LIST'!B54</f>
        <v>PR14ANHHHR_R-D1</v>
      </c>
      <c r="I41" s="65" t="str">
        <f>'PC LIST'!I54</f>
        <v>R-D1: Survey of community perception</v>
      </c>
      <c r="J41" s="65" t="str">
        <f>'PC LIST'!O54</f>
        <v>%</v>
      </c>
      <c r="K41" s="65" t="str">
        <f>'PC LIST'!P54</f>
        <v>% customer satisfaction</v>
      </c>
      <c r="L41" s="65" t="str">
        <f>'PC LIST'!Q54</f>
        <v>na</v>
      </c>
      <c r="M41" s="65" t="str">
        <f>'PC LIST'!J54</f>
        <v>NFI</v>
      </c>
      <c r="N41" s="788">
        <f>'PC LIST'!BQ54</f>
        <v>56</v>
      </c>
      <c r="T41" s="65"/>
      <c r="U41" s="65"/>
      <c r="AC41" s="65" t="str">
        <f>'PC LIST'!B127</f>
        <v>PR14NESHHR_R-C3</v>
      </c>
      <c r="AD41" s="66" t="str">
        <f>'PC LIST'!I127</f>
        <v>R-C3: Satisfied with value for money of sewerage services - Northumbrian region (CCWater research)</v>
      </c>
      <c r="AE41" s="66" t="str">
        <f>'PC LIST'!O127</f>
        <v>%</v>
      </c>
      <c r="AF41" s="66" t="str">
        <f>'PC LIST'!P127</f>
        <v>% customer satisfaction</v>
      </c>
      <c r="AG41" s="65">
        <f>'PC LIST'!Q127</f>
        <v>0</v>
      </c>
      <c r="AH41" s="65" t="str">
        <f>'PC LIST'!J127</f>
        <v>NFI</v>
      </c>
      <c r="AI41" s="65">
        <f>'PC LIST'!BQ127</f>
        <v>79</v>
      </c>
      <c r="BG41" s="60"/>
      <c r="BH41" s="60"/>
      <c r="BI41" s="60"/>
      <c r="BJ41" s="65"/>
      <c r="BK41" s="65"/>
      <c r="BN41" s="60"/>
      <c r="BO41" s="60"/>
      <c r="BP41" s="60"/>
      <c r="BQ41" s="60"/>
      <c r="BR41" s="60"/>
      <c r="BZ41" s="65" t="str">
        <f>'PC LIST'!B302</f>
        <v>PR14SVTWSWW_S-C8</v>
      </c>
      <c r="CA41" s="65" t="str">
        <f>'PC LIST'!I302</f>
        <v>S-C8: The number of category 4 pollution incidents</v>
      </c>
      <c r="CB41" s="65" t="str">
        <f>'PC LIST'!O302</f>
        <v>nr</v>
      </c>
      <c r="CC41" s="65" t="str">
        <f>'PC LIST'!P302</f>
        <v>No. of pollution incidents (cat 4)</v>
      </c>
      <c r="CD41" s="65">
        <f>'PC LIST'!Q302</f>
        <v>0</v>
      </c>
      <c r="CE41" s="65" t="str">
        <f>'PC LIST'!J302</f>
        <v>NFI</v>
      </c>
      <c r="CF41" s="789">
        <f>'PC LIST'!BQ302</f>
        <v>186</v>
      </c>
      <c r="CG41" s="65" t="str">
        <f>'PC LIST'!B347</f>
        <v>PR14SWTHHR_R-A1</v>
      </c>
      <c r="CH41" s="67" t="str">
        <f>'PC LIST'!I347</f>
        <v>R-A1: Customer overall satisfaction (%)</v>
      </c>
      <c r="CI41" s="67" t="str">
        <f>'PC LIST'!O347</f>
        <v>%</v>
      </c>
      <c r="CJ41" s="67" t="str">
        <f>'PC LIST'!P347</f>
        <v>% customer satisfaction</v>
      </c>
      <c r="CK41" s="65">
        <f>'PC LIST'!Q347</f>
        <v>1</v>
      </c>
      <c r="CL41" s="65" t="str">
        <f>'PC LIST'!J347</f>
        <v>NFI</v>
      </c>
      <c r="CM41" s="788">
        <f>'PC LIST'!BQ347</f>
        <v>89</v>
      </c>
      <c r="CN41" s="65" t="str">
        <f>'PC LIST'!B389</f>
        <v>PR14TMSWSWW_SC8</v>
      </c>
      <c r="CO41" s="65" t="str">
        <f>'PC LIST'!I389</f>
        <v>SC8: Deliver 100% of agreed measures to meet new environmental regulations</v>
      </c>
      <c r="CP41" s="65" t="str">
        <f>'PC LIST'!O389</f>
        <v>%</v>
      </c>
      <c r="CQ41" s="65" t="str">
        <f>'PC LIST'!P389</f>
        <v>% of agreed schemes completed</v>
      </c>
      <c r="CR41" s="65">
        <f>'PC LIST'!Q389</f>
        <v>0</v>
      </c>
      <c r="CS41" s="65" t="str">
        <f>'PC LIST'!J389</f>
        <v>PO</v>
      </c>
      <c r="CT41" s="65">
        <f>'PC LIST'!BQ389</f>
        <v>0</v>
      </c>
      <c r="DD41" s="60"/>
      <c r="DE41" s="60"/>
      <c r="DF41" s="60"/>
      <c r="DG41" s="60"/>
      <c r="DH41" s="60"/>
      <c r="DK41" s="60"/>
      <c r="DL41" s="60"/>
      <c r="DM41" s="60"/>
      <c r="DN41" s="60"/>
      <c r="DO41" s="65"/>
      <c r="DV41" s="65"/>
    </row>
    <row r="42" spans="8:126" ht="15.75" customHeight="1" x14ac:dyDescent="0.2">
      <c r="H42" s="65"/>
      <c r="I42" s="65"/>
      <c r="J42" s="65"/>
      <c r="K42" s="65"/>
      <c r="M42" s="65"/>
      <c r="N42" s="65"/>
      <c r="T42" s="65"/>
      <c r="U42" s="65"/>
      <c r="AC42" s="65" t="str">
        <f>'PC LIST'!B128</f>
        <v>PR14NESHHR_R-C4</v>
      </c>
      <c r="AD42" s="66" t="str">
        <f>'PC LIST'!I128</f>
        <v>R-C4: Satisfied with value for money of water services - Essex &amp; Suffolk region (CCWater research)</v>
      </c>
      <c r="AE42" s="66" t="str">
        <f>'PC LIST'!O128</f>
        <v>%</v>
      </c>
      <c r="AF42" s="66" t="str">
        <f>'PC LIST'!P128</f>
        <v>% customer satisfaction</v>
      </c>
      <c r="AG42" s="65">
        <f>'PC LIST'!Q128</f>
        <v>0</v>
      </c>
      <c r="AH42" s="65" t="str">
        <f>'PC LIST'!J128</f>
        <v>NFI</v>
      </c>
      <c r="AI42" s="65">
        <f>'PC LIST'!BQ128</f>
        <v>70</v>
      </c>
      <c r="BG42" s="60"/>
      <c r="BH42" s="60"/>
      <c r="BI42" s="60"/>
      <c r="BJ42" s="65"/>
      <c r="BK42" s="65"/>
      <c r="BN42" s="60"/>
      <c r="BO42" s="60"/>
      <c r="BP42" s="60"/>
      <c r="BQ42" s="60"/>
      <c r="BR42" s="60"/>
      <c r="BZ42" s="65" t="str">
        <f>'PC LIST'!B303</f>
        <v>PR14SVTWSWW_S-D1</v>
      </c>
      <c r="CA42" s="65" t="str">
        <f>'PC LIST'!I303</f>
        <v>S-D1: Size of our carbon footprint</v>
      </c>
      <c r="CB42" s="65" t="str">
        <f>'PC LIST'!O303</f>
        <v>nr</v>
      </c>
      <c r="CC42" s="65" t="str">
        <f>'PC LIST'!P303</f>
        <v>ktCO2e</v>
      </c>
      <c r="CD42" s="65">
        <f>'PC LIST'!Q303</f>
        <v>0</v>
      </c>
      <c r="CE42" s="65" t="str">
        <f>'PC LIST'!J303</f>
        <v>R&amp;P</v>
      </c>
      <c r="CF42" s="789">
        <f>'PC LIST'!BQ303</f>
        <v>237.56399999999999</v>
      </c>
      <c r="CG42" s="65" t="str">
        <f>'PC LIST'!B348</f>
        <v>PR14SWTHHR_R-A2</v>
      </c>
      <c r="CH42" s="67" t="str">
        <f>'PC LIST'!I348</f>
        <v>R-A2: Service incentive mechanism (SIM)</v>
      </c>
      <c r="CI42" s="67" t="str">
        <f>'PC LIST'!O348</f>
        <v>score</v>
      </c>
      <c r="CJ42" s="67" t="str">
        <f>'PC LIST'!P348</f>
        <v>Service incentive mechanism (SIM) score</v>
      </c>
      <c r="CK42" s="65">
        <f>'PC LIST'!Q348</f>
        <v>1</v>
      </c>
      <c r="CL42" s="65" t="str">
        <f>'PC LIST'!J348</f>
        <v>R&amp;P</v>
      </c>
      <c r="CM42" s="788">
        <f>'PC LIST'!BQ348</f>
        <v>78.599999999999994</v>
      </c>
      <c r="CN42" s="65" t="str">
        <f>'PC LIST'!B390</f>
        <v>PR14TMSWSWW_SC9</v>
      </c>
      <c r="CO42" s="65" t="str">
        <f>'PC LIST'!I390</f>
        <v>SC9: Reduce the amount of phosphorus entering rivers to help improve aquatic plant and wildlife</v>
      </c>
      <c r="CP42" s="65" t="str">
        <f>'PC LIST'!O390</f>
        <v>nr</v>
      </c>
      <c r="CQ42" s="65" t="str">
        <f>'PC LIST'!P390</f>
        <v>Kilograms of phosphorus removed per day</v>
      </c>
      <c r="CR42" s="65">
        <f>'PC LIST'!Q390</f>
        <v>1</v>
      </c>
      <c r="CS42" s="65" t="str">
        <f>'PC LIST'!J390</f>
        <v>R&amp;P</v>
      </c>
      <c r="CT42" s="65">
        <f>'PC LIST'!BQ390</f>
        <v>0</v>
      </c>
      <c r="DD42" s="60"/>
      <c r="DE42" s="60"/>
      <c r="DF42" s="60"/>
      <c r="DG42" s="60"/>
      <c r="DH42" s="60"/>
      <c r="DK42" s="60"/>
      <c r="DL42" s="60"/>
      <c r="DM42" s="60"/>
      <c r="DN42" s="60"/>
      <c r="DO42" s="65"/>
      <c r="DV42" s="65"/>
    </row>
    <row r="43" spans="8:126" ht="15.75" customHeight="1" x14ac:dyDescent="0.2">
      <c r="J43" s="60"/>
      <c r="K43" s="60"/>
      <c r="L43" s="60"/>
      <c r="M43" s="65"/>
      <c r="N43" s="65"/>
      <c r="T43" s="65"/>
      <c r="U43" s="65"/>
      <c r="AC43" s="65" t="str">
        <f>'PC LIST'!B129</f>
        <v>PR14NESHHR_R-D1</v>
      </c>
      <c r="AD43" s="66" t="str">
        <f>'PC LIST'!I129</f>
        <v>R-D1: NWL independent survey on keeping customers informed</v>
      </c>
      <c r="AE43" s="66" t="str">
        <f>'PC LIST'!O129</f>
        <v>%</v>
      </c>
      <c r="AF43" s="66" t="str">
        <f>'PC LIST'!P129</f>
        <v>% customer satisfaction</v>
      </c>
      <c r="AG43" s="65" t="str">
        <f>'PC LIST'!Q129</f>
        <v>TBC</v>
      </c>
      <c r="AH43" s="65" t="str">
        <f>'PC LIST'!J129</f>
        <v>NFI</v>
      </c>
      <c r="AI43" s="65">
        <f>'PC LIST'!BQ129</f>
        <v>94</v>
      </c>
      <c r="BG43" s="60"/>
      <c r="BH43" s="60"/>
      <c r="BI43" s="60"/>
      <c r="BJ43" s="65"/>
      <c r="BK43" s="65"/>
      <c r="BN43" s="60"/>
      <c r="BO43" s="60"/>
      <c r="BP43" s="60"/>
      <c r="BQ43" s="60"/>
      <c r="BR43" s="60"/>
      <c r="BZ43" s="65" t="str">
        <f>'PC LIST'!B304</f>
        <v>PR14SVTWSWW_S-E1</v>
      </c>
      <c r="CA43" s="65" t="str">
        <f>'PC LIST'!I304</f>
        <v>S-E1: Improved understanding of our services through education</v>
      </c>
      <c r="CB43" s="65" t="str">
        <f>'PC LIST'!O304</f>
        <v>nr</v>
      </c>
      <c r="CC43" s="65" t="str">
        <f>'PC LIST'!P304</f>
        <v>No. of people - education programme</v>
      </c>
      <c r="CD43" s="65">
        <f>'PC LIST'!Q304</f>
        <v>0</v>
      </c>
      <c r="CE43" s="65" t="str">
        <f>'PC LIST'!J304</f>
        <v>NFI</v>
      </c>
      <c r="CF43" s="789">
        <f>'PC LIST'!BQ304</f>
        <v>117728</v>
      </c>
      <c r="CG43" s="65" t="str">
        <f>'PC LIST'!B349</f>
        <v>PR14SWTHHR_R-A3</v>
      </c>
      <c r="CH43" s="67" t="str">
        <f>'PC LIST'!I349</f>
        <v>R-A3: Customer satisfaction with value for money</v>
      </c>
      <c r="CI43" s="67" t="str">
        <f>'PC LIST'!O349</f>
        <v>%</v>
      </c>
      <c r="CJ43" s="67" t="str">
        <f>'PC LIST'!P349</f>
        <v>% customer satisfaction</v>
      </c>
      <c r="CK43" s="65">
        <f>'PC LIST'!Q349</f>
        <v>1</v>
      </c>
      <c r="CL43" s="65" t="str">
        <f>'PC LIST'!J349</f>
        <v>NFI</v>
      </c>
      <c r="CM43" s="788">
        <f>'PC LIST'!BQ349</f>
        <v>59</v>
      </c>
      <c r="CN43" s="65" t="str">
        <f>'PC LIST'!B391</f>
        <v>PR14TMSWSWW_SD1</v>
      </c>
      <c r="CO43" s="65" t="str">
        <f>'PC LIST'!I391</f>
        <v>SD1: Energy imported less energy exported</v>
      </c>
      <c r="CP43" s="65" t="str">
        <f>'PC LIST'!O391</f>
        <v>nr</v>
      </c>
      <c r="CQ43" s="65" t="str">
        <f>'PC LIST'!P391</f>
        <v>GWh (gigawatt-hours)</v>
      </c>
      <c r="CR43" s="65">
        <f>'PC LIST'!Q391</f>
        <v>0</v>
      </c>
      <c r="CS43" s="65" t="str">
        <f>'PC LIST'!J391</f>
        <v>NFI</v>
      </c>
      <c r="CT43" s="65">
        <f>'PC LIST'!BQ391</f>
        <v>532.63699999999994</v>
      </c>
      <c r="DD43" s="60"/>
      <c r="DE43" s="60"/>
      <c r="DF43" s="60"/>
      <c r="DG43" s="60"/>
      <c r="DH43" s="60"/>
      <c r="DK43" s="60"/>
      <c r="DL43" s="60"/>
      <c r="DM43" s="60"/>
      <c r="DN43" s="60"/>
      <c r="DO43" s="65"/>
      <c r="DV43" s="65"/>
    </row>
    <row r="44" spans="8:126" ht="15.75" customHeight="1" x14ac:dyDescent="0.2">
      <c r="J44" s="60"/>
      <c r="K44" s="60"/>
      <c r="L44" s="60"/>
      <c r="M44" s="65"/>
      <c r="N44" s="65"/>
      <c r="T44" s="65"/>
      <c r="U44" s="65"/>
      <c r="AC44" s="65" t="str">
        <f>'PC LIST'!B130</f>
        <v>PR14NESHHR_R-E1</v>
      </c>
      <c r="AD44" s="66" t="str">
        <f>'PC LIST'!I130</f>
        <v>R-E1: Greenhouse gas emissions</v>
      </c>
      <c r="AE44" s="66" t="str">
        <f>'PC LIST'!O130</f>
        <v>nr</v>
      </c>
      <c r="AF44" s="66" t="str">
        <f>'PC LIST'!P130</f>
        <v>ktCO2e</v>
      </c>
      <c r="AG44" s="65">
        <f>'PC LIST'!Q130</f>
        <v>0</v>
      </c>
      <c r="AH44" s="65" t="str">
        <f>'PC LIST'!J130</f>
        <v>NFI</v>
      </c>
      <c r="AI44" s="65">
        <f>'PC LIST'!BQ130</f>
        <v>225.2</v>
      </c>
      <c r="BG44" s="60"/>
      <c r="BH44" s="60"/>
      <c r="BI44" s="60"/>
      <c r="BJ44" s="65"/>
      <c r="BK44" s="65"/>
      <c r="BN44" s="60"/>
      <c r="BO44" s="60"/>
      <c r="BP44" s="60"/>
      <c r="BQ44" s="60"/>
      <c r="BR44" s="60"/>
      <c r="BZ44" s="65" t="str">
        <f>'PC LIST'!B305</f>
        <v>PR14SVTHHR_R-A1</v>
      </c>
      <c r="CA44" s="65" t="str">
        <f>'PC LIST'!I305</f>
        <v>R-A1: Customer satisfaction with their service (based on a survey)</v>
      </c>
      <c r="CB44" s="65" t="str">
        <f>'PC LIST'!O305</f>
        <v>text</v>
      </c>
      <c r="CC44" s="65" t="str">
        <f>'PC LIST'!P305</f>
        <v>Customer satisfaction ranking</v>
      </c>
      <c r="CD44" s="65" t="str">
        <f>'PC LIST'!Q305</f>
        <v>na</v>
      </c>
      <c r="CE44" s="65" t="str">
        <f>'PC LIST'!J305</f>
        <v>NFI</v>
      </c>
      <c r="CF44" s="789" t="str">
        <f>'PC LIST'!BQ305</f>
        <v>Median</v>
      </c>
      <c r="CG44" s="65" t="str">
        <f>'PC LIST'!B350</f>
        <v>PR14SWTHHR_R-B1</v>
      </c>
      <c r="CH44" s="67" t="str">
        <f>'PC LIST'!I350</f>
        <v>R-B1: Customers assisted by water poverty initiatives</v>
      </c>
      <c r="CI44" s="67" t="str">
        <f>'PC LIST'!O350</f>
        <v>nr</v>
      </c>
      <c r="CJ44" s="67" t="str">
        <f>'PC LIST'!P350</f>
        <v>No. of customers assisted by water poverty initiatives</v>
      </c>
      <c r="CK44" s="65">
        <f>'PC LIST'!Q350</f>
        <v>0</v>
      </c>
      <c r="CL44" s="65" t="str">
        <f>'PC LIST'!J350</f>
        <v>NFI</v>
      </c>
      <c r="CM44" s="788">
        <f>'PC LIST'!BQ350</f>
        <v>26837</v>
      </c>
      <c r="CN44" s="65" t="str">
        <f>'PC LIST'!B392</f>
        <v>PR14TMSTTT_T1A</v>
      </c>
      <c r="CO44" s="65" t="str">
        <f>'PC LIST'!I392</f>
        <v>T1A: Successful procurement of the Infrastructure Provider (IP)</v>
      </c>
      <c r="CP44" s="65" t="str">
        <f>'PC LIST'!O392</f>
        <v>text</v>
      </c>
      <c r="CQ44" s="65" t="str">
        <f>'PC LIST'!P392</f>
        <v>Infrastructure Provider (IP) procurement</v>
      </c>
      <c r="CR44" s="65" t="str">
        <f>'PC LIST'!Q392</f>
        <v>na</v>
      </c>
      <c r="CS44" s="65" t="str">
        <f>'PC LIST'!J392</f>
        <v>NFI</v>
      </c>
      <c r="CT44" s="65" t="str">
        <f>'PC LIST'!BQ392</f>
        <v>Complete</v>
      </c>
      <c r="DD44" s="60"/>
      <c r="DE44" s="60"/>
      <c r="DF44" s="60"/>
      <c r="DG44" s="60"/>
      <c r="DH44" s="60"/>
      <c r="DK44" s="60"/>
      <c r="DL44" s="60"/>
      <c r="DM44" s="60"/>
      <c r="DN44" s="60"/>
      <c r="DO44" s="65"/>
      <c r="DV44" s="65"/>
    </row>
    <row r="45" spans="8:126" ht="15.75" customHeight="1" x14ac:dyDescent="0.2">
      <c r="J45" s="60"/>
      <c r="K45" s="60"/>
      <c r="L45" s="60"/>
      <c r="M45" s="65"/>
      <c r="N45" s="65"/>
      <c r="T45" s="65"/>
      <c r="U45" s="65"/>
      <c r="AC45" s="65" t="str">
        <f>'PC LIST'!B131</f>
        <v>PR14NESHHR_R-E2</v>
      </c>
      <c r="AD45" s="66" t="str">
        <f>'PC LIST'!I131</f>
        <v>R-E2: Annual environmental performance report</v>
      </c>
      <c r="AE45" s="66" t="str">
        <f>'PC LIST'!O131</f>
        <v>text</v>
      </c>
      <c r="AF45" s="66" t="str">
        <f>'PC LIST'!P131</f>
        <v>CRAG report publication</v>
      </c>
      <c r="AG45" s="65" t="str">
        <f>'PC LIST'!Q131</f>
        <v>na</v>
      </c>
      <c r="AH45" s="65" t="str">
        <f>'PC LIST'!J131</f>
        <v>NFI</v>
      </c>
      <c r="AI45" s="65" t="str">
        <f>'PC LIST'!BQ131</f>
        <v xml:space="preserve">Report published </v>
      </c>
      <c r="BG45" s="60"/>
      <c r="BH45" s="60"/>
      <c r="BI45" s="60"/>
      <c r="BJ45" s="65"/>
      <c r="BK45" s="65"/>
      <c r="BN45" s="60"/>
      <c r="BO45" s="60"/>
      <c r="BP45" s="60"/>
      <c r="BQ45" s="60"/>
      <c r="BR45" s="60"/>
      <c r="BZ45" s="65" t="str">
        <f>'PC LIST'!B306</f>
        <v>PR14SVTHHR_R-A2</v>
      </c>
      <c r="CA45" s="65" t="str">
        <f>'PC LIST'!I306</f>
        <v>R-A2: Customers' experience of dealing with us (based on Ofwat's SIM)</v>
      </c>
      <c r="CB45" s="65" t="str">
        <f>'PC LIST'!O306</f>
        <v>text</v>
      </c>
      <c r="CC45" s="65" t="str">
        <f>'PC LIST'!P306</f>
        <v>Service incentive mechanism (SIM) score ranking</v>
      </c>
      <c r="CD45" s="65" t="str">
        <f>'PC LIST'!Q306</f>
        <v>na</v>
      </c>
      <c r="CE45" s="65" t="str">
        <f>'PC LIST'!J306</f>
        <v>R&amp;P</v>
      </c>
      <c r="CF45" s="789">
        <f>'PC LIST'!BQ306</f>
        <v>83.7</v>
      </c>
      <c r="CG45" s="65"/>
      <c r="CH45" s="67"/>
      <c r="CI45" s="67"/>
      <c r="CJ45" s="67"/>
      <c r="CN45" s="65" t="str">
        <f>'PC LIST'!B393</f>
        <v>PR14TMSTTT_T1B</v>
      </c>
      <c r="CO45" s="65" t="str">
        <f>'PC LIST'!I393</f>
        <v>T1B: Thames Water will fulfil its land related commitments in line with the TTT programme requirements</v>
      </c>
      <c r="CP45" s="65" t="str">
        <f>'PC LIST'!O393</f>
        <v>text</v>
      </c>
      <c r="CQ45" s="65" t="str">
        <f>'PC LIST'!P393</f>
        <v>Land related commitments</v>
      </c>
      <c r="CR45" s="65" t="str">
        <f>'PC LIST'!Q393</f>
        <v>na</v>
      </c>
      <c r="CS45" s="65" t="str">
        <f>'PC LIST'!J393</f>
        <v>NFI</v>
      </c>
      <c r="CT45" s="65">
        <f>'PC LIST'!BQ393</f>
        <v>13</v>
      </c>
      <c r="DD45" s="60"/>
      <c r="DE45" s="60"/>
      <c r="DF45" s="60"/>
      <c r="DG45" s="60"/>
      <c r="DH45" s="60"/>
      <c r="DK45" s="60"/>
      <c r="DL45" s="60"/>
      <c r="DM45" s="60"/>
      <c r="DN45" s="60"/>
      <c r="DO45" s="65"/>
      <c r="DV45" s="65"/>
    </row>
    <row r="46" spans="8:126" ht="15.75" customHeight="1" x14ac:dyDescent="0.2">
      <c r="J46" s="60"/>
      <c r="K46" s="60"/>
      <c r="L46" s="60"/>
      <c r="M46" s="65"/>
      <c r="N46" s="65"/>
      <c r="T46" s="65"/>
      <c r="U46" s="65"/>
      <c r="AC46" s="65" t="str">
        <f>'PC LIST'!B132</f>
        <v>PR14NESHHR_R-F1</v>
      </c>
      <c r="AD46" s="66" t="str">
        <f>'PC LIST'!I132</f>
        <v>R-F1: Delivering a consolidated Customer Information and Billing (CIB) system</v>
      </c>
      <c r="AE46" s="66" t="str">
        <f>'PC LIST'!O132</f>
        <v>£m</v>
      </c>
      <c r="AF46" s="66" t="str">
        <f>'PC LIST'!P132</f>
        <v>£ million cumulative depreciation</v>
      </c>
      <c r="AG46" s="65">
        <f>'PC LIST'!Q132</f>
        <v>3</v>
      </c>
      <c r="AH46" s="65" t="str">
        <f>'PC LIST'!J132</f>
        <v>PO</v>
      </c>
      <c r="AI46" s="65" t="str">
        <f>'PC LIST'!BQ132</f>
        <v>n/a</v>
      </c>
      <c r="BG46" s="60"/>
      <c r="BH46" s="60"/>
      <c r="BI46" s="60"/>
      <c r="BJ46" s="65"/>
      <c r="BK46" s="65"/>
      <c r="BN46" s="60"/>
      <c r="BO46" s="60"/>
      <c r="BP46" s="60"/>
      <c r="BQ46" s="60"/>
      <c r="BR46" s="60"/>
      <c r="BZ46" s="65" t="str">
        <f>'PC LIST'!B307</f>
        <v>PR14SVTHHR_R-B1</v>
      </c>
      <c r="CA46" s="65" t="str">
        <f>'PC LIST'!I307</f>
        <v>R-B1: Customers helped by a review of their tariff &amp; water usage &amp;/or supported by SVT social fund</v>
      </c>
      <c r="CB46" s="65" t="str">
        <f>'PC LIST'!O307</f>
        <v>nr</v>
      </c>
      <c r="CC46" s="65" t="str">
        <f>'PC LIST'!P307</f>
        <v>No. of customers engaged with on debt</v>
      </c>
      <c r="CD46" s="65">
        <f>'PC LIST'!Q307</f>
        <v>0</v>
      </c>
      <c r="CE46" s="65" t="str">
        <f>'PC LIST'!J307</f>
        <v>NFI</v>
      </c>
      <c r="CF46" s="789">
        <f>'PC LIST'!BQ307</f>
        <v>24110</v>
      </c>
      <c r="CI46" s="60"/>
      <c r="CJ46" s="60"/>
      <c r="CK46" s="60"/>
      <c r="CL46" s="60"/>
      <c r="CM46" s="60"/>
      <c r="CN46" s="65" t="str">
        <f>'PC LIST'!B394</f>
        <v>PR14TMSTTT_T1C</v>
      </c>
      <c r="CO46" s="65" t="str">
        <f>'PC LIST'!I394</f>
        <v>T1C: Completion of category 2 and 3 construction works and timely availability of sites to the IP</v>
      </c>
      <c r="CP46" s="65" t="str">
        <f>'PC LIST'!O394</f>
        <v>nr</v>
      </c>
      <c r="CQ46" s="65" t="str">
        <f>'PC LIST'!P394</f>
        <v>No. of sites (cumulative)</v>
      </c>
      <c r="CR46" s="65">
        <f>'PC LIST'!Q394</f>
        <v>0</v>
      </c>
      <c r="CS46" s="65" t="str">
        <f>'PC LIST'!J394</f>
        <v>PO</v>
      </c>
      <c r="CT46" s="65">
        <f>'PC LIST'!BQ394</f>
        <v>9</v>
      </c>
      <c r="DD46" s="60"/>
      <c r="DE46" s="60"/>
      <c r="DF46" s="60"/>
      <c r="DG46" s="60"/>
      <c r="DH46" s="60"/>
      <c r="DK46" s="60"/>
      <c r="DL46" s="60"/>
      <c r="DM46" s="60"/>
      <c r="DN46" s="60"/>
      <c r="DO46" s="65"/>
      <c r="DV46" s="65"/>
    </row>
    <row r="47" spans="8:126" ht="15.75" customHeight="1" x14ac:dyDescent="0.2">
      <c r="J47" s="60"/>
      <c r="K47" s="60"/>
      <c r="L47" s="60"/>
      <c r="M47" s="65"/>
      <c r="N47" s="65"/>
      <c r="T47" s="65"/>
      <c r="U47" s="65"/>
      <c r="AC47" s="65"/>
      <c r="AD47" s="66"/>
      <c r="AE47" s="66"/>
      <c r="AF47" s="66"/>
      <c r="BG47" s="60"/>
      <c r="BH47" s="60"/>
      <c r="BI47" s="60"/>
      <c r="BJ47" s="65"/>
      <c r="BK47" s="65"/>
      <c r="BZ47" s="65" t="str">
        <f>'PC LIST'!B308</f>
        <v>PR14SVTHHR_R-B2</v>
      </c>
      <c r="CA47" s="65" t="str">
        <f>'PC LIST'!I308</f>
        <v>R-B2: Percentage of customers who do not pay (household bad debt divided by total household revenue)</v>
      </c>
      <c r="CB47" s="65" t="str">
        <f>'PC LIST'!O308</f>
        <v>%</v>
      </c>
      <c r="CC47" s="65" t="str">
        <f>'PC LIST'!P308</f>
        <v>% of customers who do not pay</v>
      </c>
      <c r="CD47" s="65">
        <f>'PC LIST'!Q308</f>
        <v>2</v>
      </c>
      <c r="CE47" s="65" t="str">
        <f>'PC LIST'!J308</f>
        <v>NFI</v>
      </c>
      <c r="CF47" s="789">
        <f>'PC LIST'!BQ308</f>
        <v>1.8</v>
      </c>
      <c r="CI47" s="60"/>
      <c r="CJ47" s="60"/>
      <c r="CK47" s="60"/>
      <c r="CL47" s="60"/>
      <c r="CM47" s="60"/>
      <c r="CN47" s="65" t="str">
        <f>'PC LIST'!B395</f>
        <v>PR14TMSTTT_T2</v>
      </c>
      <c r="CO47" s="65" t="str">
        <f>'PC LIST'!I395</f>
        <v>T2: Thames Water will engage effectively with the IP, and other stakeholders, both in terms of integration and assurance</v>
      </c>
      <c r="CP47" s="65" t="str">
        <f>'PC LIST'!O395</f>
        <v>text</v>
      </c>
      <c r="CQ47" s="65" t="str">
        <f>'PC LIST'!P395</f>
        <v>Effective engagement with IP and stakeholders</v>
      </c>
      <c r="CR47" s="65" t="str">
        <f>'PC LIST'!Q395</f>
        <v>na</v>
      </c>
      <c r="CS47" s="65" t="str">
        <f>'PC LIST'!J395</f>
        <v>NFI</v>
      </c>
      <c r="CT47" s="65" t="str">
        <f>'PC LIST'!BQ395</f>
        <v>Not available</v>
      </c>
      <c r="DK47" s="60"/>
      <c r="DL47" s="60"/>
      <c r="DM47" s="60"/>
      <c r="DN47" s="60"/>
      <c r="DO47" s="65"/>
      <c r="DV47" s="65"/>
    </row>
    <row r="48" spans="8:126" ht="15.75" customHeight="1" x14ac:dyDescent="0.2">
      <c r="J48" s="60"/>
      <c r="K48" s="60"/>
      <c r="L48" s="60"/>
      <c r="M48" s="65"/>
      <c r="N48" s="65"/>
      <c r="T48" s="65"/>
      <c r="U48" s="65"/>
      <c r="BG48" s="60"/>
      <c r="BH48" s="60"/>
      <c r="BI48" s="60"/>
      <c r="BJ48" s="65"/>
      <c r="BK48" s="65"/>
      <c r="BZ48" s="65"/>
      <c r="CA48" s="65"/>
      <c r="CB48" s="65"/>
      <c r="CC48" s="65"/>
      <c r="CI48" s="60"/>
      <c r="CJ48" s="60"/>
      <c r="CK48" s="60"/>
      <c r="CL48" s="60"/>
      <c r="CM48" s="60"/>
      <c r="CN48" s="65" t="str">
        <f>'PC LIST'!B396</f>
        <v>PR14TMSTTT_T3</v>
      </c>
      <c r="CO48" s="65" t="str">
        <f>'PC LIST'!I396</f>
        <v>T3: Thames Water will engage with its customers to build understanding of the TTT project. Thames Water will liaise with the IP on its surveys of local communities impacted by construction</v>
      </c>
      <c r="CP48" s="65" t="str">
        <f>'PC LIST'!O396</f>
        <v>text</v>
      </c>
      <c r="CQ48" s="65" t="str">
        <f>'PC LIST'!P396</f>
        <v>Engagement to build TTT understanding</v>
      </c>
      <c r="CR48" s="65" t="str">
        <f>'PC LIST'!Q396</f>
        <v>na</v>
      </c>
      <c r="CS48" s="65" t="str">
        <f>'PC LIST'!J396</f>
        <v>NFI</v>
      </c>
      <c r="CT48" s="65" t="str">
        <f>'PC LIST'!BQ396</f>
        <v xml:space="preserve">Household customers % aware of TTT = 43 % understand project = 35
Non-household customers
% aware of TTT = 36
% understand project = 28
</v>
      </c>
      <c r="DK48" s="60"/>
      <c r="DL48" s="60"/>
      <c r="DM48" s="60"/>
      <c r="DN48" s="60"/>
      <c r="DO48" s="65"/>
      <c r="DV48" s="65"/>
    </row>
    <row r="49" spans="10:126" ht="15.75" customHeight="1" x14ac:dyDescent="0.2">
      <c r="J49" s="60"/>
      <c r="K49" s="60"/>
      <c r="L49" s="60"/>
      <c r="M49" s="65"/>
      <c r="N49" s="65"/>
      <c r="T49" s="65"/>
      <c r="U49" s="65"/>
      <c r="BG49" s="60"/>
      <c r="BH49" s="60"/>
      <c r="BI49" s="60"/>
      <c r="BJ49" s="65"/>
      <c r="BK49" s="65"/>
      <c r="CB49" s="60"/>
      <c r="CC49" s="60"/>
      <c r="CD49" s="60"/>
      <c r="CE49" s="60"/>
      <c r="CF49" s="60"/>
      <c r="CI49" s="60"/>
      <c r="CJ49" s="60"/>
      <c r="CK49" s="60"/>
      <c r="CL49" s="60"/>
      <c r="CM49" s="60"/>
      <c r="CN49" s="65" t="str">
        <f>'PC LIST'!B397</f>
        <v>PR14TMSHHR_RA1</v>
      </c>
      <c r="CO49" s="65" t="str">
        <f>'PC LIST'!I397</f>
        <v>RA1: Minimise the number of written complaints received from customers (relating to charging and billing)</v>
      </c>
      <c r="CP49" s="65" t="str">
        <f>'PC LIST'!O397</f>
        <v>nr</v>
      </c>
      <c r="CQ49" s="65" t="str">
        <f>'PC LIST'!P397</f>
        <v>No. written complaints / 10,000 properties</v>
      </c>
      <c r="CR49" s="65">
        <f>'PC LIST'!Q397</f>
        <v>0</v>
      </c>
      <c r="CS49" s="65" t="str">
        <f>'PC LIST'!J397</f>
        <v>NFI</v>
      </c>
      <c r="CT49" s="65">
        <f>'PC LIST'!BQ397</f>
        <v>13.79</v>
      </c>
      <c r="DK49" s="60"/>
      <c r="DL49" s="60"/>
      <c r="DM49" s="60"/>
      <c r="DN49" s="60"/>
      <c r="DO49" s="65"/>
      <c r="DV49" s="65"/>
    </row>
    <row r="50" spans="10:126" ht="15.75" customHeight="1" x14ac:dyDescent="0.2">
      <c r="J50" s="60"/>
      <c r="K50" s="60"/>
      <c r="L50" s="60"/>
      <c r="M50" s="65"/>
      <c r="N50" s="65"/>
      <c r="T50" s="65"/>
      <c r="U50" s="65"/>
      <c r="BG50" s="60"/>
      <c r="BH50" s="60"/>
      <c r="BI50" s="60"/>
      <c r="BJ50" s="65"/>
      <c r="BK50" s="65"/>
      <c r="CB50" s="60"/>
      <c r="CC50" s="60"/>
      <c r="CD50" s="60"/>
      <c r="CE50" s="60"/>
      <c r="CF50" s="60"/>
      <c r="CI50" s="60"/>
      <c r="CJ50" s="60"/>
      <c r="CK50" s="60"/>
      <c r="CL50" s="60"/>
      <c r="CM50" s="60"/>
      <c r="CN50" s="65" t="str">
        <f>'PC LIST'!B398</f>
        <v>PR14TMSHHR_RA2</v>
      </c>
      <c r="CO50" s="65" t="str">
        <f>'PC LIST'!I398</f>
        <v>RA2: Improve handling of written complaints by increasing first time resolution - charging and billing</v>
      </c>
      <c r="CP50" s="65" t="str">
        <f>'PC LIST'!O398</f>
        <v>%</v>
      </c>
      <c r="CQ50" s="65" t="str">
        <f>'PC LIST'!P398</f>
        <v>% written complaints resolved 1st time</v>
      </c>
      <c r="CR50" s="65">
        <f>'PC LIST'!Q398</f>
        <v>0</v>
      </c>
      <c r="CS50" s="65" t="str">
        <f>'PC LIST'!J398</f>
        <v>NFI</v>
      </c>
      <c r="CT50" s="65">
        <f>'PC LIST'!BQ398</f>
        <v>92.36</v>
      </c>
      <c r="DK50" s="60"/>
      <c r="DL50" s="60"/>
      <c r="DM50" s="60"/>
      <c r="DN50" s="60"/>
      <c r="DO50" s="65"/>
      <c r="DV50" s="65"/>
    </row>
    <row r="51" spans="10:126" ht="15.75" customHeight="1" x14ac:dyDescent="0.2">
      <c r="J51" s="60"/>
      <c r="K51" s="60"/>
      <c r="L51" s="60"/>
      <c r="M51" s="65"/>
      <c r="N51" s="65"/>
      <c r="T51" s="65"/>
      <c r="U51" s="65"/>
      <c r="BJ51" s="65"/>
      <c r="BK51" s="65"/>
      <c r="CB51" s="60"/>
      <c r="CC51" s="60"/>
      <c r="CD51" s="60"/>
      <c r="CE51" s="60"/>
      <c r="CF51" s="60"/>
      <c r="CI51" s="60"/>
      <c r="CJ51" s="60"/>
      <c r="CK51" s="60"/>
      <c r="CL51" s="60"/>
      <c r="CM51" s="60"/>
      <c r="CN51" s="65" t="str">
        <f>'PC LIST'!B399</f>
        <v>PR14TMSHHR_RA3</v>
      </c>
      <c r="CO51" s="65" t="str">
        <f>'PC LIST'!I399</f>
        <v>RA3: Improve customer satisfaction of retail customers - charging and billing service</v>
      </c>
      <c r="CP51" s="65" t="str">
        <f>'PC LIST'!O399</f>
        <v>score</v>
      </c>
      <c r="CQ51" s="65" t="str">
        <f>'PC LIST'!P399</f>
        <v>TW internal Customer satisfaction score (mean score out of 5)</v>
      </c>
      <c r="CR51" s="65">
        <f>'PC LIST'!Q399</f>
        <v>2</v>
      </c>
      <c r="CS51" s="65" t="str">
        <f>'PC LIST'!J399</f>
        <v>NFI</v>
      </c>
      <c r="CT51" s="65">
        <f>'PC LIST'!BQ399</f>
        <v>4.6100000000000003</v>
      </c>
      <c r="DK51" s="60"/>
      <c r="DL51" s="60"/>
      <c r="DM51" s="60"/>
      <c r="DN51" s="60"/>
      <c r="DO51" s="65"/>
      <c r="DV51" s="65"/>
    </row>
    <row r="52" spans="10:126" ht="15.75" customHeight="1" x14ac:dyDescent="0.2">
      <c r="J52" s="60"/>
      <c r="K52" s="60"/>
      <c r="L52" s="60"/>
      <c r="M52" s="65"/>
      <c r="N52" s="65"/>
      <c r="T52" s="65"/>
      <c r="U52" s="65"/>
      <c r="BJ52" s="65"/>
      <c r="BK52" s="65"/>
      <c r="CB52" s="60"/>
      <c r="CC52" s="60"/>
      <c r="CD52" s="60"/>
      <c r="CE52" s="60"/>
      <c r="CF52" s="60"/>
      <c r="CI52" s="60"/>
      <c r="CJ52" s="60"/>
      <c r="CK52" s="60"/>
      <c r="CL52" s="60"/>
      <c r="CM52" s="60"/>
      <c r="CN52" s="65" t="str">
        <f>'PC LIST'!B400</f>
        <v>PR14TMSHHR_RA4</v>
      </c>
      <c r="CO52" s="65" t="str">
        <f>'PC LIST'!I400</f>
        <v>RA4: Improve customer satisfaction of retail customers - operations contact centre</v>
      </c>
      <c r="CP52" s="65" t="str">
        <f>'PC LIST'!O400</f>
        <v>score</v>
      </c>
      <c r="CQ52" s="65" t="str">
        <f>'PC LIST'!P400</f>
        <v>TW internal Customer satisfaction score (mean score out of 5)</v>
      </c>
      <c r="CR52" s="65">
        <f>'PC LIST'!Q400</f>
        <v>2</v>
      </c>
      <c r="CS52" s="65" t="str">
        <f>'PC LIST'!J400</f>
        <v>NFI</v>
      </c>
      <c r="CT52" s="65">
        <f>'PC LIST'!BQ400</f>
        <v>4.2699999999999996</v>
      </c>
      <c r="DK52" s="60"/>
      <c r="DL52" s="60"/>
      <c r="DM52" s="60"/>
      <c r="DN52" s="60"/>
      <c r="DO52" s="65"/>
      <c r="DV52" s="65"/>
    </row>
    <row r="53" spans="10:126" ht="15.75" customHeight="1" x14ac:dyDescent="0.2">
      <c r="J53" s="60"/>
      <c r="K53" s="60"/>
      <c r="L53" s="60"/>
      <c r="M53" s="65"/>
      <c r="N53" s="65"/>
      <c r="T53" s="65"/>
      <c r="U53" s="65"/>
      <c r="BJ53" s="65"/>
      <c r="BK53" s="65"/>
      <c r="CB53" s="60"/>
      <c r="CC53" s="60"/>
      <c r="CD53" s="60"/>
      <c r="CE53" s="60"/>
      <c r="CF53" s="60"/>
      <c r="CI53" s="60"/>
      <c r="CJ53" s="60"/>
      <c r="CK53" s="60"/>
      <c r="CL53" s="60"/>
      <c r="CM53" s="60"/>
      <c r="CN53" s="65" t="str">
        <f>'PC LIST'!B401</f>
        <v>PR14TMSHHR_RA5</v>
      </c>
      <c r="CO53" s="65" t="str">
        <f>'PC LIST'!I401</f>
        <v>RA5: Increase the number of bills based on actual meter reads (in cycle)</v>
      </c>
      <c r="CP53" s="65" t="str">
        <f>'PC LIST'!O401</f>
        <v>%</v>
      </c>
      <c r="CQ53" s="65" t="str">
        <f>'PC LIST'!P401</f>
        <v>% bills based on actual meter reads</v>
      </c>
      <c r="CR53" s="65">
        <f>'PC LIST'!Q401</f>
        <v>0</v>
      </c>
      <c r="CS53" s="65" t="str">
        <f>'PC LIST'!J401</f>
        <v>NFI</v>
      </c>
      <c r="CT53" s="65">
        <f>'PC LIST'!BQ401</f>
        <v>90.5</v>
      </c>
      <c r="DK53" s="60"/>
      <c r="DL53" s="60"/>
      <c r="DM53" s="60"/>
      <c r="DN53" s="60"/>
      <c r="DO53" s="65"/>
      <c r="DV53" s="65"/>
    </row>
    <row r="54" spans="10:126" ht="15.75" customHeight="1" x14ac:dyDescent="0.2">
      <c r="J54" s="60"/>
      <c r="K54" s="60"/>
      <c r="L54" s="60"/>
      <c r="M54" s="65"/>
      <c r="N54" s="65"/>
      <c r="T54" s="65"/>
      <c r="U54" s="65"/>
      <c r="BJ54" s="65"/>
      <c r="BK54" s="65"/>
      <c r="CB54" s="60"/>
      <c r="CC54" s="60"/>
      <c r="CD54" s="60"/>
      <c r="CE54" s="60"/>
      <c r="CF54" s="60"/>
      <c r="CI54" s="60"/>
      <c r="CJ54" s="60"/>
      <c r="CK54" s="60"/>
      <c r="CL54" s="60"/>
      <c r="CM54" s="60"/>
      <c r="CN54" s="65" t="str">
        <f>'PC LIST'!B402</f>
        <v>PR14TMSHHR_RA6</v>
      </c>
      <c r="CO54" s="65" t="str">
        <f>'PC LIST'!I402</f>
        <v>RA6: Service incentive mechanism (SIM)</v>
      </c>
      <c r="CP54" s="65" t="str">
        <f>'PC LIST'!O402</f>
        <v>score</v>
      </c>
      <c r="CQ54" s="65" t="str">
        <f>'PC LIST'!P402</f>
        <v>Service incentive mechanism (SIM) score</v>
      </c>
      <c r="CR54" s="65">
        <f>'PC LIST'!Q402</f>
        <v>1</v>
      </c>
      <c r="CS54" s="65" t="str">
        <f>'PC LIST'!J402</f>
        <v>R&amp;P</v>
      </c>
      <c r="CT54" s="65">
        <f>'PC LIST'!BQ402</f>
        <v>76.739999999999995</v>
      </c>
      <c r="DK54" s="60"/>
      <c r="DL54" s="60"/>
      <c r="DM54" s="60"/>
      <c r="DN54" s="60"/>
      <c r="DO54" s="65"/>
      <c r="DV54" s="65"/>
    </row>
    <row r="55" spans="10:126" ht="15.75" customHeight="1" x14ac:dyDescent="0.2">
      <c r="M55" s="65"/>
      <c r="N55" s="65"/>
      <c r="T55" s="65"/>
      <c r="U55" s="65"/>
      <c r="BJ55" s="65"/>
      <c r="BK55" s="65"/>
      <c r="CB55" s="60"/>
      <c r="CC55" s="60"/>
      <c r="CD55" s="60"/>
      <c r="CE55" s="60"/>
      <c r="CF55" s="60"/>
      <c r="CI55" s="60"/>
      <c r="CJ55" s="60"/>
      <c r="CK55" s="60"/>
      <c r="CL55" s="60"/>
      <c r="CM55" s="60"/>
      <c r="CN55" s="65" t="str">
        <f>'PC LIST'!B403</f>
        <v>PR14TMSHHR_RB1</v>
      </c>
      <c r="CO55" s="65" t="str">
        <f>'PC LIST'!I403</f>
        <v>RB1: Implement new online account management for customers supported by web-chat</v>
      </c>
      <c r="CP55" s="65" t="str">
        <f>'PC LIST'!O403</f>
        <v>text</v>
      </c>
      <c r="CQ55" s="65" t="str">
        <f>'PC LIST'!P403</f>
        <v>Delivery status</v>
      </c>
      <c r="CR55" s="65" t="str">
        <f>'PC LIST'!Q403</f>
        <v>na</v>
      </c>
      <c r="CS55" s="65" t="str">
        <f>'PC LIST'!J403</f>
        <v>PO</v>
      </c>
      <c r="CT55" s="65" t="str">
        <f>'PC LIST'!BQ403</f>
        <v>Limited online</v>
      </c>
      <c r="DK55" s="60"/>
      <c r="DL55" s="60"/>
      <c r="DM55" s="60"/>
      <c r="DN55" s="60"/>
      <c r="DO55" s="65"/>
      <c r="DV55" s="65"/>
    </row>
    <row r="56" spans="10:126" ht="15.75" customHeight="1" x14ac:dyDescent="0.2">
      <c r="M56" s="65"/>
      <c r="N56" s="65"/>
      <c r="T56" s="65"/>
      <c r="U56" s="65"/>
      <c r="BJ56" s="65"/>
      <c r="BK56" s="65"/>
      <c r="CB56" s="60"/>
      <c r="CC56" s="60"/>
      <c r="CD56" s="60"/>
      <c r="CE56" s="60"/>
      <c r="CF56" s="60"/>
      <c r="CI56" s="60"/>
      <c r="CJ56" s="60"/>
      <c r="CK56" s="60"/>
      <c r="CL56" s="60"/>
      <c r="CM56" s="60"/>
      <c r="CN56" s="65" t="str">
        <f>'PC LIST'!B404</f>
        <v>PR14TMSHHR_RC1</v>
      </c>
      <c r="CO56" s="65" t="str">
        <f>'PC LIST'!I404</f>
        <v>RC1: Increase the number of customers on payment plans (excluding Thames Tideway Tunnel)</v>
      </c>
      <c r="CP56" s="65" t="str">
        <f>'PC LIST'!O404</f>
        <v>%</v>
      </c>
      <c r="CQ56" s="65" t="str">
        <f>'PC LIST'!P404</f>
        <v>% of customers on DD payment plans</v>
      </c>
      <c r="CR56" s="65">
        <f>'PC LIST'!Q404</f>
        <v>0</v>
      </c>
      <c r="CS56" s="65" t="str">
        <f>'PC LIST'!J404</f>
        <v>NFI</v>
      </c>
      <c r="CT56" s="65">
        <f>'PC LIST'!BQ404</f>
        <v>54.19</v>
      </c>
      <c r="DK56" s="60"/>
      <c r="DL56" s="60"/>
      <c r="DM56" s="60"/>
      <c r="DN56" s="60"/>
      <c r="DO56" s="65"/>
      <c r="DV56" s="65"/>
    </row>
    <row r="57" spans="10:126" ht="15.75" customHeight="1" x14ac:dyDescent="0.2">
      <c r="M57" s="65"/>
      <c r="N57" s="65"/>
      <c r="T57" s="65"/>
      <c r="U57" s="65"/>
      <c r="BJ57" s="65"/>
      <c r="BK57" s="65"/>
      <c r="CB57" s="60"/>
      <c r="CC57" s="60"/>
      <c r="CD57" s="60"/>
      <c r="CE57" s="60"/>
      <c r="CF57" s="60"/>
      <c r="CI57" s="60"/>
      <c r="CJ57" s="60"/>
      <c r="CK57" s="60"/>
      <c r="CL57" s="60"/>
      <c r="CM57" s="60"/>
      <c r="CN57" s="65" t="str">
        <f>'PC LIST'!B405</f>
        <v>PR14TMSHHR_RC2</v>
      </c>
      <c r="CO57" s="65" t="str">
        <f>'PC LIST'!I405</f>
        <v>RC2: Increase cash collection rates (excluding Thames Tideway Tunnel)</v>
      </c>
      <c r="CP57" s="65" t="str">
        <f>'PC LIST'!O405</f>
        <v>%</v>
      </c>
      <c r="CQ57" s="65" t="str">
        <f>'PC LIST'!P405</f>
        <v>% of cash collected from billing in the year</v>
      </c>
      <c r="CR57" s="65">
        <f>'PC LIST'!Q405</f>
        <v>1</v>
      </c>
      <c r="CS57" s="65" t="str">
        <f>'PC LIST'!J405</f>
        <v>NFI</v>
      </c>
      <c r="CT57" s="65">
        <f>'PC LIST'!BQ405</f>
        <v>88.2</v>
      </c>
      <c r="DK57" s="60"/>
      <c r="DL57" s="60"/>
      <c r="DM57" s="60"/>
      <c r="DN57" s="60"/>
      <c r="DO57" s="65"/>
      <c r="DV57" s="65"/>
    </row>
    <row r="58" spans="10:126" ht="15.75" customHeight="1" x14ac:dyDescent="0.2">
      <c r="CB58" s="60"/>
      <c r="CC58" s="60"/>
      <c r="CD58" s="60"/>
      <c r="CE58" s="60"/>
      <c r="CF58" s="60"/>
      <c r="CI58" s="60"/>
      <c r="CJ58" s="60"/>
      <c r="CK58" s="60"/>
      <c r="CL58" s="60"/>
      <c r="CM58" s="60"/>
      <c r="CN58" s="65"/>
      <c r="CO58" s="65"/>
      <c r="CP58" s="65"/>
      <c r="CQ58" s="65"/>
      <c r="DK58" s="60"/>
      <c r="DL58" s="60"/>
      <c r="DM58" s="60"/>
      <c r="DN58" s="60"/>
      <c r="DO58" s="60"/>
    </row>
    <row r="59" spans="10:126" ht="15.75" customHeight="1" x14ac:dyDescent="0.2">
      <c r="CB59" s="60"/>
      <c r="CC59" s="60"/>
      <c r="CD59" s="60"/>
      <c r="CE59" s="60"/>
      <c r="CF59" s="60"/>
      <c r="CI59" s="60"/>
      <c r="CJ59" s="60"/>
      <c r="CK59" s="60"/>
      <c r="CL59" s="60"/>
      <c r="CM59" s="60"/>
      <c r="CP59" s="60"/>
      <c r="CQ59" s="60"/>
      <c r="CR59" s="60"/>
      <c r="CS59" s="60"/>
      <c r="CT59" s="60"/>
      <c r="DK59" s="60"/>
      <c r="DL59" s="60"/>
      <c r="DM59" s="60"/>
      <c r="DN59" s="60"/>
      <c r="DO59" s="60"/>
    </row>
    <row r="60" spans="10:126" ht="15.75" customHeight="1" x14ac:dyDescent="0.2">
      <c r="CP60" s="60"/>
      <c r="CQ60" s="60"/>
      <c r="CR60" s="60"/>
      <c r="CS60" s="60"/>
      <c r="CT60" s="60"/>
      <c r="DK60" s="60"/>
      <c r="DL60" s="60"/>
      <c r="DM60" s="60"/>
      <c r="DN60" s="60"/>
      <c r="DO60" s="60"/>
    </row>
    <row r="61" spans="10:126" ht="15.75" customHeight="1" x14ac:dyDescent="0.2">
      <c r="CP61" s="60"/>
      <c r="CQ61" s="60"/>
      <c r="CR61" s="60"/>
      <c r="CS61" s="60"/>
      <c r="CT61" s="60"/>
    </row>
    <row r="62" spans="10:126" ht="15.75" customHeight="1" x14ac:dyDescent="0.2">
      <c r="CP62" s="60"/>
      <c r="CQ62" s="60"/>
      <c r="CR62" s="60"/>
      <c r="CS62" s="60"/>
      <c r="CT62" s="60"/>
    </row>
    <row r="63" spans="10:126" ht="15.75" customHeight="1" x14ac:dyDescent="0.2">
      <c r="CP63" s="60"/>
      <c r="CQ63" s="60"/>
      <c r="CR63" s="60"/>
      <c r="CS63" s="60"/>
      <c r="CT63" s="60"/>
    </row>
    <row r="64" spans="10:126" ht="15.75" customHeight="1" x14ac:dyDescent="0.2">
      <c r="CP64" s="60"/>
      <c r="CQ64" s="60"/>
      <c r="CR64" s="60"/>
      <c r="CS64" s="60"/>
      <c r="CT64" s="60"/>
    </row>
    <row r="65" spans="94:107" ht="15.75" customHeight="1" x14ac:dyDescent="0.2">
      <c r="CP65" s="60"/>
      <c r="CQ65" s="60"/>
      <c r="CR65" s="60"/>
      <c r="CS65" s="60"/>
      <c r="CT65" s="60"/>
    </row>
    <row r="66" spans="94:107" ht="15.75" customHeight="1" x14ac:dyDescent="0.2">
      <c r="CP66" s="60"/>
      <c r="CQ66" s="60"/>
      <c r="CR66" s="60"/>
      <c r="CS66" s="60"/>
      <c r="CT66" s="60"/>
      <c r="DB66" s="65"/>
      <c r="DC66" s="65"/>
    </row>
    <row r="67" spans="94:107" ht="15.75" customHeight="1" x14ac:dyDescent="0.2">
      <c r="CP67" s="60"/>
      <c r="CQ67" s="60"/>
      <c r="CR67" s="60"/>
      <c r="CS67" s="60"/>
      <c r="CT67" s="60"/>
    </row>
    <row r="68" spans="94:107" ht="15.75" customHeight="1" x14ac:dyDescent="0.2">
      <c r="CP68" s="60"/>
      <c r="CQ68" s="60"/>
      <c r="CR68" s="60"/>
      <c r="CS68" s="60"/>
      <c r="CT68" s="60"/>
    </row>
    <row r="69" spans="94:107" ht="15.75" customHeight="1" x14ac:dyDescent="0.2">
      <c r="CP69" s="60"/>
      <c r="CQ69" s="60"/>
      <c r="CR69" s="60"/>
      <c r="CS69" s="60"/>
      <c r="CT69" s="60"/>
    </row>
    <row r="70" spans="94:107" ht="15.75" customHeight="1" x14ac:dyDescent="0.2">
      <c r="CP70" s="60"/>
      <c r="CQ70" s="60"/>
      <c r="CR70" s="60"/>
      <c r="CS70" s="60"/>
      <c r="CT70" s="60"/>
    </row>
    <row r="71" spans="94:107" ht="15.75" customHeight="1" x14ac:dyDescent="0.2"/>
    <row r="72" spans="94:107" ht="15.75" customHeight="1" x14ac:dyDescent="0.2"/>
    <row r="73" spans="94:107" ht="15.75" customHeight="1" x14ac:dyDescent="0.2"/>
    <row r="74" spans="94:107" ht="15.75" customHeight="1" x14ac:dyDescent="0.2"/>
    <row r="75" spans="94:107" ht="15.75" customHeight="1" x14ac:dyDescent="0.2"/>
    <row r="76" spans="94:107" ht="15.75" customHeight="1" x14ac:dyDescent="0.2"/>
    <row r="77" spans="94:107" ht="15.75" customHeight="1" x14ac:dyDescent="0.2"/>
    <row r="78" spans="94:107" ht="15.75" customHeight="1" x14ac:dyDescent="0.2"/>
    <row r="79" spans="94:107" ht="15.75" customHeight="1" x14ac:dyDescent="0.2"/>
    <row r="80" spans="94:107"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spans="99:100" ht="15.75" customHeight="1" x14ac:dyDescent="0.2">
      <c r="CU129" s="65"/>
      <c r="CV129" s="65"/>
    </row>
    <row r="130" spans="99:100" ht="15.75" customHeight="1" x14ac:dyDescent="0.2">
      <c r="CU130" s="65"/>
      <c r="CV130" s="65"/>
    </row>
    <row r="131" spans="99:100" ht="15.75" customHeight="1" x14ac:dyDescent="0.2">
      <c r="CU131" s="65"/>
      <c r="CV131" s="65"/>
    </row>
    <row r="132" spans="99:100" ht="15.75" customHeight="1" x14ac:dyDescent="0.2">
      <c r="CU132" s="65"/>
      <c r="CV132" s="65"/>
    </row>
    <row r="133" spans="99:100" ht="15.75" customHeight="1" x14ac:dyDescent="0.2">
      <c r="CU133" s="65"/>
      <c r="CV133" s="65"/>
    </row>
    <row r="134" spans="99:100" ht="15.75" customHeight="1" x14ac:dyDescent="0.2">
      <c r="CU134" s="65"/>
      <c r="CV134" s="65"/>
    </row>
    <row r="135" spans="99:100" ht="15.75" customHeight="1" x14ac:dyDescent="0.2">
      <c r="CU135" s="65"/>
      <c r="CV135" s="65"/>
    </row>
    <row r="136" spans="99:100" ht="15.75" customHeight="1" x14ac:dyDescent="0.2">
      <c r="CU136" s="65"/>
      <c r="CV136" s="65"/>
    </row>
    <row r="137" spans="99:100" ht="15.75" customHeight="1" x14ac:dyDescent="0.2">
      <c r="CU137" s="65"/>
      <c r="CV137" s="65"/>
    </row>
    <row r="138" spans="99:100" ht="15.75" customHeight="1" x14ac:dyDescent="0.2">
      <c r="CU138" s="65"/>
      <c r="CV138" s="65"/>
    </row>
    <row r="139" spans="99:100" ht="15.75" customHeight="1" x14ac:dyDescent="0.2">
      <c r="CU139" s="65"/>
      <c r="CV139" s="65"/>
    </row>
    <row r="140" spans="99:100" ht="15.75" customHeight="1" x14ac:dyDescent="0.2">
      <c r="CU140" s="65"/>
      <c r="CV140" s="65"/>
    </row>
    <row r="141" spans="99:100" ht="15.75" customHeight="1" x14ac:dyDescent="0.2"/>
    <row r="142" spans="99:100" ht="15.75" customHeight="1" x14ac:dyDescent="0.2"/>
    <row r="143" spans="99:100" ht="15.75" customHeight="1" x14ac:dyDescent="0.2"/>
    <row r="144" spans="99:100"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sheetData>
  <sheetProtection algorithmName="SHA-512" hashValue="q+aAd1YjLVsX9lFx4BhfNyT+0X78xJTmO4Fw3UgTkfMjQfU/E6EUqog2m/pfW/bilY09QuasEYvensO98wCn2g==" saltValue="qt28He+rHO2gG4cOHG0MHg==" spinCount="100000" sheet="1" objects="1" scenarios="1" selectLockedCells="1"/>
  <pageMargins left="0.70866141732283472" right="0.70866141732283472" top="0.74803149606299213" bottom="0.74803149606299213" header="0.31496062992125984" footer="0.31496062992125984"/>
  <pageSetup paperSize="9" scale="10" orientation="portrait" r:id="rId1"/>
  <headerFooter>
    <oddFooter>&amp;L2016 Annual performance report tables, December 2015</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3479"/>
    <pageSetUpPr fitToPage="1"/>
  </sheetPr>
  <dimension ref="H1:H35"/>
  <sheetViews>
    <sheetView showGridLines="0" topLeftCell="XFD1048576" workbookViewId="0">
      <selection sqref="A1:C1"/>
    </sheetView>
  </sheetViews>
  <sheetFormatPr defaultColWidth="0" defaultRowHeight="14.1" customHeight="1" zeroHeight="1" x14ac:dyDescent="0.2"/>
  <cols>
    <col min="1" max="7" width="8.625" hidden="1" customWidth="1"/>
    <col min="8" max="8" width="8.75" hidden="1" customWidth="1"/>
    <col min="9" max="16384" width="8.625" hidden="1"/>
  </cols>
  <sheetData>
    <row r="1" ht="14.25" hidden="1" x14ac:dyDescent="0.2"/>
    <row r="35" spans="8:8" ht="14.1" hidden="1" customHeight="1" x14ac:dyDescent="0.2">
      <c r="H35" t="s">
        <v>70</v>
      </c>
    </row>
  </sheetData>
  <sheetProtection algorithmName="SHA-512" hashValue="Msku1i01HBteX151OVSBuQVhpZcpny+yaTkfZ5qUUTjpwu5Y1Hdwv09LHKmWUr728DoX88dyEgpypNBT0UvmhQ==" saltValue="vqAVx5wMBPNzlm6GWJOE8w==" spinCount="100000" sheet="1" objects="1" scenarios="1"/>
  <printOptions horizontalCentered="1"/>
  <pageMargins left="0.39370078740157483" right="0.39370078740157483" top="0.78740157480314965" bottom="0.78740157480314965" header="0.31496062992125984" footer="0.31496062992125984"/>
  <pageSetup paperSize="9"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T207"/>
  <sheetViews>
    <sheetView topLeftCell="H1" workbookViewId="0">
      <selection activeCell="U4" sqref="U4:U207"/>
    </sheetView>
  </sheetViews>
  <sheetFormatPr defaultRowHeight="14.25" x14ac:dyDescent="0.2"/>
  <sheetData>
    <row r="1" spans="1:46" x14ac:dyDescent="0.2">
      <c r="K1" t="s">
        <v>4310</v>
      </c>
      <c r="V1" t="s">
        <v>4311</v>
      </c>
      <c r="AC1" t="s">
        <v>4312</v>
      </c>
      <c r="AJ1" t="s">
        <v>4313</v>
      </c>
      <c r="AR1" t="s">
        <v>4314</v>
      </c>
    </row>
    <row r="2" spans="1:46" x14ac:dyDescent="0.2">
      <c r="A2" t="s">
        <v>579</v>
      </c>
      <c r="B2" t="s">
        <v>1151</v>
      </c>
      <c r="C2" t="s">
        <v>1150</v>
      </c>
      <c r="D2" t="s">
        <v>1153</v>
      </c>
      <c r="E2" t="s">
        <v>1155</v>
      </c>
      <c r="F2" t="s">
        <v>580</v>
      </c>
      <c r="G2" t="s">
        <v>4315</v>
      </c>
      <c r="H2" t="s">
        <v>4316</v>
      </c>
      <c r="I2" t="s">
        <v>1163</v>
      </c>
      <c r="J2" t="s">
        <v>1165</v>
      </c>
      <c r="K2" t="s">
        <v>1166</v>
      </c>
      <c r="L2" t="s">
        <v>1167</v>
      </c>
      <c r="M2" t="s">
        <v>1168</v>
      </c>
      <c r="N2" t="s">
        <v>1169</v>
      </c>
      <c r="O2" t="s">
        <v>1170</v>
      </c>
      <c r="P2" t="s">
        <v>4317</v>
      </c>
      <c r="Q2" t="s">
        <v>632</v>
      </c>
      <c r="R2" t="s">
        <v>4318</v>
      </c>
      <c r="S2" t="s">
        <v>4319</v>
      </c>
      <c r="T2" t="s">
        <v>581</v>
      </c>
      <c r="U2" t="s">
        <v>583</v>
      </c>
      <c r="V2" t="s">
        <v>4320</v>
      </c>
      <c r="W2" t="s">
        <v>4321</v>
      </c>
      <c r="X2" t="s">
        <v>1181</v>
      </c>
      <c r="Y2" t="s">
        <v>1182</v>
      </c>
      <c r="Z2" t="s">
        <v>1183</v>
      </c>
      <c r="AA2" t="s">
        <v>1184</v>
      </c>
      <c r="AB2" t="s">
        <v>1185</v>
      </c>
      <c r="AC2" t="s">
        <v>4320</v>
      </c>
      <c r="AD2" t="s">
        <v>4321</v>
      </c>
      <c r="AE2" t="s">
        <v>1181</v>
      </c>
      <c r="AF2" t="s">
        <v>1182</v>
      </c>
      <c r="AG2" t="s">
        <v>1183</v>
      </c>
      <c r="AH2" t="s">
        <v>1184</v>
      </c>
      <c r="AI2" t="s">
        <v>1185</v>
      </c>
      <c r="AJ2" t="s">
        <v>4320</v>
      </c>
      <c r="AK2" t="s">
        <v>4321</v>
      </c>
      <c r="AL2" t="s">
        <v>1181</v>
      </c>
      <c r="AM2" t="s">
        <v>1182</v>
      </c>
      <c r="AN2" t="s">
        <v>1183</v>
      </c>
      <c r="AO2" t="s">
        <v>1184</v>
      </c>
      <c r="AP2" t="s">
        <v>1185</v>
      </c>
      <c r="AQ2" t="s">
        <v>4322</v>
      </c>
      <c r="AR2" t="s">
        <v>4323</v>
      </c>
      <c r="AS2" t="s">
        <v>4324</v>
      </c>
      <c r="AT2" t="s">
        <v>4325</v>
      </c>
    </row>
    <row r="3" spans="1:46" x14ac:dyDescent="0.2">
      <c r="A3" t="s">
        <v>1405</v>
      </c>
      <c r="B3" t="s">
        <v>1077</v>
      </c>
      <c r="C3" t="s">
        <v>1080</v>
      </c>
      <c r="D3" t="s">
        <v>1202</v>
      </c>
      <c r="E3" t="s">
        <v>1407</v>
      </c>
      <c r="F3" t="s">
        <v>1409</v>
      </c>
      <c r="G3" t="s">
        <v>1219</v>
      </c>
      <c r="H3" t="s">
        <v>1272</v>
      </c>
      <c r="I3" t="s">
        <v>1411</v>
      </c>
      <c r="J3" t="s">
        <v>612</v>
      </c>
      <c r="K3" t="s">
        <v>1412</v>
      </c>
      <c r="L3" t="s">
        <v>1412</v>
      </c>
      <c r="M3" t="s">
        <v>1412</v>
      </c>
      <c r="N3" t="s">
        <v>1412</v>
      </c>
      <c r="O3" t="s">
        <v>1412</v>
      </c>
      <c r="P3" t="s">
        <v>4326</v>
      </c>
      <c r="Q3" t="s">
        <v>1409</v>
      </c>
      <c r="T3" t="s">
        <v>1410</v>
      </c>
      <c r="U3" t="s">
        <v>1212</v>
      </c>
      <c r="AR3" t="s">
        <v>612</v>
      </c>
      <c r="AS3" t="s">
        <v>1412</v>
      </c>
      <c r="AT3" t="s">
        <v>605</v>
      </c>
    </row>
    <row r="4" spans="1:46" x14ac:dyDescent="0.2">
      <c r="A4" t="s">
        <v>1405</v>
      </c>
      <c r="B4" t="s">
        <v>1077</v>
      </c>
      <c r="C4" t="s">
        <v>1080</v>
      </c>
      <c r="D4" t="s">
        <v>1202</v>
      </c>
      <c r="E4" t="s">
        <v>1407</v>
      </c>
      <c r="F4" t="s">
        <v>1409</v>
      </c>
      <c r="P4" t="s">
        <v>4327</v>
      </c>
      <c r="Q4" t="s">
        <v>4328</v>
      </c>
      <c r="R4" t="s">
        <v>4329</v>
      </c>
      <c r="T4" t="s">
        <v>272</v>
      </c>
      <c r="U4">
        <v>0</v>
      </c>
      <c r="V4">
        <v>750</v>
      </c>
      <c r="X4">
        <v>750</v>
      </c>
      <c r="Y4">
        <v>750</v>
      </c>
      <c r="Z4">
        <v>750</v>
      </c>
      <c r="AA4">
        <v>750</v>
      </c>
      <c r="AB4">
        <v>750</v>
      </c>
      <c r="AC4">
        <v>1500</v>
      </c>
      <c r="AE4">
        <v>1500</v>
      </c>
      <c r="AF4">
        <v>1500</v>
      </c>
      <c r="AG4">
        <v>1500</v>
      </c>
      <c r="AH4">
        <v>1500</v>
      </c>
      <c r="AI4">
        <v>1500</v>
      </c>
      <c r="AQ4">
        <v>1500</v>
      </c>
      <c r="AR4">
        <v>6529</v>
      </c>
      <c r="AS4">
        <v>1256</v>
      </c>
      <c r="AT4" t="s">
        <v>605</v>
      </c>
    </row>
    <row r="5" spans="1:46" x14ac:dyDescent="0.2">
      <c r="A5" t="s">
        <v>1405</v>
      </c>
      <c r="B5" t="s">
        <v>1077</v>
      </c>
      <c r="C5" t="s">
        <v>1080</v>
      </c>
      <c r="D5" t="s">
        <v>1202</v>
      </c>
      <c r="E5" t="s">
        <v>1407</v>
      </c>
      <c r="F5" t="s">
        <v>1409</v>
      </c>
      <c r="P5" t="s">
        <v>4330</v>
      </c>
      <c r="Q5" t="s">
        <v>4331</v>
      </c>
      <c r="R5" t="s">
        <v>4332</v>
      </c>
      <c r="U5">
        <v>1</v>
      </c>
      <c r="X5">
        <v>-5.3</v>
      </c>
      <c r="Y5">
        <v>-5.3</v>
      </c>
      <c r="Z5">
        <v>-5.3</v>
      </c>
      <c r="AA5">
        <v>-5.3</v>
      </c>
      <c r="AB5">
        <v>-5.3</v>
      </c>
      <c r="AE5">
        <v>1.8</v>
      </c>
      <c r="AF5">
        <v>1.8</v>
      </c>
      <c r="AG5">
        <v>1.8</v>
      </c>
      <c r="AH5">
        <v>1.8</v>
      </c>
      <c r="AI5">
        <v>1.8</v>
      </c>
      <c r="AQ5" t="s">
        <v>4333</v>
      </c>
      <c r="AR5" t="s">
        <v>952</v>
      </c>
      <c r="AS5" t="s">
        <v>4334</v>
      </c>
      <c r="AT5" t="s">
        <v>605</v>
      </c>
    </row>
    <row r="6" spans="1:46" x14ac:dyDescent="0.2">
      <c r="A6" t="s">
        <v>1405</v>
      </c>
      <c r="B6" t="s">
        <v>1077</v>
      </c>
      <c r="C6" t="s">
        <v>1080</v>
      </c>
      <c r="D6" t="s">
        <v>1202</v>
      </c>
      <c r="E6" t="s">
        <v>1407</v>
      </c>
      <c r="F6" t="s">
        <v>1409</v>
      </c>
      <c r="P6" t="s">
        <v>4335</v>
      </c>
      <c r="Q6" t="s">
        <v>4336</v>
      </c>
      <c r="R6" t="s">
        <v>4337</v>
      </c>
      <c r="U6">
        <v>2</v>
      </c>
      <c r="V6">
        <v>0.56000000000000005</v>
      </c>
      <c r="X6">
        <v>0.47</v>
      </c>
      <c r="Y6">
        <v>0.47</v>
      </c>
      <c r="Z6">
        <v>0.47</v>
      </c>
      <c r="AA6">
        <v>0.47</v>
      </c>
      <c r="AB6">
        <v>0.47</v>
      </c>
      <c r="AC6">
        <v>0.66</v>
      </c>
      <c r="AE6">
        <v>0.52</v>
      </c>
      <c r="AF6">
        <v>0.52</v>
      </c>
      <c r="AG6">
        <v>0.52</v>
      </c>
      <c r="AH6">
        <v>0.52</v>
      </c>
      <c r="AI6">
        <v>0.52</v>
      </c>
      <c r="AQ6">
        <v>0.52</v>
      </c>
      <c r="AR6">
        <v>0.47</v>
      </c>
      <c r="AS6">
        <v>0.39</v>
      </c>
      <c r="AT6" t="s">
        <v>605</v>
      </c>
    </row>
    <row r="7" spans="1:46" x14ac:dyDescent="0.2">
      <c r="A7" t="s">
        <v>1405</v>
      </c>
      <c r="B7" t="s">
        <v>1077</v>
      </c>
      <c r="C7" t="s">
        <v>1080</v>
      </c>
      <c r="D7" t="s">
        <v>1202</v>
      </c>
      <c r="E7" t="s">
        <v>1407</v>
      </c>
      <c r="F7" t="s">
        <v>1409</v>
      </c>
      <c r="P7" t="s">
        <v>4338</v>
      </c>
      <c r="Q7" t="s">
        <v>4339</v>
      </c>
      <c r="R7" t="s">
        <v>4340</v>
      </c>
      <c r="U7">
        <v>2</v>
      </c>
      <c r="V7">
        <v>7.0000000000000007E-2</v>
      </c>
      <c r="X7">
        <v>7.0000000000000007E-2</v>
      </c>
      <c r="Y7">
        <v>7.0000000000000007E-2</v>
      </c>
      <c r="Z7">
        <v>7.0000000000000007E-2</v>
      </c>
      <c r="AA7">
        <v>7.0000000000000007E-2</v>
      </c>
      <c r="AB7">
        <v>7.0000000000000007E-2</v>
      </c>
      <c r="AC7">
        <v>0.19</v>
      </c>
      <c r="AE7">
        <v>0.16</v>
      </c>
      <c r="AF7">
        <v>0.16</v>
      </c>
      <c r="AG7">
        <v>0.16</v>
      </c>
      <c r="AH7">
        <v>0.16</v>
      </c>
      <c r="AI7">
        <v>0.16</v>
      </c>
      <c r="AQ7">
        <v>0.16</v>
      </c>
      <c r="AR7">
        <v>0.06</v>
      </c>
      <c r="AS7">
        <v>0.05</v>
      </c>
      <c r="AT7" t="s">
        <v>605</v>
      </c>
    </row>
    <row r="8" spans="1:46" x14ac:dyDescent="0.2">
      <c r="A8" t="s">
        <v>1415</v>
      </c>
      <c r="B8" t="s">
        <v>1077</v>
      </c>
      <c r="C8" t="s">
        <v>1080</v>
      </c>
      <c r="D8" t="s">
        <v>1202</v>
      </c>
      <c r="E8" t="s">
        <v>1416</v>
      </c>
      <c r="F8" t="s">
        <v>1418</v>
      </c>
      <c r="G8" t="s">
        <v>1219</v>
      </c>
      <c r="H8" t="s">
        <v>1272</v>
      </c>
      <c r="I8" t="s">
        <v>1411</v>
      </c>
      <c r="J8" t="s">
        <v>612</v>
      </c>
      <c r="K8" t="s">
        <v>1412</v>
      </c>
      <c r="L8" t="s">
        <v>1412</v>
      </c>
      <c r="M8" t="s">
        <v>1412</v>
      </c>
      <c r="N8" t="s">
        <v>1412</v>
      </c>
      <c r="O8" t="s">
        <v>1412</v>
      </c>
      <c r="P8" t="s">
        <v>4326</v>
      </c>
      <c r="Q8" t="s">
        <v>1418</v>
      </c>
      <c r="T8" t="s">
        <v>1410</v>
      </c>
      <c r="U8" t="s">
        <v>1212</v>
      </c>
      <c r="AR8" t="s">
        <v>612</v>
      </c>
      <c r="AS8" t="s">
        <v>1412</v>
      </c>
      <c r="AT8" t="s">
        <v>605</v>
      </c>
    </row>
    <row r="9" spans="1:46" x14ac:dyDescent="0.2">
      <c r="A9" t="s">
        <v>1415</v>
      </c>
      <c r="B9" t="s">
        <v>1077</v>
      </c>
      <c r="C9" t="s">
        <v>1080</v>
      </c>
      <c r="D9" t="s">
        <v>1202</v>
      </c>
      <c r="E9" t="s">
        <v>1416</v>
      </c>
      <c r="F9" t="s">
        <v>1418</v>
      </c>
      <c r="P9" t="s">
        <v>4327</v>
      </c>
      <c r="Q9" t="s">
        <v>4341</v>
      </c>
      <c r="R9" t="s">
        <v>4342</v>
      </c>
      <c r="U9">
        <v>0</v>
      </c>
      <c r="X9">
        <v>4</v>
      </c>
      <c r="Y9">
        <v>4</v>
      </c>
      <c r="Z9">
        <v>4</v>
      </c>
      <c r="AA9">
        <v>4</v>
      </c>
      <c r="AB9">
        <v>4</v>
      </c>
      <c r="AE9">
        <v>6</v>
      </c>
      <c r="AF9">
        <v>6</v>
      </c>
      <c r="AG9">
        <v>6</v>
      </c>
      <c r="AH9">
        <v>6</v>
      </c>
      <c r="AI9">
        <v>6</v>
      </c>
      <c r="AQ9">
        <v>6</v>
      </c>
      <c r="AR9">
        <v>6</v>
      </c>
      <c r="AS9">
        <v>8</v>
      </c>
      <c r="AT9" t="s">
        <v>606</v>
      </c>
    </row>
    <row r="10" spans="1:46" x14ac:dyDescent="0.2">
      <c r="A10" t="s">
        <v>1415</v>
      </c>
      <c r="B10" t="s">
        <v>1077</v>
      </c>
      <c r="C10" t="s">
        <v>1080</v>
      </c>
      <c r="D10" t="s">
        <v>1202</v>
      </c>
      <c r="E10" t="s">
        <v>1416</v>
      </c>
      <c r="F10" t="s">
        <v>1418</v>
      </c>
      <c r="P10" t="s">
        <v>4330</v>
      </c>
      <c r="Q10" t="s">
        <v>4343</v>
      </c>
      <c r="R10" t="s">
        <v>4344</v>
      </c>
      <c r="T10" t="s">
        <v>264</v>
      </c>
      <c r="U10">
        <v>2</v>
      </c>
      <c r="V10">
        <v>0.1</v>
      </c>
      <c r="X10">
        <v>0</v>
      </c>
      <c r="Y10">
        <v>0</v>
      </c>
      <c r="Z10">
        <v>0</v>
      </c>
      <c r="AA10">
        <v>0</v>
      </c>
      <c r="AB10">
        <v>0</v>
      </c>
      <c r="AC10">
        <v>0.52</v>
      </c>
      <c r="AE10">
        <v>0.26</v>
      </c>
      <c r="AF10">
        <v>0.26</v>
      </c>
      <c r="AG10">
        <v>0.26</v>
      </c>
      <c r="AH10">
        <v>0.26</v>
      </c>
      <c r="AI10">
        <v>0.26</v>
      </c>
      <c r="AQ10">
        <v>0.26</v>
      </c>
      <c r="AR10">
        <v>0</v>
      </c>
      <c r="AS10">
        <v>0</v>
      </c>
      <c r="AT10" t="s">
        <v>605</v>
      </c>
    </row>
    <row r="11" spans="1:46" x14ac:dyDescent="0.2">
      <c r="A11" t="s">
        <v>1415</v>
      </c>
      <c r="B11" t="s">
        <v>1077</v>
      </c>
      <c r="C11" t="s">
        <v>1080</v>
      </c>
      <c r="D11" t="s">
        <v>1202</v>
      </c>
      <c r="E11" t="s">
        <v>1416</v>
      </c>
      <c r="F11" t="s">
        <v>1418</v>
      </c>
      <c r="P11" t="s">
        <v>4335</v>
      </c>
      <c r="Q11" t="s">
        <v>4345</v>
      </c>
      <c r="R11" t="s">
        <v>4345</v>
      </c>
      <c r="U11">
        <v>0</v>
      </c>
      <c r="V11">
        <v>0</v>
      </c>
      <c r="X11">
        <v>0</v>
      </c>
      <c r="Y11">
        <v>0</v>
      </c>
      <c r="Z11">
        <v>0</v>
      </c>
      <c r="AA11">
        <v>0</v>
      </c>
      <c r="AB11">
        <v>0</v>
      </c>
      <c r="AC11">
        <v>1</v>
      </c>
      <c r="AE11">
        <v>1</v>
      </c>
      <c r="AF11">
        <v>1</v>
      </c>
      <c r="AG11">
        <v>1</v>
      </c>
      <c r="AH11">
        <v>1</v>
      </c>
      <c r="AI11">
        <v>1</v>
      </c>
      <c r="AQ11">
        <v>1</v>
      </c>
      <c r="AR11">
        <v>0</v>
      </c>
      <c r="AS11">
        <v>0</v>
      </c>
      <c r="AT11" t="s">
        <v>605</v>
      </c>
    </row>
    <row r="12" spans="1:46" x14ac:dyDescent="0.2">
      <c r="A12" t="s">
        <v>1491</v>
      </c>
      <c r="B12" t="s">
        <v>1077</v>
      </c>
      <c r="C12" t="s">
        <v>1080</v>
      </c>
      <c r="D12" t="s">
        <v>1428</v>
      </c>
      <c r="E12" t="s">
        <v>1492</v>
      </c>
      <c r="F12" t="s">
        <v>1494</v>
      </c>
      <c r="G12" t="s">
        <v>1219</v>
      </c>
      <c r="H12" t="s">
        <v>1495</v>
      </c>
      <c r="I12" t="s">
        <v>1411</v>
      </c>
      <c r="J12" t="s">
        <v>612</v>
      </c>
      <c r="K12" t="s">
        <v>1412</v>
      </c>
      <c r="L12" t="s">
        <v>1412</v>
      </c>
      <c r="M12" t="s">
        <v>1412</v>
      </c>
      <c r="N12" t="s">
        <v>1412</v>
      </c>
      <c r="O12" t="s">
        <v>1412</v>
      </c>
      <c r="P12" t="s">
        <v>4326</v>
      </c>
      <c r="Q12" t="s">
        <v>1494</v>
      </c>
      <c r="T12" t="s">
        <v>1410</v>
      </c>
      <c r="U12" t="s">
        <v>1212</v>
      </c>
      <c r="AR12" t="s">
        <v>612</v>
      </c>
      <c r="AS12" t="s">
        <v>1412</v>
      </c>
      <c r="AT12" t="s">
        <v>605</v>
      </c>
    </row>
    <row r="13" spans="1:46" x14ac:dyDescent="0.2">
      <c r="A13" t="s">
        <v>1491</v>
      </c>
      <c r="B13" t="s">
        <v>1077</v>
      </c>
      <c r="C13" t="s">
        <v>1080</v>
      </c>
      <c r="D13" t="s">
        <v>1428</v>
      </c>
      <c r="E13" t="s">
        <v>1492</v>
      </c>
      <c r="F13" t="s">
        <v>1494</v>
      </c>
      <c r="P13" t="s">
        <v>4327</v>
      </c>
      <c r="Q13" t="s">
        <v>1468</v>
      </c>
      <c r="R13" t="s">
        <v>4346</v>
      </c>
      <c r="T13" t="s">
        <v>272</v>
      </c>
      <c r="U13">
        <v>0</v>
      </c>
      <c r="V13">
        <v>140</v>
      </c>
      <c r="X13">
        <v>117</v>
      </c>
      <c r="Y13">
        <v>117</v>
      </c>
      <c r="Z13">
        <v>117</v>
      </c>
      <c r="AA13">
        <v>117</v>
      </c>
      <c r="AB13">
        <v>117</v>
      </c>
      <c r="AC13">
        <v>165</v>
      </c>
      <c r="AE13">
        <v>160</v>
      </c>
      <c r="AF13">
        <v>160</v>
      </c>
      <c r="AG13">
        <v>160</v>
      </c>
      <c r="AH13">
        <v>160</v>
      </c>
      <c r="AI13">
        <v>160</v>
      </c>
      <c r="AQ13">
        <v>160</v>
      </c>
      <c r="AR13">
        <v>142</v>
      </c>
      <c r="AS13">
        <v>81</v>
      </c>
      <c r="AT13" t="s">
        <v>605</v>
      </c>
    </row>
    <row r="14" spans="1:46" x14ac:dyDescent="0.2">
      <c r="A14" t="s">
        <v>1491</v>
      </c>
      <c r="B14" t="s">
        <v>1077</v>
      </c>
      <c r="C14" t="s">
        <v>1080</v>
      </c>
      <c r="D14" t="s">
        <v>1428</v>
      </c>
      <c r="E14" t="s">
        <v>1492</v>
      </c>
      <c r="F14" t="s">
        <v>1494</v>
      </c>
      <c r="P14" t="s">
        <v>4330</v>
      </c>
      <c r="Q14" t="s">
        <v>4347</v>
      </c>
      <c r="R14" t="s">
        <v>4348</v>
      </c>
      <c r="T14" t="s">
        <v>272</v>
      </c>
      <c r="U14">
        <v>0</v>
      </c>
      <c r="V14">
        <v>420</v>
      </c>
      <c r="X14">
        <v>420</v>
      </c>
      <c r="Y14">
        <v>420</v>
      </c>
      <c r="Z14">
        <v>420</v>
      </c>
      <c r="AA14">
        <v>420</v>
      </c>
      <c r="AB14">
        <v>420</v>
      </c>
      <c r="AC14">
        <v>520</v>
      </c>
      <c r="AE14">
        <v>520</v>
      </c>
      <c r="AF14">
        <v>520</v>
      </c>
      <c r="AG14">
        <v>520</v>
      </c>
      <c r="AH14">
        <v>520</v>
      </c>
      <c r="AI14">
        <v>520</v>
      </c>
      <c r="AQ14">
        <v>520</v>
      </c>
      <c r="AR14">
        <v>250</v>
      </c>
      <c r="AS14">
        <v>247</v>
      </c>
      <c r="AT14" t="s">
        <v>605</v>
      </c>
    </row>
    <row r="15" spans="1:46" x14ac:dyDescent="0.2">
      <c r="A15" t="s">
        <v>1491</v>
      </c>
      <c r="B15" t="s">
        <v>1077</v>
      </c>
      <c r="C15" t="s">
        <v>1080</v>
      </c>
      <c r="D15" t="s">
        <v>1428</v>
      </c>
      <c r="E15" t="s">
        <v>1492</v>
      </c>
      <c r="F15" t="s">
        <v>1494</v>
      </c>
      <c r="P15" t="s">
        <v>4335</v>
      </c>
      <c r="Q15" t="s">
        <v>4349</v>
      </c>
      <c r="R15" t="s">
        <v>4350</v>
      </c>
      <c r="T15" t="s">
        <v>272</v>
      </c>
      <c r="U15">
        <v>0</v>
      </c>
      <c r="X15">
        <v>203</v>
      </c>
      <c r="Y15">
        <v>203</v>
      </c>
      <c r="Z15">
        <v>203</v>
      </c>
      <c r="AA15">
        <v>203</v>
      </c>
      <c r="AB15">
        <v>203</v>
      </c>
      <c r="AE15">
        <v>340</v>
      </c>
      <c r="AF15">
        <v>340</v>
      </c>
      <c r="AG15">
        <v>340</v>
      </c>
      <c r="AH15">
        <v>340</v>
      </c>
      <c r="AI15">
        <v>340</v>
      </c>
      <c r="AQ15">
        <v>340</v>
      </c>
      <c r="AR15">
        <v>263</v>
      </c>
      <c r="AS15">
        <v>220</v>
      </c>
      <c r="AT15" t="s">
        <v>605</v>
      </c>
    </row>
    <row r="16" spans="1:46" x14ac:dyDescent="0.2">
      <c r="A16" t="s">
        <v>1491</v>
      </c>
      <c r="B16" t="s">
        <v>1077</v>
      </c>
      <c r="C16" t="s">
        <v>1080</v>
      </c>
      <c r="D16" t="s">
        <v>1428</v>
      </c>
      <c r="E16" t="s">
        <v>1492</v>
      </c>
      <c r="F16" t="s">
        <v>1494</v>
      </c>
      <c r="P16" t="s">
        <v>4338</v>
      </c>
      <c r="Q16" t="s">
        <v>4351</v>
      </c>
      <c r="R16" t="s">
        <v>4351</v>
      </c>
      <c r="T16" t="s">
        <v>272</v>
      </c>
      <c r="U16">
        <v>0</v>
      </c>
      <c r="V16">
        <v>14763</v>
      </c>
      <c r="X16">
        <v>12983</v>
      </c>
      <c r="Y16">
        <v>12983</v>
      </c>
      <c r="Z16">
        <v>12983</v>
      </c>
      <c r="AA16">
        <v>12983</v>
      </c>
      <c r="AB16">
        <v>12983</v>
      </c>
      <c r="AC16">
        <v>15987</v>
      </c>
      <c r="AE16">
        <v>14183</v>
      </c>
      <c r="AF16">
        <v>14183</v>
      </c>
      <c r="AG16">
        <v>14183</v>
      </c>
      <c r="AH16">
        <v>14183</v>
      </c>
      <c r="AI16">
        <v>14183</v>
      </c>
      <c r="AQ16">
        <v>14183</v>
      </c>
      <c r="AR16">
        <v>11017</v>
      </c>
      <c r="AS16">
        <v>11885</v>
      </c>
      <c r="AT16" t="s">
        <v>605</v>
      </c>
    </row>
    <row r="17" spans="1:46" x14ac:dyDescent="0.2">
      <c r="A17" t="s">
        <v>1498</v>
      </c>
      <c r="B17" t="s">
        <v>1077</v>
      </c>
      <c r="C17" t="s">
        <v>1080</v>
      </c>
      <c r="D17" t="s">
        <v>1428</v>
      </c>
      <c r="E17" t="s">
        <v>1499</v>
      </c>
      <c r="F17" t="s">
        <v>1501</v>
      </c>
      <c r="G17" t="s">
        <v>1219</v>
      </c>
      <c r="H17" t="s">
        <v>1495</v>
      </c>
      <c r="I17" t="s">
        <v>1411</v>
      </c>
      <c r="J17" t="s">
        <v>612</v>
      </c>
      <c r="K17" t="s">
        <v>1412</v>
      </c>
      <c r="L17" t="s">
        <v>1412</v>
      </c>
      <c r="M17" t="s">
        <v>1412</v>
      </c>
      <c r="N17" t="s">
        <v>1412</v>
      </c>
      <c r="O17" t="s">
        <v>1412</v>
      </c>
      <c r="P17" t="s">
        <v>4326</v>
      </c>
      <c r="Q17" t="s">
        <v>1501</v>
      </c>
      <c r="T17" t="s">
        <v>1410</v>
      </c>
      <c r="U17" t="s">
        <v>1212</v>
      </c>
      <c r="AR17" t="s">
        <v>612</v>
      </c>
      <c r="AS17" t="s">
        <v>1412</v>
      </c>
      <c r="AT17" t="s">
        <v>605</v>
      </c>
    </row>
    <row r="18" spans="1:46" x14ac:dyDescent="0.2">
      <c r="A18" t="s">
        <v>1498</v>
      </c>
      <c r="B18" t="s">
        <v>1077</v>
      </c>
      <c r="C18" t="s">
        <v>1080</v>
      </c>
      <c r="D18" t="s">
        <v>1428</v>
      </c>
      <c r="E18" t="s">
        <v>1499</v>
      </c>
      <c r="F18" t="s">
        <v>1501</v>
      </c>
      <c r="P18" t="s">
        <v>4327</v>
      </c>
      <c r="Q18" t="s">
        <v>4352</v>
      </c>
      <c r="R18" t="s">
        <v>4353</v>
      </c>
      <c r="T18" t="s">
        <v>264</v>
      </c>
      <c r="U18">
        <v>2</v>
      </c>
      <c r="V18">
        <v>0.5</v>
      </c>
      <c r="X18">
        <v>0.5</v>
      </c>
      <c r="Y18">
        <v>0.5</v>
      </c>
      <c r="Z18">
        <v>0.5</v>
      </c>
      <c r="AA18">
        <v>0.5</v>
      </c>
      <c r="AB18">
        <v>0.5</v>
      </c>
      <c r="AC18">
        <v>1.7</v>
      </c>
      <c r="AE18">
        <v>1.7</v>
      </c>
      <c r="AF18">
        <v>1.7</v>
      </c>
      <c r="AG18">
        <v>1.7</v>
      </c>
      <c r="AH18">
        <v>1.7</v>
      </c>
      <c r="AI18">
        <v>1.7</v>
      </c>
      <c r="AQ18">
        <v>1.7</v>
      </c>
      <c r="AR18">
        <v>0</v>
      </c>
      <c r="AS18">
        <v>0</v>
      </c>
      <c r="AT18" t="s">
        <v>605</v>
      </c>
    </row>
    <row r="19" spans="1:46" x14ac:dyDescent="0.2">
      <c r="A19" t="s">
        <v>1498</v>
      </c>
      <c r="B19" t="s">
        <v>1077</v>
      </c>
      <c r="C19" t="s">
        <v>1080</v>
      </c>
      <c r="D19" t="s">
        <v>1428</v>
      </c>
      <c r="E19" t="s">
        <v>1499</v>
      </c>
      <c r="F19" t="s">
        <v>1501</v>
      </c>
      <c r="P19" t="s">
        <v>4330</v>
      </c>
      <c r="Q19" t="s">
        <v>4354</v>
      </c>
      <c r="R19" t="s">
        <v>4355</v>
      </c>
      <c r="U19">
        <v>2</v>
      </c>
      <c r="V19">
        <v>2.1</v>
      </c>
      <c r="X19">
        <v>0</v>
      </c>
      <c r="Y19">
        <v>0</v>
      </c>
      <c r="Z19">
        <v>0</v>
      </c>
      <c r="AA19">
        <v>0</v>
      </c>
      <c r="AB19">
        <v>0</v>
      </c>
      <c r="AC19">
        <v>2.8</v>
      </c>
      <c r="AE19">
        <v>2.8</v>
      </c>
      <c r="AF19">
        <v>2.8</v>
      </c>
      <c r="AG19">
        <v>2.8</v>
      </c>
      <c r="AH19">
        <v>2.8</v>
      </c>
      <c r="AI19">
        <v>2.8</v>
      </c>
      <c r="AQ19">
        <v>2.8</v>
      </c>
      <c r="AR19">
        <v>1.25</v>
      </c>
      <c r="AS19">
        <v>0.82</v>
      </c>
      <c r="AT19" t="s">
        <v>605</v>
      </c>
    </row>
    <row r="20" spans="1:46" x14ac:dyDescent="0.2">
      <c r="A20" t="s">
        <v>1559</v>
      </c>
      <c r="B20" t="s">
        <v>1112</v>
      </c>
      <c r="C20" t="s">
        <v>1551</v>
      </c>
      <c r="D20" t="s">
        <v>1202</v>
      </c>
      <c r="E20" t="s">
        <v>1560</v>
      </c>
      <c r="F20" t="s">
        <v>1562</v>
      </c>
      <c r="G20" t="s">
        <v>1219</v>
      </c>
      <c r="H20" t="s">
        <v>1272</v>
      </c>
      <c r="I20" t="s">
        <v>1564</v>
      </c>
      <c r="J20" t="s">
        <v>612</v>
      </c>
      <c r="K20" t="s">
        <v>612</v>
      </c>
      <c r="L20" t="s">
        <v>612</v>
      </c>
      <c r="M20" t="s">
        <v>612</v>
      </c>
      <c r="N20" t="s">
        <v>612</v>
      </c>
      <c r="O20" t="s">
        <v>612</v>
      </c>
      <c r="P20" t="s">
        <v>4326</v>
      </c>
      <c r="Q20" t="s">
        <v>1562</v>
      </c>
      <c r="T20" t="s">
        <v>1410</v>
      </c>
      <c r="U20" t="s">
        <v>1212</v>
      </c>
      <c r="AR20" t="s">
        <v>612</v>
      </c>
      <c r="AS20" t="s">
        <v>612</v>
      </c>
      <c r="AT20" t="s">
        <v>605</v>
      </c>
    </row>
    <row r="21" spans="1:46" x14ac:dyDescent="0.2">
      <c r="A21" t="s">
        <v>1559</v>
      </c>
      <c r="B21" t="s">
        <v>1112</v>
      </c>
      <c r="C21" t="s">
        <v>1551</v>
      </c>
      <c r="D21" t="s">
        <v>1202</v>
      </c>
      <c r="E21" t="s">
        <v>1560</v>
      </c>
      <c r="F21" t="s">
        <v>1562</v>
      </c>
      <c r="P21" t="s">
        <v>4327</v>
      </c>
      <c r="Q21" t="s">
        <v>4356</v>
      </c>
      <c r="R21" t="s">
        <v>4332</v>
      </c>
      <c r="T21" t="s">
        <v>272</v>
      </c>
      <c r="U21">
        <v>0</v>
      </c>
      <c r="V21">
        <v>950</v>
      </c>
      <c r="W21">
        <v>950</v>
      </c>
      <c r="X21">
        <v>950</v>
      </c>
      <c r="Y21">
        <v>950</v>
      </c>
      <c r="Z21">
        <v>950</v>
      </c>
      <c r="AA21">
        <v>950</v>
      </c>
      <c r="AB21">
        <v>950</v>
      </c>
      <c r="AC21">
        <v>1166</v>
      </c>
      <c r="AE21">
        <v>1166</v>
      </c>
      <c r="AF21">
        <v>1166</v>
      </c>
      <c r="AG21">
        <v>1166</v>
      </c>
      <c r="AH21">
        <v>1166</v>
      </c>
      <c r="AI21">
        <v>1166</v>
      </c>
      <c r="AJ21">
        <v>734</v>
      </c>
      <c r="AL21">
        <v>734</v>
      </c>
      <c r="AM21">
        <v>734</v>
      </c>
      <c r="AN21">
        <v>734</v>
      </c>
      <c r="AO21">
        <v>734</v>
      </c>
      <c r="AP21">
        <v>734</v>
      </c>
      <c r="AR21">
        <v>977</v>
      </c>
      <c r="AS21">
        <v>764</v>
      </c>
      <c r="AT21" t="s">
        <v>605</v>
      </c>
    </row>
    <row r="22" spans="1:46" x14ac:dyDescent="0.2">
      <c r="A22" t="s">
        <v>1559</v>
      </c>
      <c r="B22" t="s">
        <v>1112</v>
      </c>
      <c r="C22" t="s">
        <v>1551</v>
      </c>
      <c r="D22" t="s">
        <v>1202</v>
      </c>
      <c r="E22" t="s">
        <v>1560</v>
      </c>
      <c r="F22" t="s">
        <v>1562</v>
      </c>
      <c r="P22" t="s">
        <v>4330</v>
      </c>
      <c r="Q22" t="s">
        <v>4357</v>
      </c>
      <c r="R22" t="s">
        <v>4358</v>
      </c>
      <c r="T22" t="s">
        <v>272</v>
      </c>
      <c r="U22">
        <v>0</v>
      </c>
      <c r="V22">
        <v>69</v>
      </c>
      <c r="W22">
        <v>68</v>
      </c>
      <c r="X22">
        <v>69</v>
      </c>
      <c r="Y22">
        <v>69</v>
      </c>
      <c r="Z22">
        <v>69</v>
      </c>
      <c r="AA22">
        <v>69</v>
      </c>
      <c r="AB22">
        <v>69</v>
      </c>
      <c r="AC22">
        <v>129</v>
      </c>
      <c r="AE22">
        <v>129</v>
      </c>
      <c r="AF22">
        <v>129</v>
      </c>
      <c r="AG22">
        <v>129</v>
      </c>
      <c r="AH22">
        <v>129</v>
      </c>
      <c r="AI22">
        <v>129</v>
      </c>
      <c r="AJ22">
        <v>9</v>
      </c>
      <c r="AL22">
        <v>9</v>
      </c>
      <c r="AM22">
        <v>9</v>
      </c>
      <c r="AN22">
        <v>9</v>
      </c>
      <c r="AO22">
        <v>9</v>
      </c>
      <c r="AP22">
        <v>9</v>
      </c>
      <c r="AR22">
        <v>71</v>
      </c>
      <c r="AS22">
        <v>71</v>
      </c>
      <c r="AT22" t="s">
        <v>605</v>
      </c>
    </row>
    <row r="23" spans="1:46" x14ac:dyDescent="0.2">
      <c r="A23" t="s">
        <v>1568</v>
      </c>
      <c r="B23" t="s">
        <v>1112</v>
      </c>
      <c r="C23" t="s">
        <v>1551</v>
      </c>
      <c r="D23" t="s">
        <v>1202</v>
      </c>
      <c r="E23" t="s">
        <v>1569</v>
      </c>
      <c r="F23" t="s">
        <v>1571</v>
      </c>
      <c r="G23" t="s">
        <v>1219</v>
      </c>
      <c r="H23" t="s">
        <v>1272</v>
      </c>
      <c r="I23" t="s">
        <v>1564</v>
      </c>
      <c r="J23" t="s">
        <v>612</v>
      </c>
      <c r="K23" t="s">
        <v>612</v>
      </c>
      <c r="L23" t="s">
        <v>612</v>
      </c>
      <c r="M23" t="s">
        <v>612</v>
      </c>
      <c r="N23" t="s">
        <v>612</v>
      </c>
      <c r="O23" t="s">
        <v>612</v>
      </c>
      <c r="P23" t="s">
        <v>4326</v>
      </c>
      <c r="Q23" t="s">
        <v>1571</v>
      </c>
      <c r="T23" t="s">
        <v>1410</v>
      </c>
      <c r="U23" t="s">
        <v>1212</v>
      </c>
      <c r="AR23" t="s">
        <v>612</v>
      </c>
      <c r="AS23" t="s">
        <v>612</v>
      </c>
      <c r="AT23" t="s">
        <v>605</v>
      </c>
    </row>
    <row r="24" spans="1:46" x14ac:dyDescent="0.2">
      <c r="A24" t="s">
        <v>1568</v>
      </c>
      <c r="B24" t="s">
        <v>1112</v>
      </c>
      <c r="C24" t="s">
        <v>1551</v>
      </c>
      <c r="D24" t="s">
        <v>1202</v>
      </c>
      <c r="E24" t="s">
        <v>1569</v>
      </c>
      <c r="F24" t="s">
        <v>1571</v>
      </c>
      <c r="P24" t="s">
        <v>4327</v>
      </c>
      <c r="Q24" t="s">
        <v>4359</v>
      </c>
      <c r="R24" t="s">
        <v>4345</v>
      </c>
      <c r="T24" t="s">
        <v>272</v>
      </c>
      <c r="U24">
        <v>0</v>
      </c>
      <c r="V24">
        <v>0</v>
      </c>
      <c r="W24">
        <v>0</v>
      </c>
      <c r="X24">
        <v>0</v>
      </c>
      <c r="Y24">
        <v>0</v>
      </c>
      <c r="Z24">
        <v>0</v>
      </c>
      <c r="AA24">
        <v>0</v>
      </c>
      <c r="AB24">
        <v>0</v>
      </c>
      <c r="AC24">
        <v>1</v>
      </c>
      <c r="AE24">
        <v>1</v>
      </c>
      <c r="AF24">
        <v>1</v>
      </c>
      <c r="AG24">
        <v>1</v>
      </c>
      <c r="AH24">
        <v>1</v>
      </c>
      <c r="AI24">
        <v>1</v>
      </c>
      <c r="AJ24">
        <v>0</v>
      </c>
      <c r="AL24">
        <v>0</v>
      </c>
      <c r="AM24">
        <v>0</v>
      </c>
      <c r="AN24">
        <v>0</v>
      </c>
      <c r="AO24">
        <v>0</v>
      </c>
      <c r="AP24">
        <v>0</v>
      </c>
      <c r="AR24">
        <v>0</v>
      </c>
      <c r="AS24">
        <v>0</v>
      </c>
      <c r="AT24" t="s">
        <v>605</v>
      </c>
    </row>
    <row r="25" spans="1:46" x14ac:dyDescent="0.2">
      <c r="A25" t="s">
        <v>1568</v>
      </c>
      <c r="B25" t="s">
        <v>1112</v>
      </c>
      <c r="C25" t="s">
        <v>1551</v>
      </c>
      <c r="D25" t="s">
        <v>1202</v>
      </c>
      <c r="E25" t="s">
        <v>1569</v>
      </c>
      <c r="F25" t="s">
        <v>1571</v>
      </c>
      <c r="P25" t="s">
        <v>4330</v>
      </c>
      <c r="Q25" t="s">
        <v>4360</v>
      </c>
      <c r="R25" t="s">
        <v>4361</v>
      </c>
      <c r="T25" t="s">
        <v>272</v>
      </c>
      <c r="U25">
        <v>0</v>
      </c>
      <c r="V25">
        <v>3976</v>
      </c>
      <c r="W25">
        <v>3267</v>
      </c>
      <c r="X25">
        <v>3976</v>
      </c>
      <c r="Y25">
        <v>3976</v>
      </c>
      <c r="Z25">
        <v>3976</v>
      </c>
      <c r="AA25">
        <v>3976</v>
      </c>
      <c r="AB25">
        <v>3976</v>
      </c>
      <c r="AC25">
        <v>5083</v>
      </c>
      <c r="AE25">
        <v>5083</v>
      </c>
      <c r="AF25">
        <v>5083</v>
      </c>
      <c r="AG25">
        <v>5083</v>
      </c>
      <c r="AH25">
        <v>5083</v>
      </c>
      <c r="AI25">
        <v>5083</v>
      </c>
      <c r="AJ25">
        <v>2869</v>
      </c>
      <c r="AL25">
        <v>2869</v>
      </c>
      <c r="AM25">
        <v>2869</v>
      </c>
      <c r="AN25">
        <v>2869</v>
      </c>
      <c r="AO25">
        <v>2869</v>
      </c>
      <c r="AP25">
        <v>2869</v>
      </c>
      <c r="AR25">
        <v>3595</v>
      </c>
      <c r="AS25">
        <v>3353</v>
      </c>
      <c r="AT25" t="s">
        <v>605</v>
      </c>
    </row>
    <row r="26" spans="1:46" x14ac:dyDescent="0.2">
      <c r="A26" t="s">
        <v>2206</v>
      </c>
      <c r="B26" t="s">
        <v>1112</v>
      </c>
      <c r="C26" t="s">
        <v>2181</v>
      </c>
      <c r="D26" t="s">
        <v>1202</v>
      </c>
      <c r="E26" t="s">
        <v>1742</v>
      </c>
      <c r="F26" t="s">
        <v>2208</v>
      </c>
      <c r="G26" t="s">
        <v>1219</v>
      </c>
      <c r="H26" t="s">
        <v>1272</v>
      </c>
      <c r="I26" t="s">
        <v>1564</v>
      </c>
      <c r="J26" t="s">
        <v>612</v>
      </c>
      <c r="K26" t="s">
        <v>612</v>
      </c>
      <c r="L26" t="s">
        <v>612</v>
      </c>
      <c r="M26" t="s">
        <v>612</v>
      </c>
      <c r="N26" t="s">
        <v>612</v>
      </c>
      <c r="O26" t="s">
        <v>612</v>
      </c>
      <c r="P26" t="s">
        <v>4326</v>
      </c>
      <c r="Q26" t="s">
        <v>2208</v>
      </c>
      <c r="T26" t="s">
        <v>1410</v>
      </c>
      <c r="U26" t="s">
        <v>1212</v>
      </c>
      <c r="AR26" t="s">
        <v>612</v>
      </c>
      <c r="AS26" t="s">
        <v>612</v>
      </c>
      <c r="AT26" t="s">
        <v>605</v>
      </c>
    </row>
    <row r="27" spans="1:46" x14ac:dyDescent="0.2">
      <c r="A27" t="s">
        <v>2206</v>
      </c>
      <c r="B27" t="s">
        <v>1112</v>
      </c>
      <c r="C27" t="s">
        <v>2181</v>
      </c>
      <c r="D27" t="s">
        <v>1202</v>
      </c>
      <c r="E27" t="s">
        <v>1742</v>
      </c>
      <c r="F27" t="s">
        <v>2208</v>
      </c>
      <c r="P27" t="s">
        <v>4327</v>
      </c>
      <c r="Q27" t="s">
        <v>4362</v>
      </c>
      <c r="R27" t="s">
        <v>4332</v>
      </c>
      <c r="T27" t="s">
        <v>272</v>
      </c>
      <c r="U27">
        <v>0</v>
      </c>
      <c r="X27">
        <v>350</v>
      </c>
      <c r="Y27">
        <v>350</v>
      </c>
      <c r="Z27">
        <v>350</v>
      </c>
      <c r="AA27">
        <v>350</v>
      </c>
      <c r="AB27">
        <v>350</v>
      </c>
      <c r="AE27">
        <v>435</v>
      </c>
      <c r="AF27">
        <v>435</v>
      </c>
      <c r="AG27">
        <v>435</v>
      </c>
      <c r="AH27">
        <v>435</v>
      </c>
      <c r="AI27">
        <v>435</v>
      </c>
      <c r="AL27">
        <v>265</v>
      </c>
      <c r="AM27">
        <v>265</v>
      </c>
      <c r="AN27">
        <v>265</v>
      </c>
      <c r="AO27">
        <v>265</v>
      </c>
      <c r="AP27">
        <v>265</v>
      </c>
      <c r="AR27">
        <v>291</v>
      </c>
      <c r="AS27">
        <v>260</v>
      </c>
      <c r="AT27" t="s">
        <v>605</v>
      </c>
    </row>
    <row r="28" spans="1:46" x14ac:dyDescent="0.2">
      <c r="A28" t="s">
        <v>2206</v>
      </c>
      <c r="B28" t="s">
        <v>1112</v>
      </c>
      <c r="C28" t="s">
        <v>2181</v>
      </c>
      <c r="D28" t="s">
        <v>1202</v>
      </c>
      <c r="E28" t="s">
        <v>1742</v>
      </c>
      <c r="F28" t="s">
        <v>2208</v>
      </c>
      <c r="P28" t="s">
        <v>4330</v>
      </c>
      <c r="Q28" t="s">
        <v>4363</v>
      </c>
      <c r="R28" t="s">
        <v>4329</v>
      </c>
      <c r="T28" t="s">
        <v>272</v>
      </c>
      <c r="U28">
        <v>0</v>
      </c>
      <c r="X28">
        <v>6</v>
      </c>
      <c r="Y28">
        <v>6</v>
      </c>
      <c r="Z28">
        <v>6</v>
      </c>
      <c r="AA28">
        <v>6</v>
      </c>
      <c r="AB28">
        <v>6</v>
      </c>
      <c r="AE28">
        <v>15</v>
      </c>
      <c r="AF28">
        <v>15</v>
      </c>
      <c r="AG28">
        <v>15</v>
      </c>
      <c r="AH28">
        <v>15</v>
      </c>
      <c r="AI28">
        <v>15</v>
      </c>
      <c r="AL28">
        <v>0</v>
      </c>
      <c r="AM28">
        <v>0</v>
      </c>
      <c r="AN28">
        <v>0</v>
      </c>
      <c r="AO28">
        <v>0</v>
      </c>
      <c r="AP28">
        <v>0</v>
      </c>
      <c r="AR28">
        <v>0</v>
      </c>
      <c r="AS28">
        <v>0</v>
      </c>
      <c r="AT28" t="s">
        <v>605</v>
      </c>
    </row>
    <row r="29" spans="1:46" x14ac:dyDescent="0.2">
      <c r="A29" t="s">
        <v>2206</v>
      </c>
      <c r="B29" t="s">
        <v>1112</v>
      </c>
      <c r="C29" t="s">
        <v>2181</v>
      </c>
      <c r="D29" t="s">
        <v>1202</v>
      </c>
      <c r="E29" t="s">
        <v>1742</v>
      </c>
      <c r="F29" t="s">
        <v>2208</v>
      </c>
      <c r="P29" t="s">
        <v>4335</v>
      </c>
      <c r="Q29" t="s">
        <v>4364</v>
      </c>
      <c r="R29" t="s">
        <v>4365</v>
      </c>
      <c r="T29" t="s">
        <v>264</v>
      </c>
      <c r="U29">
        <v>2</v>
      </c>
      <c r="X29">
        <v>0.19</v>
      </c>
      <c r="Y29">
        <v>0.19</v>
      </c>
      <c r="Z29">
        <v>0.19</v>
      </c>
      <c r="AA29">
        <v>0.19</v>
      </c>
      <c r="AB29">
        <v>0.19</v>
      </c>
      <c r="AE29">
        <v>0.47</v>
      </c>
      <c r="AF29">
        <v>0.47</v>
      </c>
      <c r="AG29">
        <v>0.47</v>
      </c>
      <c r="AH29">
        <v>0.47</v>
      </c>
      <c r="AI29">
        <v>0.47</v>
      </c>
      <c r="AL29">
        <v>0</v>
      </c>
      <c r="AM29">
        <v>0</v>
      </c>
      <c r="AN29">
        <v>0</v>
      </c>
      <c r="AO29">
        <v>0</v>
      </c>
      <c r="AP29">
        <v>0</v>
      </c>
      <c r="AR29">
        <v>99.82</v>
      </c>
      <c r="AS29">
        <v>100</v>
      </c>
      <c r="AT29" t="s">
        <v>605</v>
      </c>
    </row>
    <row r="30" spans="1:46" x14ac:dyDescent="0.2">
      <c r="A30" t="s">
        <v>2206</v>
      </c>
      <c r="B30" t="s">
        <v>1112</v>
      </c>
      <c r="C30" t="s">
        <v>2181</v>
      </c>
      <c r="D30" t="s">
        <v>1202</v>
      </c>
      <c r="E30" t="s">
        <v>1742</v>
      </c>
      <c r="F30" t="s">
        <v>2208</v>
      </c>
      <c r="P30" t="s">
        <v>4338</v>
      </c>
      <c r="Q30" t="s">
        <v>4366</v>
      </c>
      <c r="R30" t="s">
        <v>4358</v>
      </c>
      <c r="T30" t="s">
        <v>272</v>
      </c>
      <c r="U30">
        <v>0</v>
      </c>
      <c r="X30">
        <v>0</v>
      </c>
      <c r="Y30">
        <v>0</v>
      </c>
      <c r="Z30">
        <v>0</v>
      </c>
      <c r="AA30">
        <v>0</v>
      </c>
      <c r="AB30">
        <v>0</v>
      </c>
      <c r="AE30">
        <v>19</v>
      </c>
      <c r="AF30">
        <v>19</v>
      </c>
      <c r="AG30">
        <v>19</v>
      </c>
      <c r="AH30">
        <v>19</v>
      </c>
      <c r="AI30">
        <v>19</v>
      </c>
      <c r="AL30">
        <v>0</v>
      </c>
      <c r="AM30">
        <v>0</v>
      </c>
      <c r="AN30">
        <v>0</v>
      </c>
      <c r="AO30">
        <v>0</v>
      </c>
      <c r="AP30">
        <v>0</v>
      </c>
      <c r="AR30">
        <v>0</v>
      </c>
      <c r="AS30">
        <v>0</v>
      </c>
      <c r="AT30" t="s">
        <v>605</v>
      </c>
    </row>
    <row r="31" spans="1:46" x14ac:dyDescent="0.2">
      <c r="A31" t="s">
        <v>2206</v>
      </c>
      <c r="B31" t="s">
        <v>1112</v>
      </c>
      <c r="C31" t="s">
        <v>2181</v>
      </c>
      <c r="D31" t="s">
        <v>1202</v>
      </c>
      <c r="E31" t="s">
        <v>1742</v>
      </c>
      <c r="F31" t="s">
        <v>2208</v>
      </c>
      <c r="P31" t="s">
        <v>4367</v>
      </c>
      <c r="Q31" t="s">
        <v>4368</v>
      </c>
      <c r="R31" t="s">
        <v>4337</v>
      </c>
      <c r="T31" t="s">
        <v>272</v>
      </c>
      <c r="U31">
        <v>2</v>
      </c>
      <c r="X31">
        <v>0.23</v>
      </c>
      <c r="Y31">
        <v>0.23</v>
      </c>
      <c r="Z31">
        <v>0.23</v>
      </c>
      <c r="AA31">
        <v>0.23</v>
      </c>
      <c r="AB31">
        <v>0.23</v>
      </c>
      <c r="AE31">
        <v>0.46</v>
      </c>
      <c r="AF31">
        <v>0.46</v>
      </c>
      <c r="AG31">
        <v>0.46</v>
      </c>
      <c r="AH31">
        <v>0.46</v>
      </c>
      <c r="AI31">
        <v>0.46</v>
      </c>
      <c r="AL31">
        <v>0</v>
      </c>
      <c r="AM31">
        <v>0</v>
      </c>
      <c r="AN31">
        <v>0</v>
      </c>
      <c r="AO31">
        <v>0</v>
      </c>
      <c r="AP31">
        <v>0</v>
      </c>
      <c r="AR31">
        <v>0.24</v>
      </c>
      <c r="AS31">
        <v>0.18</v>
      </c>
      <c r="AT31" t="s">
        <v>605</v>
      </c>
    </row>
    <row r="32" spans="1:46" x14ac:dyDescent="0.2">
      <c r="A32" t="s">
        <v>2206</v>
      </c>
      <c r="B32" t="s">
        <v>1112</v>
      </c>
      <c r="C32" t="s">
        <v>2181</v>
      </c>
      <c r="D32" t="s">
        <v>1202</v>
      </c>
      <c r="E32" t="s">
        <v>1742</v>
      </c>
      <c r="F32" t="s">
        <v>2208</v>
      </c>
      <c r="P32" t="s">
        <v>4369</v>
      </c>
      <c r="Q32" t="s">
        <v>4370</v>
      </c>
      <c r="R32" t="s">
        <v>4342</v>
      </c>
      <c r="T32" t="s">
        <v>264</v>
      </c>
      <c r="U32">
        <v>2</v>
      </c>
      <c r="X32">
        <v>7.0000000000000007E-2</v>
      </c>
      <c r="Y32">
        <v>7.0000000000000007E-2</v>
      </c>
      <c r="Z32">
        <v>7.0000000000000007E-2</v>
      </c>
      <c r="AA32">
        <v>7.0000000000000007E-2</v>
      </c>
      <c r="AB32">
        <v>7.0000000000000007E-2</v>
      </c>
      <c r="AE32">
        <v>0.14000000000000001</v>
      </c>
      <c r="AF32">
        <v>0.14000000000000001</v>
      </c>
      <c r="AG32">
        <v>0.14000000000000001</v>
      </c>
      <c r="AH32">
        <v>0.14000000000000001</v>
      </c>
      <c r="AI32">
        <v>0.14000000000000001</v>
      </c>
      <c r="AL32">
        <v>0</v>
      </c>
      <c r="AM32">
        <v>0</v>
      </c>
      <c r="AN32">
        <v>0</v>
      </c>
      <c r="AO32">
        <v>0</v>
      </c>
      <c r="AP32">
        <v>0</v>
      </c>
      <c r="AR32">
        <v>0</v>
      </c>
      <c r="AS32">
        <v>0</v>
      </c>
      <c r="AT32" t="s">
        <v>605</v>
      </c>
    </row>
    <row r="33" spans="1:46" x14ac:dyDescent="0.2">
      <c r="A33" t="s">
        <v>2206</v>
      </c>
      <c r="B33" t="s">
        <v>1112</v>
      </c>
      <c r="C33" t="s">
        <v>2181</v>
      </c>
      <c r="D33" t="s">
        <v>1202</v>
      </c>
      <c r="E33" t="s">
        <v>1742</v>
      </c>
      <c r="F33" t="s">
        <v>2208</v>
      </c>
      <c r="P33" t="s">
        <v>4371</v>
      </c>
      <c r="Q33" t="s">
        <v>4372</v>
      </c>
      <c r="R33" t="s">
        <v>4344</v>
      </c>
      <c r="T33" t="s">
        <v>264</v>
      </c>
      <c r="U33">
        <v>2</v>
      </c>
      <c r="X33">
        <v>0</v>
      </c>
      <c r="Y33">
        <v>0</v>
      </c>
      <c r="Z33">
        <v>0</v>
      </c>
      <c r="AA33">
        <v>0</v>
      </c>
      <c r="AB33">
        <v>0</v>
      </c>
      <c r="AE33">
        <v>5</v>
      </c>
      <c r="AF33">
        <v>5</v>
      </c>
      <c r="AG33">
        <v>5</v>
      </c>
      <c r="AH33">
        <v>5</v>
      </c>
      <c r="AI33">
        <v>5</v>
      </c>
      <c r="AL33">
        <v>0</v>
      </c>
      <c r="AM33">
        <v>0</v>
      </c>
      <c r="AN33">
        <v>0</v>
      </c>
      <c r="AO33">
        <v>0</v>
      </c>
      <c r="AP33">
        <v>0</v>
      </c>
      <c r="AR33">
        <v>0</v>
      </c>
      <c r="AS33">
        <v>0</v>
      </c>
      <c r="AT33" t="s">
        <v>605</v>
      </c>
    </row>
    <row r="34" spans="1:46" x14ac:dyDescent="0.2">
      <c r="A34" t="s">
        <v>2206</v>
      </c>
      <c r="B34" t="s">
        <v>1112</v>
      </c>
      <c r="C34" t="s">
        <v>2181</v>
      </c>
      <c r="D34" t="s">
        <v>1202</v>
      </c>
      <c r="E34" t="s">
        <v>1742</v>
      </c>
      <c r="F34" t="s">
        <v>2208</v>
      </c>
      <c r="P34" t="s">
        <v>4373</v>
      </c>
      <c r="Q34" t="s">
        <v>4374</v>
      </c>
      <c r="R34" t="s">
        <v>4345</v>
      </c>
      <c r="T34" t="s">
        <v>272</v>
      </c>
      <c r="U34">
        <v>0</v>
      </c>
      <c r="X34">
        <v>1</v>
      </c>
      <c r="Y34">
        <v>1</v>
      </c>
      <c r="Z34">
        <v>1</v>
      </c>
      <c r="AA34">
        <v>1</v>
      </c>
      <c r="AB34">
        <v>1</v>
      </c>
      <c r="AE34">
        <v>2</v>
      </c>
      <c r="AF34">
        <v>2</v>
      </c>
      <c r="AG34">
        <v>2</v>
      </c>
      <c r="AH34">
        <v>2</v>
      </c>
      <c r="AI34">
        <v>2</v>
      </c>
      <c r="AL34">
        <v>0</v>
      </c>
      <c r="AM34">
        <v>0</v>
      </c>
      <c r="AN34">
        <v>0</v>
      </c>
      <c r="AO34">
        <v>0</v>
      </c>
      <c r="AP34">
        <v>0</v>
      </c>
      <c r="AR34">
        <v>0</v>
      </c>
      <c r="AS34">
        <v>0</v>
      </c>
      <c r="AT34" t="s">
        <v>605</v>
      </c>
    </row>
    <row r="35" spans="1:46" x14ac:dyDescent="0.2">
      <c r="A35" t="s">
        <v>2206</v>
      </c>
      <c r="B35" t="s">
        <v>1112</v>
      </c>
      <c r="C35" t="s">
        <v>2181</v>
      </c>
      <c r="D35" t="s">
        <v>1202</v>
      </c>
      <c r="E35" t="s">
        <v>1742</v>
      </c>
      <c r="F35" t="s">
        <v>2208</v>
      </c>
      <c r="P35" t="s">
        <v>4375</v>
      </c>
      <c r="Q35" t="s">
        <v>4376</v>
      </c>
      <c r="R35" t="s">
        <v>4377</v>
      </c>
      <c r="T35" t="s">
        <v>272</v>
      </c>
      <c r="U35">
        <v>0</v>
      </c>
      <c r="X35">
        <v>0</v>
      </c>
      <c r="Y35">
        <v>0</v>
      </c>
      <c r="Z35">
        <v>0</v>
      </c>
      <c r="AA35">
        <v>0</v>
      </c>
      <c r="AB35">
        <v>0</v>
      </c>
      <c r="AE35">
        <v>1</v>
      </c>
      <c r="AF35">
        <v>1</v>
      </c>
      <c r="AG35">
        <v>1</v>
      </c>
      <c r="AH35">
        <v>1</v>
      </c>
      <c r="AI35">
        <v>1</v>
      </c>
      <c r="AL35">
        <v>0</v>
      </c>
      <c r="AM35">
        <v>0</v>
      </c>
      <c r="AN35">
        <v>0</v>
      </c>
      <c r="AO35">
        <v>0</v>
      </c>
      <c r="AP35">
        <v>0</v>
      </c>
      <c r="AR35">
        <v>0</v>
      </c>
      <c r="AS35">
        <v>0</v>
      </c>
      <c r="AT35" t="s">
        <v>605</v>
      </c>
    </row>
    <row r="36" spans="1:46" x14ac:dyDescent="0.2">
      <c r="A36" t="s">
        <v>2206</v>
      </c>
      <c r="B36" t="s">
        <v>1112</v>
      </c>
      <c r="C36" t="s">
        <v>2181</v>
      </c>
      <c r="D36" t="s">
        <v>1202</v>
      </c>
      <c r="E36" t="s">
        <v>1742</v>
      </c>
      <c r="F36" t="s">
        <v>2208</v>
      </c>
      <c r="P36" t="s">
        <v>4378</v>
      </c>
      <c r="Q36" t="s">
        <v>4379</v>
      </c>
      <c r="R36" t="s">
        <v>4361</v>
      </c>
      <c r="T36" t="s">
        <v>272</v>
      </c>
      <c r="U36">
        <v>0</v>
      </c>
      <c r="X36">
        <v>900</v>
      </c>
      <c r="Y36">
        <v>900</v>
      </c>
      <c r="Z36">
        <v>900</v>
      </c>
      <c r="AA36">
        <v>900</v>
      </c>
      <c r="AB36">
        <v>900</v>
      </c>
      <c r="AE36">
        <v>1100</v>
      </c>
      <c r="AF36">
        <v>1100</v>
      </c>
      <c r="AG36">
        <v>1100</v>
      </c>
      <c r="AH36">
        <v>1100</v>
      </c>
      <c r="AI36">
        <v>1100</v>
      </c>
      <c r="AL36">
        <v>700</v>
      </c>
      <c r="AM36">
        <v>700</v>
      </c>
      <c r="AN36">
        <v>700</v>
      </c>
      <c r="AO36">
        <v>700</v>
      </c>
      <c r="AP36">
        <v>700</v>
      </c>
      <c r="AR36">
        <v>781</v>
      </c>
      <c r="AS36">
        <v>230</v>
      </c>
      <c r="AT36" t="s">
        <v>605</v>
      </c>
    </row>
    <row r="37" spans="1:46" x14ac:dyDescent="0.2">
      <c r="A37" t="s">
        <v>2488</v>
      </c>
      <c r="B37" t="s">
        <v>1112</v>
      </c>
      <c r="C37" t="s">
        <v>2379</v>
      </c>
      <c r="D37" t="s">
        <v>1202</v>
      </c>
      <c r="E37" t="s">
        <v>2489</v>
      </c>
      <c r="F37" t="s">
        <v>2491</v>
      </c>
      <c r="G37" t="s">
        <v>1219</v>
      </c>
      <c r="H37" t="s">
        <v>1272</v>
      </c>
      <c r="I37" t="s">
        <v>1564</v>
      </c>
      <c r="J37" t="s">
        <v>612</v>
      </c>
      <c r="K37" t="s">
        <v>612</v>
      </c>
      <c r="L37" t="s">
        <v>612</v>
      </c>
      <c r="M37" t="s">
        <v>612</v>
      </c>
      <c r="N37" t="s">
        <v>612</v>
      </c>
      <c r="O37" t="s">
        <v>612</v>
      </c>
      <c r="P37" t="s">
        <v>4326</v>
      </c>
      <c r="Q37" t="s">
        <v>2491</v>
      </c>
      <c r="T37" t="s">
        <v>1410</v>
      </c>
      <c r="U37" t="s">
        <v>1212</v>
      </c>
      <c r="AR37" t="s">
        <v>612</v>
      </c>
      <c r="AS37" t="s">
        <v>612</v>
      </c>
      <c r="AT37" t="s">
        <v>605</v>
      </c>
    </row>
    <row r="38" spans="1:46" x14ac:dyDescent="0.2">
      <c r="A38" t="s">
        <v>2488</v>
      </c>
      <c r="B38" t="s">
        <v>1112</v>
      </c>
      <c r="C38" t="s">
        <v>2379</v>
      </c>
      <c r="D38" t="s">
        <v>1202</v>
      </c>
      <c r="E38" t="s">
        <v>2489</v>
      </c>
      <c r="F38" t="s">
        <v>2491</v>
      </c>
      <c r="P38" t="s">
        <v>4327</v>
      </c>
      <c r="Q38" t="s">
        <v>4380</v>
      </c>
      <c r="R38" t="s">
        <v>4342</v>
      </c>
      <c r="T38" t="s">
        <v>264</v>
      </c>
      <c r="U38">
        <v>2</v>
      </c>
      <c r="W38">
        <v>0.05</v>
      </c>
      <c r="X38">
        <v>0.05</v>
      </c>
      <c r="Y38">
        <v>0.05</v>
      </c>
      <c r="Z38">
        <v>0.05</v>
      </c>
      <c r="AA38">
        <v>0.05</v>
      </c>
      <c r="AB38">
        <v>0.05</v>
      </c>
      <c r="AE38">
        <v>0.08</v>
      </c>
      <c r="AF38">
        <v>0.08</v>
      </c>
      <c r="AG38">
        <v>0.08</v>
      </c>
      <c r="AH38">
        <v>0.08</v>
      </c>
      <c r="AI38">
        <v>0.08</v>
      </c>
      <c r="AR38">
        <v>0.02</v>
      </c>
      <c r="AS38">
        <v>0.03</v>
      </c>
      <c r="AT38" t="s">
        <v>605</v>
      </c>
    </row>
    <row r="39" spans="1:46" x14ac:dyDescent="0.2">
      <c r="A39" t="s">
        <v>2488</v>
      </c>
      <c r="B39" t="s">
        <v>1112</v>
      </c>
      <c r="C39" t="s">
        <v>2379</v>
      </c>
      <c r="D39" t="s">
        <v>1202</v>
      </c>
      <c r="E39" t="s">
        <v>2489</v>
      </c>
      <c r="F39" t="s">
        <v>2491</v>
      </c>
      <c r="P39" t="s">
        <v>4330</v>
      </c>
      <c r="Q39" t="s">
        <v>4381</v>
      </c>
      <c r="R39" t="s">
        <v>4344</v>
      </c>
      <c r="T39" t="s">
        <v>264</v>
      </c>
      <c r="U39">
        <v>2</v>
      </c>
      <c r="X39">
        <v>0.21</v>
      </c>
      <c r="Y39">
        <v>0.21</v>
      </c>
      <c r="Z39">
        <v>0.21</v>
      </c>
      <c r="AA39">
        <v>0.21</v>
      </c>
      <c r="AB39">
        <v>0.21</v>
      </c>
      <c r="AE39">
        <v>0.84</v>
      </c>
      <c r="AF39">
        <v>0.84</v>
      </c>
      <c r="AG39">
        <v>0.84</v>
      </c>
      <c r="AH39">
        <v>0.84</v>
      </c>
      <c r="AI39">
        <v>0.84</v>
      </c>
      <c r="AR39">
        <v>0.43</v>
      </c>
      <c r="AS39">
        <v>0</v>
      </c>
      <c r="AT39" t="s">
        <v>605</v>
      </c>
    </row>
    <row r="40" spans="1:46" x14ac:dyDescent="0.2">
      <c r="A40" t="s">
        <v>2488</v>
      </c>
      <c r="B40" t="s">
        <v>1112</v>
      </c>
      <c r="C40" t="s">
        <v>2379</v>
      </c>
      <c r="D40" t="s">
        <v>1202</v>
      </c>
      <c r="E40" t="s">
        <v>2489</v>
      </c>
      <c r="F40" t="s">
        <v>2491</v>
      </c>
      <c r="P40" t="s">
        <v>4335</v>
      </c>
      <c r="Q40" t="s">
        <v>4382</v>
      </c>
      <c r="R40" t="s">
        <v>4345</v>
      </c>
      <c r="T40" t="s">
        <v>272</v>
      </c>
      <c r="U40">
        <v>0</v>
      </c>
      <c r="X40">
        <v>4</v>
      </c>
      <c r="Y40">
        <v>4</v>
      </c>
      <c r="Z40">
        <v>4</v>
      </c>
      <c r="AA40">
        <v>4</v>
      </c>
      <c r="AB40">
        <v>4</v>
      </c>
      <c r="AE40">
        <v>11</v>
      </c>
      <c r="AF40">
        <v>11</v>
      </c>
      <c r="AG40">
        <v>11</v>
      </c>
      <c r="AH40">
        <v>11</v>
      </c>
      <c r="AI40">
        <v>11</v>
      </c>
      <c r="AR40">
        <v>3</v>
      </c>
      <c r="AS40">
        <v>0</v>
      </c>
      <c r="AT40" t="s">
        <v>605</v>
      </c>
    </row>
    <row r="41" spans="1:46" x14ac:dyDescent="0.2">
      <c r="A41" t="s">
        <v>2488</v>
      </c>
      <c r="B41" t="s">
        <v>1112</v>
      </c>
      <c r="C41" t="s">
        <v>2379</v>
      </c>
      <c r="D41" t="s">
        <v>1202</v>
      </c>
      <c r="E41" t="s">
        <v>2489</v>
      </c>
      <c r="F41" t="s">
        <v>2491</v>
      </c>
      <c r="P41" t="s">
        <v>4338</v>
      </c>
      <c r="Q41" t="s">
        <v>4383</v>
      </c>
      <c r="R41" t="s">
        <v>4377</v>
      </c>
      <c r="T41" t="s">
        <v>272</v>
      </c>
      <c r="U41">
        <v>0</v>
      </c>
      <c r="X41">
        <v>0</v>
      </c>
      <c r="Y41">
        <v>0</v>
      </c>
      <c r="Z41">
        <v>0</v>
      </c>
      <c r="AA41">
        <v>0</v>
      </c>
      <c r="AB41">
        <v>0</v>
      </c>
      <c r="AE41">
        <v>1</v>
      </c>
      <c r="AF41">
        <v>1</v>
      </c>
      <c r="AG41">
        <v>1</v>
      </c>
      <c r="AH41">
        <v>1</v>
      </c>
      <c r="AI41">
        <v>1</v>
      </c>
      <c r="AR41">
        <v>0</v>
      </c>
      <c r="AS41">
        <v>0</v>
      </c>
      <c r="AT41" t="s">
        <v>605</v>
      </c>
    </row>
    <row r="42" spans="1:46" x14ac:dyDescent="0.2">
      <c r="A42" t="s">
        <v>2537</v>
      </c>
      <c r="B42" t="s">
        <v>1077</v>
      </c>
      <c r="C42" t="s">
        <v>1096</v>
      </c>
      <c r="D42" t="s">
        <v>1202</v>
      </c>
      <c r="E42">
        <v>1</v>
      </c>
      <c r="F42" t="s">
        <v>4384</v>
      </c>
      <c r="G42" t="s">
        <v>1219</v>
      </c>
      <c r="H42" t="s">
        <v>1272</v>
      </c>
      <c r="I42" t="s">
        <v>1564</v>
      </c>
      <c r="J42" t="s">
        <v>1710</v>
      </c>
      <c r="K42" t="s">
        <v>612</v>
      </c>
      <c r="L42" t="s">
        <v>612</v>
      </c>
      <c r="M42" t="s">
        <v>612</v>
      </c>
      <c r="N42" t="s">
        <v>612</v>
      </c>
      <c r="O42" t="s">
        <v>612</v>
      </c>
      <c r="P42" t="s">
        <v>4326</v>
      </c>
      <c r="Q42" t="s">
        <v>4384</v>
      </c>
      <c r="T42" t="s">
        <v>1410</v>
      </c>
      <c r="U42" t="s">
        <v>1212</v>
      </c>
      <c r="AR42" t="s">
        <v>1710</v>
      </c>
      <c r="AS42" t="s">
        <v>612</v>
      </c>
      <c r="AT42" t="s">
        <v>605</v>
      </c>
    </row>
    <row r="43" spans="1:46" x14ac:dyDescent="0.2">
      <c r="A43" t="s">
        <v>2537</v>
      </c>
      <c r="B43" t="s">
        <v>1077</v>
      </c>
      <c r="C43" t="s">
        <v>1096</v>
      </c>
      <c r="D43" t="s">
        <v>1202</v>
      </c>
      <c r="E43">
        <v>1</v>
      </c>
      <c r="F43" t="s">
        <v>4384</v>
      </c>
      <c r="P43" t="s">
        <v>4327</v>
      </c>
      <c r="Q43" t="s">
        <v>4385</v>
      </c>
      <c r="R43" t="s">
        <v>4332</v>
      </c>
      <c r="T43" t="s">
        <v>272</v>
      </c>
      <c r="U43">
        <v>0</v>
      </c>
      <c r="AE43">
        <v>2865</v>
      </c>
      <c r="AF43">
        <v>2865</v>
      </c>
      <c r="AG43">
        <v>2865</v>
      </c>
      <c r="AH43">
        <v>2865</v>
      </c>
      <c r="AI43">
        <v>2865</v>
      </c>
      <c r="AL43">
        <v>2383</v>
      </c>
      <c r="AM43">
        <v>2383</v>
      </c>
      <c r="AN43">
        <v>2383</v>
      </c>
      <c r="AO43">
        <v>2383</v>
      </c>
      <c r="AP43">
        <v>2383</v>
      </c>
      <c r="AR43">
        <v>1770</v>
      </c>
      <c r="AS43">
        <v>1322</v>
      </c>
      <c r="AT43" t="s">
        <v>605</v>
      </c>
    </row>
    <row r="44" spans="1:46" x14ac:dyDescent="0.2">
      <c r="A44" t="s">
        <v>2537</v>
      </c>
      <c r="B44" t="s">
        <v>1077</v>
      </c>
      <c r="C44" t="s">
        <v>1096</v>
      </c>
      <c r="D44" t="s">
        <v>1202</v>
      </c>
      <c r="E44">
        <v>1</v>
      </c>
      <c r="F44" t="s">
        <v>4384</v>
      </c>
      <c r="P44" t="s">
        <v>4330</v>
      </c>
      <c r="Q44" t="s">
        <v>4386</v>
      </c>
      <c r="R44" t="s">
        <v>4340</v>
      </c>
      <c r="T44" t="s">
        <v>264</v>
      </c>
      <c r="U44">
        <v>2</v>
      </c>
      <c r="AE44">
        <v>99.82</v>
      </c>
      <c r="AF44">
        <v>99.82</v>
      </c>
      <c r="AG44">
        <v>99.82</v>
      </c>
      <c r="AH44">
        <v>99.82</v>
      </c>
      <c r="AI44">
        <v>99.82</v>
      </c>
      <c r="AL44">
        <v>99.74</v>
      </c>
      <c r="AM44">
        <v>99.74</v>
      </c>
      <c r="AN44">
        <v>99.74</v>
      </c>
      <c r="AO44">
        <v>99.74</v>
      </c>
      <c r="AP44">
        <v>99.74</v>
      </c>
      <c r="AR44">
        <v>99.96</v>
      </c>
      <c r="AS44">
        <v>99.96</v>
      </c>
      <c r="AT44" t="s">
        <v>605</v>
      </c>
    </row>
    <row r="45" spans="1:46" x14ac:dyDescent="0.2">
      <c r="A45" t="s">
        <v>2537</v>
      </c>
      <c r="B45" t="s">
        <v>1077</v>
      </c>
      <c r="C45" t="s">
        <v>1096</v>
      </c>
      <c r="D45" t="s">
        <v>1202</v>
      </c>
      <c r="E45">
        <v>1</v>
      </c>
      <c r="F45" t="s">
        <v>4384</v>
      </c>
      <c r="P45" t="s">
        <v>4335</v>
      </c>
      <c r="Q45" t="s">
        <v>4387</v>
      </c>
      <c r="R45" t="s">
        <v>4342</v>
      </c>
      <c r="T45" t="s">
        <v>264</v>
      </c>
      <c r="U45">
        <v>2</v>
      </c>
      <c r="AE45">
        <v>99.92</v>
      </c>
      <c r="AF45">
        <v>99.92</v>
      </c>
      <c r="AG45">
        <v>99.92</v>
      </c>
      <c r="AH45">
        <v>99.92</v>
      </c>
      <c r="AI45">
        <v>99.92</v>
      </c>
      <c r="AL45">
        <v>99.88</v>
      </c>
      <c r="AM45">
        <v>99.88</v>
      </c>
      <c r="AN45">
        <v>99.88</v>
      </c>
      <c r="AO45">
        <v>99.88</v>
      </c>
      <c r="AP45">
        <v>99.88</v>
      </c>
      <c r="AR45">
        <v>100</v>
      </c>
      <c r="AS45">
        <v>100</v>
      </c>
      <c r="AT45" t="s">
        <v>605</v>
      </c>
    </row>
    <row r="46" spans="1:46" x14ac:dyDescent="0.2">
      <c r="A46" t="s">
        <v>2537</v>
      </c>
      <c r="B46" t="s">
        <v>1077</v>
      </c>
      <c r="C46" t="s">
        <v>1096</v>
      </c>
      <c r="D46" t="s">
        <v>1202</v>
      </c>
      <c r="E46">
        <v>1</v>
      </c>
      <c r="F46" t="s">
        <v>4384</v>
      </c>
      <c r="P46" t="s">
        <v>4338</v>
      </c>
      <c r="Q46" t="s">
        <v>4388</v>
      </c>
      <c r="R46" t="s">
        <v>4344</v>
      </c>
      <c r="T46" t="s">
        <v>264</v>
      </c>
      <c r="U46">
        <v>0</v>
      </c>
      <c r="AE46">
        <v>99</v>
      </c>
      <c r="AF46">
        <v>99</v>
      </c>
      <c r="AG46">
        <v>99</v>
      </c>
      <c r="AH46">
        <v>99</v>
      </c>
      <c r="AI46">
        <v>99</v>
      </c>
      <c r="AL46">
        <v>98</v>
      </c>
      <c r="AM46">
        <v>98</v>
      </c>
      <c r="AN46">
        <v>98</v>
      </c>
      <c r="AO46">
        <v>98</v>
      </c>
      <c r="AP46">
        <v>98</v>
      </c>
      <c r="AR46">
        <v>99.96</v>
      </c>
      <c r="AS46">
        <v>100</v>
      </c>
      <c r="AT46" t="s">
        <v>605</v>
      </c>
    </row>
    <row r="47" spans="1:46" x14ac:dyDescent="0.2">
      <c r="A47" t="s">
        <v>2537</v>
      </c>
      <c r="B47" t="s">
        <v>1077</v>
      </c>
      <c r="C47" t="s">
        <v>1096</v>
      </c>
      <c r="D47" t="s">
        <v>1202</v>
      </c>
      <c r="E47">
        <v>1</v>
      </c>
      <c r="F47" t="s">
        <v>4384</v>
      </c>
      <c r="P47" t="s">
        <v>4367</v>
      </c>
      <c r="Q47" t="s">
        <v>4389</v>
      </c>
      <c r="R47" t="s">
        <v>4345</v>
      </c>
      <c r="T47" t="s">
        <v>272</v>
      </c>
      <c r="U47">
        <v>0</v>
      </c>
      <c r="AE47">
        <v>10</v>
      </c>
      <c r="AF47">
        <v>10</v>
      </c>
      <c r="AG47">
        <v>10</v>
      </c>
      <c r="AH47">
        <v>10</v>
      </c>
      <c r="AI47">
        <v>10</v>
      </c>
      <c r="AL47">
        <v>6</v>
      </c>
      <c r="AM47">
        <v>6</v>
      </c>
      <c r="AN47">
        <v>6</v>
      </c>
      <c r="AO47">
        <v>6</v>
      </c>
      <c r="AP47">
        <v>6</v>
      </c>
      <c r="AR47">
        <v>0</v>
      </c>
      <c r="AS47">
        <v>0</v>
      </c>
      <c r="AT47" t="s">
        <v>605</v>
      </c>
    </row>
    <row r="48" spans="1:46" x14ac:dyDescent="0.2">
      <c r="A48" t="s">
        <v>2580</v>
      </c>
      <c r="B48" t="s">
        <v>1077</v>
      </c>
      <c r="C48" t="s">
        <v>1096</v>
      </c>
      <c r="D48" t="s">
        <v>1428</v>
      </c>
      <c r="E48">
        <v>1</v>
      </c>
      <c r="F48" t="s">
        <v>4390</v>
      </c>
      <c r="G48" t="s">
        <v>1219</v>
      </c>
      <c r="H48" t="s">
        <v>1495</v>
      </c>
      <c r="I48" t="s">
        <v>1564</v>
      </c>
      <c r="J48" t="s">
        <v>1710</v>
      </c>
      <c r="K48" t="s">
        <v>612</v>
      </c>
      <c r="L48" t="s">
        <v>612</v>
      </c>
      <c r="M48" t="s">
        <v>612</v>
      </c>
      <c r="N48" t="s">
        <v>612</v>
      </c>
      <c r="O48" t="s">
        <v>612</v>
      </c>
      <c r="P48" t="s">
        <v>4326</v>
      </c>
      <c r="Q48" t="s">
        <v>4390</v>
      </c>
      <c r="T48" t="s">
        <v>1410</v>
      </c>
      <c r="U48" t="s">
        <v>1212</v>
      </c>
      <c r="AR48" t="s">
        <v>1710</v>
      </c>
      <c r="AS48" t="s">
        <v>612</v>
      </c>
      <c r="AT48" t="s">
        <v>605</v>
      </c>
    </row>
    <row r="49" spans="1:46" x14ac:dyDescent="0.2">
      <c r="A49" t="s">
        <v>2580</v>
      </c>
      <c r="B49" t="s">
        <v>1077</v>
      </c>
      <c r="C49" t="s">
        <v>1096</v>
      </c>
      <c r="D49" t="s">
        <v>1428</v>
      </c>
      <c r="E49">
        <v>1</v>
      </c>
      <c r="F49" t="s">
        <v>4390</v>
      </c>
      <c r="P49" t="s">
        <v>4327</v>
      </c>
      <c r="Q49" t="s">
        <v>4347</v>
      </c>
      <c r="R49" t="s">
        <v>4348</v>
      </c>
      <c r="T49" t="s">
        <v>272</v>
      </c>
      <c r="U49">
        <v>0</v>
      </c>
      <c r="AE49">
        <v>392</v>
      </c>
      <c r="AF49">
        <v>392</v>
      </c>
      <c r="AG49">
        <v>392</v>
      </c>
      <c r="AH49">
        <v>392</v>
      </c>
      <c r="AI49">
        <v>392</v>
      </c>
      <c r="AL49">
        <v>368</v>
      </c>
      <c r="AM49">
        <v>368</v>
      </c>
      <c r="AN49">
        <v>368</v>
      </c>
      <c r="AO49">
        <v>368</v>
      </c>
      <c r="AP49">
        <v>368</v>
      </c>
      <c r="AR49">
        <v>268</v>
      </c>
      <c r="AS49">
        <v>67</v>
      </c>
      <c r="AT49" t="s">
        <v>605</v>
      </c>
    </row>
    <row r="50" spans="1:46" x14ac:dyDescent="0.2">
      <c r="A50" t="s">
        <v>2580</v>
      </c>
      <c r="B50" t="s">
        <v>1077</v>
      </c>
      <c r="C50" t="s">
        <v>1096</v>
      </c>
      <c r="D50" t="s">
        <v>1428</v>
      </c>
      <c r="E50">
        <v>1</v>
      </c>
      <c r="F50" t="s">
        <v>4390</v>
      </c>
      <c r="P50" t="s">
        <v>4330</v>
      </c>
      <c r="Q50" t="s">
        <v>4391</v>
      </c>
      <c r="R50" t="s">
        <v>4353</v>
      </c>
      <c r="T50" t="s">
        <v>264</v>
      </c>
      <c r="U50">
        <v>1</v>
      </c>
      <c r="AE50">
        <v>99.9</v>
      </c>
      <c r="AF50">
        <v>99.9</v>
      </c>
      <c r="AG50">
        <v>99.9</v>
      </c>
      <c r="AH50">
        <v>99.9</v>
      </c>
      <c r="AI50">
        <v>99.9</v>
      </c>
      <c r="AL50">
        <v>99.8</v>
      </c>
      <c r="AM50">
        <v>99.8</v>
      </c>
      <c r="AN50">
        <v>99.8</v>
      </c>
      <c r="AO50">
        <v>99.8</v>
      </c>
      <c r="AP50">
        <v>99.8</v>
      </c>
      <c r="AR50">
        <v>100</v>
      </c>
      <c r="AS50">
        <v>100</v>
      </c>
      <c r="AT50" t="s">
        <v>605</v>
      </c>
    </row>
    <row r="51" spans="1:46" x14ac:dyDescent="0.2">
      <c r="A51" t="s">
        <v>2580</v>
      </c>
      <c r="B51" t="s">
        <v>1077</v>
      </c>
      <c r="C51" t="s">
        <v>1096</v>
      </c>
      <c r="D51" t="s">
        <v>1428</v>
      </c>
      <c r="E51">
        <v>1</v>
      </c>
      <c r="F51" t="s">
        <v>4390</v>
      </c>
      <c r="P51" t="s">
        <v>4335</v>
      </c>
      <c r="Q51" t="s">
        <v>4392</v>
      </c>
      <c r="R51" t="s">
        <v>4393</v>
      </c>
      <c r="T51" t="s">
        <v>272</v>
      </c>
      <c r="U51">
        <v>0</v>
      </c>
      <c r="AE51">
        <v>13004</v>
      </c>
      <c r="AF51">
        <v>13004</v>
      </c>
      <c r="AG51">
        <v>13004</v>
      </c>
      <c r="AH51">
        <v>13004</v>
      </c>
      <c r="AI51">
        <v>13004</v>
      </c>
      <c r="AL51">
        <v>10974</v>
      </c>
      <c r="AM51">
        <v>10974</v>
      </c>
      <c r="AN51">
        <v>10974</v>
      </c>
      <c r="AO51">
        <v>10974</v>
      </c>
      <c r="AP51">
        <v>10974</v>
      </c>
      <c r="AR51">
        <v>8810</v>
      </c>
      <c r="AS51">
        <v>7428</v>
      </c>
      <c r="AT51" t="s">
        <v>605</v>
      </c>
    </row>
    <row r="52" spans="1:46" x14ac:dyDescent="0.2">
      <c r="A52" t="s">
        <v>2731</v>
      </c>
      <c r="B52" t="s">
        <v>1112</v>
      </c>
      <c r="C52" t="s">
        <v>2715</v>
      </c>
      <c r="D52" t="s">
        <v>1202</v>
      </c>
      <c r="E52">
        <v>2.2000000000000002</v>
      </c>
      <c r="F52" t="s">
        <v>2733</v>
      </c>
      <c r="G52" t="s">
        <v>1219</v>
      </c>
      <c r="H52" t="s">
        <v>1272</v>
      </c>
      <c r="I52" t="s">
        <v>1564</v>
      </c>
      <c r="J52" t="s">
        <v>612</v>
      </c>
      <c r="K52" t="s">
        <v>612</v>
      </c>
      <c r="L52" t="s">
        <v>612</v>
      </c>
      <c r="M52" t="s">
        <v>612</v>
      </c>
      <c r="N52" t="s">
        <v>612</v>
      </c>
      <c r="O52" t="s">
        <v>612</v>
      </c>
      <c r="P52" t="s">
        <v>4326</v>
      </c>
      <c r="Q52" t="s">
        <v>2733</v>
      </c>
      <c r="T52" t="s">
        <v>1410</v>
      </c>
      <c r="U52" t="s">
        <v>1212</v>
      </c>
      <c r="AR52" t="s">
        <v>612</v>
      </c>
      <c r="AS52" t="s">
        <v>612</v>
      </c>
      <c r="AT52" t="s">
        <v>605</v>
      </c>
    </row>
    <row r="53" spans="1:46" x14ac:dyDescent="0.2">
      <c r="A53" t="s">
        <v>2731</v>
      </c>
      <c r="B53" t="s">
        <v>1112</v>
      </c>
      <c r="C53" t="s">
        <v>2715</v>
      </c>
      <c r="D53" t="s">
        <v>1202</v>
      </c>
      <c r="E53">
        <v>2.2000000000000002</v>
      </c>
      <c r="F53" t="s">
        <v>2733</v>
      </c>
      <c r="P53" t="s">
        <v>4327</v>
      </c>
      <c r="Q53" t="s">
        <v>4394</v>
      </c>
      <c r="R53" t="s">
        <v>4332</v>
      </c>
      <c r="S53">
        <v>0.5</v>
      </c>
      <c r="T53" t="s">
        <v>272</v>
      </c>
      <c r="U53">
        <v>0</v>
      </c>
      <c r="V53">
        <v>1537</v>
      </c>
      <c r="X53">
        <v>1360</v>
      </c>
      <c r="Y53">
        <v>1360</v>
      </c>
      <c r="Z53">
        <v>1360</v>
      </c>
      <c r="AA53">
        <v>1360</v>
      </c>
      <c r="AB53">
        <v>1360</v>
      </c>
      <c r="AC53">
        <v>1839</v>
      </c>
      <c r="AE53">
        <v>1784</v>
      </c>
      <c r="AF53">
        <v>1784</v>
      </c>
      <c r="AG53">
        <v>1784</v>
      </c>
      <c r="AH53">
        <v>1784</v>
      </c>
      <c r="AI53">
        <v>1784</v>
      </c>
      <c r="AJ53">
        <v>1234</v>
      </c>
      <c r="AL53">
        <v>937</v>
      </c>
      <c r="AM53">
        <v>937</v>
      </c>
      <c r="AN53">
        <v>937</v>
      </c>
      <c r="AO53">
        <v>937</v>
      </c>
      <c r="AP53">
        <v>937</v>
      </c>
      <c r="AR53">
        <v>1104</v>
      </c>
      <c r="AS53">
        <v>895</v>
      </c>
      <c r="AT53" t="s">
        <v>605</v>
      </c>
    </row>
    <row r="54" spans="1:46" x14ac:dyDescent="0.2">
      <c r="A54" t="s">
        <v>2731</v>
      </c>
      <c r="B54" t="s">
        <v>1112</v>
      </c>
      <c r="C54" t="s">
        <v>2715</v>
      </c>
      <c r="D54" t="s">
        <v>1202</v>
      </c>
      <c r="E54">
        <v>2.2000000000000002</v>
      </c>
      <c r="F54" t="s">
        <v>2733</v>
      </c>
      <c r="P54" t="s">
        <v>4330</v>
      </c>
      <c r="Q54" t="s">
        <v>4329</v>
      </c>
      <c r="R54" t="s">
        <v>4329</v>
      </c>
      <c r="S54">
        <v>0.125</v>
      </c>
      <c r="T54" t="s">
        <v>272</v>
      </c>
      <c r="U54">
        <v>0</v>
      </c>
      <c r="V54">
        <v>72</v>
      </c>
      <c r="X54">
        <v>72</v>
      </c>
      <c r="Y54">
        <v>72</v>
      </c>
      <c r="Z54">
        <v>72</v>
      </c>
      <c r="AA54">
        <v>72</v>
      </c>
      <c r="AB54">
        <v>72</v>
      </c>
      <c r="AC54">
        <v>216</v>
      </c>
      <c r="AE54">
        <v>216</v>
      </c>
      <c r="AF54">
        <v>216</v>
      </c>
      <c r="AG54">
        <v>216</v>
      </c>
      <c r="AH54">
        <v>216</v>
      </c>
      <c r="AI54">
        <v>216</v>
      </c>
      <c r="AJ54">
        <v>0</v>
      </c>
      <c r="AL54">
        <v>0</v>
      </c>
      <c r="AM54">
        <v>0</v>
      </c>
      <c r="AN54">
        <v>0</v>
      </c>
      <c r="AO54">
        <v>0</v>
      </c>
      <c r="AP54">
        <v>0</v>
      </c>
      <c r="AR54">
        <v>20</v>
      </c>
      <c r="AS54">
        <v>40</v>
      </c>
      <c r="AT54" t="s">
        <v>605</v>
      </c>
    </row>
    <row r="55" spans="1:46" x14ac:dyDescent="0.2">
      <c r="A55" t="s">
        <v>2731</v>
      </c>
      <c r="B55" t="s">
        <v>1112</v>
      </c>
      <c r="C55" t="s">
        <v>2715</v>
      </c>
      <c r="D55" t="s">
        <v>1202</v>
      </c>
      <c r="E55">
        <v>2.2000000000000002</v>
      </c>
      <c r="F55" t="s">
        <v>2733</v>
      </c>
      <c r="P55" t="s">
        <v>4335</v>
      </c>
      <c r="Q55" t="s">
        <v>4395</v>
      </c>
      <c r="R55" t="s">
        <v>4358</v>
      </c>
      <c r="S55">
        <v>0.125</v>
      </c>
      <c r="T55" t="s">
        <v>272</v>
      </c>
      <c r="U55">
        <v>0</v>
      </c>
      <c r="V55">
        <v>17</v>
      </c>
      <c r="X55">
        <v>0</v>
      </c>
      <c r="Y55">
        <v>0</v>
      </c>
      <c r="Z55">
        <v>0</v>
      </c>
      <c r="AA55">
        <v>0</v>
      </c>
      <c r="AB55">
        <v>0</v>
      </c>
      <c r="AC55">
        <v>81</v>
      </c>
      <c r="AE55">
        <v>20</v>
      </c>
      <c r="AF55">
        <v>20</v>
      </c>
      <c r="AG55">
        <v>20</v>
      </c>
      <c r="AH55">
        <v>20</v>
      </c>
      <c r="AI55">
        <v>20</v>
      </c>
      <c r="AJ55">
        <v>0</v>
      </c>
      <c r="AL55">
        <v>0</v>
      </c>
      <c r="AM55">
        <v>0</v>
      </c>
      <c r="AN55">
        <v>0</v>
      </c>
      <c r="AO55">
        <v>0</v>
      </c>
      <c r="AP55">
        <v>0</v>
      </c>
      <c r="AR55">
        <v>1</v>
      </c>
      <c r="AS55">
        <v>1</v>
      </c>
      <c r="AT55" t="s">
        <v>606</v>
      </c>
    </row>
    <row r="56" spans="1:46" x14ac:dyDescent="0.2">
      <c r="A56" t="s">
        <v>2731</v>
      </c>
      <c r="B56" t="s">
        <v>1112</v>
      </c>
      <c r="C56" t="s">
        <v>2715</v>
      </c>
      <c r="D56" t="s">
        <v>1202</v>
      </c>
      <c r="E56">
        <v>2.2000000000000002</v>
      </c>
      <c r="F56" t="s">
        <v>2733</v>
      </c>
      <c r="P56" t="s">
        <v>4338</v>
      </c>
      <c r="Q56" t="s">
        <v>4396</v>
      </c>
      <c r="R56" t="s">
        <v>4337</v>
      </c>
      <c r="S56">
        <v>0.125</v>
      </c>
      <c r="T56" t="s">
        <v>272</v>
      </c>
      <c r="U56">
        <v>2</v>
      </c>
      <c r="V56">
        <v>0.92</v>
      </c>
      <c r="X56">
        <v>0.92</v>
      </c>
      <c r="Y56">
        <v>0.92</v>
      </c>
      <c r="Z56">
        <v>0.92</v>
      </c>
      <c r="AA56">
        <v>0.92</v>
      </c>
      <c r="AB56">
        <v>0.92</v>
      </c>
      <c r="AC56">
        <v>1.05</v>
      </c>
      <c r="AE56">
        <v>1.05</v>
      </c>
      <c r="AF56">
        <v>1.05</v>
      </c>
      <c r="AG56">
        <v>1.05</v>
      </c>
      <c r="AH56">
        <v>1.05</v>
      </c>
      <c r="AI56">
        <v>1.05</v>
      </c>
      <c r="AJ56">
        <v>0.79</v>
      </c>
      <c r="AL56">
        <v>0.79</v>
      </c>
      <c r="AM56">
        <v>0.79</v>
      </c>
      <c r="AN56">
        <v>0.79</v>
      </c>
      <c r="AO56">
        <v>0.79</v>
      </c>
      <c r="AP56">
        <v>0.79</v>
      </c>
      <c r="AR56">
        <v>0.72599999999999998</v>
      </c>
      <c r="AS56">
        <v>0.84599999999999997</v>
      </c>
      <c r="AT56" t="s">
        <v>605</v>
      </c>
    </row>
    <row r="57" spans="1:46" x14ac:dyDescent="0.2">
      <c r="A57" t="s">
        <v>2731</v>
      </c>
      <c r="B57" t="s">
        <v>1112</v>
      </c>
      <c r="C57" t="s">
        <v>2715</v>
      </c>
      <c r="D57" t="s">
        <v>1202</v>
      </c>
      <c r="E57">
        <v>2.2000000000000002</v>
      </c>
      <c r="F57" t="s">
        <v>2733</v>
      </c>
      <c r="P57" t="s">
        <v>4367</v>
      </c>
      <c r="Q57" t="s">
        <v>4397</v>
      </c>
      <c r="R57" t="s">
        <v>4340</v>
      </c>
      <c r="S57">
        <v>0.125</v>
      </c>
      <c r="T57" t="s">
        <v>665</v>
      </c>
      <c r="U57">
        <v>2</v>
      </c>
      <c r="V57">
        <v>0.04</v>
      </c>
      <c r="X57">
        <v>0.02</v>
      </c>
      <c r="Y57">
        <v>0.02</v>
      </c>
      <c r="Z57">
        <v>0.02</v>
      </c>
      <c r="AA57">
        <v>0.02</v>
      </c>
      <c r="AB57">
        <v>0.02</v>
      </c>
      <c r="AC57">
        <v>0.13</v>
      </c>
      <c r="AE57">
        <v>0.08</v>
      </c>
      <c r="AF57">
        <v>0.08</v>
      </c>
      <c r="AG57">
        <v>0.08</v>
      </c>
      <c r="AH57">
        <v>0.08</v>
      </c>
      <c r="AI57">
        <v>0.08</v>
      </c>
      <c r="AJ57">
        <v>0.02</v>
      </c>
      <c r="AL57">
        <v>0</v>
      </c>
      <c r="AM57">
        <v>0</v>
      </c>
      <c r="AN57">
        <v>0</v>
      </c>
      <c r="AO57">
        <v>0</v>
      </c>
      <c r="AP57">
        <v>0</v>
      </c>
      <c r="AR57">
        <v>9.0999999999999998E-2</v>
      </c>
      <c r="AS57">
        <v>0.106</v>
      </c>
      <c r="AT57" t="s">
        <v>606</v>
      </c>
    </row>
    <row r="58" spans="1:46" x14ac:dyDescent="0.2">
      <c r="A58" t="s">
        <v>2736</v>
      </c>
      <c r="B58" t="s">
        <v>1112</v>
      </c>
      <c r="C58" t="s">
        <v>2715</v>
      </c>
      <c r="D58" t="s">
        <v>1202</v>
      </c>
      <c r="E58">
        <v>2.2999999999999998</v>
      </c>
      <c r="F58" t="s">
        <v>2738</v>
      </c>
      <c r="G58" t="s">
        <v>1219</v>
      </c>
      <c r="H58" t="s">
        <v>1272</v>
      </c>
      <c r="I58" t="s">
        <v>1564</v>
      </c>
      <c r="J58" t="s">
        <v>612</v>
      </c>
      <c r="K58" t="s">
        <v>612</v>
      </c>
      <c r="L58" t="s">
        <v>612</v>
      </c>
      <c r="M58" t="s">
        <v>612</v>
      </c>
      <c r="N58" t="s">
        <v>612</v>
      </c>
      <c r="O58" t="s">
        <v>612</v>
      </c>
      <c r="P58" t="s">
        <v>4326</v>
      </c>
      <c r="Q58" t="s">
        <v>2738</v>
      </c>
      <c r="T58" t="s">
        <v>1410</v>
      </c>
      <c r="U58" t="s">
        <v>1212</v>
      </c>
      <c r="AR58" t="s">
        <v>612</v>
      </c>
      <c r="AS58" t="s">
        <v>612</v>
      </c>
      <c r="AT58" t="s">
        <v>605</v>
      </c>
    </row>
    <row r="59" spans="1:46" x14ac:dyDescent="0.2">
      <c r="A59" t="s">
        <v>2736</v>
      </c>
      <c r="B59" t="s">
        <v>1112</v>
      </c>
      <c r="C59" t="s">
        <v>2715</v>
      </c>
      <c r="D59" t="s">
        <v>1202</v>
      </c>
      <c r="E59">
        <v>2.2999999999999998</v>
      </c>
      <c r="F59" t="s">
        <v>2738</v>
      </c>
      <c r="P59" t="s">
        <v>4327</v>
      </c>
      <c r="Q59" t="s">
        <v>4398</v>
      </c>
      <c r="R59" t="s">
        <v>4342</v>
      </c>
      <c r="S59">
        <v>0.3</v>
      </c>
      <c r="T59" t="s">
        <v>264</v>
      </c>
      <c r="U59">
        <v>2</v>
      </c>
      <c r="V59">
        <v>0.05</v>
      </c>
      <c r="X59">
        <v>0.05</v>
      </c>
      <c r="Y59">
        <v>0.05</v>
      </c>
      <c r="Z59">
        <v>0.05</v>
      </c>
      <c r="AA59">
        <v>0.05</v>
      </c>
      <c r="AB59">
        <v>0.05</v>
      </c>
      <c r="AC59">
        <v>0.15</v>
      </c>
      <c r="AE59">
        <v>0.15</v>
      </c>
      <c r="AF59">
        <v>0.15</v>
      </c>
      <c r="AG59">
        <v>0.15</v>
      </c>
      <c r="AH59">
        <v>0.15</v>
      </c>
      <c r="AI59">
        <v>0.15</v>
      </c>
      <c r="AJ59">
        <v>0</v>
      </c>
      <c r="AL59">
        <v>0</v>
      </c>
      <c r="AM59">
        <v>0</v>
      </c>
      <c r="AN59">
        <v>0</v>
      </c>
      <c r="AO59">
        <v>0</v>
      </c>
      <c r="AP59">
        <v>0</v>
      </c>
      <c r="AR59">
        <v>3.3000000000000002E-2</v>
      </c>
      <c r="AS59">
        <v>3.3000000000000002E-2</v>
      </c>
      <c r="AT59" t="s">
        <v>605</v>
      </c>
    </row>
    <row r="60" spans="1:46" x14ac:dyDescent="0.2">
      <c r="A60" t="s">
        <v>2736</v>
      </c>
      <c r="B60" t="s">
        <v>1112</v>
      </c>
      <c r="C60" t="s">
        <v>2715</v>
      </c>
      <c r="D60" t="s">
        <v>1202</v>
      </c>
      <c r="E60">
        <v>2.2999999999999998</v>
      </c>
      <c r="F60" t="s">
        <v>2738</v>
      </c>
      <c r="P60" t="s">
        <v>4330</v>
      </c>
      <c r="Q60" t="s">
        <v>4399</v>
      </c>
      <c r="R60" t="s">
        <v>4344</v>
      </c>
      <c r="S60">
        <v>0.3</v>
      </c>
      <c r="T60" t="s">
        <v>264</v>
      </c>
      <c r="U60">
        <v>2</v>
      </c>
      <c r="V60">
        <v>0</v>
      </c>
      <c r="X60">
        <v>0</v>
      </c>
      <c r="Y60">
        <v>0</v>
      </c>
      <c r="Z60">
        <v>0</v>
      </c>
      <c r="AA60">
        <v>0</v>
      </c>
      <c r="AB60">
        <v>0</v>
      </c>
      <c r="AC60">
        <v>4.1900000000000004</v>
      </c>
      <c r="AE60">
        <v>2.1</v>
      </c>
      <c r="AF60">
        <v>2.1</v>
      </c>
      <c r="AG60">
        <v>2.1</v>
      </c>
      <c r="AH60">
        <v>2.1</v>
      </c>
      <c r="AI60">
        <v>2.1</v>
      </c>
      <c r="AJ60">
        <v>0</v>
      </c>
      <c r="AL60">
        <v>0</v>
      </c>
      <c r="AM60">
        <v>0</v>
      </c>
      <c r="AN60">
        <v>0</v>
      </c>
      <c r="AO60">
        <v>0</v>
      </c>
      <c r="AP60">
        <v>0</v>
      </c>
      <c r="AR60">
        <v>0</v>
      </c>
      <c r="AS60">
        <v>0</v>
      </c>
      <c r="AT60" t="s">
        <v>605</v>
      </c>
    </row>
    <row r="61" spans="1:46" x14ac:dyDescent="0.2">
      <c r="A61" t="s">
        <v>2736</v>
      </c>
      <c r="B61" t="s">
        <v>1112</v>
      </c>
      <c r="C61" t="s">
        <v>2715</v>
      </c>
      <c r="D61" t="s">
        <v>1202</v>
      </c>
      <c r="E61">
        <v>2.2999999999999998</v>
      </c>
      <c r="F61" t="s">
        <v>2738</v>
      </c>
      <c r="P61" t="s">
        <v>4335</v>
      </c>
      <c r="Q61" t="s">
        <v>4400</v>
      </c>
      <c r="R61" t="s">
        <v>4345</v>
      </c>
      <c r="S61">
        <v>0.2</v>
      </c>
      <c r="T61" t="s">
        <v>272</v>
      </c>
      <c r="U61">
        <v>0</v>
      </c>
      <c r="V61">
        <v>0</v>
      </c>
      <c r="X61">
        <v>0</v>
      </c>
      <c r="Y61">
        <v>0</v>
      </c>
      <c r="Z61">
        <v>0</v>
      </c>
      <c r="AA61">
        <v>0</v>
      </c>
      <c r="AB61">
        <v>0</v>
      </c>
      <c r="AC61">
        <v>4</v>
      </c>
      <c r="AE61">
        <v>2</v>
      </c>
      <c r="AF61">
        <v>2</v>
      </c>
      <c r="AG61">
        <v>2</v>
      </c>
      <c r="AH61">
        <v>2</v>
      </c>
      <c r="AI61">
        <v>2</v>
      </c>
      <c r="AJ61">
        <v>0</v>
      </c>
      <c r="AL61">
        <v>0</v>
      </c>
      <c r="AM61">
        <v>0</v>
      </c>
      <c r="AN61">
        <v>0</v>
      </c>
      <c r="AO61">
        <v>0</v>
      </c>
      <c r="AP61">
        <v>0</v>
      </c>
      <c r="AR61">
        <v>0</v>
      </c>
      <c r="AS61">
        <v>0</v>
      </c>
      <c r="AT61" t="s">
        <v>605</v>
      </c>
    </row>
    <row r="62" spans="1:46" x14ac:dyDescent="0.2">
      <c r="A62" t="s">
        <v>2736</v>
      </c>
      <c r="B62" t="s">
        <v>1112</v>
      </c>
      <c r="C62" t="s">
        <v>2715</v>
      </c>
      <c r="D62" t="s">
        <v>1202</v>
      </c>
      <c r="E62">
        <v>2.2999999999999998</v>
      </c>
      <c r="F62" t="s">
        <v>2738</v>
      </c>
      <c r="P62" t="s">
        <v>4338</v>
      </c>
      <c r="Q62" t="s">
        <v>4401</v>
      </c>
      <c r="R62" t="s">
        <v>4377</v>
      </c>
      <c r="S62">
        <v>0.15</v>
      </c>
      <c r="T62" t="s">
        <v>272</v>
      </c>
      <c r="U62">
        <v>0</v>
      </c>
      <c r="V62">
        <v>0</v>
      </c>
      <c r="X62">
        <v>0</v>
      </c>
      <c r="Y62">
        <v>0</v>
      </c>
      <c r="Z62">
        <v>0</v>
      </c>
      <c r="AA62">
        <v>0</v>
      </c>
      <c r="AB62">
        <v>0</v>
      </c>
      <c r="AC62">
        <v>2</v>
      </c>
      <c r="AE62">
        <v>1</v>
      </c>
      <c r="AF62">
        <v>1</v>
      </c>
      <c r="AG62">
        <v>1</v>
      </c>
      <c r="AH62">
        <v>1</v>
      </c>
      <c r="AI62">
        <v>1</v>
      </c>
      <c r="AJ62">
        <v>0</v>
      </c>
      <c r="AL62">
        <v>0</v>
      </c>
      <c r="AM62">
        <v>0</v>
      </c>
      <c r="AN62">
        <v>0</v>
      </c>
      <c r="AO62">
        <v>0</v>
      </c>
      <c r="AP62">
        <v>0</v>
      </c>
      <c r="AR62">
        <v>0</v>
      </c>
      <c r="AS62">
        <v>2</v>
      </c>
      <c r="AT62" t="s">
        <v>606</v>
      </c>
    </row>
    <row r="63" spans="1:46" x14ac:dyDescent="0.2">
      <c r="A63" t="s">
        <v>2736</v>
      </c>
      <c r="B63" t="s">
        <v>1112</v>
      </c>
      <c r="C63" t="s">
        <v>2715</v>
      </c>
      <c r="D63" t="s">
        <v>1202</v>
      </c>
      <c r="E63">
        <v>2.2999999999999998</v>
      </c>
      <c r="F63" t="s">
        <v>2738</v>
      </c>
      <c r="P63" t="s">
        <v>4367</v>
      </c>
      <c r="Q63" t="s">
        <v>4402</v>
      </c>
      <c r="R63" t="s">
        <v>4361</v>
      </c>
      <c r="S63">
        <v>0.05</v>
      </c>
      <c r="T63" t="s">
        <v>272</v>
      </c>
      <c r="U63">
        <v>0</v>
      </c>
      <c r="V63">
        <v>4019</v>
      </c>
      <c r="X63">
        <v>3756</v>
      </c>
      <c r="Y63">
        <v>3756</v>
      </c>
      <c r="Z63">
        <v>3756</v>
      </c>
      <c r="AA63">
        <v>3756</v>
      </c>
      <c r="AB63">
        <v>3756</v>
      </c>
      <c r="AC63">
        <v>4972</v>
      </c>
      <c r="AE63">
        <v>4818</v>
      </c>
      <c r="AF63">
        <v>4818</v>
      </c>
      <c r="AG63">
        <v>4818</v>
      </c>
      <c r="AH63">
        <v>4818</v>
      </c>
      <c r="AI63">
        <v>4818</v>
      </c>
      <c r="AJ63">
        <v>3066</v>
      </c>
      <c r="AL63">
        <v>2694</v>
      </c>
      <c r="AM63">
        <v>2694</v>
      </c>
      <c r="AN63">
        <v>2694</v>
      </c>
      <c r="AO63">
        <v>2694</v>
      </c>
      <c r="AP63">
        <v>2694</v>
      </c>
      <c r="AR63">
        <v>4045</v>
      </c>
      <c r="AS63">
        <v>3996</v>
      </c>
      <c r="AT63" t="s">
        <v>606</v>
      </c>
    </row>
    <row r="64" spans="1:46" x14ac:dyDescent="0.2">
      <c r="A64" t="s">
        <v>2984</v>
      </c>
      <c r="B64" t="s">
        <v>1077</v>
      </c>
      <c r="C64" t="s">
        <v>1090</v>
      </c>
      <c r="D64" t="s">
        <v>1428</v>
      </c>
      <c r="E64" t="s">
        <v>1465</v>
      </c>
      <c r="F64" t="s">
        <v>2986</v>
      </c>
      <c r="G64" t="s">
        <v>1219</v>
      </c>
      <c r="H64" t="s">
        <v>1377</v>
      </c>
      <c r="I64" t="s">
        <v>2618</v>
      </c>
      <c r="J64" t="s">
        <v>612</v>
      </c>
      <c r="K64">
        <v>100</v>
      </c>
      <c r="L64">
        <v>100</v>
      </c>
      <c r="M64">
        <v>100</v>
      </c>
      <c r="N64">
        <v>100</v>
      </c>
      <c r="O64">
        <v>100</v>
      </c>
      <c r="P64" t="s">
        <v>4326</v>
      </c>
      <c r="Q64" t="s">
        <v>2986</v>
      </c>
      <c r="T64" t="s">
        <v>264</v>
      </c>
      <c r="U64">
        <v>2</v>
      </c>
      <c r="AR64">
        <v>95.74</v>
      </c>
      <c r="AS64">
        <v>97.51</v>
      </c>
      <c r="AT64" t="s">
        <v>606</v>
      </c>
    </row>
    <row r="65" spans="1:46" x14ac:dyDescent="0.2">
      <c r="A65" t="s">
        <v>2984</v>
      </c>
      <c r="B65" t="s">
        <v>1077</v>
      </c>
      <c r="C65" t="s">
        <v>1090</v>
      </c>
      <c r="D65" t="s">
        <v>1428</v>
      </c>
      <c r="E65" t="s">
        <v>1465</v>
      </c>
      <c r="F65" t="s">
        <v>2986</v>
      </c>
      <c r="P65" t="s">
        <v>4327</v>
      </c>
      <c r="Q65" t="s">
        <v>4403</v>
      </c>
      <c r="R65" t="s">
        <v>4355</v>
      </c>
      <c r="S65">
        <v>0.25</v>
      </c>
      <c r="T65" t="s">
        <v>264</v>
      </c>
      <c r="U65">
        <v>2</v>
      </c>
      <c r="AR65">
        <v>99.86</v>
      </c>
      <c r="AS65">
        <v>99.01</v>
      </c>
    </row>
    <row r="66" spans="1:46" x14ac:dyDescent="0.2">
      <c r="A66" t="s">
        <v>2984</v>
      </c>
      <c r="B66" t="s">
        <v>1077</v>
      </c>
      <c r="C66" t="s">
        <v>1090</v>
      </c>
      <c r="D66" t="s">
        <v>1428</v>
      </c>
      <c r="E66" t="s">
        <v>1465</v>
      </c>
      <c r="F66" t="s">
        <v>2986</v>
      </c>
      <c r="P66" t="s">
        <v>4330</v>
      </c>
      <c r="Q66" t="s">
        <v>4404</v>
      </c>
      <c r="R66" t="s">
        <v>4405</v>
      </c>
      <c r="S66">
        <v>0.25</v>
      </c>
      <c r="T66" t="s">
        <v>264</v>
      </c>
      <c r="U66">
        <v>2</v>
      </c>
      <c r="AR66">
        <v>94.77</v>
      </c>
      <c r="AS66">
        <v>97.88</v>
      </c>
    </row>
    <row r="67" spans="1:46" x14ac:dyDescent="0.2">
      <c r="A67" t="s">
        <v>2984</v>
      </c>
      <c r="B67" t="s">
        <v>1077</v>
      </c>
      <c r="C67" t="s">
        <v>1090</v>
      </c>
      <c r="D67" t="s">
        <v>1428</v>
      </c>
      <c r="E67" t="s">
        <v>1465</v>
      </c>
      <c r="F67" t="s">
        <v>2986</v>
      </c>
      <c r="P67" t="s">
        <v>4335</v>
      </c>
      <c r="Q67" t="s">
        <v>4406</v>
      </c>
      <c r="R67" t="s">
        <v>4407</v>
      </c>
      <c r="S67">
        <v>0.25</v>
      </c>
      <c r="T67" t="s">
        <v>264</v>
      </c>
      <c r="U67">
        <v>2</v>
      </c>
      <c r="AR67">
        <v>88.72</v>
      </c>
      <c r="AS67">
        <v>93.18</v>
      </c>
    </row>
    <row r="68" spans="1:46" x14ac:dyDescent="0.2">
      <c r="A68" t="s">
        <v>2984</v>
      </c>
      <c r="B68" t="s">
        <v>1077</v>
      </c>
      <c r="C68" t="s">
        <v>1090</v>
      </c>
      <c r="D68" t="s">
        <v>1428</v>
      </c>
      <c r="E68" t="s">
        <v>1465</v>
      </c>
      <c r="F68" t="s">
        <v>2986</v>
      </c>
      <c r="P68" t="s">
        <v>4338</v>
      </c>
      <c r="Q68" t="s">
        <v>4408</v>
      </c>
      <c r="R68" t="s">
        <v>4409</v>
      </c>
      <c r="S68">
        <v>0.25</v>
      </c>
      <c r="T68" t="s">
        <v>264</v>
      </c>
      <c r="U68">
        <v>2</v>
      </c>
      <c r="AR68">
        <v>99.61</v>
      </c>
      <c r="AS68">
        <v>99.96</v>
      </c>
    </row>
    <row r="69" spans="1:46" x14ac:dyDescent="0.2">
      <c r="A69" t="s">
        <v>3004</v>
      </c>
      <c r="B69" t="s">
        <v>1077</v>
      </c>
      <c r="C69" t="s">
        <v>1090</v>
      </c>
      <c r="D69" t="s">
        <v>1428</v>
      </c>
      <c r="E69" t="s">
        <v>3005</v>
      </c>
      <c r="F69" t="s">
        <v>3007</v>
      </c>
      <c r="G69" t="s">
        <v>1207</v>
      </c>
      <c r="H69" t="s">
        <v>1377</v>
      </c>
      <c r="I69" t="s">
        <v>3008</v>
      </c>
      <c r="O69">
        <v>3</v>
      </c>
      <c r="P69" t="s">
        <v>4326</v>
      </c>
      <c r="Q69" t="s">
        <v>3007</v>
      </c>
      <c r="T69" t="s">
        <v>272</v>
      </c>
      <c r="U69">
        <v>0</v>
      </c>
      <c r="AS69" t="s">
        <v>4410</v>
      </c>
    </row>
    <row r="70" spans="1:46" x14ac:dyDescent="0.2">
      <c r="A70" t="s">
        <v>3004</v>
      </c>
      <c r="B70" t="s">
        <v>1077</v>
      </c>
      <c r="C70" t="s">
        <v>1090</v>
      </c>
      <c r="D70" t="s">
        <v>1428</v>
      </c>
      <c r="E70" t="s">
        <v>3005</v>
      </c>
      <c r="F70" t="s">
        <v>3007</v>
      </c>
      <c r="P70" t="s">
        <v>4327</v>
      </c>
      <c r="Q70" t="s">
        <v>4411</v>
      </c>
      <c r="R70" t="s">
        <v>4412</v>
      </c>
      <c r="T70" t="s">
        <v>272</v>
      </c>
      <c r="U70">
        <v>0</v>
      </c>
      <c r="AR70" t="s">
        <v>1710</v>
      </c>
      <c r="AS70" t="s">
        <v>1710</v>
      </c>
    </row>
    <row r="71" spans="1:46" x14ac:dyDescent="0.2">
      <c r="A71" t="s">
        <v>3004</v>
      </c>
      <c r="B71" t="s">
        <v>1077</v>
      </c>
      <c r="C71" t="s">
        <v>1090</v>
      </c>
      <c r="D71" t="s">
        <v>1428</v>
      </c>
      <c r="E71" t="s">
        <v>3005</v>
      </c>
      <c r="F71" t="s">
        <v>3007</v>
      </c>
      <c r="P71" t="s">
        <v>4330</v>
      </c>
      <c r="Q71" t="s">
        <v>4413</v>
      </c>
      <c r="R71" t="s">
        <v>4414</v>
      </c>
      <c r="T71" t="s">
        <v>272</v>
      </c>
      <c r="U71">
        <v>0</v>
      </c>
      <c r="AR71" t="s">
        <v>1710</v>
      </c>
      <c r="AS71" t="s">
        <v>1710</v>
      </c>
    </row>
    <row r="72" spans="1:46" x14ac:dyDescent="0.2">
      <c r="A72" t="s">
        <v>3004</v>
      </c>
      <c r="B72" t="s">
        <v>1077</v>
      </c>
      <c r="C72" t="s">
        <v>1090</v>
      </c>
      <c r="D72" t="s">
        <v>1428</v>
      </c>
      <c r="E72" t="s">
        <v>3005</v>
      </c>
      <c r="F72" t="s">
        <v>3007</v>
      </c>
      <c r="P72" t="s">
        <v>4335</v>
      </c>
      <c r="Q72" t="s">
        <v>4415</v>
      </c>
      <c r="R72" t="s">
        <v>4346</v>
      </c>
      <c r="T72" t="s">
        <v>272</v>
      </c>
      <c r="U72">
        <v>0</v>
      </c>
      <c r="AR72" t="s">
        <v>1710</v>
      </c>
      <c r="AS72" t="s">
        <v>1710</v>
      </c>
    </row>
    <row r="73" spans="1:46" x14ac:dyDescent="0.2">
      <c r="A73" t="s">
        <v>3004</v>
      </c>
      <c r="B73" t="s">
        <v>1077</v>
      </c>
      <c r="C73" t="s">
        <v>1090</v>
      </c>
      <c r="D73" t="s">
        <v>1428</v>
      </c>
      <c r="E73" t="s">
        <v>3005</v>
      </c>
      <c r="F73" t="s">
        <v>3007</v>
      </c>
      <c r="P73" t="s">
        <v>4338</v>
      </c>
      <c r="Q73" t="s">
        <v>4416</v>
      </c>
      <c r="R73" t="s">
        <v>4417</v>
      </c>
      <c r="T73" t="s">
        <v>272</v>
      </c>
      <c r="U73">
        <v>0</v>
      </c>
      <c r="AR73" t="s">
        <v>1710</v>
      </c>
      <c r="AS73" t="s">
        <v>1710</v>
      </c>
    </row>
    <row r="74" spans="1:46" x14ac:dyDescent="0.2">
      <c r="A74" t="s">
        <v>3058</v>
      </c>
      <c r="B74" t="s">
        <v>1077</v>
      </c>
      <c r="C74" t="s">
        <v>1093</v>
      </c>
      <c r="D74" t="s">
        <v>1202</v>
      </c>
      <c r="E74" t="s">
        <v>1225</v>
      </c>
      <c r="F74" t="s">
        <v>4418</v>
      </c>
      <c r="G74" t="s">
        <v>1219</v>
      </c>
      <c r="H74" t="s">
        <v>1272</v>
      </c>
      <c r="I74" t="s">
        <v>1564</v>
      </c>
      <c r="J74" t="s">
        <v>612</v>
      </c>
      <c r="K74" t="s">
        <v>612</v>
      </c>
      <c r="L74" t="s">
        <v>612</v>
      </c>
      <c r="M74" t="s">
        <v>612</v>
      </c>
      <c r="N74" t="s">
        <v>612</v>
      </c>
      <c r="O74" t="s">
        <v>612</v>
      </c>
      <c r="P74" t="s">
        <v>4326</v>
      </c>
      <c r="Q74" t="s">
        <v>4418</v>
      </c>
      <c r="T74" t="s">
        <v>1410</v>
      </c>
      <c r="U74" t="s">
        <v>1212</v>
      </c>
      <c r="AR74" t="s">
        <v>612</v>
      </c>
      <c r="AS74" t="s">
        <v>612</v>
      </c>
      <c r="AT74" t="s">
        <v>605</v>
      </c>
    </row>
    <row r="75" spans="1:46" x14ac:dyDescent="0.2">
      <c r="A75" t="s">
        <v>3058</v>
      </c>
      <c r="B75" t="s">
        <v>1077</v>
      </c>
      <c r="C75" t="s">
        <v>1093</v>
      </c>
      <c r="D75" t="s">
        <v>1202</v>
      </c>
      <c r="E75" t="s">
        <v>1225</v>
      </c>
      <c r="F75" t="s">
        <v>4418</v>
      </c>
      <c r="P75" t="s">
        <v>4327</v>
      </c>
      <c r="Q75" t="s">
        <v>4362</v>
      </c>
      <c r="R75" t="s">
        <v>4332</v>
      </c>
      <c r="T75" t="s">
        <v>272</v>
      </c>
      <c r="U75">
        <v>0</v>
      </c>
      <c r="X75">
        <v>2430</v>
      </c>
      <c r="Y75">
        <v>2430</v>
      </c>
      <c r="Z75">
        <v>2430</v>
      </c>
      <c r="AA75">
        <v>2430</v>
      </c>
      <c r="AB75">
        <v>2430</v>
      </c>
      <c r="AE75">
        <v>2900</v>
      </c>
      <c r="AF75">
        <v>2900</v>
      </c>
      <c r="AG75">
        <v>2900</v>
      </c>
      <c r="AH75">
        <v>2900</v>
      </c>
      <c r="AI75">
        <v>2900</v>
      </c>
      <c r="AL75">
        <v>1960</v>
      </c>
      <c r="AM75">
        <v>1960</v>
      </c>
      <c r="AN75">
        <v>1960</v>
      </c>
      <c r="AO75">
        <v>1960</v>
      </c>
      <c r="AP75">
        <v>1960</v>
      </c>
      <c r="AR75">
        <v>2650</v>
      </c>
      <c r="AS75">
        <v>2250</v>
      </c>
      <c r="AT75" t="s">
        <v>605</v>
      </c>
    </row>
    <row r="76" spans="1:46" x14ac:dyDescent="0.2">
      <c r="A76" t="s">
        <v>3058</v>
      </c>
      <c r="B76" t="s">
        <v>1077</v>
      </c>
      <c r="C76" t="s">
        <v>1093</v>
      </c>
      <c r="D76" t="s">
        <v>1202</v>
      </c>
      <c r="E76" t="s">
        <v>1225</v>
      </c>
      <c r="F76" t="s">
        <v>4418</v>
      </c>
      <c r="P76" t="s">
        <v>4330</v>
      </c>
      <c r="Q76" t="s">
        <v>4363</v>
      </c>
      <c r="R76" t="s">
        <v>4329</v>
      </c>
      <c r="T76" t="s">
        <v>272</v>
      </c>
      <c r="U76">
        <v>0</v>
      </c>
      <c r="X76">
        <v>437</v>
      </c>
      <c r="Y76">
        <v>437</v>
      </c>
      <c r="Z76">
        <v>437</v>
      </c>
      <c r="AA76">
        <v>437</v>
      </c>
      <c r="AB76">
        <v>437</v>
      </c>
      <c r="AE76">
        <v>1115</v>
      </c>
      <c r="AF76">
        <v>1115</v>
      </c>
      <c r="AG76">
        <v>1115</v>
      </c>
      <c r="AH76">
        <v>1115</v>
      </c>
      <c r="AI76">
        <v>1115</v>
      </c>
      <c r="AL76">
        <v>0</v>
      </c>
      <c r="AM76">
        <v>0</v>
      </c>
      <c r="AN76">
        <v>0</v>
      </c>
      <c r="AO76">
        <v>0</v>
      </c>
      <c r="AP76">
        <v>0</v>
      </c>
      <c r="AR76">
        <v>488</v>
      </c>
      <c r="AS76">
        <v>2466</v>
      </c>
      <c r="AT76" t="s">
        <v>606</v>
      </c>
    </row>
    <row r="77" spans="1:46" x14ac:dyDescent="0.2">
      <c r="A77" t="s">
        <v>3058</v>
      </c>
      <c r="B77" t="s">
        <v>1077</v>
      </c>
      <c r="C77" t="s">
        <v>1093</v>
      </c>
      <c r="D77" t="s">
        <v>1202</v>
      </c>
      <c r="E77" t="s">
        <v>1225</v>
      </c>
      <c r="F77" t="s">
        <v>4418</v>
      </c>
      <c r="P77" t="s">
        <v>4335</v>
      </c>
      <c r="Q77" t="s">
        <v>4364</v>
      </c>
      <c r="R77" t="s">
        <v>4365</v>
      </c>
      <c r="T77" t="s">
        <v>264</v>
      </c>
      <c r="U77">
        <v>2</v>
      </c>
      <c r="X77">
        <v>0.54</v>
      </c>
      <c r="Y77">
        <v>0.54</v>
      </c>
      <c r="Z77">
        <v>0.54</v>
      </c>
      <c r="AA77">
        <v>0.54</v>
      </c>
      <c r="AB77">
        <v>0.54</v>
      </c>
      <c r="AE77">
        <v>1.02</v>
      </c>
      <c r="AF77">
        <v>1.02</v>
      </c>
      <c r="AG77">
        <v>1.02</v>
      </c>
      <c r="AH77">
        <v>1.02</v>
      </c>
      <c r="AI77">
        <v>1.02</v>
      </c>
      <c r="AL77">
        <v>0.06</v>
      </c>
      <c r="AM77">
        <v>0.06</v>
      </c>
      <c r="AN77">
        <v>0.06</v>
      </c>
      <c r="AO77">
        <v>0.06</v>
      </c>
      <c r="AP77">
        <v>0.06</v>
      </c>
      <c r="AR77">
        <v>0.11</v>
      </c>
      <c r="AS77">
        <v>0.34</v>
      </c>
      <c r="AT77" t="s">
        <v>605</v>
      </c>
    </row>
    <row r="78" spans="1:46" x14ac:dyDescent="0.2">
      <c r="A78" t="s">
        <v>3058</v>
      </c>
      <c r="B78" t="s">
        <v>1077</v>
      </c>
      <c r="C78" t="s">
        <v>1093</v>
      </c>
      <c r="D78" t="s">
        <v>1202</v>
      </c>
      <c r="E78" t="s">
        <v>1225</v>
      </c>
      <c r="F78" t="s">
        <v>4418</v>
      </c>
      <c r="P78" t="s">
        <v>4338</v>
      </c>
      <c r="Q78" t="s">
        <v>4366</v>
      </c>
      <c r="R78" t="s">
        <v>4358</v>
      </c>
      <c r="T78" t="s">
        <v>272</v>
      </c>
      <c r="U78">
        <v>0</v>
      </c>
      <c r="X78">
        <v>204</v>
      </c>
      <c r="Y78">
        <v>204</v>
      </c>
      <c r="Z78">
        <v>204</v>
      </c>
      <c r="AA78">
        <v>204</v>
      </c>
      <c r="AB78">
        <v>204</v>
      </c>
      <c r="AE78">
        <v>287</v>
      </c>
      <c r="AF78">
        <v>287</v>
      </c>
      <c r="AG78">
        <v>287</v>
      </c>
      <c r="AH78">
        <v>287</v>
      </c>
      <c r="AI78">
        <v>287</v>
      </c>
      <c r="AL78">
        <v>121</v>
      </c>
      <c r="AM78">
        <v>121</v>
      </c>
      <c r="AN78">
        <v>121</v>
      </c>
      <c r="AO78">
        <v>121</v>
      </c>
      <c r="AP78">
        <v>121</v>
      </c>
      <c r="AR78">
        <v>167</v>
      </c>
      <c r="AS78">
        <v>167</v>
      </c>
      <c r="AT78" t="s">
        <v>605</v>
      </c>
    </row>
    <row r="79" spans="1:46" x14ac:dyDescent="0.2">
      <c r="A79" t="s">
        <v>3058</v>
      </c>
      <c r="B79" t="s">
        <v>1077</v>
      </c>
      <c r="C79" t="s">
        <v>1093</v>
      </c>
      <c r="D79" t="s">
        <v>1202</v>
      </c>
      <c r="E79" t="s">
        <v>1225</v>
      </c>
      <c r="F79" t="s">
        <v>4418</v>
      </c>
      <c r="P79" t="s">
        <v>4367</v>
      </c>
      <c r="Q79" t="s">
        <v>4336</v>
      </c>
      <c r="R79" t="s">
        <v>4337</v>
      </c>
      <c r="T79" t="s">
        <v>272</v>
      </c>
      <c r="U79">
        <v>2</v>
      </c>
      <c r="X79">
        <v>9.4600000000000009</v>
      </c>
      <c r="Y79">
        <v>9.4600000000000009</v>
      </c>
      <c r="Z79">
        <v>9.4600000000000009</v>
      </c>
      <c r="AA79">
        <v>9.4600000000000009</v>
      </c>
      <c r="AB79">
        <v>9.4600000000000009</v>
      </c>
      <c r="AE79">
        <v>12.13</v>
      </c>
      <c r="AF79">
        <v>12.13</v>
      </c>
      <c r="AG79">
        <v>12.13</v>
      </c>
      <c r="AH79">
        <v>12.13</v>
      </c>
      <c r="AI79">
        <v>12.13</v>
      </c>
      <c r="AL79">
        <v>6.79</v>
      </c>
      <c r="AM79">
        <v>6.79</v>
      </c>
      <c r="AN79">
        <v>6.79</v>
      </c>
      <c r="AO79">
        <v>6.79</v>
      </c>
      <c r="AP79">
        <v>6.79</v>
      </c>
      <c r="AR79">
        <v>2.72</v>
      </c>
      <c r="AS79">
        <v>2.34</v>
      </c>
      <c r="AT79" t="s">
        <v>605</v>
      </c>
    </row>
    <row r="80" spans="1:46" x14ac:dyDescent="0.2">
      <c r="A80" t="s">
        <v>3058</v>
      </c>
      <c r="B80" t="s">
        <v>1077</v>
      </c>
      <c r="C80" t="s">
        <v>1093</v>
      </c>
      <c r="D80" t="s">
        <v>1202</v>
      </c>
      <c r="E80" t="s">
        <v>1225</v>
      </c>
      <c r="F80" t="s">
        <v>4418</v>
      </c>
      <c r="P80" t="s">
        <v>4369</v>
      </c>
      <c r="Q80" t="s">
        <v>4419</v>
      </c>
      <c r="R80" t="s">
        <v>4340</v>
      </c>
      <c r="T80" t="s">
        <v>264</v>
      </c>
      <c r="U80">
        <v>2</v>
      </c>
      <c r="X80">
        <v>0.18</v>
      </c>
      <c r="Y80">
        <v>0.18</v>
      </c>
      <c r="Z80">
        <v>0.18</v>
      </c>
      <c r="AA80">
        <v>0.18</v>
      </c>
      <c r="AB80">
        <v>0.18</v>
      </c>
      <c r="AE80">
        <v>0.28999999999999998</v>
      </c>
      <c r="AF80">
        <v>0.28999999999999998</v>
      </c>
      <c r="AG80">
        <v>0.28999999999999998</v>
      </c>
      <c r="AH80">
        <v>0.28999999999999998</v>
      </c>
      <c r="AI80">
        <v>0.28999999999999998</v>
      </c>
      <c r="AL80">
        <v>7.0000000000000007E-2</v>
      </c>
      <c r="AM80">
        <v>7.0000000000000007E-2</v>
      </c>
      <c r="AN80">
        <v>7.0000000000000007E-2</v>
      </c>
      <c r="AO80">
        <v>7.0000000000000007E-2</v>
      </c>
      <c r="AP80">
        <v>7.0000000000000007E-2</v>
      </c>
      <c r="AR80">
        <v>0.1</v>
      </c>
      <c r="AS80">
        <v>0.13</v>
      </c>
      <c r="AT80" t="s">
        <v>605</v>
      </c>
    </row>
    <row r="81" spans="1:46" x14ac:dyDescent="0.2">
      <c r="A81" t="s">
        <v>3064</v>
      </c>
      <c r="B81" t="s">
        <v>1077</v>
      </c>
      <c r="C81" t="s">
        <v>1093</v>
      </c>
      <c r="D81" t="s">
        <v>1202</v>
      </c>
      <c r="E81" t="s">
        <v>1232</v>
      </c>
      <c r="F81" t="s">
        <v>4420</v>
      </c>
      <c r="G81" t="s">
        <v>1219</v>
      </c>
      <c r="H81" t="s">
        <v>1272</v>
      </c>
      <c r="I81" t="s">
        <v>1564</v>
      </c>
      <c r="J81" t="s">
        <v>612</v>
      </c>
      <c r="K81" t="s">
        <v>612</v>
      </c>
      <c r="L81" t="s">
        <v>612</v>
      </c>
      <c r="M81" t="s">
        <v>612</v>
      </c>
      <c r="N81" t="s">
        <v>612</v>
      </c>
      <c r="O81" t="s">
        <v>612</v>
      </c>
      <c r="P81" t="s">
        <v>4326</v>
      </c>
      <c r="Q81" t="s">
        <v>4420</v>
      </c>
      <c r="T81" t="s">
        <v>1410</v>
      </c>
      <c r="U81" t="s">
        <v>1212</v>
      </c>
      <c r="AR81" t="s">
        <v>612</v>
      </c>
      <c r="AS81" t="s">
        <v>612</v>
      </c>
      <c r="AT81" t="s">
        <v>605</v>
      </c>
    </row>
    <row r="82" spans="1:46" x14ac:dyDescent="0.2">
      <c r="A82" t="s">
        <v>3064</v>
      </c>
      <c r="B82" t="s">
        <v>1077</v>
      </c>
      <c r="C82" t="s">
        <v>1093</v>
      </c>
      <c r="D82" t="s">
        <v>1202</v>
      </c>
      <c r="E82" t="s">
        <v>1232</v>
      </c>
      <c r="F82" t="s">
        <v>4420</v>
      </c>
      <c r="P82" t="s">
        <v>4327</v>
      </c>
      <c r="Q82" t="s">
        <v>4380</v>
      </c>
      <c r="R82" t="s">
        <v>4342</v>
      </c>
      <c r="T82" t="s">
        <v>264</v>
      </c>
      <c r="U82">
        <v>2</v>
      </c>
      <c r="X82">
        <v>7.0000000000000007E-2</v>
      </c>
      <c r="Y82">
        <v>7.0000000000000007E-2</v>
      </c>
      <c r="Z82">
        <v>7.0000000000000007E-2</v>
      </c>
      <c r="AA82">
        <v>7.0000000000000007E-2</v>
      </c>
      <c r="AB82">
        <v>7.0000000000000007E-2</v>
      </c>
      <c r="AE82">
        <v>0.12</v>
      </c>
      <c r="AF82">
        <v>0.12</v>
      </c>
      <c r="AG82">
        <v>0.12</v>
      </c>
      <c r="AH82">
        <v>0.12</v>
      </c>
      <c r="AI82">
        <v>0.12</v>
      </c>
      <c r="AL82">
        <v>0.02</v>
      </c>
      <c r="AM82">
        <v>0.02</v>
      </c>
      <c r="AN82">
        <v>0.02</v>
      </c>
      <c r="AO82">
        <v>0.02</v>
      </c>
      <c r="AP82">
        <v>0.02</v>
      </c>
      <c r="AR82">
        <v>0</v>
      </c>
      <c r="AS82">
        <v>0.04</v>
      </c>
      <c r="AT82" t="s">
        <v>605</v>
      </c>
    </row>
    <row r="83" spans="1:46" x14ac:dyDescent="0.2">
      <c r="A83" t="s">
        <v>3064</v>
      </c>
      <c r="B83" t="s">
        <v>1077</v>
      </c>
      <c r="C83" t="s">
        <v>1093</v>
      </c>
      <c r="D83" t="s">
        <v>1202</v>
      </c>
      <c r="E83" t="s">
        <v>1232</v>
      </c>
      <c r="F83" t="s">
        <v>4420</v>
      </c>
      <c r="P83" t="s">
        <v>4330</v>
      </c>
      <c r="Q83" t="s">
        <v>4381</v>
      </c>
      <c r="R83" t="s">
        <v>4344</v>
      </c>
      <c r="T83" t="s">
        <v>264</v>
      </c>
      <c r="U83">
        <v>2</v>
      </c>
      <c r="X83">
        <v>0</v>
      </c>
      <c r="Y83">
        <v>0</v>
      </c>
      <c r="Z83">
        <v>0</v>
      </c>
      <c r="AA83">
        <v>0</v>
      </c>
      <c r="AB83">
        <v>0</v>
      </c>
      <c r="AE83">
        <v>0.6</v>
      </c>
      <c r="AF83">
        <v>0.6</v>
      </c>
      <c r="AG83">
        <v>0.6</v>
      </c>
      <c r="AH83">
        <v>0.6</v>
      </c>
      <c r="AI83">
        <v>0.6</v>
      </c>
      <c r="AL83">
        <v>0</v>
      </c>
      <c r="AM83">
        <v>0</v>
      </c>
      <c r="AN83">
        <v>0</v>
      </c>
      <c r="AO83">
        <v>0</v>
      </c>
      <c r="AP83">
        <v>0</v>
      </c>
      <c r="AR83">
        <v>0</v>
      </c>
      <c r="AS83">
        <v>0</v>
      </c>
      <c r="AT83" t="s">
        <v>605</v>
      </c>
    </row>
    <row r="84" spans="1:46" x14ac:dyDescent="0.2">
      <c r="A84" t="s">
        <v>3064</v>
      </c>
      <c r="B84" t="s">
        <v>1077</v>
      </c>
      <c r="C84" t="s">
        <v>1093</v>
      </c>
      <c r="D84" t="s">
        <v>1202</v>
      </c>
      <c r="E84" t="s">
        <v>1232</v>
      </c>
      <c r="F84" t="s">
        <v>4420</v>
      </c>
      <c r="P84" t="s">
        <v>4335</v>
      </c>
      <c r="Q84" t="s">
        <v>4382</v>
      </c>
      <c r="R84" t="s">
        <v>4345</v>
      </c>
      <c r="T84" t="s">
        <v>272</v>
      </c>
      <c r="U84">
        <v>0</v>
      </c>
      <c r="X84">
        <v>2</v>
      </c>
      <c r="Y84">
        <v>2</v>
      </c>
      <c r="Z84">
        <v>2</v>
      </c>
      <c r="AA84">
        <v>2</v>
      </c>
      <c r="AB84">
        <v>2</v>
      </c>
      <c r="AE84">
        <v>4</v>
      </c>
      <c r="AF84">
        <v>4</v>
      </c>
      <c r="AG84">
        <v>4</v>
      </c>
      <c r="AH84">
        <v>4</v>
      </c>
      <c r="AI84">
        <v>4</v>
      </c>
      <c r="AL84">
        <v>0</v>
      </c>
      <c r="AM84">
        <v>0</v>
      </c>
      <c r="AN84">
        <v>0</v>
      </c>
      <c r="AO84">
        <v>0</v>
      </c>
      <c r="AP84">
        <v>0</v>
      </c>
      <c r="AR84">
        <v>0</v>
      </c>
      <c r="AS84">
        <v>0</v>
      </c>
      <c r="AT84" t="s">
        <v>605</v>
      </c>
    </row>
    <row r="85" spans="1:46" x14ac:dyDescent="0.2">
      <c r="A85" t="s">
        <v>3064</v>
      </c>
      <c r="B85" t="s">
        <v>1077</v>
      </c>
      <c r="C85" t="s">
        <v>1093</v>
      </c>
      <c r="D85" t="s">
        <v>1202</v>
      </c>
      <c r="E85" t="s">
        <v>1232</v>
      </c>
      <c r="F85" t="s">
        <v>4420</v>
      </c>
      <c r="P85" t="s">
        <v>4338</v>
      </c>
      <c r="Q85" t="s">
        <v>4383</v>
      </c>
      <c r="R85" t="s">
        <v>4377</v>
      </c>
      <c r="T85" t="s">
        <v>272</v>
      </c>
      <c r="U85">
        <v>0</v>
      </c>
      <c r="X85">
        <v>0</v>
      </c>
      <c r="Y85">
        <v>0</v>
      </c>
      <c r="Z85">
        <v>0</v>
      </c>
      <c r="AA85">
        <v>0</v>
      </c>
      <c r="AB85">
        <v>0</v>
      </c>
      <c r="AE85">
        <v>1</v>
      </c>
      <c r="AF85">
        <v>1</v>
      </c>
      <c r="AG85">
        <v>1</v>
      </c>
      <c r="AH85">
        <v>1</v>
      </c>
      <c r="AI85">
        <v>1</v>
      </c>
      <c r="AL85">
        <v>0</v>
      </c>
      <c r="AM85">
        <v>0</v>
      </c>
      <c r="AN85">
        <v>0</v>
      </c>
      <c r="AO85">
        <v>0</v>
      </c>
      <c r="AP85">
        <v>0</v>
      </c>
      <c r="AR85">
        <v>0</v>
      </c>
      <c r="AS85">
        <v>0</v>
      </c>
      <c r="AT85" t="s">
        <v>605</v>
      </c>
    </row>
    <row r="86" spans="1:46" x14ac:dyDescent="0.2">
      <c r="A86" t="s">
        <v>3064</v>
      </c>
      <c r="B86" t="s">
        <v>1077</v>
      </c>
      <c r="C86" t="s">
        <v>1093</v>
      </c>
      <c r="D86" t="s">
        <v>1202</v>
      </c>
      <c r="E86" t="s">
        <v>1232</v>
      </c>
      <c r="F86" t="s">
        <v>4420</v>
      </c>
      <c r="P86" t="s">
        <v>4367</v>
      </c>
      <c r="Q86" t="s">
        <v>4421</v>
      </c>
      <c r="R86" t="s">
        <v>4361</v>
      </c>
      <c r="T86" t="s">
        <v>272</v>
      </c>
      <c r="U86">
        <v>0</v>
      </c>
      <c r="X86">
        <v>2237</v>
      </c>
      <c r="Y86">
        <v>2237</v>
      </c>
      <c r="Z86">
        <v>2237</v>
      </c>
      <c r="AA86">
        <v>2237</v>
      </c>
      <c r="AB86">
        <v>2237</v>
      </c>
      <c r="AE86">
        <v>2861</v>
      </c>
      <c r="AF86">
        <v>2861</v>
      </c>
      <c r="AG86">
        <v>2861</v>
      </c>
      <c r="AH86">
        <v>2861</v>
      </c>
      <c r="AI86">
        <v>2861</v>
      </c>
      <c r="AL86">
        <v>1613</v>
      </c>
      <c r="AM86">
        <v>1613</v>
      </c>
      <c r="AN86">
        <v>1613</v>
      </c>
      <c r="AO86">
        <v>1613</v>
      </c>
      <c r="AP86">
        <v>1613</v>
      </c>
      <c r="AR86">
        <v>2822</v>
      </c>
      <c r="AS86">
        <v>3010</v>
      </c>
      <c r="AT86" t="s">
        <v>606</v>
      </c>
    </row>
    <row r="87" spans="1:46" x14ac:dyDescent="0.2">
      <c r="A87" t="s">
        <v>3187</v>
      </c>
      <c r="B87" t="s">
        <v>1077</v>
      </c>
      <c r="C87" t="s">
        <v>1093</v>
      </c>
      <c r="D87" t="s">
        <v>1428</v>
      </c>
      <c r="E87" t="s">
        <v>1442</v>
      </c>
      <c r="F87" t="s">
        <v>4422</v>
      </c>
      <c r="G87" t="s">
        <v>1219</v>
      </c>
      <c r="H87" t="s">
        <v>1495</v>
      </c>
      <c r="I87" t="s">
        <v>1564</v>
      </c>
      <c r="J87" t="s">
        <v>612</v>
      </c>
      <c r="K87" t="s">
        <v>612</v>
      </c>
      <c r="L87" t="s">
        <v>612</v>
      </c>
      <c r="M87" t="s">
        <v>612</v>
      </c>
      <c r="N87" t="s">
        <v>612</v>
      </c>
      <c r="O87" t="s">
        <v>612</v>
      </c>
      <c r="P87" t="s">
        <v>4326</v>
      </c>
      <c r="Q87" t="s">
        <v>4422</v>
      </c>
      <c r="T87" t="s">
        <v>1410</v>
      </c>
      <c r="U87" t="s">
        <v>1212</v>
      </c>
      <c r="AR87" t="s">
        <v>612</v>
      </c>
      <c r="AS87" t="s">
        <v>612</v>
      </c>
      <c r="AT87" t="s">
        <v>605</v>
      </c>
    </row>
    <row r="88" spans="1:46" x14ac:dyDescent="0.2">
      <c r="A88" t="s">
        <v>3187</v>
      </c>
      <c r="B88" t="s">
        <v>1077</v>
      </c>
      <c r="C88" t="s">
        <v>1093</v>
      </c>
      <c r="D88" t="s">
        <v>1428</v>
      </c>
      <c r="E88" t="s">
        <v>1442</v>
      </c>
      <c r="F88" t="s">
        <v>4422</v>
      </c>
      <c r="P88" t="s">
        <v>4327</v>
      </c>
      <c r="Q88" t="s">
        <v>4347</v>
      </c>
      <c r="R88" t="s">
        <v>4348</v>
      </c>
      <c r="T88" t="s">
        <v>272</v>
      </c>
      <c r="U88">
        <v>0</v>
      </c>
      <c r="X88">
        <v>167</v>
      </c>
      <c r="Y88">
        <v>167</v>
      </c>
      <c r="Z88">
        <v>167</v>
      </c>
      <c r="AA88">
        <v>167</v>
      </c>
      <c r="AB88">
        <v>167</v>
      </c>
      <c r="AE88">
        <v>221</v>
      </c>
      <c r="AF88">
        <v>221</v>
      </c>
      <c r="AG88">
        <v>221</v>
      </c>
      <c r="AH88">
        <v>221</v>
      </c>
      <c r="AI88">
        <v>221</v>
      </c>
      <c r="AL88">
        <v>113</v>
      </c>
      <c r="AM88">
        <v>113</v>
      </c>
      <c r="AN88">
        <v>113</v>
      </c>
      <c r="AO88">
        <v>113</v>
      </c>
      <c r="AP88">
        <v>113</v>
      </c>
      <c r="AR88">
        <v>152</v>
      </c>
      <c r="AS88">
        <v>161</v>
      </c>
      <c r="AT88" t="s">
        <v>605</v>
      </c>
    </row>
    <row r="89" spans="1:46" x14ac:dyDescent="0.2">
      <c r="A89" t="s">
        <v>3187</v>
      </c>
      <c r="B89" t="s">
        <v>1077</v>
      </c>
      <c r="C89" t="s">
        <v>1093</v>
      </c>
      <c r="D89" t="s">
        <v>1428</v>
      </c>
      <c r="E89" t="s">
        <v>1442</v>
      </c>
      <c r="F89" t="s">
        <v>4422</v>
      </c>
      <c r="P89" t="s">
        <v>4330</v>
      </c>
      <c r="Q89" t="s">
        <v>4423</v>
      </c>
      <c r="R89" t="s">
        <v>4346</v>
      </c>
      <c r="T89" t="s">
        <v>272</v>
      </c>
      <c r="U89">
        <v>0</v>
      </c>
      <c r="X89">
        <v>70</v>
      </c>
      <c r="Y89">
        <v>70</v>
      </c>
      <c r="Z89">
        <v>70</v>
      </c>
      <c r="AA89">
        <v>70</v>
      </c>
      <c r="AB89">
        <v>70</v>
      </c>
      <c r="AE89">
        <v>100</v>
      </c>
      <c r="AF89">
        <v>100</v>
      </c>
      <c r="AG89">
        <v>100</v>
      </c>
      <c r="AH89">
        <v>100</v>
      </c>
      <c r="AI89">
        <v>100</v>
      </c>
      <c r="AL89">
        <v>40</v>
      </c>
      <c r="AM89">
        <v>40</v>
      </c>
      <c r="AN89">
        <v>40</v>
      </c>
      <c r="AO89">
        <v>40</v>
      </c>
      <c r="AP89">
        <v>40</v>
      </c>
      <c r="AR89">
        <v>87</v>
      </c>
      <c r="AS89">
        <v>97</v>
      </c>
      <c r="AT89" t="s">
        <v>605</v>
      </c>
    </row>
    <row r="90" spans="1:46" x14ac:dyDescent="0.2">
      <c r="A90" t="s">
        <v>3187</v>
      </c>
      <c r="B90" t="s">
        <v>1077</v>
      </c>
      <c r="C90" t="s">
        <v>1093</v>
      </c>
      <c r="D90" t="s">
        <v>1428</v>
      </c>
      <c r="E90" t="s">
        <v>1442</v>
      </c>
      <c r="F90" t="s">
        <v>4422</v>
      </c>
      <c r="P90" t="s">
        <v>4335</v>
      </c>
      <c r="Q90" t="s">
        <v>4424</v>
      </c>
      <c r="R90" t="s">
        <v>4350</v>
      </c>
      <c r="T90" t="s">
        <v>272</v>
      </c>
      <c r="U90">
        <v>0</v>
      </c>
      <c r="X90">
        <v>80</v>
      </c>
      <c r="Y90">
        <v>80</v>
      </c>
      <c r="Z90">
        <v>80</v>
      </c>
      <c r="AA90">
        <v>80</v>
      </c>
      <c r="AB90">
        <v>80</v>
      </c>
      <c r="AE90">
        <v>110</v>
      </c>
      <c r="AF90">
        <v>110</v>
      </c>
      <c r="AG90">
        <v>110</v>
      </c>
      <c r="AH90">
        <v>110</v>
      </c>
      <c r="AI90">
        <v>110</v>
      </c>
      <c r="AL90">
        <v>50</v>
      </c>
      <c r="AM90">
        <v>50</v>
      </c>
      <c r="AN90">
        <v>50</v>
      </c>
      <c r="AO90">
        <v>50</v>
      </c>
      <c r="AP90">
        <v>50</v>
      </c>
      <c r="AR90">
        <v>96</v>
      </c>
      <c r="AS90">
        <v>96</v>
      </c>
      <c r="AT90" t="s">
        <v>605</v>
      </c>
    </row>
    <row r="91" spans="1:46" x14ac:dyDescent="0.2">
      <c r="A91" t="s">
        <v>3187</v>
      </c>
      <c r="B91" t="s">
        <v>1077</v>
      </c>
      <c r="C91" t="s">
        <v>1093</v>
      </c>
      <c r="D91" t="s">
        <v>1428</v>
      </c>
      <c r="E91" t="s">
        <v>1442</v>
      </c>
      <c r="F91" t="s">
        <v>4422</v>
      </c>
      <c r="P91" t="s">
        <v>4338</v>
      </c>
      <c r="Q91" t="s">
        <v>4425</v>
      </c>
      <c r="R91" t="s">
        <v>4350</v>
      </c>
      <c r="T91" t="s">
        <v>272</v>
      </c>
      <c r="U91">
        <v>0</v>
      </c>
      <c r="X91">
        <v>30</v>
      </c>
      <c r="Y91">
        <v>30</v>
      </c>
      <c r="Z91">
        <v>30</v>
      </c>
      <c r="AA91">
        <v>30</v>
      </c>
      <c r="AB91">
        <v>30</v>
      </c>
      <c r="AE91">
        <v>45</v>
      </c>
      <c r="AF91">
        <v>45</v>
      </c>
      <c r="AG91">
        <v>45</v>
      </c>
      <c r="AH91">
        <v>45</v>
      </c>
      <c r="AI91">
        <v>45</v>
      </c>
      <c r="AL91">
        <v>15</v>
      </c>
      <c r="AM91">
        <v>15</v>
      </c>
      <c r="AN91">
        <v>15</v>
      </c>
      <c r="AO91">
        <v>15</v>
      </c>
      <c r="AP91">
        <v>15</v>
      </c>
      <c r="AR91">
        <v>21</v>
      </c>
      <c r="AS91">
        <v>16</v>
      </c>
      <c r="AT91" t="s">
        <v>605</v>
      </c>
    </row>
    <row r="92" spans="1:46" x14ac:dyDescent="0.2">
      <c r="A92" t="s">
        <v>3187</v>
      </c>
      <c r="B92" t="s">
        <v>1077</v>
      </c>
      <c r="C92" t="s">
        <v>1093</v>
      </c>
      <c r="D92" t="s">
        <v>1428</v>
      </c>
      <c r="E92" t="s">
        <v>1442</v>
      </c>
      <c r="F92" t="s">
        <v>4422</v>
      </c>
      <c r="P92" t="s">
        <v>4367</v>
      </c>
      <c r="Q92" t="s">
        <v>4351</v>
      </c>
      <c r="R92" t="s">
        <v>4351</v>
      </c>
      <c r="T92" t="s">
        <v>272</v>
      </c>
      <c r="U92">
        <v>0</v>
      </c>
      <c r="X92">
        <v>3600</v>
      </c>
      <c r="Y92">
        <v>3600</v>
      </c>
      <c r="Z92">
        <v>3600</v>
      </c>
      <c r="AA92">
        <v>3600</v>
      </c>
      <c r="AB92">
        <v>3600</v>
      </c>
      <c r="AE92">
        <v>4464</v>
      </c>
      <c r="AF92">
        <v>4464</v>
      </c>
      <c r="AG92">
        <v>4464</v>
      </c>
      <c r="AH92">
        <v>4464</v>
      </c>
      <c r="AI92">
        <v>4464</v>
      </c>
      <c r="AL92">
        <v>2736</v>
      </c>
      <c r="AM92">
        <v>2736</v>
      </c>
      <c r="AN92">
        <v>2736</v>
      </c>
      <c r="AO92">
        <v>2736</v>
      </c>
      <c r="AP92">
        <v>2736</v>
      </c>
      <c r="AR92">
        <v>3411</v>
      </c>
      <c r="AS92">
        <v>3754</v>
      </c>
      <c r="AT92" t="s">
        <v>605</v>
      </c>
    </row>
    <row r="93" spans="1:46" x14ac:dyDescent="0.2">
      <c r="A93" t="s">
        <v>3187</v>
      </c>
      <c r="B93" t="s">
        <v>1077</v>
      </c>
      <c r="C93" t="s">
        <v>1093</v>
      </c>
      <c r="D93" t="s">
        <v>1428</v>
      </c>
      <c r="E93" t="s">
        <v>1442</v>
      </c>
      <c r="F93" t="s">
        <v>4422</v>
      </c>
      <c r="P93" t="s">
        <v>4369</v>
      </c>
      <c r="Q93" t="s">
        <v>4426</v>
      </c>
      <c r="R93" t="s">
        <v>4427</v>
      </c>
      <c r="T93" t="s">
        <v>272</v>
      </c>
      <c r="U93">
        <v>0</v>
      </c>
      <c r="X93">
        <v>284</v>
      </c>
      <c r="Y93">
        <v>284</v>
      </c>
      <c r="Z93">
        <v>284</v>
      </c>
      <c r="AA93">
        <v>284</v>
      </c>
      <c r="AB93">
        <v>284</v>
      </c>
      <c r="AE93">
        <v>376</v>
      </c>
      <c r="AF93">
        <v>376</v>
      </c>
      <c r="AG93">
        <v>376</v>
      </c>
      <c r="AH93">
        <v>376</v>
      </c>
      <c r="AI93">
        <v>376</v>
      </c>
      <c r="AL93">
        <v>192</v>
      </c>
      <c r="AM93">
        <v>192</v>
      </c>
      <c r="AN93">
        <v>192</v>
      </c>
      <c r="AO93">
        <v>192</v>
      </c>
      <c r="AP93">
        <v>192</v>
      </c>
      <c r="AR93">
        <v>320</v>
      </c>
      <c r="AS93">
        <v>258</v>
      </c>
      <c r="AT93" t="s">
        <v>605</v>
      </c>
    </row>
    <row r="94" spans="1:46" x14ac:dyDescent="0.2">
      <c r="A94" t="s">
        <v>3192</v>
      </c>
      <c r="B94" t="s">
        <v>1077</v>
      </c>
      <c r="C94" t="s">
        <v>1093</v>
      </c>
      <c r="D94" t="s">
        <v>1428</v>
      </c>
      <c r="E94" t="s">
        <v>2966</v>
      </c>
      <c r="F94" t="s">
        <v>4428</v>
      </c>
      <c r="G94" t="s">
        <v>1219</v>
      </c>
      <c r="H94" t="s">
        <v>1495</v>
      </c>
      <c r="I94" t="s">
        <v>1564</v>
      </c>
      <c r="J94" t="s">
        <v>612</v>
      </c>
      <c r="K94" t="s">
        <v>612</v>
      </c>
      <c r="L94" t="s">
        <v>612</v>
      </c>
      <c r="M94" t="s">
        <v>612</v>
      </c>
      <c r="N94" t="s">
        <v>612</v>
      </c>
      <c r="O94" t="s">
        <v>612</v>
      </c>
      <c r="P94" t="s">
        <v>4326</v>
      </c>
      <c r="Q94" t="s">
        <v>4428</v>
      </c>
      <c r="T94" t="s">
        <v>1410</v>
      </c>
      <c r="U94" t="s">
        <v>1212</v>
      </c>
      <c r="AR94" t="s">
        <v>612</v>
      </c>
      <c r="AS94" t="s">
        <v>612</v>
      </c>
      <c r="AT94" t="s">
        <v>605</v>
      </c>
    </row>
    <row r="95" spans="1:46" x14ac:dyDescent="0.2">
      <c r="A95" t="s">
        <v>3192</v>
      </c>
      <c r="B95" t="s">
        <v>1077</v>
      </c>
      <c r="C95" t="s">
        <v>1093</v>
      </c>
      <c r="D95" t="s">
        <v>1428</v>
      </c>
      <c r="E95" t="s">
        <v>2966</v>
      </c>
      <c r="F95" t="s">
        <v>4428</v>
      </c>
      <c r="P95" t="s">
        <v>4327</v>
      </c>
      <c r="Q95" t="s">
        <v>4429</v>
      </c>
      <c r="R95" t="s">
        <v>4355</v>
      </c>
      <c r="T95" t="s">
        <v>264</v>
      </c>
      <c r="U95">
        <v>2</v>
      </c>
      <c r="X95">
        <v>7.2</v>
      </c>
      <c r="Y95">
        <v>7.2</v>
      </c>
      <c r="Z95">
        <v>7.2</v>
      </c>
      <c r="AA95">
        <v>7.2</v>
      </c>
      <c r="AB95">
        <v>7.2</v>
      </c>
      <c r="AE95">
        <v>9.6999999999999993</v>
      </c>
      <c r="AF95">
        <v>9.6999999999999993</v>
      </c>
      <c r="AG95">
        <v>9.6999999999999993</v>
      </c>
      <c r="AH95">
        <v>9.6999999999999993</v>
      </c>
      <c r="AI95">
        <v>9.6999999999999993</v>
      </c>
      <c r="AL95">
        <v>4.7</v>
      </c>
      <c r="AM95">
        <v>4.7</v>
      </c>
      <c r="AN95">
        <v>4.7</v>
      </c>
      <c r="AO95">
        <v>4.7</v>
      </c>
      <c r="AP95">
        <v>4.7</v>
      </c>
      <c r="AR95">
        <v>3.93</v>
      </c>
      <c r="AS95">
        <v>4.2300000000000004</v>
      </c>
      <c r="AT95" t="s">
        <v>605</v>
      </c>
    </row>
    <row r="96" spans="1:46" x14ac:dyDescent="0.2">
      <c r="A96" t="s">
        <v>3192</v>
      </c>
      <c r="B96" t="s">
        <v>1077</v>
      </c>
      <c r="C96" t="s">
        <v>1093</v>
      </c>
      <c r="D96" t="s">
        <v>1428</v>
      </c>
      <c r="E96" t="s">
        <v>2966</v>
      </c>
      <c r="F96" t="s">
        <v>4428</v>
      </c>
      <c r="P96" t="s">
        <v>4330</v>
      </c>
      <c r="Q96" t="s">
        <v>4430</v>
      </c>
      <c r="R96" t="s">
        <v>4353</v>
      </c>
      <c r="T96" t="s">
        <v>264</v>
      </c>
      <c r="U96">
        <v>2</v>
      </c>
      <c r="X96">
        <v>0.36</v>
      </c>
      <c r="Y96">
        <v>0.36</v>
      </c>
      <c r="Z96">
        <v>0.36</v>
      </c>
      <c r="AA96">
        <v>0.36</v>
      </c>
      <c r="AB96">
        <v>0.36</v>
      </c>
      <c r="AE96">
        <v>0.56999999999999995</v>
      </c>
      <c r="AF96">
        <v>0.56999999999999995</v>
      </c>
      <c r="AG96">
        <v>0.56999999999999995</v>
      </c>
      <c r="AH96">
        <v>0.56999999999999995</v>
      </c>
      <c r="AI96">
        <v>0.56999999999999995</v>
      </c>
      <c r="AL96">
        <v>0.15</v>
      </c>
      <c r="AM96">
        <v>0.15</v>
      </c>
      <c r="AN96">
        <v>0.15</v>
      </c>
      <c r="AO96">
        <v>0.15</v>
      </c>
      <c r="AP96">
        <v>0.15</v>
      </c>
      <c r="AR96">
        <v>0.27</v>
      </c>
      <c r="AS96">
        <v>0.46</v>
      </c>
      <c r="AT96" t="s">
        <v>605</v>
      </c>
    </row>
    <row r="97" spans="1:46" x14ac:dyDescent="0.2">
      <c r="A97" t="s">
        <v>3192</v>
      </c>
      <c r="B97" t="s">
        <v>1077</v>
      </c>
      <c r="C97" t="s">
        <v>1093</v>
      </c>
      <c r="D97" t="s">
        <v>1428</v>
      </c>
      <c r="E97" t="s">
        <v>2966</v>
      </c>
      <c r="F97" t="s">
        <v>4428</v>
      </c>
      <c r="P97" t="s">
        <v>4335</v>
      </c>
      <c r="Q97" t="s">
        <v>4421</v>
      </c>
      <c r="R97" t="s">
        <v>4431</v>
      </c>
      <c r="T97" t="s">
        <v>272</v>
      </c>
      <c r="U97">
        <v>0</v>
      </c>
      <c r="X97">
        <v>7335</v>
      </c>
      <c r="Y97">
        <v>7335</v>
      </c>
      <c r="Z97">
        <v>7335</v>
      </c>
      <c r="AA97">
        <v>7335</v>
      </c>
      <c r="AB97">
        <v>7335</v>
      </c>
      <c r="AE97">
        <v>8841</v>
      </c>
      <c r="AF97">
        <v>8841</v>
      </c>
      <c r="AG97">
        <v>8841</v>
      </c>
      <c r="AH97">
        <v>8841</v>
      </c>
      <c r="AI97">
        <v>8841</v>
      </c>
      <c r="AL97">
        <v>5829</v>
      </c>
      <c r="AM97">
        <v>5829</v>
      </c>
      <c r="AN97">
        <v>5829</v>
      </c>
      <c r="AO97">
        <v>5829</v>
      </c>
      <c r="AP97">
        <v>5829</v>
      </c>
      <c r="AR97">
        <v>7267</v>
      </c>
      <c r="AS97">
        <v>8527</v>
      </c>
      <c r="AT97" t="s">
        <v>605</v>
      </c>
    </row>
    <row r="98" spans="1:46" x14ac:dyDescent="0.2">
      <c r="A98" t="s">
        <v>3309</v>
      </c>
      <c r="B98" t="s">
        <v>1077</v>
      </c>
      <c r="C98" t="s">
        <v>1100</v>
      </c>
      <c r="D98" t="s">
        <v>1202</v>
      </c>
      <c r="E98" t="s">
        <v>3311</v>
      </c>
      <c r="F98" t="s">
        <v>3313</v>
      </c>
      <c r="G98" t="s">
        <v>1219</v>
      </c>
      <c r="H98" t="s">
        <v>1272</v>
      </c>
      <c r="I98" t="s">
        <v>1564</v>
      </c>
      <c r="J98" t="s">
        <v>612</v>
      </c>
      <c r="K98" t="s">
        <v>612</v>
      </c>
      <c r="L98" t="s">
        <v>612</v>
      </c>
      <c r="M98" t="s">
        <v>612</v>
      </c>
      <c r="N98" t="s">
        <v>612</v>
      </c>
      <c r="O98" t="s">
        <v>612</v>
      </c>
      <c r="P98" t="s">
        <v>4326</v>
      </c>
      <c r="Q98" t="s">
        <v>3313</v>
      </c>
      <c r="T98" t="s">
        <v>1410</v>
      </c>
      <c r="U98" t="s">
        <v>1212</v>
      </c>
      <c r="AR98" t="s">
        <v>612</v>
      </c>
      <c r="AS98" t="s">
        <v>1566</v>
      </c>
      <c r="AT98" t="s">
        <v>606</v>
      </c>
    </row>
    <row r="99" spans="1:46" x14ac:dyDescent="0.2">
      <c r="A99" t="s">
        <v>3309</v>
      </c>
      <c r="B99" t="s">
        <v>1077</v>
      </c>
      <c r="C99" t="s">
        <v>1100</v>
      </c>
      <c r="D99" t="s">
        <v>1202</v>
      </c>
      <c r="E99" t="s">
        <v>3311</v>
      </c>
      <c r="F99" t="s">
        <v>3313</v>
      </c>
      <c r="P99" t="s">
        <v>4327</v>
      </c>
      <c r="Q99" t="s">
        <v>4362</v>
      </c>
      <c r="R99" t="s">
        <v>4332</v>
      </c>
      <c r="T99" t="s">
        <v>272</v>
      </c>
      <c r="U99">
        <v>0</v>
      </c>
      <c r="V99">
        <v>11000</v>
      </c>
      <c r="W99">
        <v>8840</v>
      </c>
      <c r="X99">
        <v>8840</v>
      </c>
      <c r="Y99">
        <v>8840</v>
      </c>
      <c r="Z99">
        <v>8840</v>
      </c>
      <c r="AA99">
        <v>8840</v>
      </c>
      <c r="AB99">
        <v>8840</v>
      </c>
      <c r="AE99">
        <v>11206</v>
      </c>
      <c r="AF99">
        <v>11206</v>
      </c>
      <c r="AG99">
        <v>11206</v>
      </c>
      <c r="AH99">
        <v>11206</v>
      </c>
      <c r="AI99">
        <v>11206</v>
      </c>
      <c r="AJ99" t="s">
        <v>1710</v>
      </c>
      <c r="AK99" t="s">
        <v>1710</v>
      </c>
      <c r="AL99" t="s">
        <v>1710</v>
      </c>
      <c r="AM99" t="s">
        <v>1710</v>
      </c>
      <c r="AN99" t="s">
        <v>1710</v>
      </c>
      <c r="AO99" t="s">
        <v>1710</v>
      </c>
      <c r="AP99" t="s">
        <v>1710</v>
      </c>
      <c r="AQ99">
        <v>13572</v>
      </c>
      <c r="AR99">
        <v>8822</v>
      </c>
      <c r="AS99">
        <v>6926</v>
      </c>
      <c r="AT99" t="s">
        <v>605</v>
      </c>
    </row>
    <row r="100" spans="1:46" x14ac:dyDescent="0.2">
      <c r="A100" t="s">
        <v>3309</v>
      </c>
      <c r="B100" t="s">
        <v>1077</v>
      </c>
      <c r="C100" t="s">
        <v>1100</v>
      </c>
      <c r="D100" t="s">
        <v>1202</v>
      </c>
      <c r="E100" t="s">
        <v>3311</v>
      </c>
      <c r="F100" t="s">
        <v>3313</v>
      </c>
      <c r="P100" t="s">
        <v>4330</v>
      </c>
      <c r="Q100" t="s">
        <v>4432</v>
      </c>
      <c r="R100" t="s">
        <v>4329</v>
      </c>
      <c r="T100" t="s">
        <v>272</v>
      </c>
      <c r="U100">
        <v>0</v>
      </c>
      <c r="V100">
        <v>1568</v>
      </c>
      <c r="W100">
        <v>1354</v>
      </c>
      <c r="X100">
        <v>1354</v>
      </c>
      <c r="Y100">
        <v>1354</v>
      </c>
      <c r="Z100">
        <v>1354</v>
      </c>
      <c r="AA100">
        <v>1354</v>
      </c>
      <c r="AB100">
        <v>1354</v>
      </c>
      <c r="AE100">
        <v>3055</v>
      </c>
      <c r="AF100">
        <v>3055</v>
      </c>
      <c r="AG100">
        <v>3055</v>
      </c>
      <c r="AH100">
        <v>3055</v>
      </c>
      <c r="AI100">
        <v>3055</v>
      </c>
      <c r="AJ100" t="s">
        <v>1710</v>
      </c>
      <c r="AK100" t="s">
        <v>1710</v>
      </c>
      <c r="AL100" t="s">
        <v>1710</v>
      </c>
      <c r="AM100" t="s">
        <v>1710</v>
      </c>
      <c r="AN100" t="s">
        <v>1710</v>
      </c>
      <c r="AO100" t="s">
        <v>1710</v>
      </c>
      <c r="AP100" t="s">
        <v>1710</v>
      </c>
      <c r="AQ100">
        <v>4756</v>
      </c>
      <c r="AR100">
        <v>3124</v>
      </c>
      <c r="AS100">
        <v>15151</v>
      </c>
      <c r="AT100" t="s">
        <v>606</v>
      </c>
    </row>
    <row r="101" spans="1:46" x14ac:dyDescent="0.2">
      <c r="A101" t="s">
        <v>3309</v>
      </c>
      <c r="B101" t="s">
        <v>1077</v>
      </c>
      <c r="C101" t="s">
        <v>1100</v>
      </c>
      <c r="D101" t="s">
        <v>1202</v>
      </c>
      <c r="E101" t="s">
        <v>3311</v>
      </c>
      <c r="F101" t="s">
        <v>3313</v>
      </c>
      <c r="P101" t="s">
        <v>4335</v>
      </c>
      <c r="Q101" t="s">
        <v>4433</v>
      </c>
      <c r="R101" t="s">
        <v>4365</v>
      </c>
      <c r="T101" t="s">
        <v>264</v>
      </c>
      <c r="U101">
        <v>2</v>
      </c>
      <c r="W101">
        <v>0.16</v>
      </c>
      <c r="X101">
        <v>0.16</v>
      </c>
      <c r="Y101">
        <v>0.16</v>
      </c>
      <c r="Z101">
        <v>0.16</v>
      </c>
      <c r="AA101">
        <v>0.16</v>
      </c>
      <c r="AB101">
        <v>0.16</v>
      </c>
      <c r="AE101">
        <v>0.23</v>
      </c>
      <c r="AF101">
        <v>0.23</v>
      </c>
      <c r="AG101">
        <v>0.23</v>
      </c>
      <c r="AH101">
        <v>0.23</v>
      </c>
      <c r="AI101">
        <v>0.23</v>
      </c>
      <c r="AJ101" t="s">
        <v>1710</v>
      </c>
      <c r="AK101" t="s">
        <v>1710</v>
      </c>
      <c r="AL101" t="s">
        <v>1710</v>
      </c>
      <c r="AM101" t="s">
        <v>1710</v>
      </c>
      <c r="AN101" t="s">
        <v>1710</v>
      </c>
      <c r="AO101" t="s">
        <v>1710</v>
      </c>
      <c r="AP101" t="s">
        <v>1710</v>
      </c>
      <c r="AQ101">
        <v>0.3</v>
      </c>
      <c r="AR101">
        <v>0.05</v>
      </c>
      <c r="AS101">
        <v>0.18</v>
      </c>
      <c r="AT101" t="s">
        <v>606</v>
      </c>
    </row>
    <row r="102" spans="1:46" x14ac:dyDescent="0.2">
      <c r="A102" t="s">
        <v>3309</v>
      </c>
      <c r="B102" t="s">
        <v>1077</v>
      </c>
      <c r="C102" t="s">
        <v>1100</v>
      </c>
      <c r="D102" t="s">
        <v>1202</v>
      </c>
      <c r="E102" t="s">
        <v>3311</v>
      </c>
      <c r="F102" t="s">
        <v>3313</v>
      </c>
      <c r="P102" t="s">
        <v>4338</v>
      </c>
      <c r="Q102" t="s">
        <v>4434</v>
      </c>
      <c r="R102" t="s">
        <v>4358</v>
      </c>
      <c r="T102" t="s">
        <v>272</v>
      </c>
      <c r="U102">
        <v>0</v>
      </c>
      <c r="W102">
        <v>34</v>
      </c>
      <c r="X102">
        <v>34</v>
      </c>
      <c r="Y102">
        <v>34</v>
      </c>
      <c r="Z102">
        <v>34</v>
      </c>
      <c r="AA102">
        <v>34</v>
      </c>
      <c r="AB102">
        <v>34</v>
      </c>
      <c r="AE102">
        <v>46</v>
      </c>
      <c r="AF102">
        <v>46</v>
      </c>
      <c r="AG102">
        <v>46</v>
      </c>
      <c r="AH102">
        <v>46</v>
      </c>
      <c r="AI102">
        <v>46</v>
      </c>
      <c r="AJ102" t="s">
        <v>1710</v>
      </c>
      <c r="AK102" t="s">
        <v>1710</v>
      </c>
      <c r="AL102" t="s">
        <v>1710</v>
      </c>
      <c r="AM102" t="s">
        <v>1710</v>
      </c>
      <c r="AN102" t="s">
        <v>1710</v>
      </c>
      <c r="AO102" t="s">
        <v>1710</v>
      </c>
      <c r="AP102" t="s">
        <v>1710</v>
      </c>
      <c r="AQ102">
        <v>52</v>
      </c>
      <c r="AR102">
        <v>0</v>
      </c>
      <c r="AS102">
        <v>0</v>
      </c>
      <c r="AT102" t="s">
        <v>605</v>
      </c>
    </row>
    <row r="103" spans="1:46" x14ac:dyDescent="0.2">
      <c r="A103" t="s">
        <v>3309</v>
      </c>
      <c r="B103" t="s">
        <v>1077</v>
      </c>
      <c r="C103" t="s">
        <v>1100</v>
      </c>
      <c r="D103" t="s">
        <v>1202</v>
      </c>
      <c r="E103" t="s">
        <v>3311</v>
      </c>
      <c r="F103" t="s">
        <v>3313</v>
      </c>
      <c r="P103" t="s">
        <v>4367</v>
      </c>
      <c r="Q103" t="s">
        <v>4435</v>
      </c>
      <c r="R103" t="s">
        <v>4436</v>
      </c>
      <c r="T103" t="s">
        <v>272</v>
      </c>
      <c r="U103">
        <v>2</v>
      </c>
      <c r="AB103">
        <v>650</v>
      </c>
      <c r="AI103">
        <v>650</v>
      </c>
      <c r="AJ103" t="s">
        <v>1710</v>
      </c>
      <c r="AK103" t="s">
        <v>1710</v>
      </c>
      <c r="AL103" t="s">
        <v>1710</v>
      </c>
      <c r="AM103" t="s">
        <v>1710</v>
      </c>
      <c r="AN103" t="s">
        <v>1710</v>
      </c>
      <c r="AO103" t="s">
        <v>1710</v>
      </c>
      <c r="AP103" t="s">
        <v>1710</v>
      </c>
      <c r="AQ103">
        <v>650</v>
      </c>
      <c r="AR103">
        <v>15.47</v>
      </c>
      <c r="AS103">
        <v>66.454999999999998</v>
      </c>
    </row>
    <row r="104" spans="1:46" x14ac:dyDescent="0.2">
      <c r="A104" t="s">
        <v>3309</v>
      </c>
      <c r="B104" t="s">
        <v>1077</v>
      </c>
      <c r="C104" t="s">
        <v>1100</v>
      </c>
      <c r="D104" t="s">
        <v>1202</v>
      </c>
      <c r="E104" t="s">
        <v>3311</v>
      </c>
      <c r="F104" t="s">
        <v>3313</v>
      </c>
      <c r="P104" t="s">
        <v>4369</v>
      </c>
      <c r="Q104" t="s">
        <v>4437</v>
      </c>
      <c r="R104" t="s">
        <v>4337</v>
      </c>
      <c r="T104" t="s">
        <v>272</v>
      </c>
      <c r="U104">
        <v>2</v>
      </c>
      <c r="W104">
        <v>0.38</v>
      </c>
      <c r="X104">
        <v>0.38</v>
      </c>
      <c r="Y104">
        <v>0.38</v>
      </c>
      <c r="Z104">
        <v>0.38</v>
      </c>
      <c r="AA104">
        <v>0.38</v>
      </c>
      <c r="AB104">
        <v>0.38</v>
      </c>
      <c r="AE104">
        <v>0.49</v>
      </c>
      <c r="AF104">
        <v>0.49</v>
      </c>
      <c r="AG104">
        <v>0.49</v>
      </c>
      <c r="AH104">
        <v>0.49</v>
      </c>
      <c r="AI104">
        <v>0.49</v>
      </c>
      <c r="AJ104" t="s">
        <v>1710</v>
      </c>
      <c r="AK104" t="s">
        <v>1710</v>
      </c>
      <c r="AL104" t="s">
        <v>1710</v>
      </c>
      <c r="AM104" t="s">
        <v>1710</v>
      </c>
      <c r="AN104" t="s">
        <v>1710</v>
      </c>
      <c r="AO104" t="s">
        <v>1710</v>
      </c>
      <c r="AP104" t="s">
        <v>1710</v>
      </c>
      <c r="AQ104">
        <v>0.55000000000000004</v>
      </c>
      <c r="AR104">
        <v>0.189</v>
      </c>
      <c r="AS104">
        <v>0.20499999999999999</v>
      </c>
      <c r="AT104" t="s">
        <v>605</v>
      </c>
    </row>
    <row r="105" spans="1:46" x14ac:dyDescent="0.2">
      <c r="A105" t="s">
        <v>3316</v>
      </c>
      <c r="B105" t="s">
        <v>1077</v>
      </c>
      <c r="C105" t="s">
        <v>1100</v>
      </c>
      <c r="D105" t="s">
        <v>1202</v>
      </c>
      <c r="E105" t="s">
        <v>3317</v>
      </c>
      <c r="F105" t="s">
        <v>3319</v>
      </c>
      <c r="G105" t="s">
        <v>1219</v>
      </c>
      <c r="H105" t="s">
        <v>1272</v>
      </c>
      <c r="I105" t="s">
        <v>1564</v>
      </c>
      <c r="J105" t="s">
        <v>612</v>
      </c>
      <c r="K105" t="s">
        <v>612</v>
      </c>
      <c r="L105" t="s">
        <v>612</v>
      </c>
      <c r="M105" t="s">
        <v>612</v>
      </c>
      <c r="N105" t="s">
        <v>612</v>
      </c>
      <c r="O105" t="s">
        <v>612</v>
      </c>
      <c r="P105" t="s">
        <v>4326</v>
      </c>
      <c r="Q105" t="s">
        <v>3319</v>
      </c>
      <c r="T105" t="s">
        <v>1410</v>
      </c>
      <c r="U105" t="s">
        <v>1212</v>
      </c>
      <c r="AR105" t="s">
        <v>612</v>
      </c>
      <c r="AS105" t="s">
        <v>612</v>
      </c>
      <c r="AT105" t="s">
        <v>605</v>
      </c>
    </row>
    <row r="106" spans="1:46" x14ac:dyDescent="0.2">
      <c r="A106" t="s">
        <v>3316</v>
      </c>
      <c r="B106" t="s">
        <v>1077</v>
      </c>
      <c r="C106" t="s">
        <v>1100</v>
      </c>
      <c r="D106" t="s">
        <v>1202</v>
      </c>
      <c r="E106" t="s">
        <v>3317</v>
      </c>
      <c r="F106" t="s">
        <v>3319</v>
      </c>
      <c r="P106" t="s">
        <v>4327</v>
      </c>
      <c r="Q106" t="s">
        <v>4438</v>
      </c>
      <c r="R106" t="s">
        <v>4342</v>
      </c>
      <c r="T106" t="s">
        <v>264</v>
      </c>
      <c r="U106">
        <v>2</v>
      </c>
      <c r="X106">
        <v>99.97</v>
      </c>
      <c r="Y106">
        <v>99.97</v>
      </c>
      <c r="Z106">
        <v>99.97</v>
      </c>
      <c r="AA106">
        <v>99.97</v>
      </c>
      <c r="AB106">
        <v>99.97</v>
      </c>
      <c r="AE106">
        <v>99.96</v>
      </c>
      <c r="AF106">
        <v>99.96</v>
      </c>
      <c r="AG106">
        <v>99.96</v>
      </c>
      <c r="AH106">
        <v>99.96</v>
      </c>
      <c r="AI106">
        <v>99.96</v>
      </c>
      <c r="AJ106" t="s">
        <v>1710</v>
      </c>
      <c r="AK106" t="s">
        <v>1710</v>
      </c>
      <c r="AL106" t="s">
        <v>1710</v>
      </c>
      <c r="AM106" t="s">
        <v>1710</v>
      </c>
      <c r="AN106" t="s">
        <v>1710</v>
      </c>
      <c r="AO106" t="s">
        <v>1710</v>
      </c>
      <c r="AP106" t="s">
        <v>1710</v>
      </c>
      <c r="AQ106">
        <v>99.95</v>
      </c>
      <c r="AR106">
        <v>99.984399999999994</v>
      </c>
      <c r="AS106">
        <v>99.976799999999997</v>
      </c>
      <c r="AT106" t="s">
        <v>605</v>
      </c>
    </row>
    <row r="107" spans="1:46" x14ac:dyDescent="0.2">
      <c r="A107" t="s">
        <v>3316</v>
      </c>
      <c r="B107" t="s">
        <v>1077</v>
      </c>
      <c r="C107" t="s">
        <v>1100</v>
      </c>
      <c r="D107" t="s">
        <v>1202</v>
      </c>
      <c r="E107" t="s">
        <v>3317</v>
      </c>
      <c r="F107" t="s">
        <v>3319</v>
      </c>
      <c r="P107" t="s">
        <v>4330</v>
      </c>
      <c r="Q107" t="s">
        <v>4439</v>
      </c>
      <c r="R107" t="s">
        <v>4344</v>
      </c>
      <c r="T107" t="s">
        <v>264</v>
      </c>
      <c r="U107">
        <v>2</v>
      </c>
      <c r="X107">
        <v>0.27</v>
      </c>
      <c r="Y107">
        <v>0.27</v>
      </c>
      <c r="Z107">
        <v>0.27</v>
      </c>
      <c r="AA107">
        <v>0.27</v>
      </c>
      <c r="AB107">
        <v>0.27</v>
      </c>
      <c r="AE107">
        <v>0.54</v>
      </c>
      <c r="AF107">
        <v>0.54</v>
      </c>
      <c r="AG107">
        <v>0.54</v>
      </c>
      <c r="AH107">
        <v>0.54</v>
      </c>
      <c r="AI107">
        <v>0.54</v>
      </c>
      <c r="AJ107" t="s">
        <v>1710</v>
      </c>
      <c r="AK107" t="s">
        <v>1710</v>
      </c>
      <c r="AL107" t="s">
        <v>1710</v>
      </c>
      <c r="AM107" t="s">
        <v>1710</v>
      </c>
      <c r="AN107" t="s">
        <v>1710</v>
      </c>
      <c r="AO107" t="s">
        <v>1710</v>
      </c>
      <c r="AP107" t="s">
        <v>1710</v>
      </c>
      <c r="AQ107">
        <v>0.81</v>
      </c>
      <c r="AR107">
        <v>0.26</v>
      </c>
      <c r="AS107">
        <v>0</v>
      </c>
      <c r="AT107" t="s">
        <v>605</v>
      </c>
    </row>
    <row r="108" spans="1:46" x14ac:dyDescent="0.2">
      <c r="A108" t="s">
        <v>3316</v>
      </c>
      <c r="B108" t="s">
        <v>1077</v>
      </c>
      <c r="C108" t="s">
        <v>1100</v>
      </c>
      <c r="D108" t="s">
        <v>1202</v>
      </c>
      <c r="E108" t="s">
        <v>3317</v>
      </c>
      <c r="F108" t="s">
        <v>3319</v>
      </c>
      <c r="P108" t="s">
        <v>4335</v>
      </c>
      <c r="Q108" t="s">
        <v>4440</v>
      </c>
      <c r="R108" t="s">
        <v>4345</v>
      </c>
      <c r="T108" t="s">
        <v>272</v>
      </c>
      <c r="U108">
        <v>0</v>
      </c>
      <c r="W108">
        <v>1</v>
      </c>
      <c r="X108">
        <v>1</v>
      </c>
      <c r="Y108">
        <v>1</v>
      </c>
      <c r="Z108">
        <v>1</v>
      </c>
      <c r="AA108">
        <v>1</v>
      </c>
      <c r="AB108">
        <v>1</v>
      </c>
      <c r="AE108">
        <v>2</v>
      </c>
      <c r="AF108">
        <v>2</v>
      </c>
      <c r="AG108">
        <v>2</v>
      </c>
      <c r="AH108">
        <v>2</v>
      </c>
      <c r="AI108">
        <v>2</v>
      </c>
      <c r="AJ108" t="s">
        <v>1710</v>
      </c>
      <c r="AK108" t="s">
        <v>1710</v>
      </c>
      <c r="AL108" t="s">
        <v>1710</v>
      </c>
      <c r="AM108" t="s">
        <v>1710</v>
      </c>
      <c r="AN108" t="s">
        <v>1710</v>
      </c>
      <c r="AO108" t="s">
        <v>1710</v>
      </c>
      <c r="AP108" t="s">
        <v>1710</v>
      </c>
      <c r="AQ108">
        <v>3</v>
      </c>
      <c r="AR108">
        <v>0</v>
      </c>
      <c r="AS108">
        <v>0</v>
      </c>
      <c r="AT108" t="s">
        <v>605</v>
      </c>
    </row>
    <row r="109" spans="1:46" x14ac:dyDescent="0.2">
      <c r="A109" t="s">
        <v>3316</v>
      </c>
      <c r="B109" t="s">
        <v>1077</v>
      </c>
      <c r="C109" t="s">
        <v>1100</v>
      </c>
      <c r="D109" t="s">
        <v>1202</v>
      </c>
      <c r="E109" t="s">
        <v>3317</v>
      </c>
      <c r="F109" t="s">
        <v>3319</v>
      </c>
      <c r="P109" t="s">
        <v>4338</v>
      </c>
      <c r="Q109" t="s">
        <v>4441</v>
      </c>
      <c r="R109" t="s">
        <v>4442</v>
      </c>
      <c r="T109" t="s">
        <v>264</v>
      </c>
      <c r="U109">
        <v>2</v>
      </c>
      <c r="X109">
        <v>99.99</v>
      </c>
      <c r="Y109">
        <v>99.99</v>
      </c>
      <c r="Z109">
        <v>99.99</v>
      </c>
      <c r="AA109">
        <v>99.99</v>
      </c>
      <c r="AB109">
        <v>99.99</v>
      </c>
      <c r="AE109">
        <v>99.98</v>
      </c>
      <c r="AF109">
        <v>99.98</v>
      </c>
      <c r="AG109">
        <v>99.98</v>
      </c>
      <c r="AH109">
        <v>99.98</v>
      </c>
      <c r="AI109">
        <v>99.98</v>
      </c>
      <c r="AJ109" t="s">
        <v>1710</v>
      </c>
      <c r="AK109" t="s">
        <v>1710</v>
      </c>
      <c r="AL109" t="s">
        <v>1710</v>
      </c>
      <c r="AM109" t="s">
        <v>1710</v>
      </c>
      <c r="AN109" t="s">
        <v>1710</v>
      </c>
      <c r="AO109" t="s">
        <v>1710</v>
      </c>
      <c r="AP109" t="s">
        <v>1710</v>
      </c>
      <c r="AQ109">
        <v>99.97</v>
      </c>
      <c r="AR109">
        <v>99.986199999999997</v>
      </c>
      <c r="AS109">
        <v>99.995699999999999</v>
      </c>
      <c r="AT109" t="s">
        <v>605</v>
      </c>
    </row>
    <row r="110" spans="1:46" x14ac:dyDescent="0.2">
      <c r="A110" t="s">
        <v>3316</v>
      </c>
      <c r="B110" t="s">
        <v>1077</v>
      </c>
      <c r="C110" t="s">
        <v>1100</v>
      </c>
      <c r="D110" t="s">
        <v>1202</v>
      </c>
      <c r="E110" t="s">
        <v>3317</v>
      </c>
      <c r="F110" t="s">
        <v>3319</v>
      </c>
      <c r="P110" t="s">
        <v>4367</v>
      </c>
      <c r="Q110" t="s">
        <v>4443</v>
      </c>
      <c r="R110" t="s">
        <v>4377</v>
      </c>
      <c r="T110" t="s">
        <v>272</v>
      </c>
      <c r="U110">
        <v>0</v>
      </c>
      <c r="W110">
        <v>0</v>
      </c>
      <c r="X110">
        <v>0</v>
      </c>
      <c r="Y110">
        <v>0</v>
      </c>
      <c r="Z110">
        <v>0</v>
      </c>
      <c r="AA110">
        <v>0</v>
      </c>
      <c r="AB110">
        <v>0</v>
      </c>
      <c r="AE110">
        <v>1</v>
      </c>
      <c r="AF110">
        <v>1</v>
      </c>
      <c r="AG110">
        <v>1</v>
      </c>
      <c r="AH110">
        <v>1</v>
      </c>
      <c r="AI110">
        <v>1</v>
      </c>
      <c r="AJ110" t="s">
        <v>1710</v>
      </c>
      <c r="AK110" t="s">
        <v>1710</v>
      </c>
      <c r="AL110" t="s">
        <v>1710</v>
      </c>
      <c r="AM110" t="s">
        <v>1710</v>
      </c>
      <c r="AN110" t="s">
        <v>1710</v>
      </c>
      <c r="AO110" t="s">
        <v>1710</v>
      </c>
      <c r="AP110" t="s">
        <v>1710</v>
      </c>
      <c r="AQ110">
        <v>2</v>
      </c>
      <c r="AR110">
        <v>0</v>
      </c>
      <c r="AS110">
        <v>0</v>
      </c>
      <c r="AT110" t="s">
        <v>605</v>
      </c>
    </row>
    <row r="111" spans="1:46" x14ac:dyDescent="0.2">
      <c r="A111" t="s">
        <v>3316</v>
      </c>
      <c r="B111" t="s">
        <v>1077</v>
      </c>
      <c r="C111" t="s">
        <v>1100</v>
      </c>
      <c r="D111" t="s">
        <v>1202</v>
      </c>
      <c r="E111" t="s">
        <v>3317</v>
      </c>
      <c r="F111" t="s">
        <v>3319</v>
      </c>
      <c r="P111" t="s">
        <v>4369</v>
      </c>
      <c r="Q111" t="s">
        <v>4444</v>
      </c>
      <c r="R111" t="s">
        <v>4445</v>
      </c>
      <c r="T111" t="s">
        <v>272</v>
      </c>
      <c r="U111">
        <v>2</v>
      </c>
      <c r="X111">
        <v>7.0000000000000007E-2</v>
      </c>
      <c r="Y111">
        <v>7.0000000000000007E-2</v>
      </c>
      <c r="Z111">
        <v>7.0000000000000007E-2</v>
      </c>
      <c r="AA111">
        <v>7.0000000000000007E-2</v>
      </c>
      <c r="AB111">
        <v>7.0000000000000007E-2</v>
      </c>
      <c r="AE111">
        <v>0.124</v>
      </c>
      <c r="AF111">
        <v>0.124</v>
      </c>
      <c r="AG111">
        <v>0.124</v>
      </c>
      <c r="AH111">
        <v>0.124</v>
      </c>
      <c r="AI111">
        <v>0.124</v>
      </c>
      <c r="AJ111" t="s">
        <v>1710</v>
      </c>
      <c r="AK111" t="s">
        <v>1710</v>
      </c>
      <c r="AL111" t="s">
        <v>1710</v>
      </c>
      <c r="AM111" t="s">
        <v>1710</v>
      </c>
      <c r="AN111" t="s">
        <v>1710</v>
      </c>
      <c r="AO111" t="s">
        <v>1710</v>
      </c>
      <c r="AP111" t="s">
        <v>1710</v>
      </c>
      <c r="AQ111">
        <v>0.151</v>
      </c>
      <c r="AR111">
        <v>9.7000000000000003E-2</v>
      </c>
      <c r="AS111">
        <v>8.2000000000000003E-2</v>
      </c>
      <c r="AT111" t="s">
        <v>606</v>
      </c>
    </row>
    <row r="112" spans="1:46" x14ac:dyDescent="0.2">
      <c r="A112" t="s">
        <v>3316</v>
      </c>
      <c r="B112" t="s">
        <v>1077</v>
      </c>
      <c r="C112" t="s">
        <v>1100</v>
      </c>
      <c r="D112" t="s">
        <v>1202</v>
      </c>
      <c r="E112" t="s">
        <v>3317</v>
      </c>
      <c r="F112" t="s">
        <v>3319</v>
      </c>
      <c r="P112" t="s">
        <v>4371</v>
      </c>
      <c r="Q112" t="s">
        <v>4446</v>
      </c>
      <c r="R112" t="s">
        <v>4445</v>
      </c>
      <c r="T112" t="s">
        <v>272</v>
      </c>
      <c r="U112" t="s">
        <v>1212</v>
      </c>
      <c r="X112" t="s">
        <v>4447</v>
      </c>
      <c r="Y112" t="s">
        <v>4447</v>
      </c>
      <c r="Z112" t="s">
        <v>4447</v>
      </c>
      <c r="AA112" t="s">
        <v>4447</v>
      </c>
      <c r="AB112" t="s">
        <v>4447</v>
      </c>
      <c r="AJ112" t="s">
        <v>1710</v>
      </c>
      <c r="AK112" t="s">
        <v>1710</v>
      </c>
      <c r="AL112" t="s">
        <v>1710</v>
      </c>
      <c r="AM112" t="s">
        <v>1710</v>
      </c>
      <c r="AN112" t="s">
        <v>1710</v>
      </c>
      <c r="AO112" t="s">
        <v>1710</v>
      </c>
      <c r="AP112" t="s">
        <v>1710</v>
      </c>
      <c r="AR112">
        <v>6.0000000000000001E-3</v>
      </c>
      <c r="AS112">
        <v>4.0000000000000001E-3</v>
      </c>
    </row>
    <row r="113" spans="1:46" x14ac:dyDescent="0.2">
      <c r="A113" t="s">
        <v>3410</v>
      </c>
      <c r="B113" t="s">
        <v>1077</v>
      </c>
      <c r="C113" t="s">
        <v>1100</v>
      </c>
      <c r="D113" t="s">
        <v>1428</v>
      </c>
      <c r="E113" t="s">
        <v>3412</v>
      </c>
      <c r="F113" t="s">
        <v>3414</v>
      </c>
      <c r="G113" t="s">
        <v>1219</v>
      </c>
      <c r="H113" t="s">
        <v>1495</v>
      </c>
      <c r="I113" t="s">
        <v>1564</v>
      </c>
      <c r="J113" t="s">
        <v>612</v>
      </c>
      <c r="K113" t="s">
        <v>612</v>
      </c>
      <c r="L113" t="s">
        <v>612</v>
      </c>
      <c r="M113" t="s">
        <v>612</v>
      </c>
      <c r="N113" t="s">
        <v>612</v>
      </c>
      <c r="O113" t="s">
        <v>612</v>
      </c>
      <c r="P113" t="s">
        <v>4326</v>
      </c>
      <c r="Q113" t="s">
        <v>3414</v>
      </c>
      <c r="T113" t="s">
        <v>1410</v>
      </c>
      <c r="U113" t="s">
        <v>1212</v>
      </c>
      <c r="AR113" t="s">
        <v>612</v>
      </c>
      <c r="AS113" t="s">
        <v>612</v>
      </c>
      <c r="AT113" t="s">
        <v>605</v>
      </c>
    </row>
    <row r="114" spans="1:46" x14ac:dyDescent="0.2">
      <c r="A114" t="s">
        <v>3410</v>
      </c>
      <c r="B114" t="s">
        <v>1077</v>
      </c>
      <c r="C114" t="s">
        <v>1100</v>
      </c>
      <c r="D114" t="s">
        <v>1428</v>
      </c>
      <c r="E114" t="s">
        <v>3412</v>
      </c>
      <c r="F114" t="s">
        <v>3414</v>
      </c>
      <c r="P114" t="s">
        <v>4327</v>
      </c>
      <c r="Q114" t="s">
        <v>4448</v>
      </c>
      <c r="R114" t="s">
        <v>4449</v>
      </c>
      <c r="T114" t="s">
        <v>272</v>
      </c>
      <c r="U114">
        <v>0</v>
      </c>
      <c r="X114">
        <v>27</v>
      </c>
      <c r="Y114">
        <v>27</v>
      </c>
      <c r="Z114">
        <v>27</v>
      </c>
      <c r="AA114">
        <v>27</v>
      </c>
      <c r="AB114">
        <v>27</v>
      </c>
      <c r="AE114">
        <v>69</v>
      </c>
      <c r="AF114">
        <v>69</v>
      </c>
      <c r="AG114">
        <v>69</v>
      </c>
      <c r="AH114">
        <v>69</v>
      </c>
      <c r="AI114">
        <v>69</v>
      </c>
      <c r="AJ114" t="s">
        <v>1710</v>
      </c>
      <c r="AK114" t="s">
        <v>1710</v>
      </c>
      <c r="AL114" t="s">
        <v>1710</v>
      </c>
      <c r="AM114" t="s">
        <v>1710</v>
      </c>
      <c r="AN114" t="s">
        <v>1710</v>
      </c>
      <c r="AO114" t="s">
        <v>1710</v>
      </c>
      <c r="AP114" t="s">
        <v>1710</v>
      </c>
      <c r="AQ114">
        <v>90</v>
      </c>
      <c r="AR114" t="s">
        <v>1710</v>
      </c>
      <c r="AS114">
        <v>25</v>
      </c>
      <c r="AT114" t="s">
        <v>605</v>
      </c>
    </row>
    <row r="115" spans="1:46" x14ac:dyDescent="0.2">
      <c r="A115" t="s">
        <v>3410</v>
      </c>
      <c r="B115" t="s">
        <v>1077</v>
      </c>
      <c r="C115" t="s">
        <v>1100</v>
      </c>
      <c r="D115" t="s">
        <v>1428</v>
      </c>
      <c r="E115" t="s">
        <v>3412</v>
      </c>
      <c r="F115" t="s">
        <v>3414</v>
      </c>
      <c r="P115" t="s">
        <v>4330</v>
      </c>
      <c r="Q115" t="s">
        <v>4450</v>
      </c>
      <c r="R115" t="s">
        <v>4355</v>
      </c>
      <c r="T115" t="s">
        <v>264</v>
      </c>
      <c r="U115">
        <v>2</v>
      </c>
      <c r="W115">
        <v>1.1200000000000001</v>
      </c>
      <c r="X115">
        <v>0</v>
      </c>
      <c r="Y115">
        <v>0</v>
      </c>
      <c r="Z115">
        <v>0</v>
      </c>
      <c r="AA115">
        <v>0</v>
      </c>
      <c r="AB115">
        <v>0</v>
      </c>
      <c r="AE115">
        <v>2.0099999999999998</v>
      </c>
      <c r="AF115">
        <v>2.0099999999999998</v>
      </c>
      <c r="AG115">
        <v>2.0099999999999998</v>
      </c>
      <c r="AH115">
        <v>2.0099999999999998</v>
      </c>
      <c r="AI115">
        <v>2.0099999999999998</v>
      </c>
      <c r="AJ115" t="s">
        <v>1710</v>
      </c>
      <c r="AK115" t="s">
        <v>1710</v>
      </c>
      <c r="AL115" t="s">
        <v>1710</v>
      </c>
      <c r="AM115" t="s">
        <v>1710</v>
      </c>
      <c r="AN115" t="s">
        <v>1710</v>
      </c>
      <c r="AO115" t="s">
        <v>1710</v>
      </c>
      <c r="AP115" t="s">
        <v>1710</v>
      </c>
      <c r="AQ115">
        <v>2.61</v>
      </c>
      <c r="AR115">
        <v>1.1494252873563227</v>
      </c>
      <c r="AS115">
        <v>0.86699999999999999</v>
      </c>
      <c r="AT115" t="s">
        <v>606</v>
      </c>
    </row>
    <row r="116" spans="1:46" x14ac:dyDescent="0.2">
      <c r="A116" t="s">
        <v>3410</v>
      </c>
      <c r="B116" t="s">
        <v>1077</v>
      </c>
      <c r="C116" t="s">
        <v>1100</v>
      </c>
      <c r="D116" t="s">
        <v>1428</v>
      </c>
      <c r="E116" t="s">
        <v>3412</v>
      </c>
      <c r="F116" t="s">
        <v>3414</v>
      </c>
      <c r="P116" t="s">
        <v>4335</v>
      </c>
      <c r="Q116" t="s">
        <v>4451</v>
      </c>
      <c r="R116" t="s">
        <v>4353</v>
      </c>
      <c r="T116" t="s">
        <v>264</v>
      </c>
      <c r="U116">
        <v>2</v>
      </c>
      <c r="W116">
        <v>0.17</v>
      </c>
      <c r="X116">
        <v>0</v>
      </c>
      <c r="Y116">
        <v>0</v>
      </c>
      <c r="Z116">
        <v>0</v>
      </c>
      <c r="AA116">
        <v>0</v>
      </c>
      <c r="AB116">
        <v>0</v>
      </c>
      <c r="AE116">
        <v>0.68</v>
      </c>
      <c r="AF116">
        <v>0.68</v>
      </c>
      <c r="AG116">
        <v>0.68</v>
      </c>
      <c r="AH116">
        <v>0.68</v>
      </c>
      <c r="AI116">
        <v>0.68</v>
      </c>
      <c r="AJ116" t="s">
        <v>1710</v>
      </c>
      <c r="AK116" t="s">
        <v>1710</v>
      </c>
      <c r="AL116" t="s">
        <v>1710</v>
      </c>
      <c r="AM116" t="s">
        <v>1710</v>
      </c>
      <c r="AN116" t="s">
        <v>1710</v>
      </c>
      <c r="AO116" t="s">
        <v>1710</v>
      </c>
      <c r="AP116" t="s">
        <v>1710</v>
      </c>
      <c r="AQ116">
        <v>0.94</v>
      </c>
      <c r="AR116">
        <v>0</v>
      </c>
      <c r="AS116">
        <v>0</v>
      </c>
      <c r="AT116" t="s">
        <v>605</v>
      </c>
    </row>
    <row r="117" spans="1:46" x14ac:dyDescent="0.2">
      <c r="A117" t="s">
        <v>3417</v>
      </c>
      <c r="B117" t="s">
        <v>1077</v>
      </c>
      <c r="C117" t="s">
        <v>1100</v>
      </c>
      <c r="D117" t="s">
        <v>1428</v>
      </c>
      <c r="E117" t="s">
        <v>3418</v>
      </c>
      <c r="F117" t="s">
        <v>3420</v>
      </c>
      <c r="G117" t="s">
        <v>1219</v>
      </c>
      <c r="H117" t="s">
        <v>1495</v>
      </c>
      <c r="I117" t="s">
        <v>1564</v>
      </c>
      <c r="J117" t="s">
        <v>612</v>
      </c>
      <c r="K117" t="s">
        <v>612</v>
      </c>
      <c r="L117" t="s">
        <v>612</v>
      </c>
      <c r="M117" t="s">
        <v>612</v>
      </c>
      <c r="N117" t="s">
        <v>612</v>
      </c>
      <c r="O117" t="s">
        <v>612</v>
      </c>
      <c r="P117" t="s">
        <v>4326</v>
      </c>
      <c r="Q117" t="s">
        <v>3420</v>
      </c>
      <c r="T117" t="s">
        <v>1410</v>
      </c>
      <c r="U117" t="s">
        <v>1212</v>
      </c>
      <c r="AR117" t="s">
        <v>1565</v>
      </c>
      <c r="AS117" t="s">
        <v>612</v>
      </c>
      <c r="AT117" t="s">
        <v>605</v>
      </c>
    </row>
    <row r="118" spans="1:46" x14ac:dyDescent="0.2">
      <c r="A118" t="s">
        <v>3417</v>
      </c>
      <c r="B118" t="s">
        <v>1077</v>
      </c>
      <c r="C118" t="s">
        <v>1100</v>
      </c>
      <c r="D118" t="s">
        <v>1428</v>
      </c>
      <c r="E118" t="s">
        <v>3418</v>
      </c>
      <c r="F118" t="s">
        <v>3420</v>
      </c>
      <c r="P118" t="s">
        <v>4327</v>
      </c>
      <c r="Q118" t="s">
        <v>4452</v>
      </c>
      <c r="R118" t="s">
        <v>4348</v>
      </c>
      <c r="T118" t="s">
        <v>272</v>
      </c>
      <c r="U118">
        <v>0</v>
      </c>
      <c r="W118" t="s">
        <v>4453</v>
      </c>
      <c r="X118">
        <v>736</v>
      </c>
      <c r="Y118">
        <v>736</v>
      </c>
      <c r="Z118">
        <v>736</v>
      </c>
      <c r="AA118">
        <v>736</v>
      </c>
      <c r="AB118">
        <v>736</v>
      </c>
      <c r="AE118">
        <v>881</v>
      </c>
      <c r="AF118">
        <v>881</v>
      </c>
      <c r="AG118">
        <v>881</v>
      </c>
      <c r="AH118">
        <v>881</v>
      </c>
      <c r="AI118">
        <v>881</v>
      </c>
      <c r="AJ118" t="s">
        <v>1710</v>
      </c>
      <c r="AK118" t="s">
        <v>1710</v>
      </c>
      <c r="AL118" t="s">
        <v>1710</v>
      </c>
      <c r="AM118" t="s">
        <v>1710</v>
      </c>
      <c r="AN118" t="s">
        <v>1710</v>
      </c>
      <c r="AO118" t="s">
        <v>1710</v>
      </c>
      <c r="AP118" t="s">
        <v>1710</v>
      </c>
      <c r="AQ118">
        <v>1004</v>
      </c>
      <c r="AR118">
        <v>530</v>
      </c>
      <c r="AS118">
        <v>471</v>
      </c>
      <c r="AT118" t="s">
        <v>605</v>
      </c>
    </row>
    <row r="119" spans="1:46" x14ac:dyDescent="0.2">
      <c r="A119" t="s">
        <v>3417</v>
      </c>
      <c r="B119" t="s">
        <v>1077</v>
      </c>
      <c r="C119" t="s">
        <v>1100</v>
      </c>
      <c r="D119" t="s">
        <v>1428</v>
      </c>
      <c r="E119" t="s">
        <v>3418</v>
      </c>
      <c r="F119" t="s">
        <v>3420</v>
      </c>
      <c r="P119" t="s">
        <v>4330</v>
      </c>
      <c r="Q119" t="s">
        <v>4454</v>
      </c>
      <c r="R119" t="s">
        <v>4351</v>
      </c>
      <c r="T119" t="s">
        <v>272</v>
      </c>
      <c r="U119">
        <v>0</v>
      </c>
      <c r="W119" t="s">
        <v>4453</v>
      </c>
      <c r="X119">
        <v>84438</v>
      </c>
      <c r="Y119">
        <v>84438</v>
      </c>
      <c r="Z119">
        <v>84438</v>
      </c>
      <c r="AA119">
        <v>84438</v>
      </c>
      <c r="AB119">
        <v>84438</v>
      </c>
      <c r="AE119">
        <v>89698</v>
      </c>
      <c r="AF119">
        <v>89698</v>
      </c>
      <c r="AG119">
        <v>89698</v>
      </c>
      <c r="AH119">
        <v>89698</v>
      </c>
      <c r="AI119">
        <v>89698</v>
      </c>
      <c r="AJ119" t="s">
        <v>1710</v>
      </c>
      <c r="AK119" t="s">
        <v>1710</v>
      </c>
      <c r="AL119" t="s">
        <v>1710</v>
      </c>
      <c r="AM119" t="s">
        <v>1710</v>
      </c>
      <c r="AN119" t="s">
        <v>1710</v>
      </c>
      <c r="AO119" t="s">
        <v>1710</v>
      </c>
      <c r="AP119" t="s">
        <v>1710</v>
      </c>
      <c r="AQ119">
        <v>93251</v>
      </c>
      <c r="AR119">
        <v>86582</v>
      </c>
      <c r="AS119">
        <v>84677</v>
      </c>
      <c r="AT119" t="s">
        <v>606</v>
      </c>
    </row>
    <row r="120" spans="1:46" x14ac:dyDescent="0.2">
      <c r="A120" t="s">
        <v>3417</v>
      </c>
      <c r="B120" t="s">
        <v>1077</v>
      </c>
      <c r="C120" t="s">
        <v>1100</v>
      </c>
      <c r="D120" t="s">
        <v>1428</v>
      </c>
      <c r="E120" t="s">
        <v>3418</v>
      </c>
      <c r="F120" t="s">
        <v>3420</v>
      </c>
      <c r="P120" t="s">
        <v>4335</v>
      </c>
      <c r="Q120" t="s">
        <v>4455</v>
      </c>
      <c r="R120" t="s">
        <v>4346</v>
      </c>
      <c r="T120" t="s">
        <v>272</v>
      </c>
      <c r="U120">
        <v>0</v>
      </c>
      <c r="W120" t="s">
        <v>4453</v>
      </c>
      <c r="X120">
        <v>206</v>
      </c>
      <c r="Y120">
        <v>206</v>
      </c>
      <c r="Z120">
        <v>206</v>
      </c>
      <c r="AA120">
        <v>206</v>
      </c>
      <c r="AB120">
        <v>206</v>
      </c>
      <c r="AE120">
        <v>332</v>
      </c>
      <c r="AF120">
        <v>332</v>
      </c>
      <c r="AG120">
        <v>332</v>
      </c>
      <c r="AH120">
        <v>332</v>
      </c>
      <c r="AI120">
        <v>332</v>
      </c>
      <c r="AJ120" t="s">
        <v>1710</v>
      </c>
      <c r="AK120" t="s">
        <v>1710</v>
      </c>
      <c r="AL120" t="s">
        <v>1710</v>
      </c>
      <c r="AM120" t="s">
        <v>1710</v>
      </c>
      <c r="AN120" t="s">
        <v>1710</v>
      </c>
      <c r="AO120" t="s">
        <v>1710</v>
      </c>
      <c r="AP120" t="s">
        <v>1710</v>
      </c>
      <c r="AQ120">
        <v>393</v>
      </c>
      <c r="AS120">
        <v>178</v>
      </c>
      <c r="AT120" t="s">
        <v>605</v>
      </c>
    </row>
    <row r="121" spans="1:46" x14ac:dyDescent="0.2">
      <c r="A121" t="s">
        <v>3417</v>
      </c>
      <c r="B121" t="s">
        <v>1077</v>
      </c>
      <c r="C121" t="s">
        <v>1100</v>
      </c>
      <c r="D121" t="s">
        <v>1428</v>
      </c>
      <c r="E121" t="s">
        <v>3418</v>
      </c>
      <c r="F121" t="s">
        <v>3420</v>
      </c>
      <c r="P121" t="s">
        <v>4338</v>
      </c>
      <c r="Q121" t="s">
        <v>4456</v>
      </c>
      <c r="R121" t="s">
        <v>4350</v>
      </c>
      <c r="T121" t="s">
        <v>272</v>
      </c>
      <c r="U121">
        <v>0</v>
      </c>
      <c r="W121" t="s">
        <v>4453</v>
      </c>
      <c r="X121">
        <v>1077</v>
      </c>
      <c r="Y121">
        <v>1077</v>
      </c>
      <c r="Z121">
        <v>1077</v>
      </c>
      <c r="AA121">
        <v>1077</v>
      </c>
      <c r="AB121">
        <v>1077</v>
      </c>
      <c r="AE121">
        <v>1274</v>
      </c>
      <c r="AF121">
        <v>1274</v>
      </c>
      <c r="AG121">
        <v>1274</v>
      </c>
      <c r="AH121">
        <v>1274</v>
      </c>
      <c r="AI121">
        <v>1274</v>
      </c>
      <c r="AJ121" t="s">
        <v>1710</v>
      </c>
      <c r="AK121" t="s">
        <v>1710</v>
      </c>
      <c r="AL121" t="s">
        <v>1710</v>
      </c>
      <c r="AM121" t="s">
        <v>1710</v>
      </c>
      <c r="AN121" t="s">
        <v>1710</v>
      </c>
      <c r="AO121" t="s">
        <v>1710</v>
      </c>
      <c r="AP121" t="s">
        <v>1710</v>
      </c>
      <c r="AQ121">
        <v>1358</v>
      </c>
      <c r="AR121">
        <v>1017</v>
      </c>
      <c r="AS121">
        <v>1227</v>
      </c>
      <c r="AT121" t="s">
        <v>606</v>
      </c>
    </row>
    <row r="122" spans="1:46" x14ac:dyDescent="0.2">
      <c r="A122" t="s">
        <v>3634</v>
      </c>
      <c r="B122" t="s">
        <v>1077</v>
      </c>
      <c r="C122" t="s">
        <v>3621</v>
      </c>
      <c r="D122" t="s">
        <v>1202</v>
      </c>
      <c r="E122" t="s">
        <v>1569</v>
      </c>
      <c r="F122" t="s">
        <v>3636</v>
      </c>
      <c r="G122" t="s">
        <v>1207</v>
      </c>
      <c r="H122" t="s">
        <v>1249</v>
      </c>
      <c r="I122" t="s">
        <v>3637</v>
      </c>
      <c r="J122">
        <v>107.2</v>
      </c>
      <c r="K122">
        <v>119.3</v>
      </c>
      <c r="L122">
        <v>130.30000000000001</v>
      </c>
      <c r="M122">
        <v>145.9</v>
      </c>
      <c r="N122">
        <v>145.9</v>
      </c>
      <c r="O122">
        <v>145.9</v>
      </c>
      <c r="P122" t="s">
        <v>4326</v>
      </c>
      <c r="Q122" t="s">
        <v>3636</v>
      </c>
      <c r="S122">
        <v>-15628.223599999999</v>
      </c>
      <c r="T122" t="s">
        <v>665</v>
      </c>
      <c r="U122">
        <v>3</v>
      </c>
      <c r="AR122">
        <v>108.364</v>
      </c>
      <c r="AS122">
        <v>120.465</v>
      </c>
      <c r="AT122" t="s">
        <v>605</v>
      </c>
    </row>
    <row r="123" spans="1:46" x14ac:dyDescent="0.2">
      <c r="A123" t="s">
        <v>3634</v>
      </c>
      <c r="B123" t="s">
        <v>1077</v>
      </c>
      <c r="C123" t="s">
        <v>3621</v>
      </c>
      <c r="D123" t="s">
        <v>1202</v>
      </c>
      <c r="E123" t="s">
        <v>1569</v>
      </c>
      <c r="F123" t="s">
        <v>3636</v>
      </c>
      <c r="P123" t="s">
        <v>4327</v>
      </c>
      <c r="Q123" t="s">
        <v>4457</v>
      </c>
      <c r="R123" t="s">
        <v>4342</v>
      </c>
      <c r="S123">
        <v>-16.217128118668306</v>
      </c>
      <c r="T123" t="s">
        <v>264</v>
      </c>
      <c r="U123">
        <v>2</v>
      </c>
      <c r="W123">
        <v>0.04</v>
      </c>
      <c r="X123">
        <v>0.04</v>
      </c>
      <c r="Y123">
        <v>0.04</v>
      </c>
      <c r="Z123">
        <v>0.04</v>
      </c>
      <c r="AA123">
        <v>0.04</v>
      </c>
      <c r="AB123">
        <v>0.04</v>
      </c>
      <c r="AR123">
        <v>0.03</v>
      </c>
      <c r="AS123">
        <v>0.06</v>
      </c>
      <c r="AT123" t="s">
        <v>606</v>
      </c>
    </row>
    <row r="124" spans="1:46" x14ac:dyDescent="0.2">
      <c r="A124" t="s">
        <v>3634</v>
      </c>
      <c r="B124" t="s">
        <v>1077</v>
      </c>
      <c r="C124" t="s">
        <v>3621</v>
      </c>
      <c r="D124" t="s">
        <v>1202</v>
      </c>
      <c r="E124" t="s">
        <v>1569</v>
      </c>
      <c r="F124" t="s">
        <v>3636</v>
      </c>
      <c r="P124" t="s">
        <v>4330</v>
      </c>
      <c r="Q124" t="s">
        <v>4458</v>
      </c>
      <c r="R124" t="s">
        <v>4344</v>
      </c>
      <c r="S124">
        <v>37.39055984289103</v>
      </c>
      <c r="T124" t="s">
        <v>264</v>
      </c>
      <c r="U124">
        <v>2</v>
      </c>
      <c r="W124">
        <v>99.96</v>
      </c>
      <c r="X124">
        <v>99.96</v>
      </c>
      <c r="Y124">
        <v>99.96</v>
      </c>
      <c r="Z124">
        <v>99.96</v>
      </c>
      <c r="AA124">
        <v>99.96</v>
      </c>
      <c r="AB124">
        <v>99.96</v>
      </c>
      <c r="AR124">
        <v>99.98</v>
      </c>
      <c r="AS124">
        <v>99.98</v>
      </c>
      <c r="AT124" t="s">
        <v>605</v>
      </c>
    </row>
    <row r="125" spans="1:46" x14ac:dyDescent="0.2">
      <c r="A125" t="s">
        <v>3634</v>
      </c>
      <c r="B125" t="s">
        <v>1077</v>
      </c>
      <c r="C125" t="s">
        <v>3621</v>
      </c>
      <c r="D125" t="s">
        <v>1202</v>
      </c>
      <c r="E125" t="s">
        <v>1569</v>
      </c>
      <c r="F125" t="s">
        <v>3636</v>
      </c>
      <c r="P125" t="s">
        <v>4335</v>
      </c>
      <c r="Q125" t="s">
        <v>4459</v>
      </c>
      <c r="R125" t="s">
        <v>4345</v>
      </c>
      <c r="S125">
        <v>-7.6539796562042461E-2</v>
      </c>
      <c r="T125" t="s">
        <v>272</v>
      </c>
      <c r="U125">
        <v>0</v>
      </c>
      <c r="W125">
        <v>3</v>
      </c>
      <c r="X125">
        <v>3</v>
      </c>
      <c r="Y125">
        <v>3</v>
      </c>
      <c r="Z125">
        <v>3</v>
      </c>
      <c r="AA125">
        <v>3</v>
      </c>
      <c r="AB125">
        <v>3</v>
      </c>
      <c r="AR125">
        <v>2</v>
      </c>
      <c r="AS125">
        <v>1</v>
      </c>
      <c r="AT125" t="s">
        <v>605</v>
      </c>
    </row>
    <row r="126" spans="1:46" x14ac:dyDescent="0.2">
      <c r="A126" t="s">
        <v>3634</v>
      </c>
      <c r="B126" t="s">
        <v>1077</v>
      </c>
      <c r="C126" t="s">
        <v>3621</v>
      </c>
      <c r="D126" t="s">
        <v>1202</v>
      </c>
      <c r="E126" t="s">
        <v>1569</v>
      </c>
      <c r="F126" t="s">
        <v>3636</v>
      </c>
      <c r="P126" t="s">
        <v>4338</v>
      </c>
      <c r="Q126" t="s">
        <v>4460</v>
      </c>
      <c r="R126" t="s">
        <v>4460</v>
      </c>
      <c r="S126">
        <v>116.54918801406053</v>
      </c>
      <c r="T126" t="s">
        <v>264</v>
      </c>
      <c r="U126">
        <v>2</v>
      </c>
      <c r="W126">
        <v>99.95</v>
      </c>
      <c r="X126">
        <v>99.96</v>
      </c>
      <c r="Y126">
        <v>99.96</v>
      </c>
      <c r="Z126">
        <v>100</v>
      </c>
      <c r="AA126">
        <v>100</v>
      </c>
      <c r="AB126">
        <v>100</v>
      </c>
      <c r="AR126">
        <v>99.96</v>
      </c>
      <c r="AS126">
        <v>99.96</v>
      </c>
      <c r="AT126" t="s">
        <v>605</v>
      </c>
    </row>
    <row r="127" spans="1:46" x14ac:dyDescent="0.2">
      <c r="A127" t="s">
        <v>3634</v>
      </c>
      <c r="B127" t="s">
        <v>1077</v>
      </c>
      <c r="C127" t="s">
        <v>3621</v>
      </c>
      <c r="D127" t="s">
        <v>1202</v>
      </c>
      <c r="E127" t="s">
        <v>1569</v>
      </c>
      <c r="F127" t="s">
        <v>3636</v>
      </c>
      <c r="P127" t="s">
        <v>4367</v>
      </c>
      <c r="Q127" t="s">
        <v>4461</v>
      </c>
      <c r="R127" t="s">
        <v>4340</v>
      </c>
      <c r="S127">
        <v>4.482469859843901</v>
      </c>
      <c r="T127" t="s">
        <v>264</v>
      </c>
      <c r="U127">
        <v>2</v>
      </c>
      <c r="W127">
        <v>99.88</v>
      </c>
      <c r="X127">
        <v>99.88</v>
      </c>
      <c r="Y127">
        <v>99.88</v>
      </c>
      <c r="Z127">
        <v>99.88</v>
      </c>
      <c r="AA127">
        <v>99.88</v>
      </c>
      <c r="AB127">
        <v>99.88</v>
      </c>
      <c r="AR127">
        <v>99.93</v>
      </c>
      <c r="AS127">
        <v>99.89</v>
      </c>
      <c r="AT127" t="s">
        <v>605</v>
      </c>
    </row>
    <row r="128" spans="1:46" x14ac:dyDescent="0.2">
      <c r="A128" t="s">
        <v>3634</v>
      </c>
      <c r="B128" t="s">
        <v>1077</v>
      </c>
      <c r="C128" t="s">
        <v>3621</v>
      </c>
      <c r="D128" t="s">
        <v>1202</v>
      </c>
      <c r="E128" t="s">
        <v>1569</v>
      </c>
      <c r="F128" t="s">
        <v>3636</v>
      </c>
      <c r="P128" t="s">
        <v>4369</v>
      </c>
      <c r="Q128" t="s">
        <v>4462</v>
      </c>
      <c r="R128" t="s">
        <v>4463</v>
      </c>
      <c r="S128">
        <v>-9.4406713099461359E-3</v>
      </c>
      <c r="T128" t="s">
        <v>272</v>
      </c>
      <c r="U128">
        <v>0</v>
      </c>
      <c r="W128">
        <v>10387</v>
      </c>
      <c r="X128">
        <v>9226</v>
      </c>
      <c r="Y128">
        <v>8065</v>
      </c>
      <c r="Z128">
        <v>6904</v>
      </c>
      <c r="AA128">
        <v>6904</v>
      </c>
      <c r="AB128">
        <v>6904</v>
      </c>
      <c r="AR128">
        <v>10436</v>
      </c>
      <c r="AS128">
        <v>9171</v>
      </c>
      <c r="AT128" t="s">
        <v>605</v>
      </c>
    </row>
    <row r="129" spans="1:46" x14ac:dyDescent="0.2">
      <c r="A129" t="s">
        <v>3649</v>
      </c>
      <c r="B129" t="s">
        <v>1077</v>
      </c>
      <c r="C129" t="s">
        <v>3621</v>
      </c>
      <c r="D129" t="s">
        <v>1202</v>
      </c>
      <c r="E129" t="s">
        <v>1731</v>
      </c>
      <c r="F129" t="s">
        <v>3651</v>
      </c>
      <c r="G129" t="s">
        <v>1207</v>
      </c>
      <c r="H129" t="s">
        <v>1272</v>
      </c>
      <c r="I129" t="s">
        <v>3652</v>
      </c>
      <c r="J129">
        <v>100</v>
      </c>
      <c r="K129">
        <v>100</v>
      </c>
      <c r="L129">
        <v>100</v>
      </c>
      <c r="M129">
        <v>100</v>
      </c>
      <c r="N129">
        <v>100</v>
      </c>
      <c r="O129">
        <v>100</v>
      </c>
      <c r="P129" t="s">
        <v>4326</v>
      </c>
      <c r="Q129" t="s">
        <v>3651</v>
      </c>
      <c r="S129">
        <v>134.14671860385499</v>
      </c>
      <c r="T129" t="s">
        <v>665</v>
      </c>
      <c r="U129">
        <v>3</v>
      </c>
      <c r="AR129">
        <v>100.321</v>
      </c>
      <c r="AS129">
        <v>16.446999999999999</v>
      </c>
      <c r="AT129" t="s">
        <v>606</v>
      </c>
    </row>
    <row r="130" spans="1:46" x14ac:dyDescent="0.2">
      <c r="A130" t="s">
        <v>3649</v>
      </c>
      <c r="B130" t="s">
        <v>1077</v>
      </c>
      <c r="C130" t="s">
        <v>3621</v>
      </c>
      <c r="D130" t="s">
        <v>1202</v>
      </c>
      <c r="E130" t="s">
        <v>1731</v>
      </c>
      <c r="F130" t="s">
        <v>3651</v>
      </c>
      <c r="P130" t="s">
        <v>4327</v>
      </c>
      <c r="Q130" t="s">
        <v>4464</v>
      </c>
      <c r="R130" t="s">
        <v>4332</v>
      </c>
      <c r="S130">
        <v>-2.0218155830946799E-3</v>
      </c>
      <c r="T130" t="s">
        <v>272</v>
      </c>
      <c r="U130">
        <v>0</v>
      </c>
      <c r="W130">
        <v>5080</v>
      </c>
      <c r="X130">
        <v>5080</v>
      </c>
      <c r="Y130">
        <v>5080</v>
      </c>
      <c r="Z130">
        <v>5080</v>
      </c>
      <c r="AA130">
        <v>5080</v>
      </c>
      <c r="AB130">
        <v>5080</v>
      </c>
      <c r="AR130">
        <v>5072</v>
      </c>
      <c r="AS130">
        <v>4785</v>
      </c>
      <c r="AT130" t="s">
        <v>605</v>
      </c>
    </row>
    <row r="131" spans="1:46" x14ac:dyDescent="0.2">
      <c r="A131" t="s">
        <v>3649</v>
      </c>
      <c r="B131" t="s">
        <v>1077</v>
      </c>
      <c r="C131" t="s">
        <v>3621</v>
      </c>
      <c r="D131" t="s">
        <v>1202</v>
      </c>
      <c r="E131" t="s">
        <v>1731</v>
      </c>
      <c r="F131" t="s">
        <v>3651</v>
      </c>
      <c r="P131" t="s">
        <v>4330</v>
      </c>
      <c r="Q131" t="s">
        <v>4465</v>
      </c>
      <c r="R131" t="s">
        <v>4329</v>
      </c>
      <c r="S131">
        <v>-7.9020174491108795E-3</v>
      </c>
      <c r="T131" t="s">
        <v>272</v>
      </c>
      <c r="U131">
        <v>0</v>
      </c>
      <c r="W131">
        <v>730</v>
      </c>
      <c r="X131">
        <v>730</v>
      </c>
      <c r="Y131">
        <v>730</v>
      </c>
      <c r="Z131">
        <v>730</v>
      </c>
      <c r="AA131">
        <v>730</v>
      </c>
      <c r="AB131">
        <v>730</v>
      </c>
      <c r="AR131">
        <v>723</v>
      </c>
      <c r="AS131">
        <v>11431</v>
      </c>
      <c r="AT131" t="s">
        <v>606</v>
      </c>
    </row>
    <row r="132" spans="1:46" x14ac:dyDescent="0.2">
      <c r="A132" t="s">
        <v>3649</v>
      </c>
      <c r="B132" t="s">
        <v>1077</v>
      </c>
      <c r="C132" t="s">
        <v>3621</v>
      </c>
      <c r="D132" t="s">
        <v>1202</v>
      </c>
      <c r="E132" t="s">
        <v>1731</v>
      </c>
      <c r="F132" t="s">
        <v>3651</v>
      </c>
      <c r="P132" t="s">
        <v>4335</v>
      </c>
      <c r="Q132" t="s">
        <v>4466</v>
      </c>
      <c r="R132" t="s">
        <v>4358</v>
      </c>
      <c r="S132">
        <v>-8.4683375208154093E-3</v>
      </c>
      <c r="T132" t="s">
        <v>272</v>
      </c>
      <c r="U132">
        <v>0</v>
      </c>
      <c r="W132">
        <v>272</v>
      </c>
      <c r="X132">
        <v>272</v>
      </c>
      <c r="Y132">
        <v>272</v>
      </c>
      <c r="Z132">
        <v>272</v>
      </c>
      <c r="AA132">
        <v>272</v>
      </c>
      <c r="AB132">
        <v>272</v>
      </c>
      <c r="AR132">
        <v>225</v>
      </c>
      <c r="AS132">
        <v>262</v>
      </c>
      <c r="AT132" t="s">
        <v>605</v>
      </c>
    </row>
    <row r="133" spans="1:46" x14ac:dyDescent="0.2">
      <c r="A133" t="s">
        <v>3649</v>
      </c>
      <c r="B133" t="s">
        <v>1077</v>
      </c>
      <c r="C133" t="s">
        <v>3621</v>
      </c>
      <c r="D133" t="s">
        <v>1202</v>
      </c>
      <c r="E133" t="s">
        <v>1731</v>
      </c>
      <c r="F133" t="s">
        <v>3651</v>
      </c>
      <c r="P133" t="s">
        <v>4338</v>
      </c>
      <c r="Q133" t="s">
        <v>4467</v>
      </c>
      <c r="R133" t="s">
        <v>4463</v>
      </c>
      <c r="S133">
        <v>-3.2925072704628701E-4</v>
      </c>
      <c r="T133" t="s">
        <v>272</v>
      </c>
      <c r="U133">
        <v>0</v>
      </c>
      <c r="W133">
        <v>48000</v>
      </c>
      <c r="X133">
        <v>48000</v>
      </c>
      <c r="Y133">
        <v>48000</v>
      </c>
      <c r="Z133">
        <v>48000</v>
      </c>
      <c r="AA133">
        <v>48000</v>
      </c>
      <c r="AB133">
        <v>48000</v>
      </c>
      <c r="AR133">
        <v>48452</v>
      </c>
      <c r="AS133">
        <v>47011</v>
      </c>
      <c r="AT133" t="s">
        <v>605</v>
      </c>
    </row>
    <row r="134" spans="1:46" x14ac:dyDescent="0.2">
      <c r="A134" t="s">
        <v>3697</v>
      </c>
      <c r="B134" t="s">
        <v>1077</v>
      </c>
      <c r="C134" t="s">
        <v>3621</v>
      </c>
      <c r="D134" t="s">
        <v>1428</v>
      </c>
      <c r="E134" t="s">
        <v>1914</v>
      </c>
      <c r="F134" t="s">
        <v>3700</v>
      </c>
      <c r="G134" t="s">
        <v>1207</v>
      </c>
      <c r="H134" t="s">
        <v>1432</v>
      </c>
      <c r="I134" t="s">
        <v>3701</v>
      </c>
      <c r="J134">
        <v>105.8</v>
      </c>
      <c r="K134">
        <v>100</v>
      </c>
      <c r="L134">
        <v>100</v>
      </c>
      <c r="M134">
        <v>100</v>
      </c>
      <c r="N134">
        <v>100</v>
      </c>
      <c r="O134">
        <v>100</v>
      </c>
      <c r="P134" t="s">
        <v>4326</v>
      </c>
      <c r="Q134" t="s">
        <v>3700</v>
      </c>
      <c r="S134" t="s">
        <v>4468</v>
      </c>
      <c r="T134" t="s">
        <v>665</v>
      </c>
      <c r="U134">
        <v>2</v>
      </c>
      <c r="AR134">
        <v>95.2</v>
      </c>
      <c r="AS134">
        <v>91.69</v>
      </c>
      <c r="AT134" t="s">
        <v>605</v>
      </c>
    </row>
    <row r="135" spans="1:46" x14ac:dyDescent="0.2">
      <c r="A135" t="s">
        <v>3697</v>
      </c>
      <c r="B135" t="s">
        <v>1077</v>
      </c>
      <c r="C135" t="s">
        <v>3621</v>
      </c>
      <c r="D135" t="s">
        <v>1428</v>
      </c>
      <c r="E135" t="s">
        <v>1914</v>
      </c>
      <c r="F135" t="s">
        <v>3700</v>
      </c>
      <c r="P135" t="s">
        <v>4327</v>
      </c>
      <c r="Q135" t="s">
        <v>4469</v>
      </c>
      <c r="R135" t="s">
        <v>4351</v>
      </c>
      <c r="S135">
        <v>59.3</v>
      </c>
      <c r="T135" t="s">
        <v>272</v>
      </c>
      <c r="U135">
        <v>0</v>
      </c>
      <c r="W135">
        <v>15734</v>
      </c>
      <c r="X135">
        <v>15734</v>
      </c>
      <c r="Y135">
        <v>15734</v>
      </c>
      <c r="Z135">
        <v>15734</v>
      </c>
      <c r="AA135">
        <v>15734</v>
      </c>
      <c r="AB135">
        <v>15734</v>
      </c>
      <c r="AR135">
        <v>14543</v>
      </c>
      <c r="AS135">
        <v>13906</v>
      </c>
      <c r="AT135" t="s">
        <v>605</v>
      </c>
    </row>
    <row r="136" spans="1:46" x14ac:dyDescent="0.2">
      <c r="A136" t="s">
        <v>3697</v>
      </c>
      <c r="B136" t="s">
        <v>1077</v>
      </c>
      <c r="C136" t="s">
        <v>3621</v>
      </c>
      <c r="D136" t="s">
        <v>1428</v>
      </c>
      <c r="E136" t="s">
        <v>1914</v>
      </c>
      <c r="F136" t="s">
        <v>3700</v>
      </c>
      <c r="P136" t="s">
        <v>4330</v>
      </c>
      <c r="Q136" t="s">
        <v>4470</v>
      </c>
      <c r="R136" t="s">
        <v>4348</v>
      </c>
      <c r="S136">
        <v>97.1</v>
      </c>
      <c r="T136" t="s">
        <v>272</v>
      </c>
      <c r="U136">
        <v>0</v>
      </c>
      <c r="W136">
        <v>553</v>
      </c>
      <c r="X136">
        <v>553</v>
      </c>
      <c r="Y136">
        <v>553</v>
      </c>
      <c r="Z136">
        <v>553</v>
      </c>
      <c r="AA136">
        <v>553</v>
      </c>
      <c r="AB136">
        <v>553</v>
      </c>
      <c r="AR136">
        <v>491</v>
      </c>
      <c r="AS136">
        <v>361</v>
      </c>
      <c r="AT136" t="s">
        <v>605</v>
      </c>
    </row>
    <row r="137" spans="1:46" x14ac:dyDescent="0.2">
      <c r="A137" t="s">
        <v>3697</v>
      </c>
      <c r="B137" t="s">
        <v>1077</v>
      </c>
      <c r="C137" t="s">
        <v>3621</v>
      </c>
      <c r="D137" t="s">
        <v>1428</v>
      </c>
      <c r="E137" t="s">
        <v>1914</v>
      </c>
      <c r="F137" t="s">
        <v>3700</v>
      </c>
      <c r="P137" t="s">
        <v>4335</v>
      </c>
      <c r="Q137" t="s">
        <v>1468</v>
      </c>
      <c r="R137" t="s">
        <v>4346</v>
      </c>
      <c r="S137">
        <v>1516.3</v>
      </c>
      <c r="T137" t="s">
        <v>272</v>
      </c>
      <c r="U137">
        <v>0</v>
      </c>
      <c r="W137">
        <v>4</v>
      </c>
      <c r="X137">
        <v>4</v>
      </c>
      <c r="Y137">
        <v>4</v>
      </c>
      <c r="Z137">
        <v>4</v>
      </c>
      <c r="AA137">
        <v>4</v>
      </c>
      <c r="AB137">
        <v>4</v>
      </c>
      <c r="AR137">
        <v>3</v>
      </c>
      <c r="AS137">
        <v>5</v>
      </c>
      <c r="AT137" t="s">
        <v>606</v>
      </c>
    </row>
    <row r="138" spans="1:46" x14ac:dyDescent="0.2">
      <c r="A138" t="s">
        <v>3697</v>
      </c>
      <c r="B138" t="s">
        <v>1077</v>
      </c>
      <c r="C138" t="s">
        <v>3621</v>
      </c>
      <c r="D138" t="s">
        <v>1428</v>
      </c>
      <c r="E138" t="s">
        <v>1914</v>
      </c>
      <c r="F138" t="s">
        <v>3700</v>
      </c>
      <c r="P138" t="s">
        <v>4338</v>
      </c>
      <c r="Q138" t="s">
        <v>4471</v>
      </c>
      <c r="R138" t="s">
        <v>4350</v>
      </c>
      <c r="S138">
        <v>297.5</v>
      </c>
      <c r="T138" t="s">
        <v>272</v>
      </c>
      <c r="U138">
        <v>0</v>
      </c>
      <c r="W138">
        <v>473</v>
      </c>
      <c r="X138">
        <v>473</v>
      </c>
      <c r="Y138">
        <v>473</v>
      </c>
      <c r="Z138">
        <v>473</v>
      </c>
      <c r="AA138">
        <v>473</v>
      </c>
      <c r="AB138">
        <v>473</v>
      </c>
      <c r="AR138">
        <v>387</v>
      </c>
      <c r="AS138">
        <v>418</v>
      </c>
      <c r="AT138" t="s">
        <v>605</v>
      </c>
    </row>
    <row r="139" spans="1:46" x14ac:dyDescent="0.2">
      <c r="A139" t="s">
        <v>3697</v>
      </c>
      <c r="B139" t="s">
        <v>1077</v>
      </c>
      <c r="C139" t="s">
        <v>3621</v>
      </c>
      <c r="D139" t="s">
        <v>1428</v>
      </c>
      <c r="E139" t="s">
        <v>1914</v>
      </c>
      <c r="F139" t="s">
        <v>3700</v>
      </c>
      <c r="P139" t="s">
        <v>4367</v>
      </c>
      <c r="Q139" t="s">
        <v>4472</v>
      </c>
      <c r="R139" t="s">
        <v>4393</v>
      </c>
      <c r="S139">
        <v>46.6</v>
      </c>
      <c r="T139" t="s">
        <v>272</v>
      </c>
      <c r="U139">
        <v>0</v>
      </c>
      <c r="W139">
        <v>5550</v>
      </c>
      <c r="X139">
        <v>5550</v>
      </c>
      <c r="Y139">
        <v>5550</v>
      </c>
      <c r="Z139">
        <v>5550</v>
      </c>
      <c r="AA139">
        <v>5550</v>
      </c>
      <c r="AB139">
        <v>5550</v>
      </c>
      <c r="AR139">
        <v>4777</v>
      </c>
      <c r="AS139">
        <v>4605</v>
      </c>
      <c r="AT139" t="s">
        <v>605</v>
      </c>
    </row>
    <row r="140" spans="1:46" x14ac:dyDescent="0.2">
      <c r="A140" t="s">
        <v>3704</v>
      </c>
      <c r="B140" t="s">
        <v>1077</v>
      </c>
      <c r="C140" t="s">
        <v>3621</v>
      </c>
      <c r="D140" t="s">
        <v>1428</v>
      </c>
      <c r="E140" t="s">
        <v>1429</v>
      </c>
      <c r="F140" t="s">
        <v>3706</v>
      </c>
      <c r="G140" t="s">
        <v>1219</v>
      </c>
      <c r="H140" t="s">
        <v>1495</v>
      </c>
      <c r="I140" t="s">
        <v>3707</v>
      </c>
      <c r="J140">
        <v>108.4</v>
      </c>
      <c r="K140">
        <v>106.2</v>
      </c>
      <c r="L140">
        <v>103.2</v>
      </c>
      <c r="M140">
        <v>99.4</v>
      </c>
      <c r="N140">
        <v>95.6</v>
      </c>
      <c r="O140">
        <v>93.4</v>
      </c>
      <c r="P140" t="s">
        <v>4326</v>
      </c>
      <c r="Q140" t="s">
        <v>3706</v>
      </c>
      <c r="S140" t="s">
        <v>4473</v>
      </c>
      <c r="T140" t="s">
        <v>665</v>
      </c>
      <c r="U140">
        <v>2</v>
      </c>
      <c r="AR140">
        <v>94.3</v>
      </c>
      <c r="AS140">
        <v>90.95</v>
      </c>
      <c r="AT140" t="s">
        <v>605</v>
      </c>
    </row>
    <row r="141" spans="1:46" x14ac:dyDescent="0.2">
      <c r="A141" t="s">
        <v>3704</v>
      </c>
      <c r="B141" t="s">
        <v>1077</v>
      </c>
      <c r="C141" t="s">
        <v>3621</v>
      </c>
      <c r="D141" t="s">
        <v>1428</v>
      </c>
      <c r="E141" t="s">
        <v>1429</v>
      </c>
      <c r="F141" t="s">
        <v>3706</v>
      </c>
      <c r="P141" t="s">
        <v>4327</v>
      </c>
      <c r="Q141" t="s">
        <v>4469</v>
      </c>
      <c r="R141" t="s">
        <v>4351</v>
      </c>
      <c r="S141">
        <v>26.1</v>
      </c>
      <c r="T141" t="s">
        <v>272</v>
      </c>
      <c r="U141">
        <v>0</v>
      </c>
      <c r="W141">
        <v>9000</v>
      </c>
      <c r="X141">
        <v>8754</v>
      </c>
      <c r="Y141">
        <v>8425</v>
      </c>
      <c r="Z141">
        <v>8015</v>
      </c>
      <c r="AA141">
        <v>7604</v>
      </c>
      <c r="AB141">
        <v>7358</v>
      </c>
      <c r="AR141">
        <v>7877</v>
      </c>
      <c r="AS141">
        <v>7473</v>
      </c>
      <c r="AT141" t="s">
        <v>605</v>
      </c>
    </row>
    <row r="142" spans="1:46" x14ac:dyDescent="0.2">
      <c r="A142" t="s">
        <v>3704</v>
      </c>
      <c r="B142" t="s">
        <v>1077</v>
      </c>
      <c r="C142" t="s">
        <v>3621</v>
      </c>
      <c r="D142" t="s">
        <v>1428</v>
      </c>
      <c r="E142" t="s">
        <v>1429</v>
      </c>
      <c r="F142" t="s">
        <v>3706</v>
      </c>
      <c r="P142" t="s">
        <v>4330</v>
      </c>
      <c r="Q142" t="s">
        <v>4470</v>
      </c>
      <c r="R142" t="s">
        <v>4348</v>
      </c>
      <c r="S142">
        <v>97.1</v>
      </c>
      <c r="T142" t="s">
        <v>272</v>
      </c>
      <c r="U142">
        <v>0</v>
      </c>
      <c r="W142">
        <v>444</v>
      </c>
      <c r="X142">
        <v>444</v>
      </c>
      <c r="Y142">
        <v>444</v>
      </c>
      <c r="Z142">
        <v>444</v>
      </c>
      <c r="AA142">
        <v>444</v>
      </c>
      <c r="AB142">
        <v>444</v>
      </c>
      <c r="AR142">
        <v>314</v>
      </c>
      <c r="AS142">
        <v>261</v>
      </c>
      <c r="AT142" t="s">
        <v>605</v>
      </c>
    </row>
    <row r="143" spans="1:46" x14ac:dyDescent="0.2">
      <c r="A143" t="s">
        <v>3704</v>
      </c>
      <c r="B143" t="s">
        <v>1077</v>
      </c>
      <c r="C143" t="s">
        <v>3621</v>
      </c>
      <c r="D143" t="s">
        <v>1428</v>
      </c>
      <c r="E143" t="s">
        <v>1429</v>
      </c>
      <c r="F143" t="s">
        <v>3706</v>
      </c>
      <c r="P143" t="s">
        <v>4335</v>
      </c>
      <c r="Q143" t="s">
        <v>4474</v>
      </c>
      <c r="R143" t="s">
        <v>4348</v>
      </c>
      <c r="S143">
        <v>485.2</v>
      </c>
      <c r="T143" t="s">
        <v>272</v>
      </c>
      <c r="U143">
        <v>0</v>
      </c>
      <c r="W143">
        <v>40</v>
      </c>
      <c r="X143">
        <v>40</v>
      </c>
      <c r="Y143">
        <v>40</v>
      </c>
      <c r="Z143">
        <v>40</v>
      </c>
      <c r="AA143">
        <v>40</v>
      </c>
      <c r="AB143">
        <v>40</v>
      </c>
      <c r="AR143">
        <v>48</v>
      </c>
      <c r="AS143">
        <v>51</v>
      </c>
      <c r="AT143" t="s">
        <v>606</v>
      </c>
    </row>
    <row r="144" spans="1:46" x14ac:dyDescent="0.2">
      <c r="A144" t="s">
        <v>3704</v>
      </c>
      <c r="B144" t="s">
        <v>1077</v>
      </c>
      <c r="C144" t="s">
        <v>3621</v>
      </c>
      <c r="D144" t="s">
        <v>1428</v>
      </c>
      <c r="E144" t="s">
        <v>1429</v>
      </c>
      <c r="F144" t="s">
        <v>3706</v>
      </c>
      <c r="P144" t="s">
        <v>4338</v>
      </c>
      <c r="Q144" t="s">
        <v>4426</v>
      </c>
      <c r="R144" t="s">
        <v>4427</v>
      </c>
      <c r="S144">
        <v>6.3</v>
      </c>
      <c r="T144" t="s">
        <v>272</v>
      </c>
      <c r="U144">
        <v>0</v>
      </c>
      <c r="W144">
        <v>2418</v>
      </c>
      <c r="X144">
        <v>2403</v>
      </c>
      <c r="Y144">
        <v>2383</v>
      </c>
      <c r="Z144">
        <v>2358</v>
      </c>
      <c r="AA144">
        <v>2333</v>
      </c>
      <c r="AB144">
        <v>2318</v>
      </c>
      <c r="AR144">
        <v>2041</v>
      </c>
      <c r="AS144">
        <v>2704</v>
      </c>
      <c r="AT144" t="s">
        <v>606</v>
      </c>
    </row>
    <row r="145" spans="1:46" x14ac:dyDescent="0.2">
      <c r="A145" t="s">
        <v>3716</v>
      </c>
      <c r="B145" t="s">
        <v>1077</v>
      </c>
      <c r="C145" t="s">
        <v>3621</v>
      </c>
      <c r="D145" t="s">
        <v>1428</v>
      </c>
      <c r="E145" t="s">
        <v>1930</v>
      </c>
      <c r="F145" t="s">
        <v>3718</v>
      </c>
      <c r="G145" t="s">
        <v>1207</v>
      </c>
      <c r="H145" t="s">
        <v>1432</v>
      </c>
      <c r="I145" t="s">
        <v>3719</v>
      </c>
      <c r="J145">
        <v>101.6</v>
      </c>
      <c r="K145">
        <v>93.1</v>
      </c>
      <c r="L145">
        <v>83.9</v>
      </c>
      <c r="M145">
        <v>73.900000000000006</v>
      </c>
      <c r="N145">
        <v>70.3</v>
      </c>
      <c r="O145">
        <v>68.099999999999994</v>
      </c>
      <c r="P145" t="s">
        <v>4326</v>
      </c>
      <c r="Q145" t="s">
        <v>3718</v>
      </c>
      <c r="S145" t="s">
        <v>4475</v>
      </c>
      <c r="T145" t="s">
        <v>665</v>
      </c>
      <c r="U145">
        <v>1</v>
      </c>
      <c r="AR145">
        <v>81.5</v>
      </c>
      <c r="AS145">
        <v>100.8</v>
      </c>
      <c r="AT145" t="s">
        <v>606</v>
      </c>
    </row>
    <row r="146" spans="1:46" x14ac:dyDescent="0.2">
      <c r="A146" t="s">
        <v>3716</v>
      </c>
      <c r="B146" t="s">
        <v>1077</v>
      </c>
      <c r="C146" t="s">
        <v>3621</v>
      </c>
      <c r="D146" t="s">
        <v>1428</v>
      </c>
      <c r="E146" t="s">
        <v>1930</v>
      </c>
      <c r="F146" t="s">
        <v>3718</v>
      </c>
      <c r="P146" t="s">
        <v>4327</v>
      </c>
      <c r="Q146" t="s">
        <v>4424</v>
      </c>
      <c r="R146" t="s">
        <v>4350</v>
      </c>
      <c r="S146">
        <v>117.1</v>
      </c>
      <c r="T146" t="s">
        <v>272</v>
      </c>
      <c r="U146">
        <v>0</v>
      </c>
      <c r="W146">
        <v>723</v>
      </c>
      <c r="X146">
        <v>607</v>
      </c>
      <c r="Y146">
        <v>491</v>
      </c>
      <c r="Z146">
        <v>375</v>
      </c>
      <c r="AA146">
        <v>375</v>
      </c>
      <c r="AB146">
        <v>375</v>
      </c>
      <c r="AR146">
        <v>761</v>
      </c>
      <c r="AS146">
        <v>839</v>
      </c>
      <c r="AT146" t="s">
        <v>606</v>
      </c>
    </row>
    <row r="147" spans="1:46" x14ac:dyDescent="0.2">
      <c r="A147" t="s">
        <v>3716</v>
      </c>
      <c r="B147" t="s">
        <v>1077</v>
      </c>
      <c r="C147" t="s">
        <v>3621</v>
      </c>
      <c r="D147" t="s">
        <v>1428</v>
      </c>
      <c r="E147" t="s">
        <v>1930</v>
      </c>
      <c r="F147" t="s">
        <v>3718</v>
      </c>
      <c r="P147" t="s">
        <v>4330</v>
      </c>
      <c r="Q147" t="s">
        <v>4476</v>
      </c>
      <c r="R147" t="s">
        <v>4350</v>
      </c>
      <c r="S147">
        <v>117.1</v>
      </c>
      <c r="T147" t="s">
        <v>272</v>
      </c>
      <c r="U147">
        <v>0</v>
      </c>
      <c r="W147">
        <v>123</v>
      </c>
      <c r="X147">
        <v>100</v>
      </c>
      <c r="Y147">
        <v>78</v>
      </c>
      <c r="Z147">
        <v>55</v>
      </c>
      <c r="AA147">
        <v>55</v>
      </c>
      <c r="AB147">
        <v>55</v>
      </c>
      <c r="AR147">
        <v>47</v>
      </c>
      <c r="AS147">
        <v>147</v>
      </c>
      <c r="AT147" t="s">
        <v>606</v>
      </c>
    </row>
    <row r="148" spans="1:46" x14ac:dyDescent="0.2">
      <c r="A148" t="s">
        <v>3716</v>
      </c>
      <c r="B148" t="s">
        <v>1077</v>
      </c>
      <c r="C148" t="s">
        <v>3621</v>
      </c>
      <c r="D148" t="s">
        <v>1428</v>
      </c>
      <c r="E148" t="s">
        <v>1930</v>
      </c>
      <c r="F148" t="s">
        <v>3718</v>
      </c>
      <c r="P148" t="s">
        <v>4335</v>
      </c>
      <c r="Q148" t="s">
        <v>4477</v>
      </c>
      <c r="R148" t="s">
        <v>4393</v>
      </c>
      <c r="S148">
        <v>26.3</v>
      </c>
      <c r="T148" t="s">
        <v>272</v>
      </c>
      <c r="U148">
        <v>0</v>
      </c>
      <c r="W148">
        <v>4000</v>
      </c>
      <c r="X148">
        <v>3878</v>
      </c>
      <c r="Y148">
        <v>3715</v>
      </c>
      <c r="Z148">
        <v>3512</v>
      </c>
      <c r="AA148">
        <v>3309</v>
      </c>
      <c r="AB148">
        <v>3187</v>
      </c>
      <c r="AR148">
        <v>3571</v>
      </c>
      <c r="AS148">
        <v>3391</v>
      </c>
      <c r="AT148" t="s">
        <v>605</v>
      </c>
    </row>
    <row r="149" spans="1:46" x14ac:dyDescent="0.2">
      <c r="A149" t="s">
        <v>3716</v>
      </c>
      <c r="B149" t="s">
        <v>1077</v>
      </c>
      <c r="C149" t="s">
        <v>3621</v>
      </c>
      <c r="D149" t="s">
        <v>1428</v>
      </c>
      <c r="E149" t="s">
        <v>1930</v>
      </c>
      <c r="F149" t="s">
        <v>3718</v>
      </c>
      <c r="P149" t="s">
        <v>4338</v>
      </c>
      <c r="Q149" t="s">
        <v>4478</v>
      </c>
      <c r="R149" t="s">
        <v>4393</v>
      </c>
      <c r="S149">
        <v>26.3</v>
      </c>
      <c r="T149" t="s">
        <v>272</v>
      </c>
      <c r="U149">
        <v>0</v>
      </c>
      <c r="W149">
        <v>499</v>
      </c>
      <c r="X149">
        <v>499</v>
      </c>
      <c r="Y149">
        <v>499</v>
      </c>
      <c r="Z149">
        <v>499</v>
      </c>
      <c r="AA149">
        <v>499</v>
      </c>
      <c r="AB149">
        <v>499</v>
      </c>
      <c r="AR149">
        <v>179</v>
      </c>
      <c r="AS149">
        <v>455</v>
      </c>
      <c r="AT149" t="s">
        <v>605</v>
      </c>
    </row>
    <row r="150" spans="1:46" x14ac:dyDescent="0.2">
      <c r="A150" t="s">
        <v>3716</v>
      </c>
      <c r="B150" t="s">
        <v>1077</v>
      </c>
      <c r="C150" t="s">
        <v>3621</v>
      </c>
      <c r="D150" t="s">
        <v>1428</v>
      </c>
      <c r="E150" t="s">
        <v>1930</v>
      </c>
      <c r="F150" t="s">
        <v>3718</v>
      </c>
      <c r="P150" t="s">
        <v>4367</v>
      </c>
      <c r="Q150" t="s">
        <v>4479</v>
      </c>
      <c r="R150" t="s">
        <v>4480</v>
      </c>
      <c r="S150">
        <v>117.1</v>
      </c>
      <c r="T150" t="s">
        <v>272</v>
      </c>
      <c r="U150">
        <v>0</v>
      </c>
      <c r="W150">
        <v>388</v>
      </c>
      <c r="X150">
        <v>367</v>
      </c>
      <c r="Y150">
        <v>338</v>
      </c>
      <c r="Z150">
        <v>303</v>
      </c>
      <c r="AA150">
        <v>267</v>
      </c>
      <c r="AB150">
        <v>246</v>
      </c>
      <c r="AR150">
        <v>247</v>
      </c>
      <c r="AS150">
        <v>377</v>
      </c>
      <c r="AT150" t="s">
        <v>606</v>
      </c>
    </row>
    <row r="151" spans="1:46" x14ac:dyDescent="0.2">
      <c r="A151" t="s">
        <v>3735</v>
      </c>
      <c r="B151" t="s">
        <v>1077</v>
      </c>
      <c r="C151" t="s">
        <v>3621</v>
      </c>
      <c r="D151" t="s">
        <v>1428</v>
      </c>
      <c r="E151" t="s">
        <v>1482</v>
      </c>
      <c r="F151" t="s">
        <v>4481</v>
      </c>
      <c r="G151" t="s">
        <v>1219</v>
      </c>
      <c r="H151" t="s">
        <v>1377</v>
      </c>
      <c r="I151" t="s">
        <v>3738</v>
      </c>
      <c r="J151">
        <v>113.97</v>
      </c>
      <c r="K151">
        <v>83</v>
      </c>
      <c r="L151">
        <v>83</v>
      </c>
      <c r="M151">
        <v>83</v>
      </c>
      <c r="N151">
        <v>54.32</v>
      </c>
      <c r="O151">
        <v>46.13</v>
      </c>
      <c r="P151" t="s">
        <v>4326</v>
      </c>
      <c r="Q151" t="s">
        <v>4481</v>
      </c>
      <c r="T151" t="s">
        <v>665</v>
      </c>
      <c r="U151">
        <v>4</v>
      </c>
      <c r="AR151">
        <v>94.99</v>
      </c>
      <c r="AS151">
        <v>91.484999999999999</v>
      </c>
      <c r="AT151" t="s">
        <v>606</v>
      </c>
    </row>
    <row r="152" spans="1:46" x14ac:dyDescent="0.2">
      <c r="A152" t="s">
        <v>3735</v>
      </c>
      <c r="B152" t="s">
        <v>1077</v>
      </c>
      <c r="C152" t="s">
        <v>3621</v>
      </c>
      <c r="D152" t="s">
        <v>1428</v>
      </c>
      <c r="E152" t="s">
        <v>1482</v>
      </c>
      <c r="F152" t="s">
        <v>4481</v>
      </c>
      <c r="P152" t="s">
        <v>4327</v>
      </c>
      <c r="Q152" t="s">
        <v>4482</v>
      </c>
      <c r="R152" t="s">
        <v>4483</v>
      </c>
      <c r="S152">
        <v>4.0967000000000002</v>
      </c>
      <c r="T152" t="s">
        <v>665</v>
      </c>
      <c r="U152">
        <v>4</v>
      </c>
      <c r="W152">
        <v>0</v>
      </c>
      <c r="X152">
        <v>1</v>
      </c>
      <c r="Y152">
        <v>1</v>
      </c>
      <c r="Z152">
        <v>1</v>
      </c>
      <c r="AA152">
        <v>0</v>
      </c>
      <c r="AB152">
        <v>0</v>
      </c>
      <c r="AS152">
        <v>0</v>
      </c>
      <c r="AT152" t="s">
        <v>605</v>
      </c>
    </row>
    <row r="153" spans="1:46" x14ac:dyDescent="0.2">
      <c r="A153" t="s">
        <v>3735</v>
      </c>
      <c r="B153" t="s">
        <v>1077</v>
      </c>
      <c r="C153" t="s">
        <v>3621</v>
      </c>
      <c r="D153" t="s">
        <v>1428</v>
      </c>
      <c r="E153" t="s">
        <v>1482</v>
      </c>
      <c r="F153" t="s">
        <v>4481</v>
      </c>
      <c r="P153" t="s">
        <v>4330</v>
      </c>
      <c r="Q153" t="s">
        <v>4484</v>
      </c>
      <c r="R153" t="s">
        <v>4483</v>
      </c>
      <c r="S153">
        <v>8.1934000000000005</v>
      </c>
      <c r="T153" t="s">
        <v>665</v>
      </c>
      <c r="U153">
        <v>4</v>
      </c>
      <c r="W153">
        <v>0</v>
      </c>
      <c r="X153">
        <v>1</v>
      </c>
      <c r="Y153">
        <v>1</v>
      </c>
      <c r="Z153">
        <v>1</v>
      </c>
      <c r="AA153">
        <v>1</v>
      </c>
      <c r="AB153">
        <v>0</v>
      </c>
      <c r="AS153">
        <v>2</v>
      </c>
      <c r="AT153" t="s">
        <v>606</v>
      </c>
    </row>
    <row r="154" spans="1:46" x14ac:dyDescent="0.2">
      <c r="A154" t="s">
        <v>3735</v>
      </c>
      <c r="B154" t="s">
        <v>1077</v>
      </c>
      <c r="C154" t="s">
        <v>3621</v>
      </c>
      <c r="D154" t="s">
        <v>1428</v>
      </c>
      <c r="E154" t="s">
        <v>1482</v>
      </c>
      <c r="F154" t="s">
        <v>4481</v>
      </c>
      <c r="P154" t="s">
        <v>4335</v>
      </c>
      <c r="Q154" t="s">
        <v>4485</v>
      </c>
      <c r="R154" t="s">
        <v>4483</v>
      </c>
      <c r="S154">
        <v>16.386700000000001</v>
      </c>
      <c r="T154" t="s">
        <v>665</v>
      </c>
      <c r="U154">
        <v>4</v>
      </c>
      <c r="W154">
        <v>6</v>
      </c>
      <c r="X154">
        <v>1</v>
      </c>
      <c r="Y154">
        <v>1</v>
      </c>
      <c r="Z154">
        <v>1</v>
      </c>
      <c r="AA154">
        <v>2</v>
      </c>
      <c r="AB154">
        <v>2</v>
      </c>
      <c r="AS154">
        <v>2</v>
      </c>
      <c r="AT154" t="s">
        <v>606</v>
      </c>
    </row>
    <row r="155" spans="1:46" x14ac:dyDescent="0.2">
      <c r="A155" t="s">
        <v>3735</v>
      </c>
      <c r="B155" t="s">
        <v>1077</v>
      </c>
      <c r="C155" t="s">
        <v>3621</v>
      </c>
      <c r="D155" t="s">
        <v>1428</v>
      </c>
      <c r="E155" t="s">
        <v>1482</v>
      </c>
      <c r="F155" t="s">
        <v>4481</v>
      </c>
      <c r="P155" t="s">
        <v>4338</v>
      </c>
      <c r="Q155" t="s">
        <v>4486</v>
      </c>
      <c r="R155" t="s">
        <v>4483</v>
      </c>
      <c r="S155">
        <v>40.966799999999999</v>
      </c>
      <c r="T155" t="s">
        <v>665</v>
      </c>
      <c r="U155">
        <v>4</v>
      </c>
      <c r="W155">
        <v>0</v>
      </c>
      <c r="X155">
        <v>1</v>
      </c>
      <c r="Y155">
        <v>1</v>
      </c>
      <c r="Z155">
        <v>1</v>
      </c>
      <c r="AA155">
        <v>0</v>
      </c>
      <c r="AB155">
        <v>0</v>
      </c>
      <c r="AS155">
        <v>1</v>
      </c>
      <c r="AT155" t="s">
        <v>605</v>
      </c>
    </row>
    <row r="156" spans="1:46" x14ac:dyDescent="0.2">
      <c r="A156" t="s">
        <v>3735</v>
      </c>
      <c r="B156" t="s">
        <v>1077</v>
      </c>
      <c r="C156" t="s">
        <v>3621</v>
      </c>
      <c r="D156" t="s">
        <v>1428</v>
      </c>
      <c r="E156" t="s">
        <v>1482</v>
      </c>
      <c r="F156" t="s">
        <v>4481</v>
      </c>
      <c r="P156" t="s">
        <v>4367</v>
      </c>
      <c r="Q156" t="s">
        <v>4487</v>
      </c>
      <c r="R156" t="s">
        <v>4483</v>
      </c>
      <c r="S156">
        <v>8.1900000000000001E-2</v>
      </c>
      <c r="T156" t="s">
        <v>665</v>
      </c>
      <c r="U156">
        <v>4</v>
      </c>
      <c r="W156">
        <v>10</v>
      </c>
      <c r="X156">
        <v>12</v>
      </c>
      <c r="Y156">
        <v>12</v>
      </c>
      <c r="Z156">
        <v>12</v>
      </c>
      <c r="AA156">
        <v>12</v>
      </c>
      <c r="AB156">
        <v>12</v>
      </c>
      <c r="AS156">
        <v>0.66666666666666696</v>
      </c>
      <c r="AT156" t="s">
        <v>605</v>
      </c>
    </row>
    <row r="157" spans="1:46" x14ac:dyDescent="0.2">
      <c r="A157" t="s">
        <v>3735</v>
      </c>
      <c r="B157" t="s">
        <v>1077</v>
      </c>
      <c r="C157" t="s">
        <v>3621</v>
      </c>
      <c r="D157" t="s">
        <v>1428</v>
      </c>
      <c r="E157" t="s">
        <v>1482</v>
      </c>
      <c r="F157" t="s">
        <v>4481</v>
      </c>
      <c r="P157" t="s">
        <v>4369</v>
      </c>
      <c r="Q157" t="s">
        <v>4488</v>
      </c>
      <c r="R157" t="s">
        <v>4483</v>
      </c>
      <c r="S157">
        <v>0.16389999999999999</v>
      </c>
      <c r="T157" t="s">
        <v>665</v>
      </c>
      <c r="U157">
        <v>4</v>
      </c>
      <c r="W157">
        <v>1</v>
      </c>
      <c r="X157">
        <v>1</v>
      </c>
      <c r="Y157">
        <v>1</v>
      </c>
      <c r="Z157">
        <v>1</v>
      </c>
      <c r="AA157">
        <v>1</v>
      </c>
      <c r="AB157">
        <v>1</v>
      </c>
      <c r="AS157">
        <v>0</v>
      </c>
      <c r="AT157" t="s">
        <v>605</v>
      </c>
    </row>
    <row r="158" spans="1:46" x14ac:dyDescent="0.2">
      <c r="A158" t="s">
        <v>3735</v>
      </c>
      <c r="B158" t="s">
        <v>1077</v>
      </c>
      <c r="C158" t="s">
        <v>3621</v>
      </c>
      <c r="D158" t="s">
        <v>1428</v>
      </c>
      <c r="E158" t="s">
        <v>1482</v>
      </c>
      <c r="F158" t="s">
        <v>4481</v>
      </c>
      <c r="P158" t="s">
        <v>4371</v>
      </c>
      <c r="Q158" t="s">
        <v>4489</v>
      </c>
      <c r="R158" t="s">
        <v>4483</v>
      </c>
      <c r="S158">
        <v>0.81930000000000003</v>
      </c>
      <c r="T158" t="s">
        <v>665</v>
      </c>
      <c r="U158">
        <v>4</v>
      </c>
      <c r="W158">
        <v>3</v>
      </c>
      <c r="X158">
        <v>4</v>
      </c>
      <c r="Y158">
        <v>4</v>
      </c>
      <c r="Z158">
        <v>4</v>
      </c>
      <c r="AA158">
        <v>4</v>
      </c>
      <c r="AB158">
        <v>4</v>
      </c>
      <c r="AS158">
        <v>0</v>
      </c>
      <c r="AT158" t="s">
        <v>605</v>
      </c>
    </row>
    <row r="159" spans="1:46" x14ac:dyDescent="0.2">
      <c r="A159" t="s">
        <v>3735</v>
      </c>
      <c r="B159" t="s">
        <v>1077</v>
      </c>
      <c r="C159" t="s">
        <v>3621</v>
      </c>
      <c r="D159" t="s">
        <v>1428</v>
      </c>
      <c r="E159" t="s">
        <v>1482</v>
      </c>
      <c r="F159" t="s">
        <v>4481</v>
      </c>
      <c r="P159" t="s">
        <v>4373</v>
      </c>
      <c r="Q159" t="s">
        <v>4490</v>
      </c>
      <c r="R159" t="s">
        <v>4483</v>
      </c>
      <c r="S159">
        <v>4.1000000000000002E-2</v>
      </c>
      <c r="T159" t="s">
        <v>665</v>
      </c>
      <c r="U159">
        <v>4</v>
      </c>
      <c r="W159">
        <v>52</v>
      </c>
      <c r="X159">
        <v>44</v>
      </c>
      <c r="Y159">
        <v>44</v>
      </c>
      <c r="Z159">
        <v>44</v>
      </c>
      <c r="AA159">
        <v>44</v>
      </c>
      <c r="AB159">
        <v>44</v>
      </c>
      <c r="AS159">
        <v>8.5</v>
      </c>
      <c r="AT159" t="s">
        <v>606</v>
      </c>
    </row>
    <row r="160" spans="1:46" x14ac:dyDescent="0.2">
      <c r="A160" t="s">
        <v>3735</v>
      </c>
      <c r="B160" t="s">
        <v>1077</v>
      </c>
      <c r="C160" t="s">
        <v>3621</v>
      </c>
      <c r="D160" t="s">
        <v>1428</v>
      </c>
      <c r="E160" t="s">
        <v>1482</v>
      </c>
      <c r="F160" t="s">
        <v>4481</v>
      </c>
      <c r="P160" t="s">
        <v>4375</v>
      </c>
      <c r="Q160" t="s">
        <v>4491</v>
      </c>
      <c r="R160" t="s">
        <v>4483</v>
      </c>
      <c r="S160">
        <v>8.1900000000000001E-2</v>
      </c>
      <c r="T160" t="s">
        <v>665</v>
      </c>
      <c r="U160">
        <v>4</v>
      </c>
      <c r="W160">
        <v>8</v>
      </c>
      <c r="X160">
        <v>7</v>
      </c>
      <c r="Y160">
        <v>7</v>
      </c>
      <c r="Z160">
        <v>7</v>
      </c>
      <c r="AA160">
        <v>7</v>
      </c>
      <c r="AB160">
        <v>7</v>
      </c>
      <c r="AS160">
        <v>0.33333333333333298</v>
      </c>
      <c r="AT160" t="s">
        <v>605</v>
      </c>
    </row>
    <row r="161" spans="1:46" x14ac:dyDescent="0.2">
      <c r="A161" t="s">
        <v>3735</v>
      </c>
      <c r="B161" t="s">
        <v>1077</v>
      </c>
      <c r="C161" t="s">
        <v>3621</v>
      </c>
      <c r="D161" t="s">
        <v>1428</v>
      </c>
      <c r="E161" t="s">
        <v>1482</v>
      </c>
      <c r="F161" t="s">
        <v>4481</v>
      </c>
      <c r="P161" t="s">
        <v>4378</v>
      </c>
      <c r="Q161" t="s">
        <v>4492</v>
      </c>
      <c r="R161" t="s">
        <v>4483</v>
      </c>
      <c r="S161">
        <v>0.40970000000000001</v>
      </c>
      <c r="T161" t="s">
        <v>665</v>
      </c>
      <c r="U161">
        <v>4</v>
      </c>
      <c r="W161">
        <v>23</v>
      </c>
      <c r="X161">
        <v>16</v>
      </c>
      <c r="Y161">
        <v>16</v>
      </c>
      <c r="Z161">
        <v>16</v>
      </c>
      <c r="AA161">
        <v>16</v>
      </c>
      <c r="AB161">
        <v>16</v>
      </c>
      <c r="AS161">
        <v>2.25</v>
      </c>
      <c r="AT161" t="s">
        <v>605</v>
      </c>
    </row>
    <row r="162" spans="1:46" x14ac:dyDescent="0.2">
      <c r="A162" t="s">
        <v>3832</v>
      </c>
      <c r="B162" t="s">
        <v>1077</v>
      </c>
      <c r="C162" t="s">
        <v>1084</v>
      </c>
      <c r="D162" t="s">
        <v>1202</v>
      </c>
      <c r="E162" t="s">
        <v>1610</v>
      </c>
      <c r="F162" t="s">
        <v>3835</v>
      </c>
      <c r="G162" t="s">
        <v>1219</v>
      </c>
      <c r="H162" t="s">
        <v>1272</v>
      </c>
      <c r="I162" t="s">
        <v>1564</v>
      </c>
      <c r="J162" t="s">
        <v>612</v>
      </c>
      <c r="K162" t="s">
        <v>612</v>
      </c>
      <c r="L162" t="s">
        <v>612</v>
      </c>
      <c r="M162" t="s">
        <v>612</v>
      </c>
      <c r="N162" t="s">
        <v>612</v>
      </c>
      <c r="O162" t="s">
        <v>612</v>
      </c>
      <c r="P162" t="s">
        <v>4326</v>
      </c>
      <c r="Q162" t="s">
        <v>3835</v>
      </c>
      <c r="T162" t="s">
        <v>1410</v>
      </c>
      <c r="U162" t="s">
        <v>1212</v>
      </c>
      <c r="AR162" t="s">
        <v>612</v>
      </c>
      <c r="AS162" t="s">
        <v>612</v>
      </c>
      <c r="AT162" t="s">
        <v>605</v>
      </c>
    </row>
    <row r="163" spans="1:46" x14ac:dyDescent="0.2">
      <c r="A163" t="s">
        <v>3832</v>
      </c>
      <c r="B163" t="s">
        <v>1077</v>
      </c>
      <c r="C163" t="s">
        <v>1084</v>
      </c>
      <c r="D163" t="s">
        <v>1202</v>
      </c>
      <c r="E163" t="s">
        <v>1610</v>
      </c>
      <c r="F163" t="s">
        <v>3835</v>
      </c>
      <c r="P163" t="s">
        <v>4327</v>
      </c>
      <c r="Q163" t="s">
        <v>4493</v>
      </c>
      <c r="R163" t="s">
        <v>4332</v>
      </c>
      <c r="T163" t="s">
        <v>272</v>
      </c>
      <c r="U163">
        <v>0</v>
      </c>
      <c r="V163">
        <v>4350</v>
      </c>
      <c r="X163">
        <v>4350</v>
      </c>
      <c r="Y163">
        <v>4350</v>
      </c>
      <c r="Z163">
        <v>4350</v>
      </c>
      <c r="AA163">
        <v>4350</v>
      </c>
      <c r="AB163">
        <v>4350</v>
      </c>
      <c r="AC163">
        <v>4713</v>
      </c>
      <c r="AE163">
        <v>4713</v>
      </c>
      <c r="AF163">
        <v>4713</v>
      </c>
      <c r="AG163">
        <v>4713</v>
      </c>
      <c r="AH163">
        <v>4713</v>
      </c>
      <c r="AI163">
        <v>4713</v>
      </c>
      <c r="AJ163">
        <v>3987</v>
      </c>
      <c r="AL163">
        <v>3987</v>
      </c>
      <c r="AM163">
        <v>3987</v>
      </c>
      <c r="AN163">
        <v>3987</v>
      </c>
      <c r="AO163">
        <v>3987</v>
      </c>
      <c r="AP163">
        <v>3987</v>
      </c>
      <c r="AR163">
        <v>3530</v>
      </c>
      <c r="AS163">
        <v>3012</v>
      </c>
      <c r="AT163" t="s">
        <v>605</v>
      </c>
    </row>
    <row r="164" spans="1:46" x14ac:dyDescent="0.2">
      <c r="A164" t="s">
        <v>3832</v>
      </c>
      <c r="B164" t="s">
        <v>1077</v>
      </c>
      <c r="C164" t="s">
        <v>1084</v>
      </c>
      <c r="D164" t="s">
        <v>1202</v>
      </c>
      <c r="E164" t="s">
        <v>1610</v>
      </c>
      <c r="F164" t="s">
        <v>3835</v>
      </c>
      <c r="P164" t="s">
        <v>4330</v>
      </c>
      <c r="Q164" t="s">
        <v>4494</v>
      </c>
      <c r="R164" t="s">
        <v>4329</v>
      </c>
      <c r="T164" t="s">
        <v>272</v>
      </c>
      <c r="U164">
        <v>0</v>
      </c>
      <c r="V164">
        <v>93</v>
      </c>
      <c r="X164">
        <v>93</v>
      </c>
      <c r="Y164">
        <v>93</v>
      </c>
      <c r="Z164">
        <v>93</v>
      </c>
      <c r="AA164">
        <v>93</v>
      </c>
      <c r="AB164">
        <v>93</v>
      </c>
      <c r="AC164">
        <v>298</v>
      </c>
      <c r="AE164">
        <v>298</v>
      </c>
      <c r="AF164">
        <v>298</v>
      </c>
      <c r="AG164">
        <v>298</v>
      </c>
      <c r="AH164">
        <v>298</v>
      </c>
      <c r="AI164">
        <v>298</v>
      </c>
      <c r="AJ164">
        <v>0</v>
      </c>
      <c r="AL164">
        <v>0</v>
      </c>
      <c r="AM164">
        <v>0</v>
      </c>
      <c r="AN164">
        <v>0</v>
      </c>
      <c r="AO164">
        <v>0</v>
      </c>
      <c r="AP164">
        <v>0</v>
      </c>
      <c r="AR164">
        <v>2375</v>
      </c>
      <c r="AS164">
        <v>5023</v>
      </c>
      <c r="AT164" t="s">
        <v>606</v>
      </c>
    </row>
    <row r="165" spans="1:46" x14ac:dyDescent="0.2">
      <c r="A165" t="s">
        <v>3832</v>
      </c>
      <c r="B165" t="s">
        <v>1077</v>
      </c>
      <c r="C165" t="s">
        <v>1084</v>
      </c>
      <c r="D165" t="s">
        <v>1202</v>
      </c>
      <c r="E165" t="s">
        <v>1610</v>
      </c>
      <c r="F165" t="s">
        <v>3835</v>
      </c>
      <c r="P165" t="s">
        <v>4335</v>
      </c>
      <c r="Q165" t="s">
        <v>4495</v>
      </c>
      <c r="R165" t="s">
        <v>4365</v>
      </c>
      <c r="T165" t="s">
        <v>264</v>
      </c>
      <c r="U165">
        <v>2</v>
      </c>
      <c r="V165">
        <v>0.3</v>
      </c>
      <c r="W165">
        <v>0.2</v>
      </c>
      <c r="X165">
        <v>0.3</v>
      </c>
      <c r="Y165">
        <v>0.3</v>
      </c>
      <c r="Z165">
        <v>0.3</v>
      </c>
      <c r="AA165">
        <v>0.3</v>
      </c>
      <c r="AB165">
        <v>0.3</v>
      </c>
      <c r="AC165">
        <v>0.64</v>
      </c>
      <c r="AE165">
        <v>0.64</v>
      </c>
      <c r="AF165">
        <v>0.64</v>
      </c>
      <c r="AG165">
        <v>0.64</v>
      </c>
      <c r="AH165">
        <v>0.64</v>
      </c>
      <c r="AI165">
        <v>0.64</v>
      </c>
      <c r="AJ165">
        <v>0</v>
      </c>
      <c r="AL165">
        <v>0</v>
      </c>
      <c r="AM165">
        <v>0</v>
      </c>
      <c r="AN165">
        <v>0</v>
      </c>
      <c r="AO165">
        <v>0</v>
      </c>
      <c r="AP165">
        <v>0</v>
      </c>
      <c r="AR165">
        <v>0.59</v>
      </c>
      <c r="AS165">
        <v>0.56999999999999995</v>
      </c>
      <c r="AT165" t="s">
        <v>606</v>
      </c>
    </row>
    <row r="166" spans="1:46" x14ac:dyDescent="0.2">
      <c r="A166" t="s">
        <v>3832</v>
      </c>
      <c r="B166" t="s">
        <v>1077</v>
      </c>
      <c r="C166" t="s">
        <v>1084</v>
      </c>
      <c r="D166" t="s">
        <v>1202</v>
      </c>
      <c r="E166" t="s">
        <v>1610</v>
      </c>
      <c r="F166" t="s">
        <v>3835</v>
      </c>
      <c r="P166" t="s">
        <v>4338</v>
      </c>
      <c r="Q166" t="s">
        <v>4496</v>
      </c>
      <c r="R166" t="s">
        <v>4358</v>
      </c>
      <c r="T166" t="s">
        <v>272</v>
      </c>
      <c r="U166">
        <v>0</v>
      </c>
      <c r="V166">
        <v>220</v>
      </c>
      <c r="W166">
        <v>131</v>
      </c>
      <c r="X166">
        <v>220</v>
      </c>
      <c r="Y166">
        <v>220</v>
      </c>
      <c r="Z166">
        <v>220</v>
      </c>
      <c r="AA166">
        <v>220</v>
      </c>
      <c r="AB166">
        <v>220</v>
      </c>
      <c r="AC166">
        <v>296</v>
      </c>
      <c r="AE166">
        <v>296</v>
      </c>
      <c r="AF166">
        <v>296</v>
      </c>
      <c r="AG166">
        <v>296</v>
      </c>
      <c r="AH166">
        <v>296</v>
      </c>
      <c r="AI166">
        <v>296</v>
      </c>
      <c r="AJ166">
        <v>144</v>
      </c>
      <c r="AL166">
        <v>144</v>
      </c>
      <c r="AM166">
        <v>144</v>
      </c>
      <c r="AN166">
        <v>144</v>
      </c>
      <c r="AO166">
        <v>144</v>
      </c>
      <c r="AP166">
        <v>144</v>
      </c>
      <c r="AR166">
        <v>116</v>
      </c>
      <c r="AS166">
        <v>98</v>
      </c>
      <c r="AT166" t="s">
        <v>605</v>
      </c>
    </row>
    <row r="167" spans="1:46" x14ac:dyDescent="0.2">
      <c r="A167" t="s">
        <v>3832</v>
      </c>
      <c r="B167" t="s">
        <v>1077</v>
      </c>
      <c r="C167" t="s">
        <v>1084</v>
      </c>
      <c r="D167" t="s">
        <v>1202</v>
      </c>
      <c r="E167" t="s">
        <v>1610</v>
      </c>
      <c r="F167" t="s">
        <v>3835</v>
      </c>
      <c r="P167" t="s">
        <v>4367</v>
      </c>
      <c r="Q167" t="s">
        <v>4497</v>
      </c>
      <c r="R167" t="s">
        <v>4337</v>
      </c>
      <c r="T167" t="s">
        <v>272</v>
      </c>
      <c r="U167">
        <v>2</v>
      </c>
      <c r="V167">
        <v>3.09</v>
      </c>
      <c r="X167">
        <v>3.09</v>
      </c>
      <c r="Y167">
        <v>3.09</v>
      </c>
      <c r="Z167">
        <v>3.09</v>
      </c>
      <c r="AA167">
        <v>3.09</v>
      </c>
      <c r="AB167">
        <v>3.09</v>
      </c>
      <c r="AC167">
        <v>3.75</v>
      </c>
      <c r="AE167">
        <v>3.75</v>
      </c>
      <c r="AF167">
        <v>3.75</v>
      </c>
      <c r="AG167">
        <v>3.75</v>
      </c>
      <c r="AH167">
        <v>3.75</v>
      </c>
      <c r="AI167">
        <v>3.75</v>
      </c>
      <c r="AJ167">
        <v>2.4300000000000002</v>
      </c>
      <c r="AL167">
        <v>2.4300000000000002</v>
      </c>
      <c r="AM167">
        <v>2.4300000000000002</v>
      </c>
      <c r="AN167">
        <v>2.4300000000000002</v>
      </c>
      <c r="AO167">
        <v>2.4300000000000002</v>
      </c>
      <c r="AP167">
        <v>2.4300000000000002</v>
      </c>
      <c r="AR167">
        <v>2.34</v>
      </c>
      <c r="AS167">
        <v>2.19</v>
      </c>
      <c r="AT167" t="s">
        <v>605</v>
      </c>
    </row>
    <row r="168" spans="1:46" x14ac:dyDescent="0.2">
      <c r="A168" t="s">
        <v>3832</v>
      </c>
      <c r="B168" t="s">
        <v>1077</v>
      </c>
      <c r="C168" t="s">
        <v>1084</v>
      </c>
      <c r="D168" t="s">
        <v>1202</v>
      </c>
      <c r="E168" t="s">
        <v>1610</v>
      </c>
      <c r="F168" t="s">
        <v>3835</v>
      </c>
      <c r="P168" t="s">
        <v>4369</v>
      </c>
      <c r="Q168" t="s">
        <v>4498</v>
      </c>
      <c r="R168" t="s">
        <v>4340</v>
      </c>
      <c r="T168" t="s">
        <v>264</v>
      </c>
      <c r="U168">
        <v>2</v>
      </c>
      <c r="V168">
        <v>0.23</v>
      </c>
      <c r="X168">
        <v>0.23</v>
      </c>
      <c r="Y168">
        <v>0.23</v>
      </c>
      <c r="Z168">
        <v>0.23</v>
      </c>
      <c r="AA168">
        <v>0.23</v>
      </c>
      <c r="AB168">
        <v>0.23</v>
      </c>
      <c r="AC168">
        <v>0.33</v>
      </c>
      <c r="AE168">
        <v>0.33</v>
      </c>
      <c r="AF168">
        <v>0.33</v>
      </c>
      <c r="AG168">
        <v>0.33</v>
      </c>
      <c r="AH168">
        <v>0.33</v>
      </c>
      <c r="AI168">
        <v>0.33</v>
      </c>
      <c r="AJ168">
        <v>0.13</v>
      </c>
      <c r="AL168">
        <v>0.13</v>
      </c>
      <c r="AM168">
        <v>0.13</v>
      </c>
      <c r="AN168">
        <v>0.13</v>
      </c>
      <c r="AO168">
        <v>0.13</v>
      </c>
      <c r="AP168">
        <v>0.13</v>
      </c>
      <c r="AR168">
        <v>99.75</v>
      </c>
      <c r="AS168">
        <v>99.81</v>
      </c>
      <c r="AT168" t="s">
        <v>605</v>
      </c>
    </row>
    <row r="169" spans="1:46" x14ac:dyDescent="0.2">
      <c r="A169" t="s">
        <v>3832</v>
      </c>
      <c r="B169" t="s">
        <v>1077</v>
      </c>
      <c r="C169" t="s">
        <v>1084</v>
      </c>
      <c r="D169" t="s">
        <v>1202</v>
      </c>
      <c r="E169" t="s">
        <v>1610</v>
      </c>
      <c r="F169" t="s">
        <v>3835</v>
      </c>
      <c r="P169" t="s">
        <v>4371</v>
      </c>
      <c r="Q169" t="s">
        <v>4499</v>
      </c>
      <c r="R169" t="s">
        <v>4342</v>
      </c>
      <c r="T169" t="s">
        <v>264</v>
      </c>
      <c r="U169">
        <v>2</v>
      </c>
      <c r="V169">
        <v>0.04</v>
      </c>
      <c r="X169">
        <v>0.04</v>
      </c>
      <c r="Y169">
        <v>0.04</v>
      </c>
      <c r="Z169">
        <v>0.04</v>
      </c>
      <c r="AA169">
        <v>0.04</v>
      </c>
      <c r="AB169">
        <v>0.04</v>
      </c>
      <c r="AC169">
        <v>7.0000000000000007E-2</v>
      </c>
      <c r="AE169">
        <v>7.0000000000000007E-2</v>
      </c>
      <c r="AF169">
        <v>7.0000000000000007E-2</v>
      </c>
      <c r="AG169">
        <v>7.0000000000000007E-2</v>
      </c>
      <c r="AH169">
        <v>7.0000000000000007E-2</v>
      </c>
      <c r="AI169">
        <v>7.0000000000000007E-2</v>
      </c>
      <c r="AJ169">
        <v>0.01</v>
      </c>
      <c r="AL169">
        <v>0.01</v>
      </c>
      <c r="AM169">
        <v>0.01</v>
      </c>
      <c r="AN169">
        <v>0.01</v>
      </c>
      <c r="AO169">
        <v>0.01</v>
      </c>
      <c r="AP169">
        <v>0.01</v>
      </c>
      <c r="AR169">
        <v>0</v>
      </c>
      <c r="AS169">
        <v>0.02</v>
      </c>
      <c r="AT169" t="s">
        <v>605</v>
      </c>
    </row>
    <row r="170" spans="1:46" x14ac:dyDescent="0.2">
      <c r="A170" t="s">
        <v>3832</v>
      </c>
      <c r="B170" t="s">
        <v>1077</v>
      </c>
      <c r="C170" t="s">
        <v>1084</v>
      </c>
      <c r="D170" t="s">
        <v>1202</v>
      </c>
      <c r="E170" t="s">
        <v>1610</v>
      </c>
      <c r="F170" t="s">
        <v>3835</v>
      </c>
      <c r="P170" t="s">
        <v>4373</v>
      </c>
      <c r="Q170" t="s">
        <v>4500</v>
      </c>
      <c r="R170" t="s">
        <v>4344</v>
      </c>
      <c r="T170" t="s">
        <v>264</v>
      </c>
      <c r="U170">
        <v>2</v>
      </c>
      <c r="V170">
        <v>0</v>
      </c>
      <c r="X170">
        <v>0</v>
      </c>
      <c r="Y170">
        <v>0</v>
      </c>
      <c r="Z170">
        <v>0</v>
      </c>
      <c r="AA170">
        <v>0</v>
      </c>
      <c r="AB170">
        <v>0</v>
      </c>
      <c r="AC170">
        <v>0.34</v>
      </c>
      <c r="AE170">
        <v>0.34</v>
      </c>
      <c r="AF170">
        <v>0.34</v>
      </c>
      <c r="AG170">
        <v>0.34</v>
      </c>
      <c r="AH170">
        <v>0.34</v>
      </c>
      <c r="AI170">
        <v>0.34</v>
      </c>
      <c r="AJ170">
        <v>0</v>
      </c>
      <c r="AL170">
        <v>0</v>
      </c>
      <c r="AM170">
        <v>0</v>
      </c>
      <c r="AN170">
        <v>0</v>
      </c>
      <c r="AO170">
        <v>0</v>
      </c>
      <c r="AP170">
        <v>0</v>
      </c>
      <c r="AR170">
        <v>0</v>
      </c>
      <c r="AS170">
        <v>0</v>
      </c>
      <c r="AT170" t="s">
        <v>605</v>
      </c>
    </row>
    <row r="171" spans="1:46" x14ac:dyDescent="0.2">
      <c r="A171" t="s">
        <v>3832</v>
      </c>
      <c r="B171" t="s">
        <v>1077</v>
      </c>
      <c r="C171" t="s">
        <v>1084</v>
      </c>
      <c r="D171" t="s">
        <v>1202</v>
      </c>
      <c r="E171" t="s">
        <v>1610</v>
      </c>
      <c r="F171" t="s">
        <v>3835</v>
      </c>
      <c r="P171" t="s">
        <v>4375</v>
      </c>
      <c r="Q171" t="s">
        <v>4501</v>
      </c>
      <c r="R171" t="s">
        <v>4345</v>
      </c>
      <c r="T171" t="s">
        <v>272</v>
      </c>
      <c r="U171">
        <v>0</v>
      </c>
      <c r="V171">
        <v>5</v>
      </c>
      <c r="X171">
        <v>5</v>
      </c>
      <c r="Y171">
        <v>5</v>
      </c>
      <c r="Z171">
        <v>5</v>
      </c>
      <c r="AA171">
        <v>5</v>
      </c>
      <c r="AB171">
        <v>5</v>
      </c>
      <c r="AC171">
        <v>11</v>
      </c>
      <c r="AE171">
        <v>11</v>
      </c>
      <c r="AF171">
        <v>11</v>
      </c>
      <c r="AG171">
        <v>11</v>
      </c>
      <c r="AH171">
        <v>11</v>
      </c>
      <c r="AI171">
        <v>11</v>
      </c>
      <c r="AJ171">
        <v>0</v>
      </c>
      <c r="AL171">
        <v>0</v>
      </c>
      <c r="AM171">
        <v>0</v>
      </c>
      <c r="AN171">
        <v>0</v>
      </c>
      <c r="AO171">
        <v>0</v>
      </c>
      <c r="AP171">
        <v>0</v>
      </c>
      <c r="AR171">
        <v>0</v>
      </c>
      <c r="AS171">
        <v>0</v>
      </c>
      <c r="AT171" t="s">
        <v>605</v>
      </c>
    </row>
    <row r="172" spans="1:46" x14ac:dyDescent="0.2">
      <c r="A172" t="s">
        <v>3832</v>
      </c>
      <c r="B172" t="s">
        <v>1077</v>
      </c>
      <c r="C172" t="s">
        <v>1084</v>
      </c>
      <c r="D172" t="s">
        <v>1202</v>
      </c>
      <c r="E172" t="s">
        <v>1610</v>
      </c>
      <c r="F172" t="s">
        <v>3835</v>
      </c>
      <c r="P172" t="s">
        <v>4378</v>
      </c>
      <c r="Q172" t="s">
        <v>4502</v>
      </c>
      <c r="R172" t="s">
        <v>4377</v>
      </c>
      <c r="T172" t="s">
        <v>272</v>
      </c>
      <c r="U172">
        <v>0</v>
      </c>
      <c r="V172">
        <v>0</v>
      </c>
      <c r="X172">
        <v>0</v>
      </c>
      <c r="Y172">
        <v>0</v>
      </c>
      <c r="Z172">
        <v>0</v>
      </c>
      <c r="AA172">
        <v>0</v>
      </c>
      <c r="AB172">
        <v>0</v>
      </c>
      <c r="AC172">
        <v>1</v>
      </c>
      <c r="AE172">
        <v>1</v>
      </c>
      <c r="AF172">
        <v>1</v>
      </c>
      <c r="AG172">
        <v>1</v>
      </c>
      <c r="AH172">
        <v>1</v>
      </c>
      <c r="AI172">
        <v>1</v>
      </c>
      <c r="AJ172">
        <v>0</v>
      </c>
      <c r="AL172">
        <v>0</v>
      </c>
      <c r="AM172">
        <v>0</v>
      </c>
      <c r="AN172">
        <v>0</v>
      </c>
      <c r="AO172">
        <v>0</v>
      </c>
      <c r="AP172">
        <v>0</v>
      </c>
      <c r="AR172">
        <v>0</v>
      </c>
      <c r="AS172">
        <v>0</v>
      </c>
      <c r="AT172" t="s">
        <v>605</v>
      </c>
    </row>
    <row r="173" spans="1:46" x14ac:dyDescent="0.2">
      <c r="A173" t="s">
        <v>3832</v>
      </c>
      <c r="B173" t="s">
        <v>1077</v>
      </c>
      <c r="C173" t="s">
        <v>1084</v>
      </c>
      <c r="D173" t="s">
        <v>1202</v>
      </c>
      <c r="E173" t="s">
        <v>1610</v>
      </c>
      <c r="F173" t="s">
        <v>3835</v>
      </c>
      <c r="P173" t="s">
        <v>4503</v>
      </c>
      <c r="Q173" t="s">
        <v>4504</v>
      </c>
      <c r="R173" t="s">
        <v>4361</v>
      </c>
      <c r="T173" t="s">
        <v>272</v>
      </c>
      <c r="U173">
        <v>0</v>
      </c>
      <c r="V173">
        <v>11150</v>
      </c>
      <c r="X173">
        <v>11150</v>
      </c>
      <c r="Y173">
        <v>11150</v>
      </c>
      <c r="Z173">
        <v>11150</v>
      </c>
      <c r="AA173">
        <v>11150</v>
      </c>
      <c r="AB173">
        <v>11150</v>
      </c>
      <c r="AC173">
        <v>12416</v>
      </c>
      <c r="AE173">
        <v>12416</v>
      </c>
      <c r="AF173">
        <v>12416</v>
      </c>
      <c r="AG173">
        <v>12416</v>
      </c>
      <c r="AH173">
        <v>12416</v>
      </c>
      <c r="AI173">
        <v>12416</v>
      </c>
      <c r="AJ173">
        <v>9884</v>
      </c>
      <c r="AL173">
        <v>9884</v>
      </c>
      <c r="AM173">
        <v>9884</v>
      </c>
      <c r="AN173">
        <v>9884</v>
      </c>
      <c r="AO173">
        <v>9884</v>
      </c>
      <c r="AP173">
        <v>9884</v>
      </c>
      <c r="AR173">
        <v>7805</v>
      </c>
      <c r="AS173">
        <v>4569</v>
      </c>
      <c r="AT173" t="s">
        <v>605</v>
      </c>
    </row>
    <row r="174" spans="1:46" x14ac:dyDescent="0.2">
      <c r="A174" t="s">
        <v>3884</v>
      </c>
      <c r="B174" t="s">
        <v>1077</v>
      </c>
      <c r="C174" t="s">
        <v>1084</v>
      </c>
      <c r="D174" t="s">
        <v>1428</v>
      </c>
      <c r="E174" t="s">
        <v>1610</v>
      </c>
      <c r="F174" t="s">
        <v>3835</v>
      </c>
      <c r="G174" t="s">
        <v>1219</v>
      </c>
      <c r="H174" t="s">
        <v>1495</v>
      </c>
      <c r="I174" t="s">
        <v>1564</v>
      </c>
      <c r="J174" t="s">
        <v>612</v>
      </c>
      <c r="K174" t="s">
        <v>612</v>
      </c>
      <c r="L174" t="s">
        <v>612</v>
      </c>
      <c r="M174" t="s">
        <v>612</v>
      </c>
      <c r="N174" t="s">
        <v>612</v>
      </c>
      <c r="O174" t="s">
        <v>612</v>
      </c>
      <c r="P174" t="s">
        <v>4326</v>
      </c>
      <c r="Q174" t="s">
        <v>3835</v>
      </c>
      <c r="T174" t="s">
        <v>1410</v>
      </c>
      <c r="U174" t="s">
        <v>1212</v>
      </c>
      <c r="AR174" t="s">
        <v>612</v>
      </c>
      <c r="AS174" t="s">
        <v>612</v>
      </c>
      <c r="AT174" t="s">
        <v>605</v>
      </c>
    </row>
    <row r="175" spans="1:46" x14ac:dyDescent="0.2">
      <c r="A175" t="s">
        <v>3884</v>
      </c>
      <c r="B175" t="s">
        <v>1077</v>
      </c>
      <c r="C175" t="s">
        <v>1084</v>
      </c>
      <c r="D175" t="s">
        <v>1428</v>
      </c>
      <c r="E175" t="s">
        <v>1610</v>
      </c>
      <c r="F175" t="s">
        <v>3835</v>
      </c>
      <c r="P175" t="s">
        <v>4327</v>
      </c>
      <c r="Q175" t="s">
        <v>4505</v>
      </c>
      <c r="R175" t="s">
        <v>4348</v>
      </c>
      <c r="T175" t="s">
        <v>272</v>
      </c>
      <c r="U175">
        <v>0</v>
      </c>
      <c r="V175">
        <v>504</v>
      </c>
      <c r="X175">
        <v>775</v>
      </c>
      <c r="Y175">
        <v>775</v>
      </c>
      <c r="Z175">
        <v>775</v>
      </c>
      <c r="AA175">
        <v>775</v>
      </c>
      <c r="AB175">
        <v>775</v>
      </c>
      <c r="AC175">
        <v>603</v>
      </c>
      <c r="AE175">
        <v>905</v>
      </c>
      <c r="AF175">
        <v>905</v>
      </c>
      <c r="AG175">
        <v>905</v>
      </c>
      <c r="AH175">
        <v>905</v>
      </c>
      <c r="AI175">
        <v>905</v>
      </c>
      <c r="AJ175">
        <v>405</v>
      </c>
      <c r="AL175">
        <v>644</v>
      </c>
      <c r="AM175">
        <v>644</v>
      </c>
      <c r="AN175">
        <v>644</v>
      </c>
      <c r="AO175">
        <v>644</v>
      </c>
      <c r="AP175">
        <v>644</v>
      </c>
      <c r="AR175">
        <v>796</v>
      </c>
      <c r="AS175">
        <v>862</v>
      </c>
      <c r="AT175" t="s">
        <v>606</v>
      </c>
    </row>
    <row r="176" spans="1:46" x14ac:dyDescent="0.2">
      <c r="A176" t="s">
        <v>3884</v>
      </c>
      <c r="B176" t="s">
        <v>1077</v>
      </c>
      <c r="C176" t="s">
        <v>1084</v>
      </c>
      <c r="D176" t="s">
        <v>1428</v>
      </c>
      <c r="E176" t="s">
        <v>1610</v>
      </c>
      <c r="F176" t="s">
        <v>3835</v>
      </c>
      <c r="P176" t="s">
        <v>4330</v>
      </c>
      <c r="Q176" t="s">
        <v>4506</v>
      </c>
      <c r="R176" t="s">
        <v>4346</v>
      </c>
      <c r="T176" t="s">
        <v>272</v>
      </c>
      <c r="U176">
        <v>0</v>
      </c>
      <c r="V176">
        <v>155</v>
      </c>
      <c r="W176">
        <v>100</v>
      </c>
      <c r="X176">
        <v>155</v>
      </c>
      <c r="Y176">
        <v>155</v>
      </c>
      <c r="Z176">
        <v>155</v>
      </c>
      <c r="AA176">
        <v>155</v>
      </c>
      <c r="AB176">
        <v>155</v>
      </c>
      <c r="AC176">
        <v>229</v>
      </c>
      <c r="AE176">
        <v>229</v>
      </c>
      <c r="AF176">
        <v>229</v>
      </c>
      <c r="AG176">
        <v>229</v>
      </c>
      <c r="AH176">
        <v>229</v>
      </c>
      <c r="AI176">
        <v>229</v>
      </c>
      <c r="AJ176">
        <v>81</v>
      </c>
      <c r="AL176">
        <v>81</v>
      </c>
      <c r="AM176">
        <v>81</v>
      </c>
      <c r="AN176">
        <v>81</v>
      </c>
      <c r="AO176">
        <v>81</v>
      </c>
      <c r="AP176">
        <v>81</v>
      </c>
      <c r="AR176">
        <v>83</v>
      </c>
      <c r="AS176">
        <v>88</v>
      </c>
      <c r="AT176" t="s">
        <v>605</v>
      </c>
    </row>
    <row r="177" spans="1:46" x14ac:dyDescent="0.2">
      <c r="A177" t="s">
        <v>3884</v>
      </c>
      <c r="B177" t="s">
        <v>1077</v>
      </c>
      <c r="C177" t="s">
        <v>1084</v>
      </c>
      <c r="D177" t="s">
        <v>1428</v>
      </c>
      <c r="E177" t="s">
        <v>1610</v>
      </c>
      <c r="F177" t="s">
        <v>3835</v>
      </c>
      <c r="P177" t="s">
        <v>4335</v>
      </c>
      <c r="Q177" t="s">
        <v>4507</v>
      </c>
      <c r="R177" t="s">
        <v>4350</v>
      </c>
      <c r="T177" t="s">
        <v>272</v>
      </c>
      <c r="U177">
        <v>0</v>
      </c>
      <c r="V177">
        <v>120</v>
      </c>
      <c r="W177">
        <v>100</v>
      </c>
      <c r="X177">
        <v>240</v>
      </c>
      <c r="Y177">
        <v>240</v>
      </c>
      <c r="Z177">
        <v>240</v>
      </c>
      <c r="AA177">
        <v>240</v>
      </c>
      <c r="AB177">
        <v>240</v>
      </c>
      <c r="AC177">
        <v>170</v>
      </c>
      <c r="AE177">
        <v>283</v>
      </c>
      <c r="AF177">
        <v>283</v>
      </c>
      <c r="AG177">
        <v>283</v>
      </c>
      <c r="AH177">
        <v>283</v>
      </c>
      <c r="AI177">
        <v>283</v>
      </c>
      <c r="AJ177">
        <v>70</v>
      </c>
      <c r="AL177">
        <v>196</v>
      </c>
      <c r="AM177">
        <v>196</v>
      </c>
      <c r="AN177">
        <v>196</v>
      </c>
      <c r="AO177">
        <v>196</v>
      </c>
      <c r="AP177">
        <v>196</v>
      </c>
      <c r="AR177">
        <v>228</v>
      </c>
      <c r="AS177">
        <v>207</v>
      </c>
      <c r="AT177" t="s">
        <v>605</v>
      </c>
    </row>
    <row r="178" spans="1:46" x14ac:dyDescent="0.2">
      <c r="A178" t="s">
        <v>3884</v>
      </c>
      <c r="B178" t="s">
        <v>1077</v>
      </c>
      <c r="C178" t="s">
        <v>1084</v>
      </c>
      <c r="D178" t="s">
        <v>1428</v>
      </c>
      <c r="E178" t="s">
        <v>1610</v>
      </c>
      <c r="F178" t="s">
        <v>3835</v>
      </c>
      <c r="P178" t="s">
        <v>4338</v>
      </c>
      <c r="Q178" t="s">
        <v>4508</v>
      </c>
      <c r="R178" t="s">
        <v>4350</v>
      </c>
      <c r="T178" t="s">
        <v>272</v>
      </c>
      <c r="U178">
        <v>0</v>
      </c>
      <c r="V178">
        <v>92</v>
      </c>
      <c r="W178">
        <v>86</v>
      </c>
      <c r="X178">
        <v>92</v>
      </c>
      <c r="Y178">
        <v>92</v>
      </c>
      <c r="Z178">
        <v>92</v>
      </c>
      <c r="AA178">
        <v>92</v>
      </c>
      <c r="AB178">
        <v>92</v>
      </c>
      <c r="AC178">
        <v>132</v>
      </c>
      <c r="AE178">
        <v>132</v>
      </c>
      <c r="AF178">
        <v>132</v>
      </c>
      <c r="AG178">
        <v>132</v>
      </c>
      <c r="AH178">
        <v>132</v>
      </c>
      <c r="AI178">
        <v>132</v>
      </c>
      <c r="AJ178">
        <v>52</v>
      </c>
      <c r="AL178">
        <v>52</v>
      </c>
      <c r="AM178">
        <v>52</v>
      </c>
      <c r="AN178">
        <v>52</v>
      </c>
      <c r="AO178">
        <v>52</v>
      </c>
      <c r="AP178">
        <v>52</v>
      </c>
      <c r="AR178">
        <v>38</v>
      </c>
      <c r="AS178">
        <v>16</v>
      </c>
      <c r="AT178" t="s">
        <v>605</v>
      </c>
    </row>
    <row r="179" spans="1:46" x14ac:dyDescent="0.2">
      <c r="A179" t="s">
        <v>3884</v>
      </c>
      <c r="B179" t="s">
        <v>1077</v>
      </c>
      <c r="C179" t="s">
        <v>1084</v>
      </c>
      <c r="D179" t="s">
        <v>1428</v>
      </c>
      <c r="E179" t="s">
        <v>1610</v>
      </c>
      <c r="F179" t="s">
        <v>3835</v>
      </c>
      <c r="P179" t="s">
        <v>4367</v>
      </c>
      <c r="Q179" t="s">
        <v>4509</v>
      </c>
      <c r="R179" t="s">
        <v>4351</v>
      </c>
      <c r="T179" t="s">
        <v>272</v>
      </c>
      <c r="U179">
        <v>0</v>
      </c>
      <c r="V179">
        <v>13589</v>
      </c>
      <c r="W179">
        <v>12700</v>
      </c>
      <c r="X179">
        <v>28740</v>
      </c>
      <c r="Y179">
        <v>28740</v>
      </c>
      <c r="Z179">
        <v>28740</v>
      </c>
      <c r="AA179">
        <v>28740</v>
      </c>
      <c r="AB179">
        <v>28740</v>
      </c>
      <c r="AC179">
        <v>14501</v>
      </c>
      <c r="AE179">
        <v>31410</v>
      </c>
      <c r="AF179">
        <v>31410</v>
      </c>
      <c r="AG179">
        <v>31410</v>
      </c>
      <c r="AH179">
        <v>31410</v>
      </c>
      <c r="AI179">
        <v>31410</v>
      </c>
      <c r="AJ179">
        <v>13127</v>
      </c>
      <c r="AL179">
        <v>26070</v>
      </c>
      <c r="AM179">
        <v>26070</v>
      </c>
      <c r="AN179">
        <v>26070</v>
      </c>
      <c r="AO179">
        <v>26070</v>
      </c>
      <c r="AP179">
        <v>26070</v>
      </c>
      <c r="AR179">
        <v>27842</v>
      </c>
      <c r="AS179">
        <v>26771</v>
      </c>
      <c r="AT179" t="s">
        <v>605</v>
      </c>
    </row>
    <row r="180" spans="1:46" x14ac:dyDescent="0.2">
      <c r="A180" t="s">
        <v>3884</v>
      </c>
      <c r="B180" t="s">
        <v>1077</v>
      </c>
      <c r="C180" t="s">
        <v>1084</v>
      </c>
      <c r="D180" t="s">
        <v>1428</v>
      </c>
      <c r="E180" t="s">
        <v>1610</v>
      </c>
      <c r="F180" t="s">
        <v>3835</v>
      </c>
      <c r="P180" t="s">
        <v>4369</v>
      </c>
      <c r="Q180" t="s">
        <v>4510</v>
      </c>
      <c r="R180" t="s">
        <v>4427</v>
      </c>
      <c r="T180" t="s">
        <v>272</v>
      </c>
      <c r="U180">
        <v>0</v>
      </c>
      <c r="V180">
        <v>250</v>
      </c>
      <c r="X180">
        <v>250</v>
      </c>
      <c r="Y180">
        <v>250</v>
      </c>
      <c r="Z180">
        <v>250</v>
      </c>
      <c r="AA180">
        <v>250</v>
      </c>
      <c r="AB180">
        <v>250</v>
      </c>
      <c r="AC180">
        <v>311</v>
      </c>
      <c r="AE180">
        <v>311</v>
      </c>
      <c r="AF180">
        <v>311</v>
      </c>
      <c r="AG180">
        <v>311</v>
      </c>
      <c r="AH180">
        <v>311</v>
      </c>
      <c r="AI180">
        <v>311</v>
      </c>
      <c r="AJ180">
        <v>190</v>
      </c>
      <c r="AL180">
        <v>190</v>
      </c>
      <c r="AM180">
        <v>190</v>
      </c>
      <c r="AN180">
        <v>190</v>
      </c>
      <c r="AO180">
        <v>190</v>
      </c>
      <c r="AP180">
        <v>190</v>
      </c>
      <c r="AR180">
        <v>46</v>
      </c>
      <c r="AS180">
        <v>33</v>
      </c>
      <c r="AT180" t="s">
        <v>605</v>
      </c>
    </row>
    <row r="181" spans="1:46" x14ac:dyDescent="0.2">
      <c r="A181" t="s">
        <v>3884</v>
      </c>
      <c r="B181" t="s">
        <v>1077</v>
      </c>
      <c r="C181" t="s">
        <v>1084</v>
      </c>
      <c r="D181" t="s">
        <v>1428</v>
      </c>
      <c r="E181" t="s">
        <v>1610</v>
      </c>
      <c r="F181" t="s">
        <v>3835</v>
      </c>
      <c r="P181" t="s">
        <v>4371</v>
      </c>
      <c r="Q181" t="s">
        <v>4511</v>
      </c>
      <c r="R181" t="s">
        <v>4355</v>
      </c>
      <c r="T181" t="s">
        <v>264</v>
      </c>
      <c r="U181">
        <v>2</v>
      </c>
      <c r="V181">
        <v>2.44</v>
      </c>
      <c r="X181">
        <v>2.44</v>
      </c>
      <c r="Y181">
        <v>2.44</v>
      </c>
      <c r="Z181">
        <v>2.44</v>
      </c>
      <c r="AA181">
        <v>2.44</v>
      </c>
      <c r="AB181">
        <v>2.44</v>
      </c>
      <c r="AC181">
        <v>3.42</v>
      </c>
      <c r="AE181">
        <v>3.42</v>
      </c>
      <c r="AF181">
        <v>3.42</v>
      </c>
      <c r="AG181">
        <v>3.42</v>
      </c>
      <c r="AH181">
        <v>3.42</v>
      </c>
      <c r="AI181">
        <v>3.42</v>
      </c>
      <c r="AJ181">
        <v>1.46</v>
      </c>
      <c r="AL181">
        <v>1.46</v>
      </c>
      <c r="AM181">
        <v>1.46</v>
      </c>
      <c r="AN181">
        <v>1.46</v>
      </c>
      <c r="AO181">
        <v>1.46</v>
      </c>
      <c r="AP181">
        <v>1.46</v>
      </c>
      <c r="AR181">
        <v>0.87</v>
      </c>
      <c r="AS181">
        <v>1.41</v>
      </c>
      <c r="AT181" t="s">
        <v>605</v>
      </c>
    </row>
    <row r="182" spans="1:46" x14ac:dyDescent="0.2">
      <c r="A182" t="s">
        <v>3884</v>
      </c>
      <c r="B182" t="s">
        <v>1077</v>
      </c>
      <c r="C182" t="s">
        <v>1084</v>
      </c>
      <c r="D182" t="s">
        <v>1428</v>
      </c>
      <c r="E182" t="s">
        <v>1610</v>
      </c>
      <c r="F182" t="s">
        <v>3835</v>
      </c>
      <c r="P182" t="s">
        <v>4373</v>
      </c>
      <c r="Q182" t="s">
        <v>4512</v>
      </c>
      <c r="R182" t="s">
        <v>4353</v>
      </c>
      <c r="T182" t="s">
        <v>264</v>
      </c>
      <c r="U182">
        <v>2</v>
      </c>
      <c r="V182">
        <v>0.1</v>
      </c>
      <c r="X182">
        <v>0.1</v>
      </c>
      <c r="Y182">
        <v>0.1</v>
      </c>
      <c r="Z182">
        <v>0.1</v>
      </c>
      <c r="AA182">
        <v>0.1</v>
      </c>
      <c r="AB182">
        <v>0.1</v>
      </c>
      <c r="AC182">
        <v>0.19</v>
      </c>
      <c r="AE182">
        <v>0.19</v>
      </c>
      <c r="AF182">
        <v>0.19</v>
      </c>
      <c r="AG182">
        <v>0.19</v>
      </c>
      <c r="AH182">
        <v>0.19</v>
      </c>
      <c r="AI182">
        <v>0.19</v>
      </c>
      <c r="AJ182">
        <v>0.01</v>
      </c>
      <c r="AL182">
        <v>0.01</v>
      </c>
      <c r="AM182">
        <v>0.01</v>
      </c>
      <c r="AN182">
        <v>0.01</v>
      </c>
      <c r="AO182">
        <v>0.01</v>
      </c>
      <c r="AP182">
        <v>0.01</v>
      </c>
      <c r="AR182">
        <v>0.1</v>
      </c>
      <c r="AS182">
        <v>0.03</v>
      </c>
      <c r="AT182" t="s">
        <v>605</v>
      </c>
    </row>
    <row r="183" spans="1:46" x14ac:dyDescent="0.2">
      <c r="A183" t="s">
        <v>3884</v>
      </c>
      <c r="B183" t="s">
        <v>1077</v>
      </c>
      <c r="C183" t="s">
        <v>1084</v>
      </c>
      <c r="D183" t="s">
        <v>1428</v>
      </c>
      <c r="E183" t="s">
        <v>1610</v>
      </c>
      <c r="F183" t="s">
        <v>3835</v>
      </c>
      <c r="P183" t="s">
        <v>4375</v>
      </c>
      <c r="Q183" t="s">
        <v>4504</v>
      </c>
      <c r="R183" t="s">
        <v>4431</v>
      </c>
      <c r="T183" t="s">
        <v>272</v>
      </c>
      <c r="U183">
        <v>0</v>
      </c>
      <c r="V183">
        <v>27493</v>
      </c>
      <c r="X183">
        <v>27493</v>
      </c>
      <c r="Y183">
        <v>27493</v>
      </c>
      <c r="Z183">
        <v>27493</v>
      </c>
      <c r="AA183">
        <v>27493</v>
      </c>
      <c r="AB183">
        <v>27493</v>
      </c>
      <c r="AC183">
        <v>29627</v>
      </c>
      <c r="AE183">
        <v>29627</v>
      </c>
      <c r="AF183">
        <v>29627</v>
      </c>
      <c r="AG183">
        <v>29627</v>
      </c>
      <c r="AH183">
        <v>29627</v>
      </c>
      <c r="AI183">
        <v>29627</v>
      </c>
      <c r="AJ183">
        <v>25358</v>
      </c>
      <c r="AL183">
        <v>25358</v>
      </c>
      <c r="AM183">
        <v>25358</v>
      </c>
      <c r="AN183">
        <v>25358</v>
      </c>
      <c r="AO183">
        <v>25358</v>
      </c>
      <c r="AP183">
        <v>25358</v>
      </c>
      <c r="AR183">
        <v>45547</v>
      </c>
      <c r="AS183">
        <v>43132</v>
      </c>
      <c r="AT183" t="s">
        <v>606</v>
      </c>
    </row>
    <row r="184" spans="1:46" x14ac:dyDescent="0.2">
      <c r="A184" t="s">
        <v>4126</v>
      </c>
      <c r="B184" t="s">
        <v>1077</v>
      </c>
      <c r="C184" t="s">
        <v>1109</v>
      </c>
      <c r="D184" t="s">
        <v>1202</v>
      </c>
      <c r="E184" t="s">
        <v>3294</v>
      </c>
      <c r="F184" t="s">
        <v>4128</v>
      </c>
      <c r="G184" t="s">
        <v>1219</v>
      </c>
      <c r="H184" t="s">
        <v>1272</v>
      </c>
      <c r="I184" t="s">
        <v>1564</v>
      </c>
      <c r="J184" t="s">
        <v>612</v>
      </c>
      <c r="O184" t="s">
        <v>612</v>
      </c>
      <c r="P184" t="s">
        <v>4326</v>
      </c>
      <c r="Q184" t="s">
        <v>4128</v>
      </c>
      <c r="T184" t="s">
        <v>1410</v>
      </c>
      <c r="U184" t="s">
        <v>1212</v>
      </c>
      <c r="AR184" t="s">
        <v>612</v>
      </c>
      <c r="AS184" t="s">
        <v>612</v>
      </c>
    </row>
    <row r="185" spans="1:46" x14ac:dyDescent="0.2">
      <c r="A185" t="s">
        <v>4126</v>
      </c>
      <c r="B185" t="s">
        <v>1077</v>
      </c>
      <c r="C185" t="s">
        <v>1109</v>
      </c>
      <c r="D185" t="s">
        <v>1202</v>
      </c>
      <c r="E185" t="s">
        <v>3294</v>
      </c>
      <c r="F185" t="s">
        <v>4128</v>
      </c>
      <c r="P185" t="s">
        <v>4327</v>
      </c>
      <c r="Q185" t="s">
        <v>4398</v>
      </c>
      <c r="R185" t="s">
        <v>4342</v>
      </c>
      <c r="T185" t="s">
        <v>264</v>
      </c>
      <c r="U185">
        <v>3</v>
      </c>
      <c r="X185">
        <v>0.04</v>
      </c>
      <c r="Y185">
        <v>0.04</v>
      </c>
      <c r="Z185">
        <v>0.04</v>
      </c>
      <c r="AA185">
        <v>0.04</v>
      </c>
      <c r="AB185">
        <v>0.04</v>
      </c>
      <c r="AE185">
        <v>7.0000000000000007E-2</v>
      </c>
      <c r="AF185">
        <v>7.0000000000000007E-2</v>
      </c>
      <c r="AG185">
        <v>7.0000000000000007E-2</v>
      </c>
      <c r="AH185">
        <v>7.0000000000000007E-2</v>
      </c>
      <c r="AI185">
        <v>7.0000000000000007E-2</v>
      </c>
      <c r="AR185">
        <v>5.7000000000000002E-2</v>
      </c>
      <c r="AS185">
        <v>1.4E-2</v>
      </c>
    </row>
    <row r="186" spans="1:46" x14ac:dyDescent="0.2">
      <c r="A186" t="s">
        <v>4126</v>
      </c>
      <c r="B186" t="s">
        <v>1077</v>
      </c>
      <c r="C186" t="s">
        <v>1109</v>
      </c>
      <c r="D186" t="s">
        <v>1202</v>
      </c>
      <c r="E186" t="s">
        <v>3294</v>
      </c>
      <c r="F186" t="s">
        <v>4128</v>
      </c>
      <c r="P186" t="s">
        <v>4330</v>
      </c>
      <c r="Q186" t="s">
        <v>4513</v>
      </c>
      <c r="R186" t="s">
        <v>4344</v>
      </c>
      <c r="T186" t="s">
        <v>264</v>
      </c>
      <c r="U186">
        <v>2</v>
      </c>
      <c r="X186">
        <v>0</v>
      </c>
      <c r="Y186">
        <v>0</v>
      </c>
      <c r="Z186">
        <v>0</v>
      </c>
      <c r="AA186">
        <v>0</v>
      </c>
      <c r="AB186">
        <v>0</v>
      </c>
      <c r="AE186">
        <v>0.24</v>
      </c>
      <c r="AF186">
        <v>0.24</v>
      </c>
      <c r="AG186">
        <v>0.24</v>
      </c>
      <c r="AH186">
        <v>0.24</v>
      </c>
      <c r="AI186">
        <v>0.24</v>
      </c>
      <c r="AR186">
        <v>0</v>
      </c>
      <c r="AS186">
        <v>0</v>
      </c>
    </row>
    <row r="187" spans="1:46" x14ac:dyDescent="0.2">
      <c r="A187" t="s">
        <v>4126</v>
      </c>
      <c r="B187" t="s">
        <v>1077</v>
      </c>
      <c r="C187" t="s">
        <v>1109</v>
      </c>
      <c r="D187" t="s">
        <v>1202</v>
      </c>
      <c r="E187" t="s">
        <v>3294</v>
      </c>
      <c r="F187" t="s">
        <v>4128</v>
      </c>
      <c r="P187" t="s">
        <v>4335</v>
      </c>
      <c r="Q187" t="s">
        <v>4514</v>
      </c>
      <c r="R187" t="s">
        <v>4345</v>
      </c>
      <c r="T187" t="s">
        <v>272</v>
      </c>
      <c r="U187">
        <v>0</v>
      </c>
      <c r="X187">
        <v>0</v>
      </c>
      <c r="Y187">
        <v>0</v>
      </c>
      <c r="Z187">
        <v>0</v>
      </c>
      <c r="AA187">
        <v>0</v>
      </c>
      <c r="AB187">
        <v>0</v>
      </c>
      <c r="AE187">
        <v>4</v>
      </c>
      <c r="AF187">
        <v>4</v>
      </c>
      <c r="AG187">
        <v>4</v>
      </c>
      <c r="AH187">
        <v>4</v>
      </c>
      <c r="AI187">
        <v>4</v>
      </c>
      <c r="AR187">
        <v>0</v>
      </c>
      <c r="AS187">
        <v>0</v>
      </c>
    </row>
    <row r="188" spans="1:46" x14ac:dyDescent="0.2">
      <c r="A188" t="s">
        <v>4126</v>
      </c>
      <c r="B188" t="s">
        <v>1077</v>
      </c>
      <c r="C188" t="s">
        <v>1109</v>
      </c>
      <c r="D188" t="s">
        <v>1202</v>
      </c>
      <c r="E188" t="s">
        <v>3294</v>
      </c>
      <c r="F188" t="s">
        <v>4128</v>
      </c>
      <c r="P188" t="s">
        <v>4338</v>
      </c>
      <c r="Q188" t="s">
        <v>4515</v>
      </c>
      <c r="R188" t="s">
        <v>4377</v>
      </c>
      <c r="T188" t="s">
        <v>272</v>
      </c>
      <c r="U188">
        <v>0</v>
      </c>
      <c r="X188">
        <v>0</v>
      </c>
      <c r="Y188">
        <v>0</v>
      </c>
      <c r="Z188">
        <v>0</v>
      </c>
      <c r="AA188">
        <v>0</v>
      </c>
      <c r="AB188">
        <v>0</v>
      </c>
      <c r="AE188">
        <v>1</v>
      </c>
      <c r="AF188">
        <v>1</v>
      </c>
      <c r="AG188">
        <v>1</v>
      </c>
      <c r="AH188">
        <v>1</v>
      </c>
      <c r="AI188">
        <v>1</v>
      </c>
      <c r="AR188">
        <v>0</v>
      </c>
      <c r="AS188">
        <v>0</v>
      </c>
    </row>
    <row r="189" spans="1:46" x14ac:dyDescent="0.2">
      <c r="A189" t="s">
        <v>4126</v>
      </c>
      <c r="B189" t="s">
        <v>1077</v>
      </c>
      <c r="C189" t="s">
        <v>1109</v>
      </c>
      <c r="D189" t="s">
        <v>1202</v>
      </c>
      <c r="E189" t="s">
        <v>3294</v>
      </c>
      <c r="F189" t="s">
        <v>4128</v>
      </c>
      <c r="P189" t="s">
        <v>4367</v>
      </c>
      <c r="Q189" t="s">
        <v>4516</v>
      </c>
      <c r="R189" t="s">
        <v>4517</v>
      </c>
      <c r="T189" t="s">
        <v>272</v>
      </c>
      <c r="U189">
        <v>0</v>
      </c>
      <c r="X189">
        <v>6771</v>
      </c>
      <c r="Y189">
        <v>6771</v>
      </c>
      <c r="Z189">
        <v>6771</v>
      </c>
      <c r="AA189">
        <v>6771</v>
      </c>
      <c r="AB189">
        <v>6771</v>
      </c>
      <c r="AE189">
        <v>8380</v>
      </c>
      <c r="AF189">
        <v>8380</v>
      </c>
      <c r="AG189">
        <v>8380</v>
      </c>
      <c r="AH189">
        <v>8380</v>
      </c>
      <c r="AI189">
        <v>8380</v>
      </c>
      <c r="AR189">
        <v>4381</v>
      </c>
      <c r="AS189">
        <v>3955</v>
      </c>
    </row>
    <row r="190" spans="1:46" x14ac:dyDescent="0.2">
      <c r="A190" t="s">
        <v>4145</v>
      </c>
      <c r="B190" t="s">
        <v>1077</v>
      </c>
      <c r="C190" t="s">
        <v>1109</v>
      </c>
      <c r="D190" t="s">
        <v>1202</v>
      </c>
      <c r="E190" t="s">
        <v>3328</v>
      </c>
      <c r="F190" t="s">
        <v>4147</v>
      </c>
      <c r="G190" t="s">
        <v>1219</v>
      </c>
      <c r="H190" t="s">
        <v>1272</v>
      </c>
      <c r="I190" t="s">
        <v>1564</v>
      </c>
      <c r="J190" t="s">
        <v>612</v>
      </c>
      <c r="O190" t="s">
        <v>612</v>
      </c>
      <c r="P190" t="s">
        <v>4326</v>
      </c>
      <c r="Q190" t="s">
        <v>4147</v>
      </c>
      <c r="T190" t="s">
        <v>1410</v>
      </c>
      <c r="U190" t="s">
        <v>1212</v>
      </c>
      <c r="AR190" t="s">
        <v>612</v>
      </c>
      <c r="AS190" t="s">
        <v>612</v>
      </c>
    </row>
    <row r="191" spans="1:46" x14ac:dyDescent="0.2">
      <c r="A191" t="s">
        <v>4145</v>
      </c>
      <c r="B191" t="s">
        <v>1077</v>
      </c>
      <c r="C191" t="s">
        <v>1109</v>
      </c>
      <c r="D191" t="s">
        <v>1202</v>
      </c>
      <c r="E191" t="s">
        <v>3328</v>
      </c>
      <c r="F191" t="s">
        <v>4147</v>
      </c>
      <c r="P191" t="s">
        <v>4327</v>
      </c>
      <c r="Q191" t="s">
        <v>4362</v>
      </c>
      <c r="R191" t="s">
        <v>4332</v>
      </c>
      <c r="T191" t="s">
        <v>272</v>
      </c>
      <c r="U191">
        <v>0</v>
      </c>
      <c r="X191">
        <v>6000</v>
      </c>
      <c r="Y191">
        <v>6000</v>
      </c>
      <c r="Z191">
        <v>6000</v>
      </c>
      <c r="AA191">
        <v>6000</v>
      </c>
      <c r="AB191">
        <v>6000</v>
      </c>
      <c r="AE191">
        <v>7710</v>
      </c>
      <c r="AF191">
        <v>7710</v>
      </c>
      <c r="AG191">
        <v>7710</v>
      </c>
      <c r="AH191">
        <v>7710</v>
      </c>
      <c r="AI191">
        <v>7710</v>
      </c>
      <c r="AR191">
        <v>5917</v>
      </c>
      <c r="AS191">
        <v>5027</v>
      </c>
    </row>
    <row r="192" spans="1:46" x14ac:dyDescent="0.2">
      <c r="A192" t="s">
        <v>4145</v>
      </c>
      <c r="B192" t="s">
        <v>1077</v>
      </c>
      <c r="C192" t="s">
        <v>1109</v>
      </c>
      <c r="D192" t="s">
        <v>1202</v>
      </c>
      <c r="E192" t="s">
        <v>3328</v>
      </c>
      <c r="F192" t="s">
        <v>4147</v>
      </c>
      <c r="P192" t="s">
        <v>4330</v>
      </c>
      <c r="Q192" t="s">
        <v>4518</v>
      </c>
      <c r="R192" t="s">
        <v>4329</v>
      </c>
      <c r="T192" t="s">
        <v>272</v>
      </c>
      <c r="U192">
        <v>0</v>
      </c>
      <c r="X192">
        <v>220</v>
      </c>
      <c r="Y192">
        <v>220</v>
      </c>
      <c r="Z192">
        <v>220</v>
      </c>
      <c r="AA192">
        <v>220</v>
      </c>
      <c r="AB192">
        <v>220</v>
      </c>
      <c r="AE192">
        <v>659</v>
      </c>
      <c r="AF192">
        <v>659</v>
      </c>
      <c r="AG192">
        <v>659</v>
      </c>
      <c r="AH192">
        <v>659</v>
      </c>
      <c r="AI192">
        <v>659</v>
      </c>
      <c r="AR192">
        <v>271</v>
      </c>
      <c r="AS192">
        <v>3414</v>
      </c>
    </row>
    <row r="193" spans="1:45" x14ac:dyDescent="0.2">
      <c r="A193" t="s">
        <v>4145</v>
      </c>
      <c r="B193" t="s">
        <v>1077</v>
      </c>
      <c r="C193" t="s">
        <v>1109</v>
      </c>
      <c r="D193" t="s">
        <v>1202</v>
      </c>
      <c r="E193" t="s">
        <v>3328</v>
      </c>
      <c r="F193" t="s">
        <v>4147</v>
      </c>
      <c r="P193" t="s">
        <v>4335</v>
      </c>
      <c r="Q193" t="s">
        <v>4519</v>
      </c>
      <c r="R193" t="s">
        <v>4358</v>
      </c>
      <c r="T193" t="s">
        <v>272</v>
      </c>
      <c r="U193">
        <v>0</v>
      </c>
      <c r="X193">
        <v>15</v>
      </c>
      <c r="Y193">
        <v>15</v>
      </c>
      <c r="Z193">
        <v>15</v>
      </c>
      <c r="AA193">
        <v>15</v>
      </c>
      <c r="AB193">
        <v>15</v>
      </c>
      <c r="AE193">
        <v>67</v>
      </c>
      <c r="AF193">
        <v>67</v>
      </c>
      <c r="AG193">
        <v>67</v>
      </c>
      <c r="AH193">
        <v>67</v>
      </c>
      <c r="AI193">
        <v>67</v>
      </c>
      <c r="AR193">
        <v>9</v>
      </c>
      <c r="AS193">
        <v>11</v>
      </c>
    </row>
    <row r="194" spans="1:45" x14ac:dyDescent="0.2">
      <c r="A194" t="s">
        <v>4145</v>
      </c>
      <c r="B194" t="s">
        <v>1077</v>
      </c>
      <c r="C194" t="s">
        <v>1109</v>
      </c>
      <c r="D194" t="s">
        <v>1202</v>
      </c>
      <c r="E194" t="s">
        <v>3328</v>
      </c>
      <c r="F194" t="s">
        <v>4147</v>
      </c>
      <c r="P194" t="s">
        <v>4338</v>
      </c>
      <c r="Q194" t="s">
        <v>4520</v>
      </c>
      <c r="R194" t="s">
        <v>4337</v>
      </c>
      <c r="T194" t="s">
        <v>272</v>
      </c>
      <c r="U194">
        <v>3</v>
      </c>
      <c r="X194">
        <v>1.18</v>
      </c>
      <c r="Y194">
        <v>1.18</v>
      </c>
      <c r="Z194">
        <v>1.18</v>
      </c>
      <c r="AA194">
        <v>1.18</v>
      </c>
      <c r="AB194">
        <v>1.18</v>
      </c>
      <c r="AE194">
        <v>1.57</v>
      </c>
      <c r="AF194">
        <v>1.57</v>
      </c>
      <c r="AG194">
        <v>1.57</v>
      </c>
      <c r="AH194">
        <v>1.57</v>
      </c>
      <c r="AI194">
        <v>1.57</v>
      </c>
      <c r="AR194">
        <v>1.1990000000000001</v>
      </c>
      <c r="AS194">
        <v>1.0329999999999999</v>
      </c>
    </row>
    <row r="195" spans="1:45" x14ac:dyDescent="0.2">
      <c r="A195" t="s">
        <v>4145</v>
      </c>
      <c r="B195" t="s">
        <v>1077</v>
      </c>
      <c r="C195" t="s">
        <v>1109</v>
      </c>
      <c r="D195" t="s">
        <v>1202</v>
      </c>
      <c r="E195" t="s">
        <v>3328</v>
      </c>
      <c r="F195" t="s">
        <v>4147</v>
      </c>
      <c r="P195" t="s">
        <v>4367</v>
      </c>
      <c r="Q195" t="s">
        <v>4521</v>
      </c>
      <c r="R195" t="s">
        <v>4340</v>
      </c>
      <c r="T195" t="s">
        <v>264</v>
      </c>
      <c r="U195">
        <v>3</v>
      </c>
      <c r="X195">
        <v>0.2</v>
      </c>
      <c r="Y195">
        <v>0.2</v>
      </c>
      <c r="Z195">
        <v>0.2</v>
      </c>
      <c r="AA195">
        <v>0.2</v>
      </c>
      <c r="AB195">
        <v>0.2</v>
      </c>
      <c r="AE195">
        <v>0.34</v>
      </c>
      <c r="AF195">
        <v>0.34</v>
      </c>
      <c r="AG195">
        <v>0.34</v>
      </c>
      <c r="AH195">
        <v>0.34</v>
      </c>
      <c r="AI195">
        <v>0.34</v>
      </c>
      <c r="AR195">
        <v>0.186</v>
      </c>
      <c r="AS195">
        <v>0.14199999999999999</v>
      </c>
    </row>
    <row r="196" spans="1:45" x14ac:dyDescent="0.2">
      <c r="A196" t="s">
        <v>4145</v>
      </c>
      <c r="B196" t="s">
        <v>1077</v>
      </c>
      <c r="C196" t="s">
        <v>1109</v>
      </c>
      <c r="D196" t="s">
        <v>1202</v>
      </c>
      <c r="E196" t="s">
        <v>3328</v>
      </c>
      <c r="F196" t="s">
        <v>4147</v>
      </c>
      <c r="P196" t="s">
        <v>4369</v>
      </c>
      <c r="Q196" t="s">
        <v>4516</v>
      </c>
      <c r="R196" t="s">
        <v>4522</v>
      </c>
      <c r="T196" t="s">
        <v>272</v>
      </c>
      <c r="U196">
        <v>0</v>
      </c>
      <c r="X196">
        <v>1825</v>
      </c>
      <c r="Y196">
        <v>1825</v>
      </c>
      <c r="Z196">
        <v>1825</v>
      </c>
      <c r="AA196">
        <v>1825</v>
      </c>
      <c r="AB196">
        <v>1825</v>
      </c>
      <c r="AE196">
        <v>2261</v>
      </c>
      <c r="AF196">
        <v>2261</v>
      </c>
      <c r="AG196">
        <v>2261</v>
      </c>
      <c r="AH196">
        <v>2261</v>
      </c>
      <c r="AI196">
        <v>2261</v>
      </c>
      <c r="AR196">
        <v>1378</v>
      </c>
      <c r="AS196">
        <v>1339</v>
      </c>
    </row>
    <row r="197" spans="1:45" x14ac:dyDescent="0.2">
      <c r="A197" t="s">
        <v>4204</v>
      </c>
      <c r="B197" t="s">
        <v>1077</v>
      </c>
      <c r="C197" t="s">
        <v>1109</v>
      </c>
      <c r="D197" t="s">
        <v>1428</v>
      </c>
      <c r="E197" t="s">
        <v>4205</v>
      </c>
      <c r="F197" t="s">
        <v>4207</v>
      </c>
      <c r="G197" t="s">
        <v>1219</v>
      </c>
      <c r="H197" t="s">
        <v>1495</v>
      </c>
      <c r="I197" t="s">
        <v>1564</v>
      </c>
      <c r="J197" t="s">
        <v>612</v>
      </c>
      <c r="O197" t="s">
        <v>612</v>
      </c>
      <c r="P197" t="s">
        <v>4326</v>
      </c>
      <c r="Q197" t="s">
        <v>4207</v>
      </c>
      <c r="T197" t="s">
        <v>1410</v>
      </c>
      <c r="U197" t="s">
        <v>1212</v>
      </c>
      <c r="AR197" t="s">
        <v>612</v>
      </c>
      <c r="AS197" t="s">
        <v>612</v>
      </c>
    </row>
    <row r="198" spans="1:45" x14ac:dyDescent="0.2">
      <c r="A198" t="s">
        <v>4204</v>
      </c>
      <c r="B198" t="s">
        <v>1077</v>
      </c>
      <c r="C198" t="s">
        <v>1109</v>
      </c>
      <c r="D198" t="s">
        <v>1428</v>
      </c>
      <c r="E198" t="s">
        <v>4205</v>
      </c>
      <c r="F198" t="s">
        <v>4207</v>
      </c>
      <c r="P198" t="s">
        <v>4327</v>
      </c>
      <c r="Q198" t="s">
        <v>4347</v>
      </c>
      <c r="R198" t="s">
        <v>4348</v>
      </c>
      <c r="T198" t="s">
        <v>272</v>
      </c>
      <c r="U198">
        <v>0</v>
      </c>
      <c r="X198">
        <v>255</v>
      </c>
      <c r="Y198">
        <v>255</v>
      </c>
      <c r="Z198">
        <v>255</v>
      </c>
      <c r="AA198">
        <v>255</v>
      </c>
      <c r="AB198">
        <v>255</v>
      </c>
      <c r="AE198">
        <v>369</v>
      </c>
      <c r="AF198">
        <v>369</v>
      </c>
      <c r="AG198">
        <v>369</v>
      </c>
      <c r="AH198">
        <v>369</v>
      </c>
      <c r="AI198">
        <v>369</v>
      </c>
      <c r="AR198">
        <v>294</v>
      </c>
      <c r="AS198">
        <v>261</v>
      </c>
    </row>
    <row r="199" spans="1:45" x14ac:dyDescent="0.2">
      <c r="A199" t="s">
        <v>4204</v>
      </c>
      <c r="B199" t="s">
        <v>1077</v>
      </c>
      <c r="C199" t="s">
        <v>1109</v>
      </c>
      <c r="D199" t="s">
        <v>1428</v>
      </c>
      <c r="E199" t="s">
        <v>4205</v>
      </c>
      <c r="F199" t="s">
        <v>4207</v>
      </c>
      <c r="P199" t="s">
        <v>4330</v>
      </c>
      <c r="Q199" t="s">
        <v>4523</v>
      </c>
      <c r="R199" t="s">
        <v>4346</v>
      </c>
      <c r="T199" t="s">
        <v>272</v>
      </c>
      <c r="U199">
        <v>0</v>
      </c>
      <c r="X199">
        <v>203</v>
      </c>
      <c r="Y199">
        <v>203</v>
      </c>
      <c r="Z199">
        <v>203</v>
      </c>
      <c r="AA199">
        <v>203</v>
      </c>
      <c r="AB199">
        <v>203</v>
      </c>
      <c r="AE199">
        <v>251</v>
      </c>
      <c r="AF199">
        <v>251</v>
      </c>
      <c r="AG199">
        <v>251</v>
      </c>
      <c r="AH199">
        <v>251</v>
      </c>
      <c r="AI199">
        <v>251</v>
      </c>
      <c r="AR199">
        <v>133</v>
      </c>
      <c r="AS199">
        <v>140</v>
      </c>
    </row>
    <row r="200" spans="1:45" x14ac:dyDescent="0.2">
      <c r="A200" t="s">
        <v>4204</v>
      </c>
      <c r="B200" t="s">
        <v>1077</v>
      </c>
      <c r="C200" t="s">
        <v>1109</v>
      </c>
      <c r="D200" t="s">
        <v>1428</v>
      </c>
      <c r="E200" t="s">
        <v>4205</v>
      </c>
      <c r="F200" t="s">
        <v>4207</v>
      </c>
      <c r="P200" t="s">
        <v>4335</v>
      </c>
      <c r="Q200" t="s">
        <v>4424</v>
      </c>
      <c r="R200" t="s">
        <v>4350</v>
      </c>
      <c r="T200" t="s">
        <v>272</v>
      </c>
      <c r="U200">
        <v>0</v>
      </c>
      <c r="X200">
        <v>302</v>
      </c>
      <c r="Y200">
        <v>302</v>
      </c>
      <c r="Z200">
        <v>302</v>
      </c>
      <c r="AA200">
        <v>302</v>
      </c>
      <c r="AB200">
        <v>302</v>
      </c>
      <c r="AE200">
        <v>379</v>
      </c>
      <c r="AF200">
        <v>379</v>
      </c>
      <c r="AG200">
        <v>379</v>
      </c>
      <c r="AH200">
        <v>379</v>
      </c>
      <c r="AI200">
        <v>379</v>
      </c>
      <c r="AR200">
        <v>292</v>
      </c>
      <c r="AS200">
        <v>346</v>
      </c>
    </row>
    <row r="201" spans="1:45" x14ac:dyDescent="0.2">
      <c r="A201" t="s">
        <v>4204</v>
      </c>
      <c r="B201" t="s">
        <v>1077</v>
      </c>
      <c r="C201" t="s">
        <v>1109</v>
      </c>
      <c r="D201" t="s">
        <v>1428</v>
      </c>
      <c r="E201" t="s">
        <v>4205</v>
      </c>
      <c r="F201" t="s">
        <v>4207</v>
      </c>
      <c r="P201" t="s">
        <v>4338</v>
      </c>
      <c r="Q201" t="s">
        <v>4524</v>
      </c>
      <c r="R201" t="s">
        <v>4350</v>
      </c>
      <c r="T201" t="s">
        <v>272</v>
      </c>
      <c r="U201">
        <v>0</v>
      </c>
      <c r="X201">
        <v>72</v>
      </c>
      <c r="Y201">
        <v>72</v>
      </c>
      <c r="Z201">
        <v>72</v>
      </c>
      <c r="AA201">
        <v>72</v>
      </c>
      <c r="AB201">
        <v>72</v>
      </c>
      <c r="AE201">
        <v>110</v>
      </c>
      <c r="AF201">
        <v>110</v>
      </c>
      <c r="AG201">
        <v>110</v>
      </c>
      <c r="AH201">
        <v>110</v>
      </c>
      <c r="AI201">
        <v>110</v>
      </c>
      <c r="AR201">
        <v>113</v>
      </c>
      <c r="AS201">
        <v>50</v>
      </c>
    </row>
    <row r="202" spans="1:45" x14ac:dyDescent="0.2">
      <c r="A202" t="s">
        <v>4204</v>
      </c>
      <c r="B202" t="s">
        <v>1077</v>
      </c>
      <c r="C202" t="s">
        <v>1109</v>
      </c>
      <c r="D202" t="s">
        <v>1428</v>
      </c>
      <c r="E202" t="s">
        <v>4205</v>
      </c>
      <c r="F202" t="s">
        <v>4207</v>
      </c>
      <c r="P202" t="s">
        <v>4367</v>
      </c>
      <c r="Q202" t="s">
        <v>4351</v>
      </c>
      <c r="R202" t="s">
        <v>4351</v>
      </c>
      <c r="T202" t="s">
        <v>272</v>
      </c>
      <c r="U202">
        <v>0</v>
      </c>
      <c r="X202">
        <v>20695</v>
      </c>
      <c r="Y202">
        <v>20695</v>
      </c>
      <c r="Z202">
        <v>20695</v>
      </c>
      <c r="AA202">
        <v>20695</v>
      </c>
      <c r="AB202">
        <v>20695</v>
      </c>
      <c r="AE202">
        <v>22936</v>
      </c>
      <c r="AF202">
        <v>22936</v>
      </c>
      <c r="AG202">
        <v>22936</v>
      </c>
      <c r="AH202">
        <v>22936</v>
      </c>
      <c r="AI202">
        <v>22936</v>
      </c>
      <c r="AR202">
        <v>18337</v>
      </c>
      <c r="AS202">
        <v>19423</v>
      </c>
    </row>
    <row r="203" spans="1:45" x14ac:dyDescent="0.2">
      <c r="A203" t="s">
        <v>4204</v>
      </c>
      <c r="B203" t="s">
        <v>1077</v>
      </c>
      <c r="C203" t="s">
        <v>1109</v>
      </c>
      <c r="D203" t="s">
        <v>1428</v>
      </c>
      <c r="E203" t="s">
        <v>4205</v>
      </c>
      <c r="F203" t="s">
        <v>4207</v>
      </c>
      <c r="P203" t="s">
        <v>4369</v>
      </c>
      <c r="Q203" t="s">
        <v>4516</v>
      </c>
      <c r="R203" t="s">
        <v>4427</v>
      </c>
      <c r="T203" t="s">
        <v>272</v>
      </c>
      <c r="U203">
        <v>0</v>
      </c>
      <c r="X203">
        <v>5869</v>
      </c>
      <c r="Y203">
        <v>5869</v>
      </c>
      <c r="Z203">
        <v>5869</v>
      </c>
      <c r="AA203">
        <v>5869</v>
      </c>
      <c r="AB203">
        <v>5869</v>
      </c>
      <c r="AE203">
        <v>7282</v>
      </c>
      <c r="AF203">
        <v>7282</v>
      </c>
      <c r="AG203">
        <v>7282</v>
      </c>
      <c r="AH203">
        <v>7282</v>
      </c>
      <c r="AI203">
        <v>7282</v>
      </c>
      <c r="AR203">
        <v>3591</v>
      </c>
      <c r="AS203">
        <v>3364</v>
      </c>
    </row>
    <row r="204" spans="1:45" x14ac:dyDescent="0.2">
      <c r="A204" t="s">
        <v>4214</v>
      </c>
      <c r="B204" t="s">
        <v>1077</v>
      </c>
      <c r="C204" t="s">
        <v>1109</v>
      </c>
      <c r="D204" t="s">
        <v>1428</v>
      </c>
      <c r="E204" t="s">
        <v>3418</v>
      </c>
      <c r="F204" t="s">
        <v>4216</v>
      </c>
      <c r="G204" t="s">
        <v>1219</v>
      </c>
      <c r="H204" t="s">
        <v>1495</v>
      </c>
      <c r="I204" t="s">
        <v>1564</v>
      </c>
      <c r="J204" t="s">
        <v>612</v>
      </c>
      <c r="O204" t="s">
        <v>612</v>
      </c>
      <c r="P204" t="s">
        <v>4326</v>
      </c>
      <c r="Q204" t="s">
        <v>4216</v>
      </c>
      <c r="T204" t="s">
        <v>1410</v>
      </c>
      <c r="U204" t="s">
        <v>1212</v>
      </c>
      <c r="AR204" t="s">
        <v>612</v>
      </c>
      <c r="AS204" t="s">
        <v>612</v>
      </c>
    </row>
    <row r="205" spans="1:45" x14ac:dyDescent="0.2">
      <c r="A205" t="s">
        <v>4214</v>
      </c>
      <c r="B205" t="s">
        <v>1077</v>
      </c>
      <c r="C205" t="s">
        <v>1109</v>
      </c>
      <c r="D205" t="s">
        <v>1428</v>
      </c>
      <c r="E205" t="s">
        <v>3418</v>
      </c>
      <c r="F205" t="s">
        <v>4216</v>
      </c>
      <c r="P205" t="s">
        <v>4327</v>
      </c>
      <c r="Q205" t="s">
        <v>4525</v>
      </c>
      <c r="R205" t="s">
        <v>4355</v>
      </c>
      <c r="T205" t="s">
        <v>272</v>
      </c>
      <c r="U205">
        <v>0</v>
      </c>
      <c r="X205">
        <v>0</v>
      </c>
      <c r="Y205">
        <v>0</v>
      </c>
      <c r="Z205">
        <v>0</v>
      </c>
      <c r="AA205">
        <v>0</v>
      </c>
      <c r="AB205">
        <v>0</v>
      </c>
      <c r="AE205">
        <v>8</v>
      </c>
      <c r="AF205">
        <v>8</v>
      </c>
      <c r="AG205">
        <v>8</v>
      </c>
      <c r="AH205">
        <v>8</v>
      </c>
      <c r="AI205">
        <v>8</v>
      </c>
      <c r="AR205">
        <v>2</v>
      </c>
      <c r="AS205">
        <v>2</v>
      </c>
    </row>
    <row r="206" spans="1:45" x14ac:dyDescent="0.2">
      <c r="A206" t="s">
        <v>4214</v>
      </c>
      <c r="B206" t="s">
        <v>1077</v>
      </c>
      <c r="C206" t="s">
        <v>1109</v>
      </c>
      <c r="D206" t="s">
        <v>1428</v>
      </c>
      <c r="E206" t="s">
        <v>3418</v>
      </c>
      <c r="F206" t="s">
        <v>4216</v>
      </c>
      <c r="P206" t="s">
        <v>4330</v>
      </c>
      <c r="Q206" t="s">
        <v>4526</v>
      </c>
      <c r="R206" t="s">
        <v>4353</v>
      </c>
      <c r="T206" t="s">
        <v>264</v>
      </c>
      <c r="U206">
        <v>1</v>
      </c>
      <c r="X206">
        <v>0</v>
      </c>
      <c r="Y206">
        <v>0</v>
      </c>
      <c r="Z206">
        <v>0</v>
      </c>
      <c r="AA206">
        <v>0</v>
      </c>
      <c r="AB206">
        <v>0</v>
      </c>
      <c r="AE206">
        <v>0.6</v>
      </c>
      <c r="AF206">
        <v>0.6</v>
      </c>
      <c r="AG206">
        <v>0.6</v>
      </c>
      <c r="AH206">
        <v>0.6</v>
      </c>
      <c r="AI206">
        <v>0.6</v>
      </c>
      <c r="AR206">
        <v>0</v>
      </c>
      <c r="AS206">
        <v>0</v>
      </c>
    </row>
    <row r="207" spans="1:45" x14ac:dyDescent="0.2">
      <c r="A207" t="s">
        <v>4214</v>
      </c>
      <c r="B207" t="s">
        <v>1077</v>
      </c>
      <c r="C207" t="s">
        <v>1109</v>
      </c>
      <c r="D207" t="s">
        <v>1428</v>
      </c>
      <c r="E207" t="s">
        <v>3418</v>
      </c>
      <c r="F207" t="s">
        <v>4216</v>
      </c>
      <c r="P207" t="s">
        <v>4335</v>
      </c>
      <c r="Q207" t="s">
        <v>4516</v>
      </c>
      <c r="R207" t="s">
        <v>4527</v>
      </c>
      <c r="T207" t="s">
        <v>272</v>
      </c>
      <c r="U207">
        <v>0</v>
      </c>
      <c r="X207">
        <v>15651</v>
      </c>
      <c r="Y207">
        <v>15651</v>
      </c>
      <c r="Z207">
        <v>15651</v>
      </c>
      <c r="AA207">
        <v>15651</v>
      </c>
      <c r="AB207">
        <v>15651</v>
      </c>
      <c r="AE207">
        <v>20848</v>
      </c>
      <c r="AF207">
        <v>20848</v>
      </c>
      <c r="AG207">
        <v>20848</v>
      </c>
      <c r="AH207">
        <v>20848</v>
      </c>
      <c r="AI207">
        <v>20848</v>
      </c>
      <c r="AR207">
        <v>11183</v>
      </c>
      <c r="AS207">
        <v>12115</v>
      </c>
    </row>
  </sheetData>
  <sheetProtection algorithmName="SHA-512" hashValue="m9Aw21bICm9z1aUYRr4PzsBvrYFgEUdRoX1QVpvYoCQcE9d2f7gXTziG5viOsUTi+jI3rfNi7Sh9+IaHfE+czg==" saltValue="zRHblxnOHOAH6poicijHdw==" spinCount="100000" sheet="1" objects="1" scenarios="1"/>
  <autoFilter ref="A2:AT207" xr:uid="{00000000-0009-0000-0000-000026000000}"/>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D42"/>
  <sheetViews>
    <sheetView topLeftCell="CQ1" workbookViewId="0">
      <selection activeCell="U4" sqref="U4:U207"/>
    </sheetView>
  </sheetViews>
  <sheetFormatPr defaultRowHeight="14.25" x14ac:dyDescent="0.2"/>
  <cols>
    <col min="1" max="1" width="8.625" bestFit="1" customWidth="1"/>
    <col min="2" max="2" width="6.25" bestFit="1" customWidth="1"/>
    <col min="3" max="3" width="21.75" bestFit="1" customWidth="1"/>
    <col min="4" max="4" width="7.75" bestFit="1" customWidth="1"/>
    <col min="5" max="5" width="6.75" bestFit="1" customWidth="1"/>
    <col min="6" max="6" width="6.75" customWidth="1"/>
    <col min="7" max="7" width="21.25" bestFit="1" customWidth="1"/>
    <col min="8" max="8" width="5.75" bestFit="1" customWidth="1"/>
    <col min="9" max="9" width="47.125" bestFit="1" customWidth="1"/>
    <col min="10" max="10" width="7.75" bestFit="1" customWidth="1"/>
    <col min="11" max="11" width="6.5" bestFit="1" customWidth="1"/>
    <col min="12" max="12" width="6.5" customWidth="1"/>
    <col min="13" max="13" width="17.5" bestFit="1" customWidth="1"/>
    <col min="14" max="14" width="5.75" bestFit="1" customWidth="1"/>
    <col min="15" max="15" width="43.25" bestFit="1" customWidth="1"/>
    <col min="16" max="16" width="7.75" bestFit="1" customWidth="1"/>
    <col min="17" max="17" width="6.25" bestFit="1" customWidth="1"/>
    <col min="18" max="18" width="6.25" customWidth="1"/>
    <col min="19" max="19" width="4.75" bestFit="1" customWidth="1"/>
    <col min="20" max="20" width="6.25" bestFit="1" customWidth="1"/>
    <col min="21" max="21" width="7" bestFit="1" customWidth="1"/>
    <col min="22" max="22" width="7.75" bestFit="1" customWidth="1"/>
    <col min="23" max="23" width="7" bestFit="1" customWidth="1"/>
    <col min="24" max="24" width="7" customWidth="1"/>
    <col min="25" max="25" width="4.125" bestFit="1" customWidth="1"/>
    <col min="26" max="26" width="5.75" bestFit="1" customWidth="1"/>
    <col min="27" max="27" width="6.25" bestFit="1" customWidth="1"/>
    <col min="28" max="28" width="7.25" bestFit="1" customWidth="1"/>
    <col min="29" max="29" width="6.25" bestFit="1" customWidth="1"/>
    <col min="30" max="30" width="6.25" customWidth="1"/>
    <col min="31" max="31" width="4.125" bestFit="1" customWidth="1"/>
    <col min="32" max="32" width="5.75" bestFit="1" customWidth="1"/>
    <col min="33" max="33" width="6.25" bestFit="1" customWidth="1"/>
    <col min="34" max="34" width="7.25" bestFit="1" customWidth="1"/>
    <col min="35" max="35" width="6.25" bestFit="1" customWidth="1"/>
    <col min="36" max="36" width="6.25" customWidth="1"/>
    <col min="37" max="37" width="18.25" bestFit="1" customWidth="1"/>
    <col min="38" max="38" width="6.25" bestFit="1" customWidth="1"/>
    <col min="39" max="39" width="53.25" bestFit="1" customWidth="1"/>
    <col min="40" max="40" width="7.75" bestFit="1" customWidth="1"/>
    <col min="41" max="41" width="7" bestFit="1" customWidth="1"/>
    <col min="42" max="42" width="7" customWidth="1"/>
    <col min="43" max="43" width="4.125" bestFit="1" customWidth="1"/>
    <col min="44" max="44" width="5.75" bestFit="1" customWidth="1"/>
    <col min="45" max="45" width="6.25" bestFit="1" customWidth="1"/>
    <col min="46" max="46" width="7.25" bestFit="1" customWidth="1"/>
    <col min="47" max="47" width="6.25" bestFit="1" customWidth="1"/>
    <col min="48" max="48" width="6.25" customWidth="1"/>
    <col min="49" max="49" width="18.25" bestFit="1" customWidth="1"/>
    <col min="50" max="50" width="6.25" bestFit="1" customWidth="1"/>
    <col min="51" max="51" width="42.75" bestFit="1" customWidth="1"/>
    <col min="52" max="52" width="7.75" bestFit="1" customWidth="1"/>
    <col min="53" max="53" width="6.75" bestFit="1" customWidth="1"/>
    <col min="54" max="54" width="6.75" customWidth="1"/>
    <col min="55" max="55" width="18.5" bestFit="1" customWidth="1"/>
    <col min="56" max="56" width="5.75" bestFit="1" customWidth="1"/>
    <col min="57" max="57" width="35.125" bestFit="1" customWidth="1"/>
    <col min="58" max="58" width="7.75" bestFit="1" customWidth="1"/>
    <col min="59" max="59" width="6.5" bestFit="1" customWidth="1"/>
    <col min="60" max="60" width="6.5" customWidth="1"/>
    <col min="61" max="61" width="18.125" bestFit="1" customWidth="1"/>
    <col min="62" max="62" width="5.75" bestFit="1" customWidth="1"/>
    <col min="63" max="63" width="48.75" bestFit="1" customWidth="1"/>
    <col min="64" max="64" width="7.75" bestFit="1" customWidth="1"/>
    <col min="65" max="65" width="6.5" bestFit="1" customWidth="1"/>
    <col min="66" max="66" width="6.5" customWidth="1"/>
    <col min="67" max="67" width="21.5" bestFit="1" customWidth="1"/>
    <col min="68" max="68" width="5.75" bestFit="1" customWidth="1"/>
    <col min="69" max="69" width="103.25" bestFit="1" customWidth="1"/>
    <col min="70" max="70" width="7.25" bestFit="1" customWidth="1"/>
    <col min="71" max="71" width="6.25" bestFit="1" customWidth="1"/>
    <col min="72" max="72" width="6.25" customWidth="1"/>
    <col min="73" max="73" width="22" bestFit="1" customWidth="1"/>
    <col min="74" max="74" width="6.25" bestFit="1" customWidth="1"/>
    <col min="75" max="75" width="59.625" bestFit="1" customWidth="1"/>
    <col min="76" max="76" width="7.75" bestFit="1" customWidth="1"/>
    <col min="77" max="77" width="6.75" bestFit="1" customWidth="1"/>
    <col min="78" max="78" width="6.75" customWidth="1"/>
    <col min="79" max="79" width="20.75" bestFit="1" customWidth="1"/>
    <col min="80" max="80" width="6" bestFit="1" customWidth="1"/>
    <col min="81" max="81" width="80.75" bestFit="1" customWidth="1"/>
    <col min="82" max="82" width="7.75" bestFit="1" customWidth="1"/>
    <col min="83" max="83" width="6.625" bestFit="1" customWidth="1"/>
    <col min="84" max="84" width="6.625" customWidth="1"/>
    <col min="85" max="85" width="20.25" bestFit="1" customWidth="1"/>
    <col min="86" max="86" width="6.25" bestFit="1" customWidth="1"/>
    <col min="87" max="87" width="59" bestFit="1" customWidth="1"/>
    <col min="88" max="88" width="7.75" bestFit="1" customWidth="1"/>
    <col min="89" max="89" width="6.75" bestFit="1" customWidth="1"/>
    <col min="90" max="90" width="6.75" customWidth="1"/>
    <col min="91" max="91" width="20.125" bestFit="1" customWidth="1"/>
    <col min="92" max="92" width="6.25" bestFit="1" customWidth="1"/>
    <col min="93" max="93" width="63.125" bestFit="1" customWidth="1"/>
    <col min="94" max="94" width="7.75" bestFit="1" customWidth="1"/>
    <col min="95" max="95" width="7" bestFit="1" customWidth="1"/>
    <col min="96" max="96" width="7" customWidth="1"/>
    <col min="97" max="97" width="4.75" bestFit="1" customWidth="1"/>
    <col min="98" max="98" width="6.25" bestFit="1" customWidth="1"/>
    <col min="99" max="99" width="7" bestFit="1" customWidth="1"/>
    <col min="100" max="100" width="7.75" bestFit="1" customWidth="1"/>
    <col min="101" max="101" width="7" bestFit="1" customWidth="1"/>
    <col min="102" max="102" width="7" customWidth="1"/>
    <col min="103" max="103" width="20.625" bestFit="1" customWidth="1"/>
    <col min="104" max="104" width="5.625" bestFit="1" customWidth="1"/>
    <col min="105" max="105" width="60.125" bestFit="1" customWidth="1"/>
    <col min="106" max="106" width="7.75" bestFit="1" customWidth="1"/>
    <col min="107" max="107" width="6.25" bestFit="1" customWidth="1"/>
  </cols>
  <sheetData>
    <row r="1" spans="1:108" ht="25.5" x14ac:dyDescent="0.2">
      <c r="A1" s="63" t="s">
        <v>579</v>
      </c>
      <c r="B1" s="63"/>
      <c r="C1" s="63" t="s">
        <v>580</v>
      </c>
    </row>
    <row r="2" spans="1:108" s="64" customFormat="1" ht="12.75" x14ac:dyDescent="0.2">
      <c r="A2" s="64" t="s">
        <v>1200</v>
      </c>
      <c r="B2" s="64" t="s">
        <v>4528</v>
      </c>
      <c r="C2" s="64" t="str">
        <f xml:space="preserve"> A2 &amp; "PC"</f>
        <v>AFWPC</v>
      </c>
      <c r="D2" s="64" t="str">
        <f xml:space="preserve"> A2 &amp; "Unit"</f>
        <v>AFWUnit</v>
      </c>
      <c r="E2" s="64" t="s">
        <v>4292</v>
      </c>
      <c r="F2" s="64" t="str">
        <f xml:space="preserve"> A2 &amp; "201516ActPerf"</f>
        <v>AFW201516ActPerf</v>
      </c>
      <c r="G2" s="64" t="s">
        <v>1080</v>
      </c>
      <c r="H2" s="64" t="s">
        <v>4529</v>
      </c>
      <c r="I2" s="64" t="str">
        <f>G2&amp;"PC"</f>
        <v>ANHPC</v>
      </c>
      <c r="J2" s="64" t="str">
        <f xml:space="preserve"> G2 &amp; "Unit"</f>
        <v>ANHUnit</v>
      </c>
      <c r="K2" s="64" t="s">
        <v>4293</v>
      </c>
      <c r="L2" s="64" t="str">
        <f xml:space="preserve"> G2 &amp; "201516ActPerf"</f>
        <v>ANH201516ActPerf</v>
      </c>
      <c r="M2" s="64" t="s">
        <v>1551</v>
      </c>
      <c r="N2" s="64" t="s">
        <v>4530</v>
      </c>
      <c r="O2" s="64" t="str">
        <f>M2&amp;"PC"</f>
        <v>BRLPC</v>
      </c>
      <c r="P2" s="64" t="str">
        <f xml:space="preserve"> M2 &amp; "Unit"</f>
        <v>BRLUnit</v>
      </c>
      <c r="Q2" s="64" t="s">
        <v>4294</v>
      </c>
      <c r="R2" s="64" t="str">
        <f xml:space="preserve"> M2 &amp; "201516ActPerf"</f>
        <v>BRL201516ActPerf</v>
      </c>
      <c r="S2" s="64" t="s">
        <v>1695</v>
      </c>
      <c r="T2" s="64" t="s">
        <v>4531</v>
      </c>
      <c r="U2" s="64" t="str">
        <f>S2&amp;"PC"</f>
        <v>DVWPC</v>
      </c>
      <c r="V2" s="64" t="str">
        <f xml:space="preserve"> S2 &amp; "Unit"</f>
        <v>DVWUnit</v>
      </c>
      <c r="W2" s="64" t="s">
        <v>4295</v>
      </c>
      <c r="X2" s="64" t="str">
        <f xml:space="preserve"> S2 &amp; "201516ActPerf"</f>
        <v>DVW201516ActPerf</v>
      </c>
      <c r="Y2" s="64" t="s">
        <v>1087</v>
      </c>
      <c r="Z2" s="64" t="s">
        <v>4532</v>
      </c>
      <c r="AA2" s="64" t="str">
        <f>Y2&amp;"PC"</f>
        <v>NESPC</v>
      </c>
      <c r="AB2" s="64" t="str">
        <f xml:space="preserve"> Y2 &amp; "Unit"</f>
        <v>NESUnit</v>
      </c>
      <c r="AC2" s="64" t="s">
        <v>4296</v>
      </c>
      <c r="AD2" s="64" t="str">
        <f xml:space="preserve"> Y2 &amp; "201516ActPerf"</f>
        <v>NES201516ActPerf</v>
      </c>
      <c r="AE2" s="64" t="s">
        <v>2098</v>
      </c>
      <c r="AF2" s="64" t="s">
        <v>4533</v>
      </c>
      <c r="AG2" s="64" t="str">
        <f>AE2&amp;"PC"</f>
        <v>PRTPC</v>
      </c>
      <c r="AH2" s="64" t="str">
        <f xml:space="preserve"> AE2 &amp; "Unit"</f>
        <v>PRTUnit</v>
      </c>
      <c r="AI2" s="64" t="s">
        <v>4297</v>
      </c>
      <c r="AJ2" s="64" t="str">
        <f xml:space="preserve"> AE2 &amp; "201516ActPerf"</f>
        <v>PRT201516ActPerf</v>
      </c>
      <c r="AK2" s="64" t="s">
        <v>2181</v>
      </c>
      <c r="AL2" s="64" t="s">
        <v>4534</v>
      </c>
      <c r="AM2" s="64" t="str">
        <f>AK2&amp;"PC"</f>
        <v>SBWPC</v>
      </c>
      <c r="AN2" s="64" t="str">
        <f xml:space="preserve"> AK2 &amp; "Unit"</f>
        <v>SBWUnit</v>
      </c>
      <c r="AO2" s="64" t="s">
        <v>4298</v>
      </c>
      <c r="AP2" s="64" t="str">
        <f xml:space="preserve"> AK2 &amp; "201516ActPerf"</f>
        <v>SBW201516ActPerf</v>
      </c>
      <c r="AQ2" s="64" t="s">
        <v>2264</v>
      </c>
      <c r="AR2" s="64" t="s">
        <v>4535</v>
      </c>
      <c r="AS2" s="64" t="str">
        <f>AQ2&amp;"PC"</f>
        <v>SESPC</v>
      </c>
      <c r="AT2" s="64" t="str">
        <f xml:space="preserve"> AQ2 &amp; "Unit"</f>
        <v>SESUnit</v>
      </c>
      <c r="AU2" s="64" t="s">
        <v>4299</v>
      </c>
      <c r="AV2" s="64" t="str">
        <f xml:space="preserve"> AQ2 &amp; "201516ActPerf"</f>
        <v>SES201516ActPerf</v>
      </c>
      <c r="AW2" s="64" t="s">
        <v>2379</v>
      </c>
      <c r="AX2" s="64" t="s">
        <v>4536</v>
      </c>
      <c r="AY2" s="64" t="str">
        <f>AW2&amp;"PC"</f>
        <v>SEWPC</v>
      </c>
      <c r="AZ2" s="64" t="str">
        <f xml:space="preserve"> AW2 &amp; "Unit"</f>
        <v>SEWUnit</v>
      </c>
      <c r="BA2" s="64" t="s">
        <v>4300</v>
      </c>
      <c r="BB2" s="64" t="str">
        <f xml:space="preserve"> AW2 &amp; "201516ActPerf"</f>
        <v>SEW201516ActPerf</v>
      </c>
      <c r="BC2" s="64" t="s">
        <v>1096</v>
      </c>
      <c r="BD2" s="64" t="s">
        <v>4537</v>
      </c>
      <c r="BE2" s="64" t="str">
        <f>BC2&amp;"PC"</f>
        <v>SRNPC</v>
      </c>
      <c r="BF2" s="64" t="str">
        <f xml:space="preserve"> BC2 &amp; "Unit"</f>
        <v>SRNUnit</v>
      </c>
      <c r="BG2" s="64" t="s">
        <v>4301</v>
      </c>
      <c r="BH2" s="64" t="str">
        <f xml:space="preserve"> BC2 &amp; "201516ActPerf"</f>
        <v>SRN201516ActPerf</v>
      </c>
      <c r="BI2" s="64" t="s">
        <v>2715</v>
      </c>
      <c r="BJ2" s="64" t="s">
        <v>4538</v>
      </c>
      <c r="BK2" s="64" t="str">
        <f>BI2&amp;"PC"</f>
        <v>SSCPC</v>
      </c>
      <c r="BL2" s="64" t="str">
        <f xml:space="preserve"> BI2 &amp; "Unit"</f>
        <v>SSCUnit</v>
      </c>
      <c r="BM2" s="64" t="s">
        <v>4539</v>
      </c>
      <c r="BN2" s="64" t="str">
        <f xml:space="preserve"> BI2 &amp; "201516ActPerf"</f>
        <v>SSC201516ActPerf</v>
      </c>
      <c r="BO2" s="64" t="s">
        <v>1090</v>
      </c>
      <c r="BP2" s="64" t="s">
        <v>4540</v>
      </c>
      <c r="BQ2" s="64" t="str">
        <f>BO2&amp;"PC"</f>
        <v>SVTPC</v>
      </c>
      <c r="BR2" s="64" t="str">
        <f xml:space="preserve"> BO2 &amp; "Unit"</f>
        <v>SVTUnit</v>
      </c>
      <c r="BS2" s="64" t="s">
        <v>4302</v>
      </c>
      <c r="BT2" s="64" t="str">
        <f xml:space="preserve"> BO2 &amp; "201516ActPerf"</f>
        <v>SVT201516ActPerf</v>
      </c>
      <c r="BU2" s="64" t="s">
        <v>1093</v>
      </c>
      <c r="BV2" s="64" t="s">
        <v>4541</v>
      </c>
      <c r="BW2" s="64" t="str">
        <f>BU2&amp;"PC"</f>
        <v>SWTPC</v>
      </c>
      <c r="BX2" s="64" t="str">
        <f xml:space="preserve"> BU2 &amp; "Unit"</f>
        <v>SWTUnit</v>
      </c>
      <c r="BY2" s="64" t="s">
        <v>4303</v>
      </c>
      <c r="BZ2" s="64" t="str">
        <f xml:space="preserve"> BU2 &amp; "201516ActPerf"</f>
        <v>SWT201516ActPerf</v>
      </c>
      <c r="CA2" s="64" t="s">
        <v>1100</v>
      </c>
      <c r="CB2" s="64" t="s">
        <v>4542</v>
      </c>
      <c r="CC2" s="64" t="str">
        <f>CA2&amp;"PC"</f>
        <v>TMSPC</v>
      </c>
      <c r="CD2" s="64" t="str">
        <f xml:space="preserve"> CA2 &amp; "Unit"</f>
        <v>TMSUnit</v>
      </c>
      <c r="CE2" s="64" t="s">
        <v>4304</v>
      </c>
      <c r="CF2" s="64" t="str">
        <f xml:space="preserve"> CA2 &amp; "201516ActPerf"</f>
        <v>TMS201516ActPerf</v>
      </c>
      <c r="CG2" s="64" t="s">
        <v>1103</v>
      </c>
      <c r="CH2" s="64" t="s">
        <v>4543</v>
      </c>
      <c r="CI2" s="64" t="str">
        <f>CG2&amp;"PC"</f>
        <v>NWTPC</v>
      </c>
      <c r="CJ2" s="64" t="str">
        <f xml:space="preserve"> CG2 &amp; "Unit"</f>
        <v>NWTUnit</v>
      </c>
      <c r="CK2" s="64" t="s">
        <v>4305</v>
      </c>
      <c r="CL2" s="64" t="str">
        <f xml:space="preserve"> CG2 &amp; "201516ActPerf"</f>
        <v>NWT201516ActPerf</v>
      </c>
      <c r="CM2" s="64" t="s">
        <v>1084</v>
      </c>
      <c r="CN2" s="64" t="s">
        <v>4544</v>
      </c>
      <c r="CO2" s="64" t="str">
        <f>CM2&amp;"PC"</f>
        <v>WSHPC</v>
      </c>
      <c r="CP2" s="64" t="str">
        <f xml:space="preserve"> CM2 &amp; "Unit"</f>
        <v>WSHUnit</v>
      </c>
      <c r="CQ2" s="64" t="s">
        <v>4306</v>
      </c>
      <c r="CR2" s="64" t="str">
        <f xml:space="preserve"> CM2 &amp; "201516ActPerf"</f>
        <v>WSH201516ActPerf</v>
      </c>
      <c r="CS2" s="64" t="s">
        <v>1106</v>
      </c>
      <c r="CT2" s="64" t="s">
        <v>4545</v>
      </c>
      <c r="CU2" s="64" t="s">
        <v>4307</v>
      </c>
      <c r="CV2" s="64" t="str">
        <f xml:space="preserve"> CS2 &amp; "Unit"</f>
        <v>WSXUnit</v>
      </c>
      <c r="CW2" s="64" t="s">
        <v>4308</v>
      </c>
      <c r="CX2" s="64" t="str">
        <f xml:space="preserve"> CS2 &amp; "201516ActPerf"</f>
        <v>WSX201516ActPerf</v>
      </c>
      <c r="CY2" s="64" t="s">
        <v>1109</v>
      </c>
      <c r="CZ2" s="64" t="s">
        <v>4546</v>
      </c>
      <c r="DA2" s="64" t="str">
        <f>CY2&amp;"PC"</f>
        <v>YKYPC</v>
      </c>
      <c r="DB2" s="64" t="str">
        <f xml:space="preserve"> CY2 &amp; "Unit"</f>
        <v>YKYUnit</v>
      </c>
      <c r="DC2" s="64" t="s">
        <v>4309</v>
      </c>
      <c r="DD2" s="64" t="str">
        <f xml:space="preserve"> CY2 &amp; "201516ActPerf"</f>
        <v>YKY201516ActPerf</v>
      </c>
    </row>
    <row r="3" spans="1:108" x14ac:dyDescent="0.2">
      <c r="G3" t="str">
        <f>'SUB LIST'!A3</f>
        <v>PR14ANHWSW_W-H1</v>
      </c>
      <c r="H3" t="str">
        <f>'SUB LIST'!P3</f>
        <v>00</v>
      </c>
      <c r="I3" t="str">
        <f>'SUB LIST'!Q3</f>
        <v>W-H1: Water infrastructure</v>
      </c>
      <c r="J3" t="str">
        <f>'SUB LIST'!T3</f>
        <v>category</v>
      </c>
      <c r="K3" t="str">
        <f>'SUB LIST'!U3</f>
        <v>na</v>
      </c>
      <c r="L3" t="str">
        <f>'SUB LIST'!AS3</f>
        <v>Green</v>
      </c>
      <c r="M3" t="str">
        <f>'SUB LIST'!A20</f>
        <v>PR14BRLWSW_A2</v>
      </c>
      <c r="N3" t="str">
        <f>'SUB LIST'!P20</f>
        <v>00</v>
      </c>
      <c r="O3" t="str">
        <f>'SUB LIST'!Q20</f>
        <v>A2: Asset reliability - infrastructure</v>
      </c>
      <c r="P3" t="str">
        <f>'SUB LIST'!T20</f>
        <v>category</v>
      </c>
      <c r="Q3" t="str">
        <f>'SUB LIST'!U20</f>
        <v>na</v>
      </c>
      <c r="R3" t="str">
        <f>'SUB LIST'!AS20</f>
        <v>Stable</v>
      </c>
      <c r="AK3" t="str">
        <f>'SUB LIST'!A26</f>
        <v>PR14SBWWSW_B4</v>
      </c>
      <c r="AL3" t="str">
        <f>'SUB LIST'!P26</f>
        <v>00</v>
      </c>
      <c r="AM3" t="str">
        <f>'SUB LIST'!Q26</f>
        <v>B4: Maintain serviceable assets</v>
      </c>
      <c r="AN3" t="str">
        <f>'SUB LIST'!T26</f>
        <v>category</v>
      </c>
      <c r="AO3" t="str">
        <f>'SUB LIST'!U26</f>
        <v>na</v>
      </c>
      <c r="AP3" t="str">
        <f>'SUB LIST'!AS26</f>
        <v>Stable</v>
      </c>
      <c r="AW3" t="str">
        <f>'SUB LIST'!A37</f>
        <v>PR14SEWWSW_N2</v>
      </c>
      <c r="AX3" t="str">
        <f>'SUB LIST'!P37</f>
        <v>00</v>
      </c>
      <c r="AY3" t="str">
        <f>'SUB LIST'!Q37</f>
        <v>N2: Above ground asset performance assessment</v>
      </c>
      <c r="AZ3" t="str">
        <f>'SUB LIST'!T37</f>
        <v>category</v>
      </c>
      <c r="BA3" t="str">
        <f>'SUB LIST'!U37</f>
        <v>na</v>
      </c>
      <c r="BB3" t="str">
        <f>'SUB LIST'!AS37</f>
        <v>Stable</v>
      </c>
      <c r="BC3" t="str">
        <f>'SUB LIST'!A42</f>
        <v>PR14SRNWSW_1</v>
      </c>
      <c r="BD3" t="str">
        <f>'SUB LIST'!P42</f>
        <v>00</v>
      </c>
      <c r="BE3" t="str">
        <f>'SUB LIST'!Q42</f>
        <v>1: Water asset health</v>
      </c>
      <c r="BF3" t="str">
        <f>'SUB LIST'!T42</f>
        <v>category</v>
      </c>
      <c r="BG3" t="str">
        <f>'SUB LIST'!U42</f>
        <v>na</v>
      </c>
      <c r="BH3" t="str">
        <f>'SUB LIST'!AS42</f>
        <v>Stable</v>
      </c>
      <c r="BI3" t="str">
        <f>'SUB LIST'!A52</f>
        <v>PR14SSCWSW_2.2</v>
      </c>
      <c r="BJ3" t="str">
        <f>'SUB LIST'!P52</f>
        <v>00</v>
      </c>
      <c r="BK3" t="str">
        <f>'SUB LIST'!Q52</f>
        <v>2.2: Serviceability infrastructure (combined company)</v>
      </c>
      <c r="BL3" t="str">
        <f>'SUB LIST'!T52</f>
        <v>category</v>
      </c>
      <c r="BM3" t="str">
        <f>'SUB LIST'!U52</f>
        <v>na</v>
      </c>
      <c r="BN3" t="str">
        <f>'SUB LIST'!AS52</f>
        <v>Stable</v>
      </c>
      <c r="BO3" t="str">
        <f>'SUB LIST'!A64</f>
        <v>PR14SVTWSWW_S-C3</v>
      </c>
      <c r="BP3" t="str">
        <f>'SUB LIST'!P64</f>
        <v>00</v>
      </c>
      <c r="BQ3" t="str">
        <f>'SUB LIST'!Q64</f>
        <v>S-C3: Asset stewardship - environmental compliance (basket of measures)</v>
      </c>
      <c r="BR3" t="str">
        <f>'SUB LIST'!T64</f>
        <v>%</v>
      </c>
      <c r="BS3">
        <f>'SUB LIST'!U64</f>
        <v>2</v>
      </c>
      <c r="BT3">
        <f>'SUB LIST'!AS64</f>
        <v>97.51</v>
      </c>
      <c r="BU3" t="str">
        <f>'SUB LIST'!A74</f>
        <v>PR14SWTWSW_W-A3</v>
      </c>
      <c r="BV3" t="str">
        <f>'SUB LIST'!P74</f>
        <v>00</v>
      </c>
      <c r="BW3" t="str">
        <f>'SUB LIST'!Q74</f>
        <v>W-A3 Asset reliability (pipes)</v>
      </c>
      <c r="BX3" t="str">
        <f>'SUB LIST'!T74</f>
        <v>category</v>
      </c>
      <c r="BY3" t="str">
        <f>'SUB LIST'!U74</f>
        <v>na</v>
      </c>
      <c r="BZ3" t="str">
        <f>'SUB LIST'!AS74</f>
        <v>Stable</v>
      </c>
      <c r="CA3" t="str">
        <f>'SUB LIST'!A98</f>
        <v>PR14TMSWSW_WB1</v>
      </c>
      <c r="CB3" t="str">
        <f>'SUB LIST'!P98</f>
        <v>00</v>
      </c>
      <c r="CC3" t="str">
        <f>'SUB LIST'!Q98</f>
        <v>WB1: Asset health water infrastructure</v>
      </c>
      <c r="CD3" t="str">
        <f>'SUB LIST'!T98</f>
        <v>category</v>
      </c>
      <c r="CE3" t="str">
        <f>'SUB LIST'!U98</f>
        <v>na</v>
      </c>
      <c r="CF3" t="str">
        <f>'SUB LIST'!AS98</f>
        <v>Marginal</v>
      </c>
      <c r="CG3" t="str">
        <f>'SUB LIST'!A122</f>
        <v>PR14UUWSW_A3</v>
      </c>
      <c r="CH3" t="str">
        <f>'SUB LIST'!P122</f>
        <v>00</v>
      </c>
      <c r="CI3" t="str">
        <f>'SUB LIST'!Q122</f>
        <v>A3: Water Quality Service Index</v>
      </c>
      <c r="CJ3" t="str">
        <f>'SUB LIST'!T122</f>
        <v>score</v>
      </c>
      <c r="CK3">
        <f>'SUB LIST'!U122</f>
        <v>3</v>
      </c>
      <c r="CL3">
        <f>'SUB LIST'!AS122</f>
        <v>120.465</v>
      </c>
      <c r="CM3" t="str">
        <f>'SUB LIST'!A162</f>
        <v>PR14WSHWSW_F1</v>
      </c>
      <c r="CN3" t="str">
        <f>'SUB LIST'!P162</f>
        <v>00</v>
      </c>
      <c r="CO3" t="str">
        <f>'SUB LIST'!Q162</f>
        <v>F1: Asset serviceability</v>
      </c>
      <c r="CP3" t="str">
        <f>'SUB LIST'!T162</f>
        <v>category</v>
      </c>
      <c r="CQ3" t="str">
        <f>'SUB LIST'!U162</f>
        <v>na</v>
      </c>
      <c r="CR3" t="str">
        <f>'SUB LIST'!AS162</f>
        <v>Stable</v>
      </c>
      <c r="CY3" t="str">
        <f>'SUB LIST'!A184</f>
        <v>PR14YKYWSW_WA4</v>
      </c>
      <c r="CZ3" t="str">
        <f>'SUB LIST'!P184</f>
        <v>00</v>
      </c>
      <c r="DA3" t="str">
        <f>'SUB LIST'!Q184</f>
        <v>WA4: Water quality stability and reliability factor</v>
      </c>
      <c r="DB3" t="str">
        <f>'SUB LIST'!T184</f>
        <v>category</v>
      </c>
      <c r="DC3" t="str">
        <f>'SUB LIST'!U184</f>
        <v>na</v>
      </c>
      <c r="DD3" t="str">
        <f>'SUB LIST'!AS184</f>
        <v>Stable</v>
      </c>
    </row>
    <row r="4" spans="1:108" x14ac:dyDescent="0.2">
      <c r="G4" t="str">
        <f>'SUB LIST'!A4</f>
        <v>PR14ANHWSW_W-H1</v>
      </c>
      <c r="H4" t="str">
        <f>'SUB LIST'!P4</f>
        <v>01</v>
      </c>
      <c r="I4" t="str">
        <f>'SUB LIST'!Q4</f>
        <v>Unplanned interruptions &gt;12 hours</v>
      </c>
      <c r="J4" t="str">
        <f>'SUB LIST'!T4</f>
        <v>nr</v>
      </c>
      <c r="K4">
        <f>'SUB LIST'!U4</f>
        <v>0</v>
      </c>
      <c r="L4">
        <f>'SUB LIST'!AS4</f>
        <v>1256</v>
      </c>
      <c r="M4" t="str">
        <f>'SUB LIST'!A21</f>
        <v>PR14BRLWSW_A2</v>
      </c>
      <c r="N4" t="str">
        <f>'SUB LIST'!P21</f>
        <v>01</v>
      </c>
      <c r="O4" t="str">
        <f>'SUB LIST'!Q21</f>
        <v>Total bursts (number)</v>
      </c>
      <c r="P4" t="str">
        <f>'SUB LIST'!T21</f>
        <v>nr</v>
      </c>
      <c r="Q4">
        <f>'SUB LIST'!U21</f>
        <v>0</v>
      </c>
      <c r="R4">
        <f>'SUB LIST'!AS21</f>
        <v>764</v>
      </c>
      <c r="AK4" t="str">
        <f>'SUB LIST'!A27</f>
        <v>PR14SBWWSW_B4</v>
      </c>
      <c r="AL4" t="str">
        <f>'SUB LIST'!P27</f>
        <v>01</v>
      </c>
      <c r="AM4" t="str">
        <f>'SUB LIST'!Q27</f>
        <v>Total bursts</v>
      </c>
      <c r="AN4" t="str">
        <f>'SUB LIST'!T27</f>
        <v>nr</v>
      </c>
      <c r="AO4">
        <f>'SUB LIST'!U27</f>
        <v>0</v>
      </c>
      <c r="AP4">
        <f>'SUB LIST'!AS27</f>
        <v>260</v>
      </c>
      <c r="AW4" t="str">
        <f>'SUB LIST'!A38</f>
        <v>PR14SEWWSW_N2</v>
      </c>
      <c r="AX4" t="str">
        <f>'SUB LIST'!P38</f>
        <v>01</v>
      </c>
      <c r="AY4" t="str">
        <f>'SUB LIST'!Q38</f>
        <v>WTW coliforms non-compliance</v>
      </c>
      <c r="AZ4" t="str">
        <f>'SUB LIST'!T38</f>
        <v>%</v>
      </c>
      <c r="BA4">
        <f>'SUB LIST'!U38</f>
        <v>2</v>
      </c>
      <c r="BB4">
        <f>'SUB LIST'!AS38</f>
        <v>0.03</v>
      </c>
      <c r="BC4" t="str">
        <f>'SUB LIST'!A43</f>
        <v>PR14SRNWSW_1</v>
      </c>
      <c r="BD4" t="str">
        <f>'SUB LIST'!P43</f>
        <v>01</v>
      </c>
      <c r="BE4" t="str">
        <f>'SUB LIST'!Q43</f>
        <v>Number of mains bursts per year</v>
      </c>
      <c r="BF4" t="str">
        <f>'SUB LIST'!T43</f>
        <v>nr</v>
      </c>
      <c r="BG4">
        <f>'SUB LIST'!U43</f>
        <v>0</v>
      </c>
      <c r="BH4">
        <f>'SUB LIST'!AS43</f>
        <v>1322</v>
      </c>
      <c r="BI4" t="str">
        <f>'SUB LIST'!A53</f>
        <v>PR14SSCWSW_2.2</v>
      </c>
      <c r="BJ4" t="str">
        <f>'SUB LIST'!P53</f>
        <v>01</v>
      </c>
      <c r="BK4" t="str">
        <f>'SUB LIST'!Q53</f>
        <v>Mains bursts</v>
      </c>
      <c r="BL4" t="str">
        <f>'SUB LIST'!T53</f>
        <v>nr</v>
      </c>
      <c r="BM4">
        <f>'SUB LIST'!U53</f>
        <v>0</v>
      </c>
      <c r="BN4">
        <f>'SUB LIST'!AS53</f>
        <v>895</v>
      </c>
      <c r="BO4" t="str">
        <f>'SUB LIST'!A65</f>
        <v>PR14SVTWSWW_S-C3</v>
      </c>
      <c r="BP4" t="str">
        <f>'SUB LIST'!P65</f>
        <v>01</v>
      </c>
      <c r="BQ4" t="str">
        <f>'SUB LIST'!Q65</f>
        <v>% of sewage treatment works passing their numeric consents</v>
      </c>
      <c r="BR4" t="str">
        <f>'SUB LIST'!T65</f>
        <v>%</v>
      </c>
      <c r="BS4">
        <f>'SUB LIST'!U65</f>
        <v>2</v>
      </c>
      <c r="BT4">
        <f>'SUB LIST'!AS65</f>
        <v>99.01</v>
      </c>
      <c r="BU4" t="str">
        <f>'SUB LIST'!A75</f>
        <v>PR14SWTWSW_W-A3</v>
      </c>
      <c r="BV4" t="str">
        <f>'SUB LIST'!P75</f>
        <v>01</v>
      </c>
      <c r="BW4" t="str">
        <f>'SUB LIST'!Q75</f>
        <v>Total bursts</v>
      </c>
      <c r="BX4" t="str">
        <f>'SUB LIST'!T75</f>
        <v>nr</v>
      </c>
      <c r="BY4">
        <f>'SUB LIST'!U75</f>
        <v>0</v>
      </c>
      <c r="BZ4">
        <f>'SUB LIST'!AS75</f>
        <v>2250</v>
      </c>
      <c r="CA4" t="str">
        <f>'SUB LIST'!A99</f>
        <v>PR14TMSWSW_WB1</v>
      </c>
      <c r="CB4" t="str">
        <f>'SUB LIST'!P99</f>
        <v>01</v>
      </c>
      <c r="CC4" t="str">
        <f>'SUB LIST'!Q99</f>
        <v>Total bursts</v>
      </c>
      <c r="CD4" t="str">
        <f>'SUB LIST'!T99</f>
        <v>nr</v>
      </c>
      <c r="CE4">
        <f>'SUB LIST'!U99</f>
        <v>0</v>
      </c>
      <c r="CF4">
        <f>'SUB LIST'!AS99</f>
        <v>6926</v>
      </c>
      <c r="CG4" t="str">
        <f>'SUB LIST'!A123</f>
        <v>PR14UUWSW_A3</v>
      </c>
      <c r="CH4" t="str">
        <f>'SUB LIST'!P123</f>
        <v>01</v>
      </c>
      <c r="CI4" t="str">
        <f>'SUB LIST'!Q123</f>
        <v>WTW coliform non-compliance (%)</v>
      </c>
      <c r="CJ4" t="str">
        <f>'SUB LIST'!T123</f>
        <v>%</v>
      </c>
      <c r="CK4">
        <f>'SUB LIST'!U123</f>
        <v>2</v>
      </c>
      <c r="CL4">
        <f>'SUB LIST'!AS123</f>
        <v>0.06</v>
      </c>
      <c r="CM4" t="str">
        <f>'SUB LIST'!A163</f>
        <v>PR14WSHWSW_F1</v>
      </c>
      <c r="CN4" t="str">
        <f>'SUB LIST'!P163</f>
        <v>01</v>
      </c>
      <c r="CO4" t="str">
        <f>'SUB LIST'!Q163</f>
        <v>Total bursts (nr)</v>
      </c>
      <c r="CP4" t="str">
        <f>'SUB LIST'!T163</f>
        <v>nr</v>
      </c>
      <c r="CQ4">
        <f>'SUB LIST'!U163</f>
        <v>0</v>
      </c>
      <c r="CR4">
        <f>'SUB LIST'!AS163</f>
        <v>3012</v>
      </c>
      <c r="CY4" t="str">
        <f>'SUB LIST'!A185</f>
        <v>PR14YKYWSW_WA4</v>
      </c>
      <c r="CZ4" t="str">
        <f>'SUB LIST'!P185</f>
        <v>01</v>
      </c>
      <c r="DA4" t="str">
        <f>'SUB LIST'!Q185</f>
        <v>WTW coliform non-compliance</v>
      </c>
      <c r="DB4" t="str">
        <f>'SUB LIST'!T185</f>
        <v>%</v>
      </c>
      <c r="DC4">
        <f>'SUB LIST'!U185</f>
        <v>3</v>
      </c>
      <c r="DD4">
        <f>'SUB LIST'!AS185</f>
        <v>1.4E-2</v>
      </c>
    </row>
    <row r="5" spans="1:108" x14ac:dyDescent="0.2">
      <c r="G5" t="str">
        <f>'SUB LIST'!A5</f>
        <v>PR14ANHWSW_W-H1</v>
      </c>
      <c r="H5" t="str">
        <f>'SUB LIST'!P5</f>
        <v>02</v>
      </c>
      <c r="I5" t="str">
        <f>'SUB LIST'!Q5</f>
        <v>Reactive mains bursts</v>
      </c>
      <c r="J5">
        <f>'SUB LIST'!T5</f>
        <v>0</v>
      </c>
      <c r="K5">
        <f>'SUB LIST'!U5</f>
        <v>1</v>
      </c>
      <c r="L5" t="str">
        <f>'SUB LIST'!AS5</f>
        <v>-10.0%</v>
      </c>
      <c r="M5" t="str">
        <f>'SUB LIST'!A22</f>
        <v>PR14BRLWSW_A2</v>
      </c>
      <c r="N5" t="str">
        <f>'SUB LIST'!P22</f>
        <v>02</v>
      </c>
      <c r="O5" t="str">
        <f>'SUB LIST'!Q22</f>
        <v>DG2: low pressure (number of properties)</v>
      </c>
      <c r="P5" t="str">
        <f>'SUB LIST'!T22</f>
        <v>nr</v>
      </c>
      <c r="Q5">
        <f>'SUB LIST'!U22</f>
        <v>0</v>
      </c>
      <c r="R5">
        <f>'SUB LIST'!AS22</f>
        <v>71</v>
      </c>
      <c r="AK5" t="str">
        <f>'SUB LIST'!A28</f>
        <v>PR14SBWWSW_B4</v>
      </c>
      <c r="AL5" t="str">
        <f>'SUB LIST'!P28</f>
        <v>02</v>
      </c>
      <c r="AM5" t="str">
        <f>'SUB LIST'!Q28</f>
        <v>Interruptions &gt; 12 hours</v>
      </c>
      <c r="AN5" t="str">
        <f>'SUB LIST'!T28</f>
        <v>nr</v>
      </c>
      <c r="AO5">
        <f>'SUB LIST'!U28</f>
        <v>0</v>
      </c>
      <c r="AP5">
        <f>'SUB LIST'!AS28</f>
        <v>0</v>
      </c>
      <c r="AW5" t="str">
        <f>'SUB LIST'!A39</f>
        <v>PR14SEWWSW_N2</v>
      </c>
      <c r="AX5" t="str">
        <f>'SUB LIST'!P39</f>
        <v>02</v>
      </c>
      <c r="AY5" t="str">
        <f>'SUB LIST'!Q39</f>
        <v>Service reservoir coliforms non-compliance</v>
      </c>
      <c r="AZ5" t="str">
        <f>'SUB LIST'!T39</f>
        <v>%</v>
      </c>
      <c r="BA5">
        <f>'SUB LIST'!U39</f>
        <v>2</v>
      </c>
      <c r="BB5">
        <f>'SUB LIST'!AS39</f>
        <v>0</v>
      </c>
      <c r="BC5" t="str">
        <f>'SUB LIST'!A44</f>
        <v>PR14SRNWSW_1</v>
      </c>
      <c r="BD5" t="str">
        <f>'SUB LIST'!P44</f>
        <v>02</v>
      </c>
      <c r="BE5" t="str">
        <f>'SUB LIST'!Q44</f>
        <v>TIM distribution index</v>
      </c>
      <c r="BF5" t="str">
        <f>'SUB LIST'!T44</f>
        <v>%</v>
      </c>
      <c r="BG5">
        <f>'SUB LIST'!U44</f>
        <v>2</v>
      </c>
      <c r="BH5">
        <f>'SUB LIST'!AS44</f>
        <v>99.96</v>
      </c>
      <c r="BI5" t="str">
        <f>'SUB LIST'!A54</f>
        <v>PR14SSCWSW_2.2</v>
      </c>
      <c r="BJ5" t="str">
        <f>'SUB LIST'!P54</f>
        <v>02</v>
      </c>
      <c r="BK5" t="str">
        <f>'SUB LIST'!Q54</f>
        <v>Supply interruptions &gt; 12 hours</v>
      </c>
      <c r="BL5" t="str">
        <f>'SUB LIST'!T54</f>
        <v>nr</v>
      </c>
      <c r="BM5">
        <f>'SUB LIST'!U54</f>
        <v>0</v>
      </c>
      <c r="BN5">
        <f>'SUB LIST'!AS54</f>
        <v>40</v>
      </c>
      <c r="BO5" t="str">
        <f>'SUB LIST'!A66</f>
        <v>PR14SVTWSWW_S-C3</v>
      </c>
      <c r="BP5" t="str">
        <f>'SUB LIST'!P66</f>
        <v>02</v>
      </c>
      <c r="BQ5" t="str">
        <f>'SUB LIST'!Q66</f>
        <v>% of actions raised from EA regulatory site audits (actions raised as a % of total site visits)</v>
      </c>
      <c r="BR5" t="str">
        <f>'SUB LIST'!T66</f>
        <v>%</v>
      </c>
      <c r="BS5">
        <f>'SUB LIST'!U66</f>
        <v>2</v>
      </c>
      <c r="BT5">
        <f>'SUB LIST'!AS66</f>
        <v>97.88</v>
      </c>
      <c r="BU5" t="str">
        <f>'SUB LIST'!A76</f>
        <v>PR14SWTWSW_W-A3</v>
      </c>
      <c r="BV5" t="str">
        <f>'SUB LIST'!P76</f>
        <v>02</v>
      </c>
      <c r="BW5" t="str">
        <f>'SUB LIST'!Q76</f>
        <v>Interruptions &gt; 12 hours</v>
      </c>
      <c r="BX5" t="str">
        <f>'SUB LIST'!T76</f>
        <v>nr</v>
      </c>
      <c r="BY5">
        <f>'SUB LIST'!U76</f>
        <v>0</v>
      </c>
      <c r="BZ5">
        <f>'SUB LIST'!AS76</f>
        <v>2466</v>
      </c>
      <c r="CA5" t="str">
        <f>'SUB LIST'!A100</f>
        <v>PR14TMSWSW_WB1</v>
      </c>
      <c r="CB5" t="str">
        <f>'SUB LIST'!P100</f>
        <v>02</v>
      </c>
      <c r="CC5" t="str">
        <f>'SUB LIST'!Q100</f>
        <v>Unplanned interruptions to customer &gt;12 hours (DG3)</v>
      </c>
      <c r="CD5" t="str">
        <f>'SUB LIST'!T100</f>
        <v>nr</v>
      </c>
      <c r="CE5">
        <f>'SUB LIST'!U100</f>
        <v>0</v>
      </c>
      <c r="CF5">
        <f>'SUB LIST'!AS100</f>
        <v>15151</v>
      </c>
      <c r="CG5" t="str">
        <f>'SUB LIST'!A124</f>
        <v>PR14UUWSW_A3</v>
      </c>
      <c r="CH5" t="str">
        <f>'SUB LIST'!P124</f>
        <v>02</v>
      </c>
      <c r="CI5" t="str">
        <f>'SUB LIST'!Q124</f>
        <v>SR integrity index</v>
      </c>
      <c r="CJ5" t="str">
        <f>'SUB LIST'!T124</f>
        <v>%</v>
      </c>
      <c r="CK5">
        <f>'SUB LIST'!U124</f>
        <v>2</v>
      </c>
      <c r="CL5">
        <f>'SUB LIST'!AS124</f>
        <v>99.98</v>
      </c>
      <c r="CM5" t="str">
        <f>'SUB LIST'!A164</f>
        <v>PR14WSHWSW_F1</v>
      </c>
      <c r="CN5" t="str">
        <f>'SUB LIST'!P164</f>
        <v>02</v>
      </c>
      <c r="CO5" t="str">
        <f>'SUB LIST'!Q164</f>
        <v>Interruptions &gt;12h (nr)</v>
      </c>
      <c r="CP5" t="str">
        <f>'SUB LIST'!T164</f>
        <v>nr</v>
      </c>
      <c r="CQ5">
        <f>'SUB LIST'!U164</f>
        <v>0</v>
      </c>
      <c r="CR5">
        <f>'SUB LIST'!AS164</f>
        <v>5023</v>
      </c>
      <c r="CY5" t="str">
        <f>'SUB LIST'!A186</f>
        <v>PR14YKYWSW_WA4</v>
      </c>
      <c r="CZ5" t="str">
        <f>'SUB LIST'!P186</f>
        <v>02</v>
      </c>
      <c r="DA5" t="str">
        <f>'SUB LIST'!Q186</f>
        <v>SR coliform non-compliance</v>
      </c>
      <c r="DB5" t="str">
        <f>'SUB LIST'!T186</f>
        <v>%</v>
      </c>
      <c r="DC5">
        <f>'SUB LIST'!U186</f>
        <v>2</v>
      </c>
      <c r="DD5">
        <f>'SUB LIST'!AS186</f>
        <v>0</v>
      </c>
    </row>
    <row r="6" spans="1:108" x14ac:dyDescent="0.2">
      <c r="G6" t="str">
        <f>'SUB LIST'!A6</f>
        <v>PR14ANHWSW_W-H1</v>
      </c>
      <c r="H6" t="str">
        <f>'SUB LIST'!P6</f>
        <v>03</v>
      </c>
      <c r="I6" t="str">
        <f>'SUB LIST'!Q6</f>
        <v>Customer contacts - discolouration</v>
      </c>
      <c r="J6">
        <f>'SUB LIST'!T6</f>
        <v>0</v>
      </c>
      <c r="K6">
        <f>'SUB LIST'!U6</f>
        <v>2</v>
      </c>
      <c r="L6">
        <f>'SUB LIST'!AS6</f>
        <v>0.39</v>
      </c>
      <c r="M6" t="str">
        <f>'SUB LIST'!A23</f>
        <v>PR14BRLWSW_A3</v>
      </c>
      <c r="N6" t="str">
        <f>'SUB LIST'!P23</f>
        <v>00</v>
      </c>
      <c r="O6" t="str">
        <f>'SUB LIST'!Q23</f>
        <v>A3: Asset reliability - non-infrastructure</v>
      </c>
      <c r="P6" t="str">
        <f>'SUB LIST'!T23</f>
        <v>category</v>
      </c>
      <c r="Q6" t="str">
        <f>'SUB LIST'!U23</f>
        <v>na</v>
      </c>
      <c r="R6" t="str">
        <f>'SUB LIST'!AS23</f>
        <v>Stable</v>
      </c>
      <c r="AK6" t="str">
        <f>'SUB LIST'!A29</f>
        <v>PR14SBWWSW_B4</v>
      </c>
      <c r="AL6" t="str">
        <f>'SUB LIST'!P29</f>
        <v>03</v>
      </c>
      <c r="AM6" t="str">
        <f>'SUB LIST'!Q29</f>
        <v>Iron non-compliance (as 100-Mean Zonal Compliance)</v>
      </c>
      <c r="AN6" t="str">
        <f>'SUB LIST'!T29</f>
        <v>%</v>
      </c>
      <c r="AO6">
        <f>'SUB LIST'!U29</f>
        <v>2</v>
      </c>
      <c r="AP6">
        <f>'SUB LIST'!AS29</f>
        <v>100</v>
      </c>
      <c r="AW6" t="str">
        <f>'SUB LIST'!A40</f>
        <v>PR14SEWWSW_N2</v>
      </c>
      <c r="AX6" t="str">
        <f>'SUB LIST'!P40</f>
        <v>03</v>
      </c>
      <c r="AY6" t="str">
        <f>'SUB LIST'!Q40</f>
        <v>Turbidity non-compliance</v>
      </c>
      <c r="AZ6" t="str">
        <f>'SUB LIST'!T40</f>
        <v>nr</v>
      </c>
      <c r="BA6">
        <f>'SUB LIST'!U40</f>
        <v>0</v>
      </c>
      <c r="BB6">
        <f>'SUB LIST'!AS40</f>
        <v>0</v>
      </c>
      <c r="BC6" t="str">
        <f>'SUB LIST'!A45</f>
        <v>PR14SRNWSW_1</v>
      </c>
      <c r="BD6" t="str">
        <f>'SUB LIST'!P45</f>
        <v>03</v>
      </c>
      <c r="BE6" t="str">
        <f>'SUB LIST'!Q45</f>
        <v>Coliform compliance at WSW</v>
      </c>
      <c r="BF6" t="str">
        <f>'SUB LIST'!T45</f>
        <v>%</v>
      </c>
      <c r="BG6">
        <f>'SUB LIST'!U45</f>
        <v>2</v>
      </c>
      <c r="BH6">
        <f>'SUB LIST'!AS45</f>
        <v>100</v>
      </c>
      <c r="BI6" t="str">
        <f>'SUB LIST'!A55</f>
        <v>PR14SSCWSW_2.2</v>
      </c>
      <c r="BJ6" t="str">
        <f>'SUB LIST'!P55</f>
        <v>03</v>
      </c>
      <c r="BK6" t="str">
        <f>'SUB LIST'!Q55</f>
        <v>Properties with persistent low pressure</v>
      </c>
      <c r="BL6" t="str">
        <f>'SUB LIST'!T55</f>
        <v>nr</v>
      </c>
      <c r="BM6">
        <f>'SUB LIST'!U55</f>
        <v>0</v>
      </c>
      <c r="BN6">
        <f>'SUB LIST'!AS55</f>
        <v>1</v>
      </c>
      <c r="BO6" t="str">
        <f>'SUB LIST'!A67</f>
        <v>PR14SVTWSWW_S-C3</v>
      </c>
      <c r="BP6" t="str">
        <f>'SUB LIST'!P67</f>
        <v>03</v>
      </c>
      <c r="BQ6" t="str">
        <f>'SUB LIST'!Q67</f>
        <v>% of sites that do not exceed their 90%ile flow on sewage treatment works or maximum daily flow on water treatment works</v>
      </c>
      <c r="BR6" t="str">
        <f>'SUB LIST'!T67</f>
        <v>%</v>
      </c>
      <c r="BS6">
        <f>'SUB LIST'!U67</f>
        <v>2</v>
      </c>
      <c r="BT6">
        <f>'SUB LIST'!AS67</f>
        <v>93.18</v>
      </c>
      <c r="BU6" t="str">
        <f>'SUB LIST'!A77</f>
        <v>PR14SWTWSW_W-A3</v>
      </c>
      <c r="BV6" t="str">
        <f>'SUB LIST'!P77</f>
        <v>03</v>
      </c>
      <c r="BW6" t="str">
        <f>'SUB LIST'!Q77</f>
        <v>Iron non-compliance (as 100-Mean Zonal Compliance)</v>
      </c>
      <c r="BX6" t="str">
        <f>'SUB LIST'!T77</f>
        <v>%</v>
      </c>
      <c r="BY6">
        <f>'SUB LIST'!U77</f>
        <v>2</v>
      </c>
      <c r="BZ6">
        <f>'SUB LIST'!AS77</f>
        <v>0.34</v>
      </c>
      <c r="CA6" t="str">
        <f>'SUB LIST'!A101</f>
        <v>PR14TMSWSW_WB1</v>
      </c>
      <c r="CB6" t="str">
        <f>'SUB LIST'!P101</f>
        <v>03</v>
      </c>
      <c r="CC6" t="str">
        <f>'SUB LIST'!Q101</f>
        <v>Iron mean zonal non-compliance</v>
      </c>
      <c r="CD6" t="str">
        <f>'SUB LIST'!T101</f>
        <v>%</v>
      </c>
      <c r="CE6">
        <f>'SUB LIST'!U101</f>
        <v>2</v>
      </c>
      <c r="CF6">
        <f>'SUB LIST'!AS101</f>
        <v>0.18</v>
      </c>
      <c r="CG6" t="str">
        <f>'SUB LIST'!A125</f>
        <v>PR14UUWSW_A3</v>
      </c>
      <c r="CH6" t="str">
        <f>'SUB LIST'!P125</f>
        <v>03</v>
      </c>
      <c r="CI6" t="str">
        <f>'SUB LIST'!Q125</f>
        <v>No. of WTW turbidity fails</v>
      </c>
      <c r="CJ6" t="str">
        <f>'SUB LIST'!T125</f>
        <v>nr</v>
      </c>
      <c r="CK6">
        <f>'SUB LIST'!U125</f>
        <v>0</v>
      </c>
      <c r="CL6">
        <f>'SUB LIST'!AS125</f>
        <v>1</v>
      </c>
      <c r="CM6" t="str">
        <f>'SUB LIST'!A165</f>
        <v>PR14WSHWSW_F1</v>
      </c>
      <c r="CN6" t="str">
        <f>'SUB LIST'!P165</f>
        <v>03</v>
      </c>
      <c r="CO6" t="str">
        <f>'SUB LIST'!Q165</f>
        <v>Iron non-compliance (as 100-Mean Zonal Compliance) (%)</v>
      </c>
      <c r="CP6" t="str">
        <f>'SUB LIST'!T165</f>
        <v>%</v>
      </c>
      <c r="CQ6">
        <f>'SUB LIST'!U165</f>
        <v>2</v>
      </c>
      <c r="CR6">
        <f>'SUB LIST'!AS165</f>
        <v>0.56999999999999995</v>
      </c>
      <c r="CY6" t="str">
        <f>'SUB LIST'!A187</f>
        <v>PR14YKYWSW_WA4</v>
      </c>
      <c r="CZ6" t="str">
        <f>'SUB LIST'!P187</f>
        <v>03</v>
      </c>
      <c r="DA6" t="str">
        <f>'SUB LIST'!Q187</f>
        <v>Turbidity</v>
      </c>
      <c r="DB6" t="str">
        <f>'SUB LIST'!T187</f>
        <v>nr</v>
      </c>
      <c r="DC6">
        <f>'SUB LIST'!U187</f>
        <v>0</v>
      </c>
      <c r="DD6">
        <f>'SUB LIST'!AS187</f>
        <v>0</v>
      </c>
    </row>
    <row r="7" spans="1:108" x14ac:dyDescent="0.2">
      <c r="G7" t="str">
        <f>'SUB LIST'!A7</f>
        <v>PR14ANHWSW_W-H1</v>
      </c>
      <c r="H7" t="str">
        <f>'SUB LIST'!P7</f>
        <v>04</v>
      </c>
      <c r="I7" t="str">
        <f>'SUB LIST'!Q7</f>
        <v>Distribution maintenance index</v>
      </c>
      <c r="J7">
        <f>'SUB LIST'!T7</f>
        <v>0</v>
      </c>
      <c r="K7">
        <f>'SUB LIST'!U7</f>
        <v>2</v>
      </c>
      <c r="L7">
        <f>'SUB LIST'!AS7</f>
        <v>0.05</v>
      </c>
      <c r="M7" t="str">
        <f>'SUB LIST'!A24</f>
        <v>PR14BRLWSW_A3</v>
      </c>
      <c r="N7" t="str">
        <f>'SUB LIST'!P24</f>
        <v>01</v>
      </c>
      <c r="O7" t="str">
        <f>'SUB LIST'!Q24</f>
        <v>Turbidity performance at treatment works (number)</v>
      </c>
      <c r="P7" t="str">
        <f>'SUB LIST'!T24</f>
        <v>nr</v>
      </c>
      <c r="Q7">
        <f>'SUB LIST'!U24</f>
        <v>0</v>
      </c>
      <c r="R7">
        <f>'SUB LIST'!AS24</f>
        <v>0</v>
      </c>
      <c r="AK7" t="str">
        <f>'SUB LIST'!A30</f>
        <v>PR14SBWWSW_B4</v>
      </c>
      <c r="AL7" t="str">
        <f>'SUB LIST'!P30</f>
        <v>04</v>
      </c>
      <c r="AM7" t="str">
        <f>'SUB LIST'!Q30</f>
        <v>DG2 pressure</v>
      </c>
      <c r="AN7" t="str">
        <f>'SUB LIST'!T30</f>
        <v>nr</v>
      </c>
      <c r="AO7">
        <f>'SUB LIST'!U30</f>
        <v>0</v>
      </c>
      <c r="AP7">
        <f>'SUB LIST'!AS30</f>
        <v>0</v>
      </c>
      <c r="AW7" t="str">
        <f>'SUB LIST'!A41</f>
        <v>PR14SEWWSW_N2</v>
      </c>
      <c r="AX7" t="str">
        <f>'SUB LIST'!P41</f>
        <v>04</v>
      </c>
      <c r="AY7" t="str">
        <f>'SUB LIST'!Q41</f>
        <v>Enforcement incidents</v>
      </c>
      <c r="AZ7" t="str">
        <f>'SUB LIST'!T41</f>
        <v>nr</v>
      </c>
      <c r="BA7">
        <f>'SUB LIST'!U41</f>
        <v>0</v>
      </c>
      <c r="BB7">
        <f>'SUB LIST'!AS41</f>
        <v>0</v>
      </c>
      <c r="BC7" t="str">
        <f>'SUB LIST'!A46</f>
        <v>PR14SRNWSW_1</v>
      </c>
      <c r="BD7" t="str">
        <f>'SUB LIST'!P46</f>
        <v>04</v>
      </c>
      <c r="BE7" t="str">
        <f>'SUB LIST'!Q46</f>
        <v>Coliform compliance at WSR</v>
      </c>
      <c r="BF7" t="str">
        <f>'SUB LIST'!T46</f>
        <v>%</v>
      </c>
      <c r="BG7">
        <f>'SUB LIST'!U46</f>
        <v>0</v>
      </c>
      <c r="BH7">
        <f>'SUB LIST'!AS46</f>
        <v>100</v>
      </c>
      <c r="BI7" t="str">
        <f>'SUB LIST'!A56</f>
        <v>PR14SSCWSW_2.2</v>
      </c>
      <c r="BJ7" t="str">
        <f>'SUB LIST'!P56</f>
        <v>04</v>
      </c>
      <c r="BK7" t="str">
        <f>'SUB LIST'!Q56</f>
        <v>Discolouration contacts per 1,000 customers</v>
      </c>
      <c r="BL7" t="str">
        <f>'SUB LIST'!T56</f>
        <v>nr</v>
      </c>
      <c r="BM7">
        <f>'SUB LIST'!U56</f>
        <v>2</v>
      </c>
      <c r="BN7">
        <f>'SUB LIST'!AS56</f>
        <v>0.84599999999999997</v>
      </c>
      <c r="BO7" t="str">
        <f>'SUB LIST'!A68</f>
        <v>PR14SVTWSWW_S-C3</v>
      </c>
      <c r="BP7" t="str">
        <f>'SUB LIST'!P68</f>
        <v>04</v>
      </c>
      <c r="BQ7" t="str">
        <f>'SUB LIST'!Q68</f>
        <v>% of sites compliant with their abstraction permits</v>
      </c>
      <c r="BR7" t="str">
        <f>'SUB LIST'!T68</f>
        <v>%</v>
      </c>
      <c r="BS7">
        <f>'SUB LIST'!U68</f>
        <v>2</v>
      </c>
      <c r="BT7">
        <f>'SUB LIST'!AS68</f>
        <v>99.96</v>
      </c>
      <c r="BU7" t="str">
        <f>'SUB LIST'!A78</f>
        <v>PR14SWTWSW_W-A3</v>
      </c>
      <c r="BV7" t="str">
        <f>'SUB LIST'!P78</f>
        <v>04</v>
      </c>
      <c r="BW7" t="str">
        <f>'SUB LIST'!Q78</f>
        <v>DG2 pressure</v>
      </c>
      <c r="BX7" t="str">
        <f>'SUB LIST'!T78</f>
        <v>nr</v>
      </c>
      <c r="BY7">
        <f>'SUB LIST'!U78</f>
        <v>0</v>
      </c>
      <c r="BZ7">
        <f>'SUB LIST'!AS78</f>
        <v>167</v>
      </c>
      <c r="CA7" t="str">
        <f>'SUB LIST'!A102</f>
        <v>PR14TMSWSW_WB1</v>
      </c>
      <c r="CB7" t="str">
        <f>'SUB LIST'!P102</f>
        <v>04</v>
      </c>
      <c r="CC7" t="str">
        <f>'SUB LIST'!Q102</f>
        <v>Inadequate pressure (DG2)</v>
      </c>
      <c r="CD7" t="str">
        <f>'SUB LIST'!T102</f>
        <v>nr</v>
      </c>
      <c r="CE7">
        <f>'SUB LIST'!U102</f>
        <v>0</v>
      </c>
      <c r="CF7">
        <f>'SUB LIST'!AS102</f>
        <v>0</v>
      </c>
      <c r="CG7" t="str">
        <f>'SUB LIST'!A126</f>
        <v>PR14UUWSW_A3</v>
      </c>
      <c r="CH7" t="str">
        <f>'SUB LIST'!P126</f>
        <v>04</v>
      </c>
      <c r="CI7" t="str">
        <f>'SUB LIST'!Q126</f>
        <v>Mean Zonal Compliance (MZC)</v>
      </c>
      <c r="CJ7" t="str">
        <f>'SUB LIST'!T126</f>
        <v>%</v>
      </c>
      <c r="CK7">
        <f>'SUB LIST'!U126</f>
        <v>2</v>
      </c>
      <c r="CL7">
        <f>'SUB LIST'!AS126</f>
        <v>99.96</v>
      </c>
      <c r="CM7" t="str">
        <f>'SUB LIST'!A166</f>
        <v>PR14WSHWSW_F1</v>
      </c>
      <c r="CN7" t="str">
        <f>'SUB LIST'!P166</f>
        <v>04</v>
      </c>
      <c r="CO7" t="str">
        <f>'SUB LIST'!Q166</f>
        <v>DG2 pressure (nr)</v>
      </c>
      <c r="CP7" t="str">
        <f>'SUB LIST'!T166</f>
        <v>nr</v>
      </c>
      <c r="CQ7">
        <f>'SUB LIST'!U166</f>
        <v>0</v>
      </c>
      <c r="CR7">
        <f>'SUB LIST'!AS166</f>
        <v>98</v>
      </c>
      <c r="CY7" t="str">
        <f>'SUB LIST'!A188</f>
        <v>PR14YKYWSW_WA4</v>
      </c>
      <c r="CZ7" t="str">
        <f>'SUB LIST'!P188</f>
        <v>04</v>
      </c>
      <c r="DA7" t="str">
        <f>'SUB LIST'!Q188</f>
        <v>Enforcements</v>
      </c>
      <c r="DB7" t="str">
        <f>'SUB LIST'!T188</f>
        <v>nr</v>
      </c>
      <c r="DC7">
        <f>'SUB LIST'!U188</f>
        <v>0</v>
      </c>
      <c r="DD7">
        <f>'SUB LIST'!AS188</f>
        <v>0</v>
      </c>
    </row>
    <row r="8" spans="1:108" x14ac:dyDescent="0.2">
      <c r="G8" t="str">
        <f>'SUB LIST'!A8</f>
        <v>PR14ANHWSW_W-H2</v>
      </c>
      <c r="H8" t="str">
        <f>'SUB LIST'!P8</f>
        <v>00</v>
      </c>
      <c r="I8" t="str">
        <f>'SUB LIST'!Q8</f>
        <v>W-H2: Water non-infrastructure</v>
      </c>
      <c r="J8" t="str">
        <f>'SUB LIST'!T8</f>
        <v>category</v>
      </c>
      <c r="K8" t="str">
        <f>'SUB LIST'!U8</f>
        <v>na</v>
      </c>
      <c r="L8" t="str">
        <f>'SUB LIST'!AS8</f>
        <v>Green</v>
      </c>
      <c r="M8" t="str">
        <f>'SUB LIST'!A25</f>
        <v>PR14BRLWSW_A3</v>
      </c>
      <c r="N8" t="str">
        <f>'SUB LIST'!P25</f>
        <v>02</v>
      </c>
      <c r="O8" t="str">
        <f>'SUB LIST'!Q25</f>
        <v>Unplanned maintenance events (number)</v>
      </c>
      <c r="P8" t="str">
        <f>'SUB LIST'!T25</f>
        <v>nr</v>
      </c>
      <c r="Q8">
        <f>'SUB LIST'!U25</f>
        <v>0</v>
      </c>
      <c r="R8">
        <f>'SUB LIST'!AS25</f>
        <v>3353</v>
      </c>
      <c r="AK8" t="str">
        <f>'SUB LIST'!A31</f>
        <v>PR14SBWWSW_B4</v>
      </c>
      <c r="AL8" t="str">
        <f>'SUB LIST'!P31</f>
        <v>05</v>
      </c>
      <c r="AM8" t="str">
        <f>'SUB LIST'!Q31</f>
        <v>Customer contacts - discolouration (number / 1,000 population)</v>
      </c>
      <c r="AN8" t="str">
        <f>'SUB LIST'!T31</f>
        <v>nr</v>
      </c>
      <c r="AO8">
        <f>'SUB LIST'!U31</f>
        <v>2</v>
      </c>
      <c r="AP8">
        <f>'SUB LIST'!AS31</f>
        <v>0.18</v>
      </c>
      <c r="BC8" t="str">
        <f>'SUB LIST'!A47</f>
        <v>PR14SRNWSW_1</v>
      </c>
      <c r="BD8" t="str">
        <f>'SUB LIST'!P47</f>
        <v>05</v>
      </c>
      <c r="BE8" t="str">
        <f>'SUB LIST'!Q47</f>
        <v>Turbidity compliance</v>
      </c>
      <c r="BF8" t="str">
        <f>'SUB LIST'!T47</f>
        <v>nr</v>
      </c>
      <c r="BG8">
        <f>'SUB LIST'!U47</f>
        <v>0</v>
      </c>
      <c r="BH8">
        <f>'SUB LIST'!AS47</f>
        <v>0</v>
      </c>
      <c r="BI8" t="str">
        <f>'SUB LIST'!A57</f>
        <v>PR14SSCWSW_2.2</v>
      </c>
      <c r="BJ8" t="str">
        <f>'SUB LIST'!P57</f>
        <v>05</v>
      </c>
      <c r="BK8" t="str">
        <f>'SUB LIST'!Q57</f>
        <v>TIM index non-compliance</v>
      </c>
      <c r="BL8" t="str">
        <f>'SUB LIST'!T57</f>
        <v>score</v>
      </c>
      <c r="BM8">
        <f>'SUB LIST'!U57</f>
        <v>2</v>
      </c>
      <c r="BN8">
        <f>'SUB LIST'!AS57</f>
        <v>0.106</v>
      </c>
      <c r="BO8" t="str">
        <f>'SUB LIST'!A69</f>
        <v>PR14SVTWSWW_S-C7</v>
      </c>
      <c r="BP8" t="str">
        <f>'SUB LIST'!P69</f>
        <v>00</v>
      </c>
      <c r="BQ8" t="str">
        <f>'SUB LIST'!Q69</f>
        <v>S-C7: Overall environmental performance (basket of environmental measures)</v>
      </c>
      <c r="BR8" t="str">
        <f>'SUB LIST'!T69</f>
        <v>nr</v>
      </c>
      <c r="BS8">
        <f>'SUB LIST'!U69</f>
        <v>0</v>
      </c>
      <c r="BT8" t="str">
        <f>'SUB LIST'!AS69</f>
        <v>Calculated in 2018-19</v>
      </c>
      <c r="BU8" t="str">
        <f>'SUB LIST'!A79</f>
        <v>PR14SWTWSW_W-A3</v>
      </c>
      <c r="BV8" t="str">
        <f>'SUB LIST'!P79</f>
        <v>05</v>
      </c>
      <c r="BW8" t="str">
        <f>'SUB LIST'!Q79</f>
        <v>Customer contacts - discolouration</v>
      </c>
      <c r="BX8" t="str">
        <f>'SUB LIST'!T79</f>
        <v>nr</v>
      </c>
      <c r="BY8">
        <f>'SUB LIST'!U79</f>
        <v>2</v>
      </c>
      <c r="BZ8">
        <f>'SUB LIST'!AS79</f>
        <v>2.34</v>
      </c>
      <c r="CA8" t="str">
        <f>'SUB LIST'!A103</f>
        <v>PR14TMSWSW_WB1</v>
      </c>
      <c r="CB8" t="str">
        <f>'SUB LIST'!P103</f>
        <v>05</v>
      </c>
      <c r="CC8" t="str">
        <f>'SUB LIST'!Q103</f>
        <v>Planned network rehabilitation (kilometres)</v>
      </c>
      <c r="CD8" t="str">
        <f>'SUB LIST'!T103</f>
        <v>nr</v>
      </c>
      <c r="CE8">
        <f>'SUB LIST'!U103</f>
        <v>2</v>
      </c>
      <c r="CF8">
        <f>'SUB LIST'!AS103</f>
        <v>66.454999999999998</v>
      </c>
      <c r="CG8" t="str">
        <f>'SUB LIST'!A127</f>
        <v>PR14UUWSW_A3</v>
      </c>
      <c r="CH8" t="str">
        <f>'SUB LIST'!P127</f>
        <v>05</v>
      </c>
      <c r="CI8" t="str">
        <f>'SUB LIST'!Q127</f>
        <v>Distribution Maintenance Index (%)</v>
      </c>
      <c r="CJ8" t="str">
        <f>'SUB LIST'!T127</f>
        <v>%</v>
      </c>
      <c r="CK8">
        <f>'SUB LIST'!U127</f>
        <v>2</v>
      </c>
      <c r="CL8">
        <f>'SUB LIST'!AS127</f>
        <v>99.89</v>
      </c>
      <c r="CM8" t="str">
        <f>'SUB LIST'!A167</f>
        <v>PR14WSHWSW_F1</v>
      </c>
      <c r="CN8" t="str">
        <f>'SUB LIST'!P167</f>
        <v>05</v>
      </c>
      <c r="CO8" t="str">
        <f>'SUB LIST'!Q167</f>
        <v>Customer contacts - discolouration  (nr / 1000 population)</v>
      </c>
      <c r="CP8" t="str">
        <f>'SUB LIST'!T167</f>
        <v>nr</v>
      </c>
      <c r="CQ8">
        <f>'SUB LIST'!U167</f>
        <v>2</v>
      </c>
      <c r="CR8">
        <f>'SUB LIST'!AS167</f>
        <v>2.19</v>
      </c>
      <c r="CY8" t="str">
        <f>'SUB LIST'!A189</f>
        <v>PR14YKYWSW_WA4</v>
      </c>
      <c r="CZ8" t="str">
        <f>'SUB LIST'!P189</f>
        <v>05</v>
      </c>
      <c r="DA8" t="str">
        <f>'SUB LIST'!Q189</f>
        <v>Reactive equipment failures</v>
      </c>
      <c r="DB8" t="str">
        <f>'SUB LIST'!T189</f>
        <v>nr</v>
      </c>
      <c r="DC8">
        <f>'SUB LIST'!U189</f>
        <v>0</v>
      </c>
      <c r="DD8">
        <f>'SUB LIST'!AS189</f>
        <v>3955</v>
      </c>
    </row>
    <row r="9" spans="1:108" x14ac:dyDescent="0.2">
      <c r="G9" t="str">
        <f>'SUB LIST'!A9</f>
        <v>PR14ANHWSW_W-H2</v>
      </c>
      <c r="H9" t="str">
        <f>'SUB LIST'!P9</f>
        <v>01</v>
      </c>
      <c r="I9" t="str">
        <f>'SUB LIST'!Q9</f>
        <v>WTW with coliforms detected</v>
      </c>
      <c r="J9">
        <f>'SUB LIST'!T9</f>
        <v>0</v>
      </c>
      <c r="K9">
        <f>'SUB LIST'!U9</f>
        <v>0</v>
      </c>
      <c r="L9">
        <f>'SUB LIST'!AS9</f>
        <v>8</v>
      </c>
      <c r="AK9" t="str">
        <f>'SUB LIST'!A32</f>
        <v>PR14SBWWSW_B4</v>
      </c>
      <c r="AL9" t="str">
        <f>'SUB LIST'!P32</f>
        <v>06</v>
      </c>
      <c r="AM9" t="str">
        <f>'SUB LIST'!Q32</f>
        <v>Water treatment works coliforms non-compliance (%)</v>
      </c>
      <c r="AN9" t="str">
        <f>'SUB LIST'!T32</f>
        <v>%</v>
      </c>
      <c r="AO9">
        <f>'SUB LIST'!U32</f>
        <v>2</v>
      </c>
      <c r="AP9">
        <f>'SUB LIST'!AS32</f>
        <v>0</v>
      </c>
      <c r="BC9" t="str">
        <f>'SUB LIST'!A48</f>
        <v>PR14SRNWSWW_1</v>
      </c>
      <c r="BD9" t="str">
        <f>'SUB LIST'!P48</f>
        <v>00</v>
      </c>
      <c r="BE9" t="str">
        <f>'SUB LIST'!Q48</f>
        <v>1: Wastewater asset health</v>
      </c>
      <c r="BF9" t="str">
        <f>'SUB LIST'!T48</f>
        <v>category</v>
      </c>
      <c r="BG9" t="str">
        <f>'SUB LIST'!U48</f>
        <v>na</v>
      </c>
      <c r="BH9" t="str">
        <f>'SUB LIST'!AS48</f>
        <v>Stable</v>
      </c>
      <c r="BI9" t="str">
        <f>'SUB LIST'!A58</f>
        <v>PR14SSCWSW_2.3</v>
      </c>
      <c r="BJ9" t="str">
        <f>'SUB LIST'!P58</f>
        <v>00</v>
      </c>
      <c r="BK9" t="str">
        <f>'SUB LIST'!Q58</f>
        <v>2.3: Serviceability non-infrastructure (combined company)</v>
      </c>
      <c r="BL9" t="str">
        <f>'SUB LIST'!T58</f>
        <v>category</v>
      </c>
      <c r="BM9" t="str">
        <f>'SUB LIST'!U58</f>
        <v>na</v>
      </c>
      <c r="BN9" t="str">
        <f>'SUB LIST'!AS58</f>
        <v>Stable</v>
      </c>
      <c r="BO9" t="str">
        <f>'SUB LIST'!A70</f>
        <v>PR14SVTWSWW_S-C7</v>
      </c>
      <c r="BP9" t="str">
        <f>'SUB LIST'!P70</f>
        <v>01</v>
      </c>
      <c r="BQ9" t="str">
        <f>'SUB LIST'!Q70</f>
        <v>Improvements in river water quality against WFD criteria</v>
      </c>
      <c r="BR9" t="str">
        <f>'SUB LIST'!T70</f>
        <v>nr</v>
      </c>
      <c r="BS9">
        <f>'SUB LIST'!U70</f>
        <v>0</v>
      </c>
      <c r="BT9" t="str">
        <f>'SUB LIST'!AS70</f>
        <v>N/A</v>
      </c>
      <c r="BU9" t="str">
        <f>'SUB LIST'!A80</f>
        <v>PR14SWTWSW_W-A3</v>
      </c>
      <c r="BV9" t="str">
        <f>'SUB LIST'!P80</f>
        <v>06</v>
      </c>
      <c r="BW9" t="str">
        <f>'SUB LIST'!Q80</f>
        <v>Distribution Index TIM (as 100-Mean Zonal Compliance)</v>
      </c>
      <c r="BX9" t="str">
        <f>'SUB LIST'!T80</f>
        <v>%</v>
      </c>
      <c r="BY9">
        <f>'SUB LIST'!U80</f>
        <v>2</v>
      </c>
      <c r="BZ9">
        <f>'SUB LIST'!AS80</f>
        <v>0.13</v>
      </c>
      <c r="CA9" t="str">
        <f>'SUB LIST'!A104</f>
        <v>PR14TMSWSW_WB1</v>
      </c>
      <c r="CB9" t="str">
        <f>'SUB LIST'!P104</f>
        <v>06</v>
      </c>
      <c r="CC9" t="str">
        <f>'SUB LIST'!Q104</f>
        <v>Customer complaints discolouration white water (nr per 1,000 population)</v>
      </c>
      <c r="CD9" t="str">
        <f>'SUB LIST'!T104</f>
        <v>nr</v>
      </c>
      <c r="CE9">
        <f>'SUB LIST'!U104</f>
        <v>2</v>
      </c>
      <c r="CF9">
        <f>'SUB LIST'!AS104</f>
        <v>0.20499999999999999</v>
      </c>
      <c r="CG9" t="str">
        <f>'SUB LIST'!A128</f>
        <v>PR14UUWSW_A3</v>
      </c>
      <c r="CH9" t="str">
        <f>'SUB LIST'!P128</f>
        <v>06</v>
      </c>
      <c r="CI9" t="str">
        <f>'SUB LIST'!Q128</f>
        <v>No. unwanted customer contacts for water quality (per year)</v>
      </c>
      <c r="CJ9" t="str">
        <f>'SUB LIST'!T128</f>
        <v>nr</v>
      </c>
      <c r="CK9">
        <f>'SUB LIST'!U128</f>
        <v>0</v>
      </c>
      <c r="CL9">
        <f>'SUB LIST'!AS128</f>
        <v>9171</v>
      </c>
      <c r="CM9" t="str">
        <f>'SUB LIST'!A168</f>
        <v>PR14WSHWSW_F1</v>
      </c>
      <c r="CN9" t="str">
        <f>'SUB LIST'!P168</f>
        <v>06</v>
      </c>
      <c r="CO9" t="str">
        <f>'SUB LIST'!Q168</f>
        <v>Distribution Index TIM (as 100-Mean Zonal Compliance) (%)</v>
      </c>
      <c r="CP9" t="str">
        <f>'SUB LIST'!T168</f>
        <v>%</v>
      </c>
      <c r="CQ9">
        <f>'SUB LIST'!U168</f>
        <v>2</v>
      </c>
      <c r="CR9">
        <f>'SUB LIST'!AS168</f>
        <v>99.81</v>
      </c>
      <c r="CY9" t="str">
        <f>'SUB LIST'!A190</f>
        <v>PR14YKYWSW_WB4</v>
      </c>
      <c r="CZ9" t="str">
        <f>'SUB LIST'!P190</f>
        <v>00</v>
      </c>
      <c r="DA9" t="str">
        <f>'SUB LIST'!Q190</f>
        <v>WB4: Water network stability and reliability factor</v>
      </c>
      <c r="DB9" t="str">
        <f>'SUB LIST'!T190</f>
        <v>category</v>
      </c>
      <c r="DC9" t="str">
        <f>'SUB LIST'!U190</f>
        <v>na</v>
      </c>
      <c r="DD9" t="str">
        <f>'SUB LIST'!AS190</f>
        <v>Stable</v>
      </c>
    </row>
    <row r="10" spans="1:108" x14ac:dyDescent="0.2">
      <c r="G10" t="str">
        <f>'SUB LIST'!A10</f>
        <v>PR14ANHWSW_W-H2</v>
      </c>
      <c r="H10" t="str">
        <f>'SUB LIST'!P10</f>
        <v>02</v>
      </c>
      <c r="I10" t="str">
        <f>'SUB LIST'!Q10</f>
        <v>Percentage (%) service reservoirs with &gt;5% coliforms</v>
      </c>
      <c r="J10" t="str">
        <f>'SUB LIST'!T10</f>
        <v>%</v>
      </c>
      <c r="K10">
        <f>'SUB LIST'!U10</f>
        <v>2</v>
      </c>
      <c r="L10">
        <f>'SUB LIST'!AS10</f>
        <v>0</v>
      </c>
      <c r="AK10" t="str">
        <f>'SUB LIST'!A33</f>
        <v>PR14SBWWSW_B4</v>
      </c>
      <c r="AL10" t="str">
        <f>'SUB LIST'!P33</f>
        <v>07</v>
      </c>
      <c r="AM10" t="str">
        <f>'SUB LIST'!Q33</f>
        <v>Service reservoir coliforms non-compliance (%)</v>
      </c>
      <c r="AN10" t="str">
        <f>'SUB LIST'!T33</f>
        <v>%</v>
      </c>
      <c r="AO10">
        <f>'SUB LIST'!U33</f>
        <v>2</v>
      </c>
      <c r="AP10">
        <f>'SUB LIST'!AS33</f>
        <v>0</v>
      </c>
      <c r="BC10" t="str">
        <f>'SUB LIST'!A49</f>
        <v>PR14SRNWSWW_1</v>
      </c>
      <c r="BD10" t="str">
        <f>'SUB LIST'!P49</f>
        <v>01</v>
      </c>
      <c r="BE10" t="str">
        <f>'SUB LIST'!Q49</f>
        <v>Sewer collapses</v>
      </c>
      <c r="BF10" t="str">
        <f>'SUB LIST'!T49</f>
        <v>nr</v>
      </c>
      <c r="BG10">
        <f>'SUB LIST'!U49</f>
        <v>0</v>
      </c>
      <c r="BH10">
        <f>'SUB LIST'!AS49</f>
        <v>67</v>
      </c>
      <c r="BI10" t="str">
        <f>'SUB LIST'!A59</f>
        <v>PR14SSCWSW_2.3</v>
      </c>
      <c r="BJ10" t="str">
        <f>'SUB LIST'!P59</f>
        <v>01</v>
      </c>
      <c r="BK10" t="str">
        <f>'SUB LIST'!Q59</f>
        <v>WTW coliform non-compliance</v>
      </c>
      <c r="BL10" t="str">
        <f>'SUB LIST'!T59</f>
        <v>%</v>
      </c>
      <c r="BM10">
        <f>'SUB LIST'!U59</f>
        <v>2</v>
      </c>
      <c r="BN10">
        <f>'SUB LIST'!AS59</f>
        <v>3.3000000000000002E-2</v>
      </c>
      <c r="BO10" t="str">
        <f>'SUB LIST'!A71</f>
        <v>PR14SVTWSWW_S-C7</v>
      </c>
      <c r="BP10" t="str">
        <f>'SUB LIST'!P71</f>
        <v>02</v>
      </c>
      <c r="BQ10" t="str">
        <f>'SUB LIST'!Q71</f>
        <v>Asset stewardship - environmental compliance</v>
      </c>
      <c r="BR10" t="str">
        <f>'SUB LIST'!T71</f>
        <v>nr</v>
      </c>
      <c r="BS10">
        <f>'SUB LIST'!U71</f>
        <v>0</v>
      </c>
      <c r="BT10" t="str">
        <f>'SUB LIST'!AS71</f>
        <v>N/A</v>
      </c>
      <c r="BU10" t="str">
        <f>'SUB LIST'!A81</f>
        <v>PR14SWTWSW_W-A4</v>
      </c>
      <c r="BV10" t="str">
        <f>'SUB LIST'!P81</f>
        <v>00</v>
      </c>
      <c r="BW10" t="str">
        <f>'SUB LIST'!Q81</f>
        <v>W-A4 Asset reliability (process)</v>
      </c>
      <c r="BX10" t="str">
        <f>'SUB LIST'!T81</f>
        <v>category</v>
      </c>
      <c r="BY10" t="str">
        <f>'SUB LIST'!U81</f>
        <v>na</v>
      </c>
      <c r="BZ10" t="str">
        <f>'SUB LIST'!AS81</f>
        <v>Stable</v>
      </c>
      <c r="CA10" t="str">
        <f>'SUB LIST'!A105</f>
        <v>PR14TMSWSW_WB2</v>
      </c>
      <c r="CB10" t="str">
        <f>'SUB LIST'!P105</f>
        <v>00</v>
      </c>
      <c r="CC10" t="str">
        <f>'SUB LIST'!Q105</f>
        <v>WB2: Asset health water non-infrastructure</v>
      </c>
      <c r="CD10" t="str">
        <f>'SUB LIST'!T105</f>
        <v>category</v>
      </c>
      <c r="CE10" t="str">
        <f>'SUB LIST'!U105</f>
        <v>na</v>
      </c>
      <c r="CF10" t="str">
        <f>'SUB LIST'!AS105</f>
        <v>Stable</v>
      </c>
      <c r="CG10" t="str">
        <f>'SUB LIST'!A129</f>
        <v>PR14UUWSW_B2</v>
      </c>
      <c r="CH10" t="str">
        <f>'SUB LIST'!P129</f>
        <v>00</v>
      </c>
      <c r="CI10" t="str">
        <f>'SUB LIST'!Q129</f>
        <v>B2: Reliable water service index</v>
      </c>
      <c r="CJ10" t="str">
        <f>'SUB LIST'!T129</f>
        <v>score</v>
      </c>
      <c r="CK10">
        <f>'SUB LIST'!U129</f>
        <v>3</v>
      </c>
      <c r="CL10">
        <f>'SUB LIST'!AS129</f>
        <v>16.446999999999999</v>
      </c>
      <c r="CM10" t="str">
        <f>'SUB LIST'!A169</f>
        <v>PR14WSHWSW_F1</v>
      </c>
      <c r="CN10" t="str">
        <f>'SUB LIST'!P169</f>
        <v>07</v>
      </c>
      <c r="CO10" t="str">
        <f>'SUB LIST'!Q169</f>
        <v>Water Treatment Works Coliforms non-compliance (%)</v>
      </c>
      <c r="CP10" t="str">
        <f>'SUB LIST'!T169</f>
        <v>%</v>
      </c>
      <c r="CQ10">
        <f>'SUB LIST'!U169</f>
        <v>2</v>
      </c>
      <c r="CR10">
        <f>'SUB LIST'!AS169</f>
        <v>0.02</v>
      </c>
      <c r="CY10" t="str">
        <f>'SUB LIST'!A191</f>
        <v>PR14YKYWSW_WB4</v>
      </c>
      <c r="CZ10" t="str">
        <f>'SUB LIST'!P191</f>
        <v>01</v>
      </c>
      <c r="DA10" t="str">
        <f>'SUB LIST'!Q191</f>
        <v>Total bursts</v>
      </c>
      <c r="DB10" t="str">
        <f>'SUB LIST'!T191</f>
        <v>nr</v>
      </c>
      <c r="DC10">
        <f>'SUB LIST'!U191</f>
        <v>0</v>
      </c>
      <c r="DD10">
        <f>'SUB LIST'!AS191</f>
        <v>5027</v>
      </c>
    </row>
    <row r="11" spans="1:108" x14ac:dyDescent="0.2">
      <c r="G11" t="str">
        <f>'SUB LIST'!A11</f>
        <v>PR14ANHWSW_W-H2</v>
      </c>
      <c r="H11" t="str">
        <f>'SUB LIST'!P11</f>
        <v>03</v>
      </c>
      <c r="I11" t="str">
        <f>'SUB LIST'!Q11</f>
        <v>WTW turbidity</v>
      </c>
      <c r="J11">
        <f>'SUB LIST'!T11</f>
        <v>0</v>
      </c>
      <c r="K11">
        <f>'SUB LIST'!U11</f>
        <v>0</v>
      </c>
      <c r="L11">
        <f>'SUB LIST'!AS11</f>
        <v>0</v>
      </c>
      <c r="AK11" t="str">
        <f>'SUB LIST'!A34</f>
        <v>PR14SBWWSW_B4</v>
      </c>
      <c r="AL11" t="str">
        <f>'SUB LIST'!P34</f>
        <v>08</v>
      </c>
      <c r="AM11" t="str">
        <f>'SUB LIST'!Q34</f>
        <v>Turbidity (number)</v>
      </c>
      <c r="AN11" t="str">
        <f>'SUB LIST'!T34</f>
        <v>nr</v>
      </c>
      <c r="AO11">
        <f>'SUB LIST'!U34</f>
        <v>0</v>
      </c>
      <c r="AP11">
        <f>'SUB LIST'!AS34</f>
        <v>0</v>
      </c>
      <c r="BC11" t="str">
        <f>'SUB LIST'!A50</f>
        <v>PR14SRNWSWW_1</v>
      </c>
      <c r="BD11" t="str">
        <f>'SUB LIST'!P50</f>
        <v>02</v>
      </c>
      <c r="BE11" t="str">
        <f>'SUB LIST'!Q50</f>
        <v>WwTW population equivalent compliance</v>
      </c>
      <c r="BF11" t="str">
        <f>'SUB LIST'!T50</f>
        <v>%</v>
      </c>
      <c r="BG11">
        <f>'SUB LIST'!U50</f>
        <v>1</v>
      </c>
      <c r="BH11">
        <f>'SUB LIST'!AS50</f>
        <v>100</v>
      </c>
      <c r="BI11" t="str">
        <f>'SUB LIST'!A60</f>
        <v>PR14SSCWSW_2.3</v>
      </c>
      <c r="BJ11" t="str">
        <f>'SUB LIST'!P60</f>
        <v>02</v>
      </c>
      <c r="BK11" t="str">
        <f>'SUB LIST'!Q60</f>
        <v>Service reservoir coliform non-compliance</v>
      </c>
      <c r="BL11" t="str">
        <f>'SUB LIST'!T60</f>
        <v>%</v>
      </c>
      <c r="BM11">
        <f>'SUB LIST'!U60</f>
        <v>2</v>
      </c>
      <c r="BN11">
        <f>'SUB LIST'!AS60</f>
        <v>0</v>
      </c>
      <c r="BO11" t="str">
        <f>'SUB LIST'!A72</f>
        <v>PR14SVTWSWW_S-C7</v>
      </c>
      <c r="BP11" t="str">
        <f>'SUB LIST'!P72</f>
        <v>03</v>
      </c>
      <c r="BQ11" t="str">
        <f>'SUB LIST'!Q72</f>
        <v>Total number of category 1, 2, and 3 pollution incidents</v>
      </c>
      <c r="BR11" t="str">
        <f>'SUB LIST'!T72</f>
        <v>nr</v>
      </c>
      <c r="BS11">
        <f>'SUB LIST'!U72</f>
        <v>0</v>
      </c>
      <c r="BT11" t="str">
        <f>'SUB LIST'!AS72</f>
        <v>N/A</v>
      </c>
      <c r="BU11" t="str">
        <f>'SUB LIST'!A82</f>
        <v>PR14SWTWSW_W-A4</v>
      </c>
      <c r="BV11" t="str">
        <f>'SUB LIST'!P82</f>
        <v>01</v>
      </c>
      <c r="BW11" t="str">
        <f>'SUB LIST'!Q82</f>
        <v>WTW coliforms non-compliance</v>
      </c>
      <c r="BX11" t="str">
        <f>'SUB LIST'!T82</f>
        <v>%</v>
      </c>
      <c r="BY11">
        <f>'SUB LIST'!U82</f>
        <v>2</v>
      </c>
      <c r="BZ11">
        <f>'SUB LIST'!AS82</f>
        <v>0.04</v>
      </c>
      <c r="CA11" t="str">
        <f>'SUB LIST'!A106</f>
        <v>PR14TMSWSW_WB2</v>
      </c>
      <c r="CB11" t="str">
        <f>'SUB LIST'!P106</f>
        <v>01</v>
      </c>
      <c r="CC11" t="str">
        <f>'SUB LIST'!Q106</f>
        <v>Disinfection index (DWI)</v>
      </c>
      <c r="CD11" t="str">
        <f>'SUB LIST'!T106</f>
        <v>%</v>
      </c>
      <c r="CE11">
        <f>'SUB LIST'!U106</f>
        <v>2</v>
      </c>
      <c r="CF11">
        <f>'SUB LIST'!AS106</f>
        <v>99.976799999999997</v>
      </c>
      <c r="CG11" t="str">
        <f>'SUB LIST'!A130</f>
        <v>PR14UUWSW_B2</v>
      </c>
      <c r="CH11" t="str">
        <f>'SUB LIST'!P130</f>
        <v>01</v>
      </c>
      <c r="CI11" t="str">
        <f>'SUB LIST'!Q130</f>
        <v>Total bursts (nr/annum)</v>
      </c>
      <c r="CJ11" t="str">
        <f>'SUB LIST'!T130</f>
        <v>nr</v>
      </c>
      <c r="CK11">
        <f>'SUB LIST'!U130</f>
        <v>0</v>
      </c>
      <c r="CL11">
        <f>'SUB LIST'!AS130</f>
        <v>4785</v>
      </c>
      <c r="CM11" t="str">
        <f>'SUB LIST'!A170</f>
        <v>PR14WSHWSW_F1</v>
      </c>
      <c r="CN11" t="str">
        <f>'SUB LIST'!P170</f>
        <v>08</v>
      </c>
      <c r="CO11" t="str">
        <f>'SUB LIST'!Q170</f>
        <v>Service Reservoir Coliforms non-compliance (%)</v>
      </c>
      <c r="CP11" t="str">
        <f>'SUB LIST'!T170</f>
        <v>%</v>
      </c>
      <c r="CQ11">
        <f>'SUB LIST'!U170</f>
        <v>2</v>
      </c>
      <c r="CR11">
        <f>'SUB LIST'!AS170</f>
        <v>0</v>
      </c>
      <c r="CY11" t="str">
        <f>'SUB LIST'!A192</f>
        <v>PR14YKYWSW_WB4</v>
      </c>
      <c r="CZ11" t="str">
        <f>'SUB LIST'!P192</f>
        <v>02</v>
      </c>
      <c r="DA11" t="str">
        <f>'SUB LIST'!Q192</f>
        <v>Interruptions &gt;12 hours</v>
      </c>
      <c r="DB11" t="str">
        <f>'SUB LIST'!T192</f>
        <v>nr</v>
      </c>
      <c r="DC11">
        <f>'SUB LIST'!U192</f>
        <v>0</v>
      </c>
      <c r="DD11">
        <f>'SUB LIST'!AS192</f>
        <v>3414</v>
      </c>
    </row>
    <row r="12" spans="1:108" x14ac:dyDescent="0.2">
      <c r="G12" t="str">
        <f>'SUB LIST'!A12</f>
        <v>PR14ANHWSWW_S-F1</v>
      </c>
      <c r="H12" t="str">
        <f>'SUB LIST'!P12</f>
        <v>00</v>
      </c>
      <c r="I12" t="str">
        <f>'SUB LIST'!Q12</f>
        <v>S-F1: Sewerage infrastructure</v>
      </c>
      <c r="J12" t="str">
        <f>'SUB LIST'!T12</f>
        <v>category</v>
      </c>
      <c r="K12" t="str">
        <f>'SUB LIST'!U12</f>
        <v>na</v>
      </c>
      <c r="L12" t="str">
        <f>'SUB LIST'!AS12</f>
        <v>Green</v>
      </c>
      <c r="AK12" t="str">
        <f>'SUB LIST'!A35</f>
        <v>PR14SBWWSW_B4</v>
      </c>
      <c r="AL12" t="str">
        <f>'SUB LIST'!P35</f>
        <v>09</v>
      </c>
      <c r="AM12" t="str">
        <f>'SUB LIST'!Q35</f>
        <v>Enforcement (incident number)</v>
      </c>
      <c r="AN12" t="str">
        <f>'SUB LIST'!T35</f>
        <v>nr</v>
      </c>
      <c r="AO12">
        <f>'SUB LIST'!U35</f>
        <v>0</v>
      </c>
      <c r="AP12">
        <f>'SUB LIST'!AS35</f>
        <v>0</v>
      </c>
      <c r="BC12" t="str">
        <f>'SUB LIST'!A51</f>
        <v>PR14SRNWSWW_1</v>
      </c>
      <c r="BD12" t="str">
        <f>'SUB LIST'!P51</f>
        <v>03</v>
      </c>
      <c r="BE12" t="str">
        <f>'SUB LIST'!Q51</f>
        <v>External flooding - other causes</v>
      </c>
      <c r="BF12" t="str">
        <f>'SUB LIST'!T51</f>
        <v>nr</v>
      </c>
      <c r="BG12">
        <f>'SUB LIST'!U51</f>
        <v>0</v>
      </c>
      <c r="BH12">
        <f>'SUB LIST'!AS51</f>
        <v>7428</v>
      </c>
      <c r="BI12" t="str">
        <f>'SUB LIST'!A61</f>
        <v>PR14SSCWSW_2.3</v>
      </c>
      <c r="BJ12" t="str">
        <f>'SUB LIST'!P61</f>
        <v>03</v>
      </c>
      <c r="BK12" t="str">
        <f>'SUB LIST'!Q61</f>
        <v>WTW turbidity non-compliance</v>
      </c>
      <c r="BL12" t="str">
        <f>'SUB LIST'!T61</f>
        <v>nr</v>
      </c>
      <c r="BM12">
        <f>'SUB LIST'!U61</f>
        <v>0</v>
      </c>
      <c r="BN12">
        <f>'SUB LIST'!AS61</f>
        <v>0</v>
      </c>
      <c r="BO12" t="str">
        <f>'SUB LIST'!A73</f>
        <v>PR14SVTWSWW_S-C7</v>
      </c>
      <c r="BP12" t="str">
        <f>'SUB LIST'!P73</f>
        <v>04</v>
      </c>
      <c r="BQ12" t="str">
        <f>'SUB LIST'!Q73</f>
        <v>Biodiversity improvements</v>
      </c>
      <c r="BR12" t="str">
        <f>'SUB LIST'!T73</f>
        <v>nr</v>
      </c>
      <c r="BS12">
        <f>'SUB LIST'!U73</f>
        <v>0</v>
      </c>
      <c r="BT12" t="str">
        <f>'SUB LIST'!AS73</f>
        <v>N/A</v>
      </c>
      <c r="BU12" t="str">
        <f>'SUB LIST'!A83</f>
        <v>PR14SWTWSW_W-A4</v>
      </c>
      <c r="BV12" t="str">
        <f>'SUB LIST'!P83</f>
        <v>02</v>
      </c>
      <c r="BW12" t="str">
        <f>'SUB LIST'!Q83</f>
        <v>Service reservoir coliforms non-compliance</v>
      </c>
      <c r="BX12" t="str">
        <f>'SUB LIST'!T83</f>
        <v>%</v>
      </c>
      <c r="BY12">
        <f>'SUB LIST'!U83</f>
        <v>2</v>
      </c>
      <c r="BZ12">
        <f>'SUB LIST'!AS83</f>
        <v>0</v>
      </c>
      <c r="CA12" t="str">
        <f>'SUB LIST'!A107</f>
        <v>PR14TMSWSW_WB2</v>
      </c>
      <c r="CB12" t="str">
        <f>'SUB LIST'!P107</f>
        <v>02</v>
      </c>
      <c r="CC12" t="str">
        <f>'SUB LIST'!Q107</f>
        <v>Reservoir integrity index</v>
      </c>
      <c r="CD12" t="str">
        <f>'SUB LIST'!T107</f>
        <v>%</v>
      </c>
      <c r="CE12">
        <f>'SUB LIST'!U107</f>
        <v>2</v>
      </c>
      <c r="CF12">
        <f>'SUB LIST'!AS107</f>
        <v>0</v>
      </c>
      <c r="CG12" t="str">
        <f>'SUB LIST'!A131</f>
        <v>PR14UUWSW_B2</v>
      </c>
      <c r="CH12" t="str">
        <f>'SUB LIST'!P131</f>
        <v>02</v>
      </c>
      <c r="CI12" t="str">
        <f>'SUB LIST'!Q131</f>
        <v>Interruptions &gt;12hours (nr of properties/total nr of properties)</v>
      </c>
      <c r="CJ12" t="str">
        <f>'SUB LIST'!T131</f>
        <v>nr</v>
      </c>
      <c r="CK12">
        <f>'SUB LIST'!U131</f>
        <v>0</v>
      </c>
      <c r="CL12">
        <f>'SUB LIST'!AS131</f>
        <v>11431</v>
      </c>
      <c r="CM12" t="str">
        <f>'SUB LIST'!A171</f>
        <v>PR14WSHWSW_F1</v>
      </c>
      <c r="CN12" t="str">
        <f>'SUB LIST'!P171</f>
        <v>09</v>
      </c>
      <c r="CO12" t="str">
        <f>'SUB LIST'!Q171</f>
        <v>Turbidity (nr)</v>
      </c>
      <c r="CP12" t="str">
        <f>'SUB LIST'!T171</f>
        <v>nr</v>
      </c>
      <c r="CQ12">
        <f>'SUB LIST'!U171</f>
        <v>0</v>
      </c>
      <c r="CR12">
        <f>'SUB LIST'!AS171</f>
        <v>0</v>
      </c>
      <c r="CY12" t="str">
        <f>'SUB LIST'!A193</f>
        <v>PR14YKYWSW_WB4</v>
      </c>
      <c r="CZ12" t="str">
        <f>'SUB LIST'!P193</f>
        <v>03</v>
      </c>
      <c r="DA12" t="str">
        <f>'SUB LIST'!Q193</f>
        <v>DG2 low pressure</v>
      </c>
      <c r="DB12" t="str">
        <f>'SUB LIST'!T193</f>
        <v>nr</v>
      </c>
      <c r="DC12">
        <f>'SUB LIST'!U193</f>
        <v>0</v>
      </c>
      <c r="DD12">
        <f>'SUB LIST'!AS193</f>
        <v>11</v>
      </c>
    </row>
    <row r="13" spans="1:108" x14ac:dyDescent="0.2">
      <c r="G13" t="str">
        <f>'SUB LIST'!A13</f>
        <v>PR14ANHWSWW_S-F1</v>
      </c>
      <c r="H13" t="str">
        <f>'SUB LIST'!P13</f>
        <v>01</v>
      </c>
      <c r="I13" t="str">
        <f>'SUB LIST'!Q13</f>
        <v>Pollution incidents</v>
      </c>
      <c r="J13" t="str">
        <f>'SUB LIST'!T13</f>
        <v>nr</v>
      </c>
      <c r="K13">
        <f>'SUB LIST'!U13</f>
        <v>0</v>
      </c>
      <c r="L13">
        <f>'SUB LIST'!AS13</f>
        <v>81</v>
      </c>
      <c r="AK13" t="str">
        <f>'SUB LIST'!A36</f>
        <v>PR14SBWWSW_B4</v>
      </c>
      <c r="AL13" t="str">
        <f>'SUB LIST'!P36</f>
        <v>10</v>
      </c>
      <c r="AM13" t="str">
        <f>'SUB LIST'!Q36</f>
        <v>Unplanned maintenance (number)</v>
      </c>
      <c r="AN13" t="str">
        <f>'SUB LIST'!T36</f>
        <v>nr</v>
      </c>
      <c r="AO13">
        <f>'SUB LIST'!U36</f>
        <v>0</v>
      </c>
      <c r="AP13">
        <f>'SUB LIST'!AS36</f>
        <v>230</v>
      </c>
      <c r="BI13" t="str">
        <f>'SUB LIST'!A62</f>
        <v>PR14SSCWSW_2.3</v>
      </c>
      <c r="BJ13" t="str">
        <f>'SUB LIST'!P62</f>
        <v>04</v>
      </c>
      <c r="BK13" t="str">
        <f>'SUB LIST'!Q62</f>
        <v>DWI enforcement actions</v>
      </c>
      <c r="BL13" t="str">
        <f>'SUB LIST'!T62</f>
        <v>nr</v>
      </c>
      <c r="BM13">
        <f>'SUB LIST'!U62</f>
        <v>0</v>
      </c>
      <c r="BN13">
        <f>'SUB LIST'!AS62</f>
        <v>2</v>
      </c>
      <c r="BU13" t="str">
        <f>'SUB LIST'!A84</f>
        <v>PR14SWTWSW_W-A4</v>
      </c>
      <c r="BV13" t="str">
        <f>'SUB LIST'!P84</f>
        <v>03</v>
      </c>
      <c r="BW13" t="str">
        <f>'SUB LIST'!Q84</f>
        <v>Turbidity non-compliance</v>
      </c>
      <c r="BX13" t="str">
        <f>'SUB LIST'!T84</f>
        <v>nr</v>
      </c>
      <c r="BY13">
        <f>'SUB LIST'!U84</f>
        <v>0</v>
      </c>
      <c r="BZ13">
        <f>'SUB LIST'!AS84</f>
        <v>0</v>
      </c>
      <c r="CA13" t="str">
        <f>'SUB LIST'!A108</f>
        <v>PR14TMSWSW_WB2</v>
      </c>
      <c r="CB13" t="str">
        <f>'SUB LIST'!P108</f>
        <v>03</v>
      </c>
      <c r="CC13" t="str">
        <f>'SUB LIST'!Q108</f>
        <v>DWQ compliance measures - turbidity (number of sites)</v>
      </c>
      <c r="CD13" t="str">
        <f>'SUB LIST'!T108</f>
        <v>nr</v>
      </c>
      <c r="CE13">
        <f>'SUB LIST'!U108</f>
        <v>0</v>
      </c>
      <c r="CF13">
        <f>'SUB LIST'!AS108</f>
        <v>0</v>
      </c>
      <c r="CG13" t="str">
        <f>'SUB LIST'!A132</f>
        <v>PR14UUWSW_B2</v>
      </c>
      <c r="CH13" t="str">
        <f>'SUB LIST'!P132</f>
        <v>03</v>
      </c>
      <c r="CI13" t="str">
        <f>'SUB LIST'!Q132</f>
        <v>Pressure (nr of properties on DG2 register/ total number of properties)</v>
      </c>
      <c r="CJ13" t="str">
        <f>'SUB LIST'!T132</f>
        <v>nr</v>
      </c>
      <c r="CK13">
        <f>'SUB LIST'!U132</f>
        <v>0</v>
      </c>
      <c r="CL13">
        <f>'SUB LIST'!AS132</f>
        <v>262</v>
      </c>
      <c r="CM13" t="str">
        <f>'SUB LIST'!A172</f>
        <v>PR14WSHWSW_F1</v>
      </c>
      <c r="CN13" t="str">
        <f>'SUB LIST'!P172</f>
        <v>10</v>
      </c>
      <c r="CO13" t="str">
        <f>'SUB LIST'!Q172</f>
        <v>Enforcement (incidents number)</v>
      </c>
      <c r="CP13" t="str">
        <f>'SUB LIST'!T172</f>
        <v>nr</v>
      </c>
      <c r="CQ13">
        <f>'SUB LIST'!U172</f>
        <v>0</v>
      </c>
      <c r="CR13">
        <f>'SUB LIST'!AS172</f>
        <v>0</v>
      </c>
      <c r="CY13" t="str">
        <f>'SUB LIST'!A194</f>
        <v>PR14YKYWSW_WB4</v>
      </c>
      <c r="CZ13" t="str">
        <f>'SUB LIST'!P194</f>
        <v>04</v>
      </c>
      <c r="DA13" t="str">
        <f>'SUB LIST'!Q194</f>
        <v>Customer contacts for discolouration (nr per 1,000 population)</v>
      </c>
      <c r="DB13" t="str">
        <f>'SUB LIST'!T194</f>
        <v>nr</v>
      </c>
      <c r="DC13">
        <f>'SUB LIST'!U194</f>
        <v>3</v>
      </c>
      <c r="DD13">
        <f>'SUB LIST'!AS194</f>
        <v>1.0329999999999999</v>
      </c>
    </row>
    <row r="14" spans="1:108" x14ac:dyDescent="0.2">
      <c r="G14" t="str">
        <f>'SUB LIST'!A14</f>
        <v>PR14ANHWSWW_S-F1</v>
      </c>
      <c r="H14" t="str">
        <f>'SUB LIST'!P14</f>
        <v>02</v>
      </c>
      <c r="I14" t="str">
        <f>'SUB LIST'!Q14</f>
        <v>Sewer collapses</v>
      </c>
      <c r="J14" t="str">
        <f>'SUB LIST'!T14</f>
        <v>nr</v>
      </c>
      <c r="K14">
        <f>'SUB LIST'!U14</f>
        <v>0</v>
      </c>
      <c r="L14">
        <f>'SUB LIST'!AS14</f>
        <v>247</v>
      </c>
      <c r="BI14" t="str">
        <f>'SUB LIST'!A63</f>
        <v>PR14SSCWSW_2.3</v>
      </c>
      <c r="BJ14" t="str">
        <f>'SUB LIST'!P63</f>
        <v>05</v>
      </c>
      <c r="BK14" t="str">
        <f>'SUB LIST'!Q63</f>
        <v>Unplanned maintenance work orders</v>
      </c>
      <c r="BL14" t="str">
        <f>'SUB LIST'!T63</f>
        <v>nr</v>
      </c>
      <c r="BM14">
        <f>'SUB LIST'!U63</f>
        <v>0</v>
      </c>
      <c r="BN14">
        <f>'SUB LIST'!AS63</f>
        <v>3996</v>
      </c>
      <c r="BU14" t="str">
        <f>'SUB LIST'!A85</f>
        <v>PR14SWTWSW_W-A4</v>
      </c>
      <c r="BV14" t="str">
        <f>'SUB LIST'!P85</f>
        <v>04</v>
      </c>
      <c r="BW14" t="str">
        <f>'SUB LIST'!Q85</f>
        <v>Enforcement incidents</v>
      </c>
      <c r="BX14" t="str">
        <f>'SUB LIST'!T85</f>
        <v>nr</v>
      </c>
      <c r="BY14">
        <f>'SUB LIST'!U85</f>
        <v>0</v>
      </c>
      <c r="BZ14">
        <f>'SUB LIST'!AS85</f>
        <v>0</v>
      </c>
      <c r="CA14" t="str">
        <f>'SUB LIST'!A109</f>
        <v>PR14TMSWSW_WB2</v>
      </c>
      <c r="CB14" t="str">
        <f>'SUB LIST'!P109</f>
        <v>04</v>
      </c>
      <c r="CC14" t="str">
        <f>'SUB LIST'!Q109</f>
        <v>Process control index</v>
      </c>
      <c r="CD14" t="str">
        <f>'SUB LIST'!T109</f>
        <v>%</v>
      </c>
      <c r="CE14">
        <f>'SUB LIST'!U109</f>
        <v>2</v>
      </c>
      <c r="CF14">
        <f>'SUB LIST'!AS109</f>
        <v>99.995699999999999</v>
      </c>
      <c r="CG14" t="str">
        <f>'SUB LIST'!A133</f>
        <v>PR14UUWSW_B2</v>
      </c>
      <c r="CH14" t="str">
        <f>'SUB LIST'!P133</f>
        <v>04</v>
      </c>
      <c r="CI14" t="str">
        <f>'SUB LIST'!Q133</f>
        <v>Customer contacts for water availability (contacts/annum)</v>
      </c>
      <c r="CJ14" t="str">
        <f>'SUB LIST'!T133</f>
        <v>nr</v>
      </c>
      <c r="CK14">
        <f>'SUB LIST'!U133</f>
        <v>0</v>
      </c>
      <c r="CL14">
        <f>'SUB LIST'!AS133</f>
        <v>47011</v>
      </c>
      <c r="CM14" t="str">
        <f>'SUB LIST'!A173</f>
        <v>PR14WSHWSW_F1</v>
      </c>
      <c r="CN14" t="str">
        <f>'SUB LIST'!P173</f>
        <v>11</v>
      </c>
      <c r="CO14" t="str">
        <f>'SUB LIST'!Q173</f>
        <v>Unplanned maintenance (nr)</v>
      </c>
      <c r="CP14" t="str">
        <f>'SUB LIST'!T173</f>
        <v>nr</v>
      </c>
      <c r="CQ14">
        <f>'SUB LIST'!U173</f>
        <v>0</v>
      </c>
      <c r="CR14">
        <f>'SUB LIST'!AS173</f>
        <v>4569</v>
      </c>
      <c r="CY14" t="str">
        <f>'SUB LIST'!A195</f>
        <v>PR14YKYWSW_WB4</v>
      </c>
      <c r="CZ14" t="str">
        <f>'SUB LIST'!P195</f>
        <v>05</v>
      </c>
      <c r="DA14" t="str">
        <f>'SUB LIST'!Q195</f>
        <v>Distribution index TIM (100 - mean zonal compliance)</v>
      </c>
      <c r="DB14" t="str">
        <f>'SUB LIST'!T195</f>
        <v>%</v>
      </c>
      <c r="DC14">
        <f>'SUB LIST'!U195</f>
        <v>3</v>
      </c>
      <c r="DD14">
        <f>'SUB LIST'!AS195</f>
        <v>0.14199999999999999</v>
      </c>
    </row>
    <row r="15" spans="1:108" x14ac:dyDescent="0.2">
      <c r="G15" t="str">
        <f>'SUB LIST'!A15</f>
        <v>PR14ANHWSWW_S-F1</v>
      </c>
      <c r="H15" t="str">
        <f>'SUB LIST'!P15</f>
        <v>03</v>
      </c>
      <c r="I15" t="str">
        <f>'SUB LIST'!Q15</f>
        <v>Internal flooding (overloaded + other causes)</v>
      </c>
      <c r="J15" t="str">
        <f>'SUB LIST'!T15</f>
        <v>nr</v>
      </c>
      <c r="K15">
        <f>'SUB LIST'!U15</f>
        <v>0</v>
      </c>
      <c r="L15">
        <f>'SUB LIST'!AS15</f>
        <v>220</v>
      </c>
      <c r="BU15" t="str">
        <f>'SUB LIST'!A86</f>
        <v>PR14SWTWSW_W-A4</v>
      </c>
      <c r="BV15" t="str">
        <f>'SUB LIST'!P86</f>
        <v>05</v>
      </c>
      <c r="BW15" t="str">
        <f>'SUB LIST'!Q86</f>
        <v>Unplanned maintenance</v>
      </c>
      <c r="BX15" t="str">
        <f>'SUB LIST'!T86</f>
        <v>nr</v>
      </c>
      <c r="BY15">
        <f>'SUB LIST'!U86</f>
        <v>0</v>
      </c>
      <c r="BZ15">
        <f>'SUB LIST'!AS86</f>
        <v>3010</v>
      </c>
      <c r="CA15" t="str">
        <f>'SUB LIST'!A110</f>
        <v>PR14TMSWSW_WB2</v>
      </c>
      <c r="CB15" t="str">
        <f>'SUB LIST'!P110</f>
        <v>05</v>
      </c>
      <c r="CC15" t="str">
        <f>'SUB LIST'!Q110</f>
        <v>DWQ compliance measures - enforcement actions</v>
      </c>
      <c r="CD15" t="str">
        <f>'SUB LIST'!T110</f>
        <v>nr</v>
      </c>
      <c r="CE15">
        <f>'SUB LIST'!U110</f>
        <v>0</v>
      </c>
      <c r="CF15">
        <f>'SUB LIST'!AS110</f>
        <v>0</v>
      </c>
      <c r="CG15" t="str">
        <f>'SUB LIST'!A134</f>
        <v>PR14UUWSWW_S-A1</v>
      </c>
      <c r="CH15" t="str">
        <f>'SUB LIST'!P134</f>
        <v>00</v>
      </c>
      <c r="CI15" t="str">
        <f>'SUB LIST'!Q134</f>
        <v>S-A1: Private sewers service index</v>
      </c>
      <c r="CJ15" t="str">
        <f>'SUB LIST'!T134</f>
        <v>score</v>
      </c>
      <c r="CK15">
        <f>'SUB LIST'!U134</f>
        <v>2</v>
      </c>
      <c r="CL15">
        <f>'SUB LIST'!AS134</f>
        <v>91.69</v>
      </c>
      <c r="CM15" t="str">
        <f>'SUB LIST'!A174</f>
        <v>PR14WSHWSWW_F1</v>
      </c>
      <c r="CN15" t="str">
        <f>'SUB LIST'!P174</f>
        <v>00</v>
      </c>
      <c r="CO15" t="str">
        <f>'SUB LIST'!Q174</f>
        <v>F1: Asset serviceability</v>
      </c>
      <c r="CP15" t="str">
        <f>'SUB LIST'!T174</f>
        <v>category</v>
      </c>
      <c r="CQ15" t="str">
        <f>'SUB LIST'!U174</f>
        <v>na</v>
      </c>
      <c r="CR15" t="str">
        <f>'SUB LIST'!AS174</f>
        <v>Stable</v>
      </c>
      <c r="CY15" t="str">
        <f>'SUB LIST'!A196</f>
        <v>PR14YKYWSW_WB4</v>
      </c>
      <c r="CZ15" t="str">
        <f>'SUB LIST'!P196</f>
        <v>06</v>
      </c>
      <c r="DA15" t="str">
        <f>'SUB LIST'!Q196</f>
        <v>Reactive equipment failures</v>
      </c>
      <c r="DB15" t="str">
        <f>'SUB LIST'!T196</f>
        <v>nr</v>
      </c>
      <c r="DC15">
        <f>'SUB LIST'!U196</f>
        <v>0</v>
      </c>
      <c r="DD15">
        <f>'SUB LIST'!AS196</f>
        <v>1339</v>
      </c>
    </row>
    <row r="16" spans="1:108" x14ac:dyDescent="0.2">
      <c r="G16" t="str">
        <f>'SUB LIST'!A16</f>
        <v>PR14ANHWSWW_S-F1</v>
      </c>
      <c r="H16" t="str">
        <f>'SUB LIST'!P16</f>
        <v>04</v>
      </c>
      <c r="I16" t="str">
        <f>'SUB LIST'!Q16</f>
        <v>Sewer blockages</v>
      </c>
      <c r="J16" t="str">
        <f>'SUB LIST'!T16</f>
        <v>nr</v>
      </c>
      <c r="K16">
        <f>'SUB LIST'!U16</f>
        <v>0</v>
      </c>
      <c r="L16">
        <f>'SUB LIST'!AS16</f>
        <v>11885</v>
      </c>
      <c r="BU16" t="str">
        <f>'SUB LIST'!A87</f>
        <v>PR14SWTWSWW_S-A4</v>
      </c>
      <c r="BV16" t="str">
        <f>'SUB LIST'!P87</f>
        <v>00</v>
      </c>
      <c r="BW16" t="str">
        <f>'SUB LIST'!Q87</f>
        <v>S-A4 Asset reliability (pipes)</v>
      </c>
      <c r="BX16" t="str">
        <f>'SUB LIST'!T87</f>
        <v>category</v>
      </c>
      <c r="BY16" t="str">
        <f>'SUB LIST'!U87</f>
        <v>na</v>
      </c>
      <c r="BZ16" t="str">
        <f>'SUB LIST'!AS87</f>
        <v>Stable</v>
      </c>
      <c r="CA16" t="str">
        <f>'SUB LIST'!A111</f>
        <v>PR14TMSWSW_WB2</v>
      </c>
      <c r="CB16" t="str">
        <f>'SUB LIST'!P111</f>
        <v>06</v>
      </c>
      <c r="CC16" t="str">
        <f>'SUB LIST'!Q111</f>
        <v>Water quality complaints for chlorine (nr per 1,000 population)</v>
      </c>
      <c r="CD16" t="str">
        <f>'SUB LIST'!T111</f>
        <v>nr</v>
      </c>
      <c r="CE16">
        <f>'SUB LIST'!U111</f>
        <v>2</v>
      </c>
      <c r="CF16">
        <f>'SUB LIST'!AS111</f>
        <v>8.2000000000000003E-2</v>
      </c>
      <c r="CG16" t="str">
        <f>'SUB LIST'!A135</f>
        <v>PR14UUWSWW_S-A1</v>
      </c>
      <c r="CH16" t="str">
        <f>'SUB LIST'!P135</f>
        <v>01</v>
      </c>
      <c r="CI16" t="str">
        <f>'SUB LIST'!Q135</f>
        <v>Blockages</v>
      </c>
      <c r="CJ16" t="str">
        <f>'SUB LIST'!T135</f>
        <v>nr</v>
      </c>
      <c r="CK16">
        <f>'SUB LIST'!U135</f>
        <v>0</v>
      </c>
      <c r="CL16">
        <f>'SUB LIST'!AS135</f>
        <v>13906</v>
      </c>
      <c r="CM16" t="str">
        <f>'SUB LIST'!A175</f>
        <v>PR14WSHWSWW_F1</v>
      </c>
      <c r="CN16" t="str">
        <f>'SUB LIST'!P175</f>
        <v>01</v>
      </c>
      <c r="CO16" t="str">
        <f>'SUB LIST'!Q175</f>
        <v>Sewer collapses (nr)</v>
      </c>
      <c r="CP16" t="str">
        <f>'SUB LIST'!T175</f>
        <v>nr</v>
      </c>
      <c r="CQ16">
        <f>'SUB LIST'!U175</f>
        <v>0</v>
      </c>
      <c r="CR16">
        <f>'SUB LIST'!AS175</f>
        <v>862</v>
      </c>
      <c r="CY16" t="str">
        <f>'SUB LIST'!A197</f>
        <v>PR14YKYWSWW_SA4</v>
      </c>
      <c r="CZ16" t="str">
        <f>'SUB LIST'!P197</f>
        <v>00</v>
      </c>
      <c r="DA16" t="str">
        <f>'SUB LIST'!Q197</f>
        <v>SA4: Sewer network stability and reliability factor</v>
      </c>
      <c r="DB16" t="str">
        <f>'SUB LIST'!T197</f>
        <v>category</v>
      </c>
      <c r="DC16" t="str">
        <f>'SUB LIST'!U197</f>
        <v>na</v>
      </c>
      <c r="DD16" t="str">
        <f>'SUB LIST'!AS197</f>
        <v>Stable</v>
      </c>
    </row>
    <row r="17" spans="7:108" x14ac:dyDescent="0.2">
      <c r="G17" t="str">
        <f>'SUB LIST'!A17</f>
        <v>PR14ANHWSWW_S-F2</v>
      </c>
      <c r="H17" t="str">
        <f>'SUB LIST'!P17</f>
        <v>00</v>
      </c>
      <c r="I17" t="str">
        <f>'SUB LIST'!Q17</f>
        <v>S-F2: Sewerage non-infrastructure</v>
      </c>
      <c r="J17" t="str">
        <f>'SUB LIST'!T17</f>
        <v>category</v>
      </c>
      <c r="K17" t="str">
        <f>'SUB LIST'!U17</f>
        <v>na</v>
      </c>
      <c r="L17" t="str">
        <f>'SUB LIST'!AS17</f>
        <v>Green</v>
      </c>
      <c r="BU17" t="str">
        <f>'SUB LIST'!A88</f>
        <v>PR14SWTWSWW_S-A4</v>
      </c>
      <c r="BV17" t="str">
        <f>'SUB LIST'!P88</f>
        <v>01</v>
      </c>
      <c r="BW17" t="str">
        <f>'SUB LIST'!Q88</f>
        <v>Sewer collapses</v>
      </c>
      <c r="BX17" t="str">
        <f>'SUB LIST'!T88</f>
        <v>nr</v>
      </c>
      <c r="BY17">
        <f>'SUB LIST'!U88</f>
        <v>0</v>
      </c>
      <c r="BZ17">
        <f>'SUB LIST'!AS88</f>
        <v>161</v>
      </c>
      <c r="CA17" t="str">
        <f>'SUB LIST'!A112</f>
        <v>PR14TMSWSW_WB2</v>
      </c>
      <c r="CB17" t="str">
        <f>'SUB LIST'!P112</f>
        <v>07</v>
      </c>
      <c r="CC17" t="str">
        <f>'SUB LIST'!Q112</f>
        <v>Water quality complaints for hardness (nr per 1,000 population)</v>
      </c>
      <c r="CD17" t="str">
        <f>'SUB LIST'!T112</f>
        <v>nr</v>
      </c>
      <c r="CE17" t="str">
        <f>'SUB LIST'!U112</f>
        <v>na</v>
      </c>
      <c r="CF17">
        <f>'SUB LIST'!AS112</f>
        <v>4.0000000000000001E-3</v>
      </c>
      <c r="CG17" t="str">
        <f>'SUB LIST'!A136</f>
        <v>PR14UUWSWW_S-A1</v>
      </c>
      <c r="CH17" t="str">
        <f>'SUB LIST'!P136</f>
        <v>02</v>
      </c>
      <c r="CI17" t="str">
        <f>'SUB LIST'!Q136</f>
        <v>Collapses</v>
      </c>
      <c r="CJ17" t="str">
        <f>'SUB LIST'!T136</f>
        <v>nr</v>
      </c>
      <c r="CK17">
        <f>'SUB LIST'!U136</f>
        <v>0</v>
      </c>
      <c r="CL17">
        <f>'SUB LIST'!AS136</f>
        <v>361</v>
      </c>
      <c r="CM17" t="str">
        <f>'SUB LIST'!A176</f>
        <v>PR14WSHWSWW_F1</v>
      </c>
      <c r="CN17" t="str">
        <f>'SUB LIST'!P176</f>
        <v>02</v>
      </c>
      <c r="CO17" t="str">
        <f>'SUB LIST'!Q176</f>
        <v>Pollution incidents category 1, 2 &amp; 3 (CSO+RM+FS) (nr)</v>
      </c>
      <c r="CP17" t="str">
        <f>'SUB LIST'!T176</f>
        <v>nr</v>
      </c>
      <c r="CQ17">
        <f>'SUB LIST'!U176</f>
        <v>0</v>
      </c>
      <c r="CR17">
        <f>'SUB LIST'!AS176</f>
        <v>88</v>
      </c>
      <c r="CY17" t="str">
        <f>'SUB LIST'!A198</f>
        <v>PR14YKYWSWW_SA4</v>
      </c>
      <c r="CZ17" t="str">
        <f>'SUB LIST'!P198</f>
        <v>01</v>
      </c>
      <c r="DA17" t="str">
        <f>'SUB LIST'!Q198</f>
        <v>Sewer collapses</v>
      </c>
      <c r="DB17" t="str">
        <f>'SUB LIST'!T198</f>
        <v>nr</v>
      </c>
      <c r="DC17">
        <f>'SUB LIST'!U198</f>
        <v>0</v>
      </c>
      <c r="DD17">
        <f>'SUB LIST'!AS198</f>
        <v>261</v>
      </c>
    </row>
    <row r="18" spans="7:108" x14ac:dyDescent="0.2">
      <c r="G18" t="str">
        <f>'SUB LIST'!A18</f>
        <v>PR14ANHWSWW_S-F2</v>
      </c>
      <c r="H18" t="str">
        <f>'SUB LIST'!P18</f>
        <v>01</v>
      </c>
      <c r="I18" t="str">
        <f>'SUB LIST'!Q18</f>
        <v>Population equivalent (PE) WwTW in breach of consent</v>
      </c>
      <c r="J18" t="str">
        <f>'SUB LIST'!T18</f>
        <v>%</v>
      </c>
      <c r="K18">
        <f>'SUB LIST'!U18</f>
        <v>2</v>
      </c>
      <c r="L18">
        <f>'SUB LIST'!AS18</f>
        <v>0</v>
      </c>
      <c r="BU18" t="str">
        <f>'SUB LIST'!A89</f>
        <v>PR14SWTWSWW_S-A4</v>
      </c>
      <c r="BV18" t="str">
        <f>'SUB LIST'!P89</f>
        <v>02</v>
      </c>
      <c r="BW18" t="str">
        <f>'SUB LIST'!Q89</f>
        <v>Pollution incidents (CSO + RM + FS)</v>
      </c>
      <c r="BX18" t="str">
        <f>'SUB LIST'!T89</f>
        <v>nr</v>
      </c>
      <c r="BY18">
        <f>'SUB LIST'!U89</f>
        <v>0</v>
      </c>
      <c r="BZ18">
        <f>'SUB LIST'!AS89</f>
        <v>97</v>
      </c>
      <c r="CA18" t="str">
        <f>'SUB LIST'!A113</f>
        <v>PR14TMSWSWW_SB1</v>
      </c>
      <c r="CB18" t="str">
        <f>'SUB LIST'!P113</f>
        <v>00</v>
      </c>
      <c r="CC18" t="str">
        <f>'SUB LIST'!Q113</f>
        <v>SB1: Asset health wastewater non-infrastructure</v>
      </c>
      <c r="CD18" t="str">
        <f>'SUB LIST'!T113</f>
        <v>category</v>
      </c>
      <c r="CE18" t="str">
        <f>'SUB LIST'!U113</f>
        <v>na</v>
      </c>
      <c r="CF18" t="str">
        <f>'SUB LIST'!AS113</f>
        <v>Stable</v>
      </c>
      <c r="CG18" t="str">
        <f>'SUB LIST'!A137</f>
        <v>PR14UUWSWW_S-A1</v>
      </c>
      <c r="CH18" t="str">
        <f>'SUB LIST'!P137</f>
        <v>03</v>
      </c>
      <c r="CI18" t="str">
        <f>'SUB LIST'!Q137</f>
        <v>Pollution incidents</v>
      </c>
      <c r="CJ18" t="str">
        <f>'SUB LIST'!T137</f>
        <v>nr</v>
      </c>
      <c r="CK18">
        <f>'SUB LIST'!U137</f>
        <v>0</v>
      </c>
      <c r="CL18">
        <f>'SUB LIST'!AS137</f>
        <v>5</v>
      </c>
      <c r="CM18" t="str">
        <f>'SUB LIST'!A177</f>
        <v>PR14WSHWSWW_F1</v>
      </c>
      <c r="CN18" t="str">
        <f>'SUB LIST'!P177</f>
        <v>03</v>
      </c>
      <c r="CO18" t="str">
        <f>'SUB LIST'!Q177</f>
        <v>Properties flooded due to other causes (nr)</v>
      </c>
      <c r="CP18" t="str">
        <f>'SUB LIST'!T177</f>
        <v>nr</v>
      </c>
      <c r="CQ18">
        <f>'SUB LIST'!U177</f>
        <v>0</v>
      </c>
      <c r="CR18">
        <f>'SUB LIST'!AS177</f>
        <v>207</v>
      </c>
      <c r="CY18" t="str">
        <f>'SUB LIST'!A199</f>
        <v>PR14YKYWSWW_SA4</v>
      </c>
      <c r="CZ18" t="str">
        <f>'SUB LIST'!P199</f>
        <v>02</v>
      </c>
      <c r="DA18" t="str">
        <f>'SUB LIST'!Q199</f>
        <v>Pollution incidents (CSO, RM, FS and SPS)</v>
      </c>
      <c r="DB18" t="str">
        <f>'SUB LIST'!T199</f>
        <v>nr</v>
      </c>
      <c r="DC18">
        <f>'SUB LIST'!U199</f>
        <v>0</v>
      </c>
      <c r="DD18">
        <f>'SUB LIST'!AS199</f>
        <v>140</v>
      </c>
    </row>
    <row r="19" spans="7:108" x14ac:dyDescent="0.2">
      <c r="G19" t="str">
        <f>'SUB LIST'!A19</f>
        <v>PR14ANHWSWW_S-F2</v>
      </c>
      <c r="H19" t="str">
        <f>'SUB LIST'!P19</f>
        <v>02</v>
      </c>
      <c r="I19" t="str">
        <f>'SUB LIST'!Q19</f>
        <v>WwTW failing numeric consent</v>
      </c>
      <c r="J19">
        <f>'SUB LIST'!T19</f>
        <v>0</v>
      </c>
      <c r="K19">
        <f>'SUB LIST'!U19</f>
        <v>2</v>
      </c>
      <c r="L19">
        <f>'SUB LIST'!AS19</f>
        <v>0.82</v>
      </c>
      <c r="BU19" t="str">
        <f>'SUB LIST'!A90</f>
        <v>PR14SWTWSWW_S-A4</v>
      </c>
      <c r="BV19" t="str">
        <f>'SUB LIST'!P90</f>
        <v>03</v>
      </c>
      <c r="BW19" t="str">
        <f>'SUB LIST'!Q90</f>
        <v>Properties flooded due to other causes</v>
      </c>
      <c r="BX19" t="str">
        <f>'SUB LIST'!T90</f>
        <v>nr</v>
      </c>
      <c r="BY19">
        <f>'SUB LIST'!U90</f>
        <v>0</v>
      </c>
      <c r="BZ19">
        <f>'SUB LIST'!AS90</f>
        <v>96</v>
      </c>
      <c r="CA19" t="str">
        <f>'SUB LIST'!A114</f>
        <v>PR14TMSWSWW_SB1</v>
      </c>
      <c r="CB19" t="str">
        <f>'SUB LIST'!P114</f>
        <v>01</v>
      </c>
      <c r="CC19" t="str">
        <f>'SUB LIST'!Q114</f>
        <v>Unconsented pollution incidents (cat 1, 2 and 3) STWs, storm tanks, pumping stations and other</v>
      </c>
      <c r="CD19" t="str">
        <f>'SUB LIST'!T114</f>
        <v>nr</v>
      </c>
      <c r="CE19">
        <f>'SUB LIST'!U114</f>
        <v>0</v>
      </c>
      <c r="CF19">
        <f>'SUB LIST'!AS114</f>
        <v>25</v>
      </c>
      <c r="CG19" t="str">
        <f>'SUB LIST'!A138</f>
        <v>PR14UUWSWW_S-A1</v>
      </c>
      <c r="CH19" t="str">
        <f>'SUB LIST'!P138</f>
        <v>04</v>
      </c>
      <c r="CI19" t="str">
        <f>'SUB LIST'!Q138</f>
        <v>Properties flooded internally</v>
      </c>
      <c r="CJ19" t="str">
        <f>'SUB LIST'!T138</f>
        <v>nr</v>
      </c>
      <c r="CK19">
        <f>'SUB LIST'!U138</f>
        <v>0</v>
      </c>
      <c r="CL19">
        <f>'SUB LIST'!AS138</f>
        <v>418</v>
      </c>
      <c r="CM19" t="str">
        <f>'SUB LIST'!A178</f>
        <v>PR14WSHWSWW_F1</v>
      </c>
      <c r="CN19" t="str">
        <f>'SUB LIST'!P178</f>
        <v>04</v>
      </c>
      <c r="CO19" t="str">
        <f>'SUB LIST'!Q178</f>
        <v>Properties flooded due to overloaded sewers excluding severe weather (nr)</v>
      </c>
      <c r="CP19" t="str">
        <f>'SUB LIST'!T178</f>
        <v>nr</v>
      </c>
      <c r="CQ19">
        <f>'SUB LIST'!U178</f>
        <v>0</v>
      </c>
      <c r="CR19">
        <f>'SUB LIST'!AS178</f>
        <v>16</v>
      </c>
      <c r="CY19" t="str">
        <f>'SUB LIST'!A200</f>
        <v>PR14YKYWSWW_SA4</v>
      </c>
      <c r="CZ19" t="str">
        <f>'SUB LIST'!P200</f>
        <v>03</v>
      </c>
      <c r="DA19" t="str">
        <f>'SUB LIST'!Q200</f>
        <v>Properties flooded due to other causes</v>
      </c>
      <c r="DB19" t="str">
        <f>'SUB LIST'!T200</f>
        <v>nr</v>
      </c>
      <c r="DC19">
        <f>'SUB LIST'!U200</f>
        <v>0</v>
      </c>
      <c r="DD19">
        <f>'SUB LIST'!AS200</f>
        <v>346</v>
      </c>
    </row>
    <row r="20" spans="7:108" x14ac:dyDescent="0.2">
      <c r="BU20" t="str">
        <f>'SUB LIST'!A91</f>
        <v>PR14SWTWSWW_S-A4</v>
      </c>
      <c r="BV20" t="str">
        <f>'SUB LIST'!P91</f>
        <v>04</v>
      </c>
      <c r="BW20" t="str">
        <f>'SUB LIST'!Q91</f>
        <v>Properties flooded due to overloaded sewers excluding severe weather</v>
      </c>
      <c r="BX20" t="str">
        <f>'SUB LIST'!T91</f>
        <v>nr</v>
      </c>
      <c r="BY20">
        <f>'SUB LIST'!U91</f>
        <v>0</v>
      </c>
      <c r="BZ20">
        <f>'SUB LIST'!AS91</f>
        <v>16</v>
      </c>
      <c r="CA20" t="str">
        <f>'SUB LIST'!A115</f>
        <v>PR14TMSWSWW_SB1</v>
      </c>
      <c r="CB20" t="str">
        <f>'SUB LIST'!P115</f>
        <v>02</v>
      </c>
      <c r="CC20" t="str">
        <f>'SUB LIST'!Q115</f>
        <v>Sewage treatment works discharges failing numeric consents %</v>
      </c>
      <c r="CD20" t="str">
        <f>'SUB LIST'!T115</f>
        <v>%</v>
      </c>
      <c r="CE20">
        <f>'SUB LIST'!U115</f>
        <v>2</v>
      </c>
      <c r="CF20">
        <f>'SUB LIST'!AS115</f>
        <v>0.86699999999999999</v>
      </c>
      <c r="CG20" t="str">
        <f>'SUB LIST'!A139</f>
        <v>PR14UUWSWW_S-A1</v>
      </c>
      <c r="CH20" t="str">
        <f>'SUB LIST'!P139</f>
        <v>05</v>
      </c>
      <c r="CI20" t="str">
        <f>'SUB LIST'!Q139</f>
        <v>Area flooded externally</v>
      </c>
      <c r="CJ20" t="str">
        <f>'SUB LIST'!T139</f>
        <v>nr</v>
      </c>
      <c r="CK20">
        <f>'SUB LIST'!U139</f>
        <v>0</v>
      </c>
      <c r="CL20">
        <f>'SUB LIST'!AS139</f>
        <v>4605</v>
      </c>
      <c r="CM20" t="str">
        <f>'SUB LIST'!A179</f>
        <v>PR14WSHWSWW_F1</v>
      </c>
      <c r="CN20" t="str">
        <f>'SUB LIST'!P179</f>
        <v>05</v>
      </c>
      <c r="CO20" t="str">
        <f>'SUB LIST'!Q179</f>
        <v>Sewer blockages (nr)</v>
      </c>
      <c r="CP20" t="str">
        <f>'SUB LIST'!T179</f>
        <v>nr</v>
      </c>
      <c r="CQ20">
        <f>'SUB LIST'!U179</f>
        <v>0</v>
      </c>
      <c r="CR20">
        <f>'SUB LIST'!AS179</f>
        <v>26771</v>
      </c>
      <c r="CY20" t="str">
        <f>'SUB LIST'!A201</f>
        <v>PR14YKYWSWW_SA4</v>
      </c>
      <c r="CZ20" t="str">
        <f>'SUB LIST'!P201</f>
        <v>04</v>
      </c>
      <c r="DA20" t="str">
        <f>'SUB LIST'!Q201</f>
        <v>Properties flooded due to overloaded sewers, excluding severe weather</v>
      </c>
      <c r="DB20" t="str">
        <f>'SUB LIST'!T201</f>
        <v>nr</v>
      </c>
      <c r="DC20">
        <f>'SUB LIST'!U201</f>
        <v>0</v>
      </c>
      <c r="DD20">
        <f>'SUB LIST'!AS201</f>
        <v>50</v>
      </c>
    </row>
    <row r="21" spans="7:108" x14ac:dyDescent="0.2">
      <c r="BU21" t="str">
        <f>'SUB LIST'!A92</f>
        <v>PR14SWTWSWW_S-A4</v>
      </c>
      <c r="BV21" t="str">
        <f>'SUB LIST'!P92</f>
        <v>05</v>
      </c>
      <c r="BW21" t="str">
        <f>'SUB LIST'!Q92</f>
        <v>Sewer blockages</v>
      </c>
      <c r="BX21" t="str">
        <f>'SUB LIST'!T92</f>
        <v>nr</v>
      </c>
      <c r="BY21">
        <f>'SUB LIST'!U92</f>
        <v>0</v>
      </c>
      <c r="BZ21">
        <f>'SUB LIST'!AS92</f>
        <v>3754</v>
      </c>
      <c r="CA21" t="str">
        <f>'SUB LIST'!A116</f>
        <v>PR14TMSWSWW_SB1</v>
      </c>
      <c r="CB21" t="str">
        <f>'SUB LIST'!P116</f>
        <v>03</v>
      </c>
      <c r="CC21" t="str">
        <f>'SUB LIST'!Q116</f>
        <v>Total population equivalent served by sewage treatment works failing look-up table consents</v>
      </c>
      <c r="CD21" t="str">
        <f>'SUB LIST'!T116</f>
        <v>%</v>
      </c>
      <c r="CE21">
        <f>'SUB LIST'!U116</f>
        <v>2</v>
      </c>
      <c r="CF21">
        <f>'SUB LIST'!AS116</f>
        <v>0</v>
      </c>
      <c r="CG21" t="str">
        <f>'SUB LIST'!A140</f>
        <v>PR14UUWSWW_S-A2</v>
      </c>
      <c r="CH21" t="str">
        <f>'SUB LIST'!P140</f>
        <v>00</v>
      </c>
      <c r="CI21" t="str">
        <f>'SUB LIST'!Q140</f>
        <v>S-A2: Wastewater network performance index</v>
      </c>
      <c r="CJ21" t="str">
        <f>'SUB LIST'!T140</f>
        <v>score</v>
      </c>
      <c r="CK21">
        <f>'SUB LIST'!U140</f>
        <v>2</v>
      </c>
      <c r="CL21">
        <f>'SUB LIST'!AS140</f>
        <v>90.95</v>
      </c>
      <c r="CM21" t="str">
        <f>'SUB LIST'!A180</f>
        <v>PR14WSHWSWW_F1</v>
      </c>
      <c r="CN21" t="str">
        <f>'SUB LIST'!P180</f>
        <v>06</v>
      </c>
      <c r="CO21" t="str">
        <f>'SUB LIST'!Q180</f>
        <v>Equipment failures (nr)</v>
      </c>
      <c r="CP21" t="str">
        <f>'SUB LIST'!T180</f>
        <v>nr</v>
      </c>
      <c r="CQ21">
        <f>'SUB LIST'!U180</f>
        <v>0</v>
      </c>
      <c r="CR21">
        <f>'SUB LIST'!AS180</f>
        <v>33</v>
      </c>
      <c r="CY21" t="str">
        <f>'SUB LIST'!A202</f>
        <v>PR14YKYWSWW_SA4</v>
      </c>
      <c r="CZ21" t="str">
        <f>'SUB LIST'!P202</f>
        <v>05</v>
      </c>
      <c r="DA21" t="str">
        <f>'SUB LIST'!Q202</f>
        <v>Sewer blockages</v>
      </c>
      <c r="DB21" t="str">
        <f>'SUB LIST'!T202</f>
        <v>nr</v>
      </c>
      <c r="DC21">
        <f>'SUB LIST'!U202</f>
        <v>0</v>
      </c>
      <c r="DD21">
        <f>'SUB LIST'!AS202</f>
        <v>19423</v>
      </c>
    </row>
    <row r="22" spans="7:108" x14ac:dyDescent="0.2">
      <c r="BU22" t="str">
        <f>'SUB LIST'!A93</f>
        <v>PR14SWTWSWW_S-A4</v>
      </c>
      <c r="BV22" t="str">
        <f>'SUB LIST'!P93</f>
        <v>06</v>
      </c>
      <c r="BW22" t="str">
        <f>'SUB LIST'!Q93</f>
        <v>Equipment failures</v>
      </c>
      <c r="BX22" t="str">
        <f>'SUB LIST'!T93</f>
        <v>nr</v>
      </c>
      <c r="BY22">
        <f>'SUB LIST'!U93</f>
        <v>0</v>
      </c>
      <c r="BZ22">
        <f>'SUB LIST'!AS93</f>
        <v>258</v>
      </c>
      <c r="CA22" t="str">
        <f>'SUB LIST'!A117</f>
        <v>PR14TMSWSWW_SB2</v>
      </c>
      <c r="CB22" t="str">
        <f>'SUB LIST'!P117</f>
        <v>00</v>
      </c>
      <c r="CC22" t="str">
        <f>'SUB LIST'!Q117</f>
        <v>SB2: Asset health wastewater infrastructure</v>
      </c>
      <c r="CD22" t="str">
        <f>'SUB LIST'!T117</f>
        <v>category</v>
      </c>
      <c r="CE22" t="str">
        <f>'SUB LIST'!U117</f>
        <v>na</v>
      </c>
      <c r="CF22" t="str">
        <f>'SUB LIST'!AS117</f>
        <v>Stable</v>
      </c>
      <c r="CG22" t="str">
        <f>'SUB LIST'!A141</f>
        <v>PR14UUWSWW_S-A2</v>
      </c>
      <c r="CH22" t="str">
        <f>'SUB LIST'!P141</f>
        <v>01</v>
      </c>
      <c r="CI22" t="str">
        <f>'SUB LIST'!Q141</f>
        <v>Blockages</v>
      </c>
      <c r="CJ22" t="str">
        <f>'SUB LIST'!T141</f>
        <v>nr</v>
      </c>
      <c r="CK22">
        <f>'SUB LIST'!U141</f>
        <v>0</v>
      </c>
      <c r="CL22">
        <f>'SUB LIST'!AS141</f>
        <v>7473</v>
      </c>
      <c r="CM22" t="str">
        <f>'SUB LIST'!A181</f>
        <v>PR14WSHWSWW_F1</v>
      </c>
      <c r="CN22" t="str">
        <f>'SUB LIST'!P181</f>
        <v>07</v>
      </c>
      <c r="CO22" t="str">
        <f>'SUB LIST'!Q181</f>
        <v>Sewage Treatment Works (STW) % non-compliance</v>
      </c>
      <c r="CP22" t="str">
        <f>'SUB LIST'!T181</f>
        <v>%</v>
      </c>
      <c r="CQ22">
        <f>'SUB LIST'!U181</f>
        <v>2</v>
      </c>
      <c r="CR22">
        <f>'SUB LIST'!AS181</f>
        <v>1.41</v>
      </c>
      <c r="CY22" t="str">
        <f>'SUB LIST'!A203</f>
        <v>PR14YKYWSWW_SA4</v>
      </c>
      <c r="CZ22" t="str">
        <f>'SUB LIST'!P203</f>
        <v>06</v>
      </c>
      <c r="DA22" t="str">
        <f>'SUB LIST'!Q203</f>
        <v>Reactive equipment failures</v>
      </c>
      <c r="DB22" t="str">
        <f>'SUB LIST'!T203</f>
        <v>nr</v>
      </c>
      <c r="DC22">
        <f>'SUB LIST'!U203</f>
        <v>0</v>
      </c>
      <c r="DD22">
        <f>'SUB LIST'!AS203</f>
        <v>3364</v>
      </c>
    </row>
    <row r="23" spans="7:108" x14ac:dyDescent="0.2">
      <c r="BU23" t="str">
        <f>'SUB LIST'!A94</f>
        <v>PR14SWTWSWW_S-A5</v>
      </c>
      <c r="BV23" t="str">
        <f>'SUB LIST'!P94</f>
        <v>00</v>
      </c>
      <c r="BW23" t="str">
        <f>'SUB LIST'!Q94</f>
        <v>S-A5 Asset reliability (process)</v>
      </c>
      <c r="BX23" t="str">
        <f>'SUB LIST'!T94</f>
        <v>category</v>
      </c>
      <c r="BY23" t="str">
        <f>'SUB LIST'!U94</f>
        <v>na</v>
      </c>
      <c r="BZ23" t="str">
        <f>'SUB LIST'!AS94</f>
        <v>Stable</v>
      </c>
      <c r="CA23" t="str">
        <f>'SUB LIST'!A118</f>
        <v>PR14TMSWSWW_SB2</v>
      </c>
      <c r="CB23" t="str">
        <f>'SUB LIST'!P118</f>
        <v>01</v>
      </c>
      <c r="CC23" t="str">
        <f>'SUB LIST'!Q118</f>
        <v>Number of sewer collapses</v>
      </c>
      <c r="CD23" t="str">
        <f>'SUB LIST'!T118</f>
        <v>nr</v>
      </c>
      <c r="CE23">
        <f>'SUB LIST'!U118</f>
        <v>0</v>
      </c>
      <c r="CF23">
        <f>'SUB LIST'!AS118</f>
        <v>471</v>
      </c>
      <c r="CG23" t="str">
        <f>'SUB LIST'!A142</f>
        <v>PR14UUWSWW_S-A2</v>
      </c>
      <c r="CH23" t="str">
        <f>'SUB LIST'!P142</f>
        <v>02</v>
      </c>
      <c r="CI23" t="str">
        <f>'SUB LIST'!Q142</f>
        <v>Collapses</v>
      </c>
      <c r="CJ23" t="str">
        <f>'SUB LIST'!T142</f>
        <v>nr</v>
      </c>
      <c r="CK23">
        <f>'SUB LIST'!U142</f>
        <v>0</v>
      </c>
      <c r="CL23">
        <f>'SUB LIST'!AS142</f>
        <v>261</v>
      </c>
      <c r="CM23" t="str">
        <f>'SUB LIST'!A182</f>
        <v>PR14WSHWSWW_F1</v>
      </c>
      <c r="CN23" t="str">
        <f>'SUB LIST'!P182</f>
        <v>08</v>
      </c>
      <c r="CO23" t="str">
        <f>'SUB LIST'!Q182</f>
        <v>Population equivalent (PE) % non-compliance</v>
      </c>
      <c r="CP23" t="str">
        <f>'SUB LIST'!T182</f>
        <v>%</v>
      </c>
      <c r="CQ23">
        <f>'SUB LIST'!U182</f>
        <v>2</v>
      </c>
      <c r="CR23">
        <f>'SUB LIST'!AS182</f>
        <v>0.03</v>
      </c>
      <c r="CY23" t="str">
        <f>'SUB LIST'!A204</f>
        <v>PR14YKYWSWW_SB2</v>
      </c>
      <c r="CZ23" t="str">
        <f>'SUB LIST'!P204</f>
        <v>00</v>
      </c>
      <c r="DA23" t="str">
        <f>'SUB LIST'!Q204</f>
        <v>SB2: Wastewater quality stability and reliability factor</v>
      </c>
      <c r="DB23" t="str">
        <f>'SUB LIST'!T204</f>
        <v>category</v>
      </c>
      <c r="DC23" t="str">
        <f>'SUB LIST'!U204</f>
        <v>na</v>
      </c>
      <c r="DD23" t="str">
        <f>'SUB LIST'!AS204</f>
        <v>Stable</v>
      </c>
    </row>
    <row r="24" spans="7:108" x14ac:dyDescent="0.2">
      <c r="BU24" t="str">
        <f>'SUB LIST'!A95</f>
        <v>PR14SWTWSWW_S-A5</v>
      </c>
      <c r="BV24" t="str">
        <f>'SUB LIST'!P95</f>
        <v>01</v>
      </c>
      <c r="BW24" t="str">
        <f>'SUB LIST'!Q95</f>
        <v>Sewage treatment works (STW) non-compliance</v>
      </c>
      <c r="BX24" t="str">
        <f>'SUB LIST'!T95</f>
        <v>%</v>
      </c>
      <c r="BY24">
        <f>'SUB LIST'!U95</f>
        <v>2</v>
      </c>
      <c r="BZ24">
        <f>'SUB LIST'!AS95</f>
        <v>4.2300000000000004</v>
      </c>
      <c r="CA24" t="str">
        <f>'SUB LIST'!A119</f>
        <v>PR14TMSWSWW_SB2</v>
      </c>
      <c r="CB24" t="str">
        <f>'SUB LIST'!P119</f>
        <v>02</v>
      </c>
      <c r="CC24" t="str">
        <f>'SUB LIST'!Q119</f>
        <v>Number of sewer blockages</v>
      </c>
      <c r="CD24" t="str">
        <f>'SUB LIST'!T119</f>
        <v>nr</v>
      </c>
      <c r="CE24">
        <f>'SUB LIST'!U119</f>
        <v>0</v>
      </c>
      <c r="CF24">
        <f>'SUB LIST'!AS119</f>
        <v>84677</v>
      </c>
      <c r="CG24" t="str">
        <f>'SUB LIST'!A143</f>
        <v>PR14UUWSWW_S-A2</v>
      </c>
      <c r="CH24" t="str">
        <f>'SUB LIST'!P143</f>
        <v>03</v>
      </c>
      <c r="CI24" t="str">
        <f>'SUB LIST'!Q143</f>
        <v>Rising main bursts</v>
      </c>
      <c r="CJ24" t="str">
        <f>'SUB LIST'!T143</f>
        <v>nr</v>
      </c>
      <c r="CK24">
        <f>'SUB LIST'!U143</f>
        <v>0</v>
      </c>
      <c r="CL24">
        <f>'SUB LIST'!AS143</f>
        <v>51</v>
      </c>
      <c r="CM24" t="str">
        <f>'SUB LIST'!A183</f>
        <v>PR14WSHWSWW_F1</v>
      </c>
      <c r="CN24" t="str">
        <f>'SUB LIST'!P183</f>
        <v>09</v>
      </c>
      <c r="CO24" t="str">
        <f>'SUB LIST'!Q183</f>
        <v>Unplanned maintenance (nr)</v>
      </c>
      <c r="CP24" t="str">
        <f>'SUB LIST'!T183</f>
        <v>nr</v>
      </c>
      <c r="CQ24">
        <f>'SUB LIST'!U183</f>
        <v>0</v>
      </c>
      <c r="CR24">
        <f>'SUB LIST'!AS183</f>
        <v>43132</v>
      </c>
      <c r="CY24" t="str">
        <f>'SUB LIST'!A205</f>
        <v>PR14YKYWSWW_SB2</v>
      </c>
      <c r="CZ24" t="str">
        <f>'SUB LIST'!P205</f>
        <v>01</v>
      </c>
      <c r="DA24" t="str">
        <f>'SUB LIST'!Q205</f>
        <v>Sewage treatment works non-compliance</v>
      </c>
      <c r="DB24" t="str">
        <f>'SUB LIST'!T205</f>
        <v>nr</v>
      </c>
      <c r="DC24">
        <f>'SUB LIST'!U205</f>
        <v>0</v>
      </c>
      <c r="DD24">
        <f>'SUB LIST'!AS205</f>
        <v>2</v>
      </c>
    </row>
    <row r="25" spans="7:108" x14ac:dyDescent="0.2">
      <c r="BU25" t="str">
        <f>'SUB LIST'!A96</f>
        <v>PR14SWTWSWW_S-A5</v>
      </c>
      <c r="BV25" t="str">
        <f>'SUB LIST'!P96</f>
        <v>02</v>
      </c>
      <c r="BW25" t="str">
        <f>'SUB LIST'!Q96</f>
        <v>Population equivalent (PE) non-compliance</v>
      </c>
      <c r="BX25" t="str">
        <f>'SUB LIST'!T96</f>
        <v>%</v>
      </c>
      <c r="BY25">
        <f>'SUB LIST'!U96</f>
        <v>2</v>
      </c>
      <c r="BZ25">
        <f>'SUB LIST'!AS96</f>
        <v>0.46</v>
      </c>
      <c r="CA25" t="str">
        <f>'SUB LIST'!A120</f>
        <v>PR14TMSWSWW_SB2</v>
      </c>
      <c r="CB25" t="str">
        <f>'SUB LIST'!P120</f>
        <v>03</v>
      </c>
      <c r="CC25" t="str">
        <f>'SUB LIST'!Q120</f>
        <v>Pollution incidents (cat 1-3)</v>
      </c>
      <c r="CD25" t="str">
        <f>'SUB LIST'!T120</f>
        <v>nr</v>
      </c>
      <c r="CE25">
        <f>'SUB LIST'!U120</f>
        <v>0</v>
      </c>
      <c r="CF25">
        <f>'SUB LIST'!AS120</f>
        <v>178</v>
      </c>
      <c r="CG25" t="str">
        <f>'SUB LIST'!A144</f>
        <v>PR14UUWSWW_S-A2</v>
      </c>
      <c r="CH25" t="str">
        <f>'SUB LIST'!P144</f>
        <v>04</v>
      </c>
      <c r="CI25" t="str">
        <f>'SUB LIST'!Q144</f>
        <v>Equipment failures</v>
      </c>
      <c r="CJ25" t="str">
        <f>'SUB LIST'!T144</f>
        <v>nr</v>
      </c>
      <c r="CK25">
        <f>'SUB LIST'!U144</f>
        <v>0</v>
      </c>
      <c r="CL25">
        <f>'SUB LIST'!AS144</f>
        <v>2704</v>
      </c>
      <c r="CY25" t="str">
        <f>'SUB LIST'!A206</f>
        <v>PR14YKYWSWW_SB2</v>
      </c>
      <c r="CZ25" t="str">
        <f>'SUB LIST'!P206</f>
        <v>02</v>
      </c>
      <c r="DA25" t="str">
        <f>'SUB LIST'!Q206</f>
        <v>Population equivalent non-compliance</v>
      </c>
      <c r="DB25" t="str">
        <f>'SUB LIST'!T206</f>
        <v>%</v>
      </c>
      <c r="DC25">
        <f>'SUB LIST'!U206</f>
        <v>1</v>
      </c>
      <c r="DD25">
        <f>'SUB LIST'!AS206</f>
        <v>0</v>
      </c>
    </row>
    <row r="26" spans="7:108" x14ac:dyDescent="0.2">
      <c r="BU26" t="str">
        <f>'SUB LIST'!A97</f>
        <v>PR14SWTWSWW_S-A5</v>
      </c>
      <c r="BV26" t="str">
        <f>'SUB LIST'!P97</f>
        <v>03</v>
      </c>
      <c r="BW26" t="str">
        <f>'SUB LIST'!Q97</f>
        <v>Unplanned maintenance</v>
      </c>
      <c r="BX26" t="str">
        <f>'SUB LIST'!T97</f>
        <v>nr</v>
      </c>
      <c r="BY26">
        <f>'SUB LIST'!U97</f>
        <v>0</v>
      </c>
      <c r="BZ26">
        <f>'SUB LIST'!AS97</f>
        <v>8527</v>
      </c>
      <c r="CA26" t="str">
        <f>'SUB LIST'!A121</f>
        <v>PR14TMSWSWW_SB2</v>
      </c>
      <c r="CB26" t="str">
        <f>'SUB LIST'!P121</f>
        <v>04</v>
      </c>
      <c r="CC26" t="str">
        <f>'SUB LIST'!Q121</f>
        <v>Properties internally flooded</v>
      </c>
      <c r="CD26" t="str">
        <f>'SUB LIST'!T121</f>
        <v>nr</v>
      </c>
      <c r="CE26">
        <f>'SUB LIST'!U121</f>
        <v>0</v>
      </c>
      <c r="CF26">
        <f>'SUB LIST'!AS121</f>
        <v>1227</v>
      </c>
      <c r="CG26" t="str">
        <f>'SUB LIST'!A145</f>
        <v>PR14UUWSWW_S-B2</v>
      </c>
      <c r="CH26" t="str">
        <f>'SUB LIST'!P145</f>
        <v>00</v>
      </c>
      <c r="CI26" t="str">
        <f>'SUB LIST'!Q145</f>
        <v>S-B2: Sewer flooding index</v>
      </c>
      <c r="CJ26" t="str">
        <f>'SUB LIST'!T145</f>
        <v>score</v>
      </c>
      <c r="CK26">
        <f>'SUB LIST'!U145</f>
        <v>1</v>
      </c>
      <c r="CL26">
        <f>'SUB LIST'!AS145</f>
        <v>100.8</v>
      </c>
      <c r="CY26" t="str">
        <f>'SUB LIST'!A207</f>
        <v>PR14YKYWSWW_SB2</v>
      </c>
      <c r="CZ26" t="str">
        <f>'SUB LIST'!P207</f>
        <v>03</v>
      </c>
      <c r="DA26" t="str">
        <f>'SUB LIST'!Q207</f>
        <v>Reactive equipment failures</v>
      </c>
      <c r="DB26" t="str">
        <f>'SUB LIST'!T207</f>
        <v>nr</v>
      </c>
      <c r="DC26">
        <f>'SUB LIST'!U207</f>
        <v>0</v>
      </c>
      <c r="DD26">
        <f>'SUB LIST'!AS207</f>
        <v>12115</v>
      </c>
    </row>
    <row r="27" spans="7:108" x14ac:dyDescent="0.2">
      <c r="CG27" t="str">
        <f>'SUB LIST'!A146</f>
        <v>PR14UUWSWW_S-B2</v>
      </c>
      <c r="CH27" t="str">
        <f>'SUB LIST'!P146</f>
        <v>01</v>
      </c>
      <c r="CI27" t="str">
        <f>'SUB LIST'!Q146</f>
        <v>Properties flooded due to other causes</v>
      </c>
      <c r="CJ27" t="str">
        <f>'SUB LIST'!T146</f>
        <v>nr</v>
      </c>
      <c r="CK27">
        <f>'SUB LIST'!U146</f>
        <v>0</v>
      </c>
      <c r="CL27">
        <f>'SUB LIST'!AS146</f>
        <v>839</v>
      </c>
    </row>
    <row r="28" spans="7:108" x14ac:dyDescent="0.2">
      <c r="CG28" t="str">
        <f>'SUB LIST'!A147</f>
        <v>PR14UUWSWW_S-B2</v>
      </c>
      <c r="CH28" t="str">
        <f>'SUB LIST'!P147</f>
        <v>02</v>
      </c>
      <c r="CI28" t="str">
        <f>'SUB LIST'!Q147</f>
        <v>Properties flooded due to hydraulic overload</v>
      </c>
      <c r="CJ28" t="str">
        <f>'SUB LIST'!T147</f>
        <v>nr</v>
      </c>
      <c r="CK28">
        <f>'SUB LIST'!U147</f>
        <v>0</v>
      </c>
      <c r="CL28">
        <f>'SUB LIST'!AS147</f>
        <v>147</v>
      </c>
    </row>
    <row r="29" spans="7:108" x14ac:dyDescent="0.2">
      <c r="CG29" t="str">
        <f>'SUB LIST'!A148</f>
        <v>PR14UUWSWW_S-B2</v>
      </c>
      <c r="CH29" t="str">
        <f>'SUB LIST'!P148</f>
        <v>03</v>
      </c>
      <c r="CI29" t="str">
        <f>'SUB LIST'!Q148</f>
        <v>Areas flooded due to other causes</v>
      </c>
      <c r="CJ29" t="str">
        <f>'SUB LIST'!T148</f>
        <v>nr</v>
      </c>
      <c r="CK29">
        <f>'SUB LIST'!U148</f>
        <v>0</v>
      </c>
      <c r="CL29">
        <f>'SUB LIST'!AS148</f>
        <v>3391</v>
      </c>
    </row>
    <row r="30" spans="7:108" x14ac:dyDescent="0.2">
      <c r="CG30" t="str">
        <f>'SUB LIST'!A149</f>
        <v>PR14UUWSWW_S-B2</v>
      </c>
      <c r="CH30" t="str">
        <f>'SUB LIST'!P149</f>
        <v>04</v>
      </c>
      <c r="CI30" t="str">
        <f>'SUB LIST'!Q149</f>
        <v>Areas flooded due to hydraulic overload</v>
      </c>
      <c r="CJ30" t="str">
        <f>'SUB LIST'!T149</f>
        <v>nr</v>
      </c>
      <c r="CK30">
        <f>'SUB LIST'!U149</f>
        <v>0</v>
      </c>
      <c r="CL30">
        <f>'SUB LIST'!AS149</f>
        <v>455</v>
      </c>
    </row>
    <row r="31" spans="7:108" x14ac:dyDescent="0.2">
      <c r="CG31" t="str">
        <f>'SUB LIST'!A150</f>
        <v>PR14UUWSWW_S-B2</v>
      </c>
      <c r="CH31" t="str">
        <f>'SUB LIST'!P150</f>
        <v>05</v>
      </c>
      <c r="CI31" t="str">
        <f>'SUB LIST'!Q150</f>
        <v>Incidents of repeat flooding</v>
      </c>
      <c r="CJ31" t="str">
        <f>'SUB LIST'!T150</f>
        <v>nr</v>
      </c>
      <c r="CK31">
        <f>'SUB LIST'!U150</f>
        <v>0</v>
      </c>
      <c r="CL31">
        <f>'SUB LIST'!AS150</f>
        <v>377</v>
      </c>
    </row>
    <row r="32" spans="7:108" x14ac:dyDescent="0.2">
      <c r="CG32" t="str">
        <f>'SUB LIST'!A151</f>
        <v>PR14UUWSWW_S-D2</v>
      </c>
      <c r="CH32" t="str">
        <f>'SUB LIST'!P151</f>
        <v>00</v>
      </c>
      <c r="CI32" t="str">
        <f>'SUB LIST'!Q151</f>
        <v>S-D2: Maintaining our wastewater treatment works</v>
      </c>
      <c r="CJ32" t="str">
        <f>'SUB LIST'!T151</f>
        <v>score</v>
      </c>
      <c r="CK32">
        <f>'SUB LIST'!U151</f>
        <v>4</v>
      </c>
      <c r="CL32">
        <f>'SUB LIST'!AS151</f>
        <v>91.484999999999999</v>
      </c>
    </row>
    <row r="33" spans="85:90" x14ac:dyDescent="0.2">
      <c r="CG33" t="str">
        <f>'SUB LIST'!A152</f>
        <v>PR14UUWSWW_S-D2</v>
      </c>
      <c r="CH33" t="str">
        <f>'SUB LIST'!P152</f>
        <v>01</v>
      </c>
      <c r="CI33" t="str">
        <f>'SUB LIST'!Q152</f>
        <v>WwTWs failing EA permit - small (size band 1-4)</v>
      </c>
      <c r="CJ33" t="str">
        <f>'SUB LIST'!T152</f>
        <v>score</v>
      </c>
      <c r="CK33">
        <f>'SUB LIST'!U152</f>
        <v>4</v>
      </c>
      <c r="CL33">
        <f>'SUB LIST'!AS152</f>
        <v>0</v>
      </c>
    </row>
    <row r="34" spans="85:90" x14ac:dyDescent="0.2">
      <c r="CG34" t="str">
        <f>'SUB LIST'!A153</f>
        <v>PR14UUWSWW_S-D2</v>
      </c>
      <c r="CH34" t="str">
        <f>'SUB LIST'!P153</f>
        <v>02</v>
      </c>
      <c r="CI34" t="str">
        <f>'SUB LIST'!Q153</f>
        <v>WwTWs failing EA permit - medium (size band 5)</v>
      </c>
      <c r="CJ34" t="str">
        <f>'SUB LIST'!T153</f>
        <v>score</v>
      </c>
      <c r="CK34">
        <f>'SUB LIST'!U153</f>
        <v>4</v>
      </c>
      <c r="CL34">
        <f>'SUB LIST'!AS153</f>
        <v>2</v>
      </c>
    </row>
    <row r="35" spans="85:90" x14ac:dyDescent="0.2">
      <c r="CG35" t="str">
        <f>'SUB LIST'!A154</f>
        <v>PR14UUWSWW_S-D2</v>
      </c>
      <c r="CH35" t="str">
        <f>'SUB LIST'!P154</f>
        <v>03</v>
      </c>
      <c r="CI35" t="str">
        <f>'SUB LIST'!Q154</f>
        <v>WwTWs failing EA permit - large (size band 6a)</v>
      </c>
      <c r="CJ35" t="str">
        <f>'SUB LIST'!T154</f>
        <v>score</v>
      </c>
      <c r="CK35">
        <f>'SUB LIST'!U154</f>
        <v>4</v>
      </c>
      <c r="CL35">
        <f>'SUB LIST'!AS154</f>
        <v>2</v>
      </c>
    </row>
    <row r="36" spans="85:90" x14ac:dyDescent="0.2">
      <c r="CG36" t="str">
        <f>'SUB LIST'!A155</f>
        <v>PR14UUWSWW_S-D2</v>
      </c>
      <c r="CH36" t="str">
        <f>'SUB LIST'!P155</f>
        <v>04</v>
      </c>
      <c r="CI36" t="str">
        <f>'SUB LIST'!Q155</f>
        <v>WwTWs failing EA permit - large (size band 6b)</v>
      </c>
      <c r="CJ36" t="str">
        <f>'SUB LIST'!T155</f>
        <v>score</v>
      </c>
      <c r="CK36">
        <f>'SUB LIST'!U155</f>
        <v>4</v>
      </c>
      <c r="CL36">
        <f>'SUB LIST'!AS155</f>
        <v>1</v>
      </c>
    </row>
    <row r="37" spans="85:90" x14ac:dyDescent="0.2">
      <c r="CG37" t="str">
        <f>'SUB LIST'!A156</f>
        <v>PR14UUWSWW_S-D2</v>
      </c>
      <c r="CH37" t="str">
        <f>'SUB LIST'!P156</f>
        <v>05</v>
      </c>
      <c r="CI37" t="str">
        <f>'SUB LIST'!Q156</f>
        <v>WwTWs at high risk of failing EA permit - small (size band 1-4)</v>
      </c>
      <c r="CJ37" t="str">
        <f>'SUB LIST'!T156</f>
        <v>score</v>
      </c>
      <c r="CK37">
        <f>'SUB LIST'!U156</f>
        <v>4</v>
      </c>
      <c r="CL37">
        <f>'SUB LIST'!AS156</f>
        <v>0.66666666666666696</v>
      </c>
    </row>
    <row r="38" spans="85:90" x14ac:dyDescent="0.2">
      <c r="CG38" t="str">
        <f>'SUB LIST'!A157</f>
        <v>PR14UUWSWW_S-D2</v>
      </c>
      <c r="CH38" t="str">
        <f>'SUB LIST'!P157</f>
        <v>06</v>
      </c>
      <c r="CI38" t="str">
        <f>'SUB LIST'!Q157</f>
        <v>WwTWs at high risk of failing EA permit - medium (size band 5)</v>
      </c>
      <c r="CJ38" t="str">
        <f>'SUB LIST'!T157</f>
        <v>score</v>
      </c>
      <c r="CK38">
        <f>'SUB LIST'!U157</f>
        <v>4</v>
      </c>
      <c r="CL38">
        <f>'SUB LIST'!AS157</f>
        <v>0</v>
      </c>
    </row>
    <row r="39" spans="85:90" x14ac:dyDescent="0.2">
      <c r="CG39" t="str">
        <f>'SUB LIST'!A158</f>
        <v>PR14UUWSWW_S-D2</v>
      </c>
      <c r="CH39" t="str">
        <f>'SUB LIST'!P158</f>
        <v>07</v>
      </c>
      <c r="CI39" t="str">
        <f>'SUB LIST'!Q158</f>
        <v>WwTWs at high risk of failing EA permit - large (size band 6)</v>
      </c>
      <c r="CJ39" t="str">
        <f>'SUB LIST'!T158</f>
        <v>score</v>
      </c>
      <c r="CK39">
        <f>'SUB LIST'!U158</f>
        <v>4</v>
      </c>
      <c r="CL39">
        <f>'SUB LIST'!AS158</f>
        <v>0</v>
      </c>
    </row>
    <row r="40" spans="85:90" x14ac:dyDescent="0.2">
      <c r="CG40" t="str">
        <f>'SUB LIST'!A159</f>
        <v>PR14UUWSWW_S-D2</v>
      </c>
      <c r="CH40" t="str">
        <f>'SUB LIST'!P159</f>
        <v>08</v>
      </c>
      <c r="CI40" t="str">
        <f>'SUB LIST'!Q159</f>
        <v>WwTWs at medium risk of failing EA permit - small (size band 1-4)</v>
      </c>
      <c r="CJ40" t="str">
        <f>'SUB LIST'!T159</f>
        <v>score</v>
      </c>
      <c r="CK40">
        <f>'SUB LIST'!U159</f>
        <v>4</v>
      </c>
      <c r="CL40">
        <f>'SUB LIST'!AS159</f>
        <v>8.5</v>
      </c>
    </row>
    <row r="41" spans="85:90" x14ac:dyDescent="0.2">
      <c r="CG41" t="str">
        <f>'SUB LIST'!A160</f>
        <v>PR14UUWSWW_S-D2</v>
      </c>
      <c r="CH41" t="str">
        <f>'SUB LIST'!P160</f>
        <v>09</v>
      </c>
      <c r="CI41" t="str">
        <f>'SUB LIST'!Q160</f>
        <v>WwTWs at medium risk of failing EA permit - medium (size band 5)</v>
      </c>
      <c r="CJ41" t="str">
        <f>'SUB LIST'!T160</f>
        <v>score</v>
      </c>
      <c r="CK41">
        <f>'SUB LIST'!U160</f>
        <v>4</v>
      </c>
      <c r="CL41">
        <f>'SUB LIST'!AS160</f>
        <v>0.33333333333333298</v>
      </c>
    </row>
    <row r="42" spans="85:90" x14ac:dyDescent="0.2">
      <c r="CG42" t="str">
        <f>'SUB LIST'!A161</f>
        <v>PR14UUWSWW_S-D2</v>
      </c>
      <c r="CH42" t="str">
        <f>'SUB LIST'!P161</f>
        <v>10</v>
      </c>
      <c r="CI42" t="str">
        <f>'SUB LIST'!Q161</f>
        <v>WwTWs at medium risk of failing EA permit - large (size band 6)</v>
      </c>
      <c r="CJ42" t="str">
        <f>'SUB LIST'!T161</f>
        <v>score</v>
      </c>
      <c r="CK42">
        <f>'SUB LIST'!U161</f>
        <v>4</v>
      </c>
      <c r="CL42">
        <f>'SUB LIST'!AS161</f>
        <v>2.25</v>
      </c>
    </row>
  </sheetData>
  <sheetProtection algorithmName="SHA-512" hashValue="ilS3sy6jGN5IrEWu+fbGjuunYo25ka7MLCZHJo+ouMWk7e0+JF5YXO3LQPysER4ypoRJAeHjJ+Knc156ZglBOQ==" saltValue="+A5X+3Ucj+WFyXekcu8aEQ==" spinCount="100000" sheet="1" objects="1" scenarios="1"/>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R25"/>
  <sheetViews>
    <sheetView workbookViewId="0"/>
  </sheetViews>
  <sheetFormatPr defaultRowHeight="14.25" x14ac:dyDescent="0.2"/>
  <cols>
    <col min="1" max="1" width="26.625" customWidth="1"/>
    <col min="2" max="2" width="22.25" customWidth="1"/>
    <col min="3" max="17" width="18.5" customWidth="1"/>
    <col min="18" max="18" width="25.25" customWidth="1"/>
  </cols>
  <sheetData>
    <row r="1" spans="1:18" ht="15.75" thickBot="1" x14ac:dyDescent="0.3">
      <c r="A1" s="68" t="s">
        <v>1080</v>
      </c>
      <c r="B1" s="68" t="s">
        <v>1090</v>
      </c>
      <c r="C1" s="68" t="s">
        <v>1096</v>
      </c>
      <c r="D1" s="68" t="s">
        <v>1103</v>
      </c>
      <c r="E1" s="68" t="s">
        <v>1106</v>
      </c>
      <c r="F1" s="68" t="s">
        <v>1109</v>
      </c>
      <c r="G1" s="68" t="s">
        <v>1100</v>
      </c>
      <c r="H1" s="68" t="s">
        <v>1551</v>
      </c>
      <c r="I1" s="68" t="s">
        <v>1695</v>
      </c>
      <c r="J1" s="68" t="s">
        <v>2098</v>
      </c>
      <c r="K1" s="68" t="s">
        <v>2181</v>
      </c>
      <c r="L1" s="68" t="s">
        <v>2379</v>
      </c>
      <c r="M1" s="68" t="s">
        <v>2715</v>
      </c>
      <c r="N1" s="68" t="s">
        <v>2264</v>
      </c>
      <c r="O1" s="68" t="s">
        <v>1093</v>
      </c>
      <c r="P1" s="68" t="s">
        <v>1084</v>
      </c>
      <c r="Q1" s="68" t="s">
        <v>1200</v>
      </c>
      <c r="R1" s="68" t="s">
        <v>1087</v>
      </c>
    </row>
    <row r="2" spans="1:18" ht="15" thickBot="1" x14ac:dyDescent="0.25">
      <c r="A2" s="69" t="s">
        <v>4547</v>
      </c>
      <c r="B2" s="69" t="s">
        <v>4547</v>
      </c>
      <c r="C2" s="69" t="s">
        <v>4547</v>
      </c>
      <c r="D2" s="69" t="s">
        <v>4547</v>
      </c>
      <c r="E2" s="69" t="s">
        <v>4547</v>
      </c>
      <c r="F2" s="69" t="s">
        <v>4547</v>
      </c>
      <c r="G2" s="69" t="s">
        <v>4547</v>
      </c>
      <c r="H2" s="69" t="s">
        <v>4547</v>
      </c>
      <c r="I2" s="69" t="s">
        <v>4547</v>
      </c>
      <c r="J2" s="69" t="s">
        <v>4547</v>
      </c>
      <c r="K2" s="69" t="s">
        <v>4547</v>
      </c>
      <c r="L2" s="69" t="s">
        <v>4547</v>
      </c>
      <c r="M2" s="69" t="s">
        <v>4547</v>
      </c>
      <c r="N2" s="69" t="s">
        <v>4547</v>
      </c>
      <c r="O2" s="69" t="s">
        <v>4547</v>
      </c>
      <c r="P2" s="69" t="s">
        <v>4547</v>
      </c>
      <c r="Q2" s="69" t="s">
        <v>4547</v>
      </c>
      <c r="R2" s="69" t="s">
        <v>4547</v>
      </c>
    </row>
    <row r="3" spans="1:18" ht="57.75" thickBot="1" x14ac:dyDescent="0.25">
      <c r="A3" s="70" t="s">
        <v>4548</v>
      </c>
      <c r="B3" s="70" t="s">
        <v>4549</v>
      </c>
      <c r="C3" s="70" t="s">
        <v>4550</v>
      </c>
      <c r="D3" s="70" t="s">
        <v>4551</v>
      </c>
      <c r="E3" s="70" t="s">
        <v>4552</v>
      </c>
      <c r="F3" s="70" t="s">
        <v>4553</v>
      </c>
      <c r="G3" s="70" t="s">
        <v>4554</v>
      </c>
      <c r="H3" s="70" t="s">
        <v>4555</v>
      </c>
      <c r="I3" s="70" t="s">
        <v>4556</v>
      </c>
      <c r="J3" s="70" t="s">
        <v>4557</v>
      </c>
      <c r="K3" s="70" t="s">
        <v>4558</v>
      </c>
      <c r="L3" s="70" t="s">
        <v>4559</v>
      </c>
      <c r="M3" s="70" t="s">
        <v>4560</v>
      </c>
      <c r="N3" s="70" t="s">
        <v>4561</v>
      </c>
      <c r="O3" s="70" t="s">
        <v>4562</v>
      </c>
      <c r="P3" s="70" t="s">
        <v>4563</v>
      </c>
      <c r="Q3" s="70" t="s">
        <v>4564</v>
      </c>
      <c r="R3" s="70" t="s">
        <v>4565</v>
      </c>
    </row>
    <row r="4" spans="1:18" ht="43.5" thickBot="1" x14ac:dyDescent="0.25">
      <c r="A4" s="70" t="s">
        <v>4566</v>
      </c>
      <c r="B4" s="70" t="s">
        <v>4567</v>
      </c>
      <c r="C4" s="70" t="s">
        <v>4568</v>
      </c>
      <c r="D4" s="70" t="s">
        <v>4569</v>
      </c>
      <c r="E4" s="70" t="s">
        <v>4570</v>
      </c>
      <c r="F4" s="70" t="s">
        <v>4571</v>
      </c>
      <c r="G4" s="70" t="s">
        <v>4572</v>
      </c>
      <c r="H4" s="70" t="s">
        <v>4573</v>
      </c>
      <c r="I4" s="70" t="s">
        <v>4574</v>
      </c>
      <c r="J4" s="70" t="s">
        <v>4575</v>
      </c>
      <c r="K4" s="70" t="s">
        <v>4576</v>
      </c>
      <c r="L4" s="70" t="s">
        <v>4577</v>
      </c>
      <c r="M4" s="70" t="s">
        <v>4578</v>
      </c>
      <c r="N4" s="70" t="s">
        <v>4579</v>
      </c>
      <c r="O4" s="70" t="s">
        <v>4580</v>
      </c>
      <c r="P4" s="70" t="s">
        <v>4581</v>
      </c>
      <c r="Q4" s="70" t="s">
        <v>4582</v>
      </c>
      <c r="R4" s="70" t="s">
        <v>4583</v>
      </c>
    </row>
    <row r="5" spans="1:18" ht="57.75" thickBot="1" x14ac:dyDescent="0.25">
      <c r="A5" s="70" t="s">
        <v>4584</v>
      </c>
      <c r="B5" s="70" t="s">
        <v>4585</v>
      </c>
      <c r="C5" s="70" t="s">
        <v>4586</v>
      </c>
      <c r="D5" s="70" t="s">
        <v>4587</v>
      </c>
      <c r="E5" s="70" t="s">
        <v>4588</v>
      </c>
      <c r="F5" s="70" t="s">
        <v>4589</v>
      </c>
      <c r="G5" s="70" t="s">
        <v>4590</v>
      </c>
      <c r="H5" s="70" t="s">
        <v>4591</v>
      </c>
      <c r="I5" s="70" t="s">
        <v>4592</v>
      </c>
      <c r="J5" s="70" t="s">
        <v>4593</v>
      </c>
      <c r="K5" s="70" t="s">
        <v>4594</v>
      </c>
      <c r="L5" s="70" t="s">
        <v>4595</v>
      </c>
      <c r="M5" s="70" t="s">
        <v>4596</v>
      </c>
      <c r="N5" s="70" t="s">
        <v>4597</v>
      </c>
      <c r="O5" s="70" t="s">
        <v>4598</v>
      </c>
      <c r="P5" s="70" t="s">
        <v>4599</v>
      </c>
      <c r="Q5" s="70" t="s">
        <v>4600</v>
      </c>
      <c r="R5" s="70" t="s">
        <v>4601</v>
      </c>
    </row>
    <row r="6" spans="1:18" ht="57.75" thickBot="1" x14ac:dyDescent="0.25">
      <c r="A6" s="70" t="s">
        <v>4602</v>
      </c>
      <c r="B6" s="70" t="s">
        <v>4603</v>
      </c>
      <c r="C6" s="70" t="s">
        <v>4604</v>
      </c>
      <c r="D6" s="70" t="s">
        <v>4605</v>
      </c>
      <c r="E6" s="70" t="s">
        <v>4606</v>
      </c>
      <c r="F6" s="70" t="s">
        <v>4607</v>
      </c>
      <c r="G6" s="70" t="s">
        <v>4608</v>
      </c>
      <c r="H6" s="70" t="s">
        <v>4609</v>
      </c>
      <c r="I6" s="70" t="s">
        <v>4610</v>
      </c>
      <c r="J6" s="70" t="s">
        <v>4611</v>
      </c>
      <c r="K6" s="70" t="s">
        <v>4612</v>
      </c>
      <c r="L6" s="70" t="s">
        <v>4613</v>
      </c>
      <c r="M6" s="70" t="s">
        <v>4614</v>
      </c>
      <c r="N6" s="70" t="s">
        <v>4615</v>
      </c>
      <c r="O6" s="70" t="s">
        <v>4616</v>
      </c>
      <c r="P6" s="70" t="s">
        <v>4599</v>
      </c>
      <c r="Q6" s="70" t="s">
        <v>4617</v>
      </c>
      <c r="R6" s="70" t="s">
        <v>4618</v>
      </c>
    </row>
    <row r="7" spans="1:18" ht="57.75" thickBot="1" x14ac:dyDescent="0.25">
      <c r="A7" s="70" t="s">
        <v>4619</v>
      </c>
      <c r="B7" s="70" t="s">
        <v>4620</v>
      </c>
      <c r="C7" s="70" t="s">
        <v>4621</v>
      </c>
      <c r="D7" s="70" t="s">
        <v>4622</v>
      </c>
      <c r="E7" s="70" t="s">
        <v>4623</v>
      </c>
      <c r="G7" s="70" t="s">
        <v>4624</v>
      </c>
      <c r="H7" s="70" t="s">
        <v>4625</v>
      </c>
      <c r="I7" s="70" t="s">
        <v>4626</v>
      </c>
      <c r="K7" s="70" t="s">
        <v>4627</v>
      </c>
      <c r="L7" s="70" t="s">
        <v>4628</v>
      </c>
      <c r="M7" s="70" t="s">
        <v>4629</v>
      </c>
      <c r="N7" s="70" t="s">
        <v>4630</v>
      </c>
      <c r="O7" s="70" t="s">
        <v>4631</v>
      </c>
      <c r="P7" s="70" t="s">
        <v>4632</v>
      </c>
      <c r="Q7" s="70" t="s">
        <v>4633</v>
      </c>
      <c r="R7" s="70" t="s">
        <v>4634</v>
      </c>
    </row>
    <row r="8" spans="1:18" ht="57.75" thickBot="1" x14ac:dyDescent="0.25">
      <c r="A8" s="70" t="s">
        <v>4635</v>
      </c>
      <c r="C8" s="70" t="s">
        <v>4636</v>
      </c>
      <c r="D8" s="70" t="s">
        <v>4637</v>
      </c>
      <c r="E8" s="70" t="s">
        <v>4638</v>
      </c>
      <c r="G8" s="70" t="s">
        <v>4639</v>
      </c>
      <c r="H8" s="70" t="s">
        <v>4640</v>
      </c>
      <c r="I8" s="70" t="s">
        <v>4641</v>
      </c>
      <c r="K8" s="70" t="s">
        <v>4642</v>
      </c>
      <c r="L8" s="70" t="s">
        <v>4643</v>
      </c>
      <c r="M8" s="70" t="s">
        <v>4644</v>
      </c>
      <c r="N8" s="70" t="s">
        <v>4645</v>
      </c>
      <c r="O8" s="70" t="s">
        <v>4646</v>
      </c>
      <c r="P8" s="70" t="s">
        <v>4647</v>
      </c>
      <c r="R8" s="70" t="s">
        <v>4648</v>
      </c>
    </row>
    <row r="9" spans="1:18" ht="43.5" thickBot="1" x14ac:dyDescent="0.25">
      <c r="A9" s="70" t="s">
        <v>4649</v>
      </c>
      <c r="E9" s="70" t="s">
        <v>4650</v>
      </c>
      <c r="G9" s="70" t="s">
        <v>4651</v>
      </c>
      <c r="H9" s="70" t="s">
        <v>4652</v>
      </c>
      <c r="K9" s="70" t="s">
        <v>4653</v>
      </c>
      <c r="M9" s="70" t="s">
        <v>4654</v>
      </c>
      <c r="N9" s="70" t="s">
        <v>4655</v>
      </c>
      <c r="P9" s="70" t="s">
        <v>4656</v>
      </c>
      <c r="R9" s="70" t="s">
        <v>4657</v>
      </c>
    </row>
    <row r="10" spans="1:18" ht="57.75" thickBot="1" x14ac:dyDescent="0.25">
      <c r="A10" s="70" t="s">
        <v>4658</v>
      </c>
      <c r="E10" s="70" t="s">
        <v>4659</v>
      </c>
      <c r="G10" s="70" t="s">
        <v>4660</v>
      </c>
      <c r="H10" s="70" t="s">
        <v>4661</v>
      </c>
      <c r="K10" s="70" t="s">
        <v>4662</v>
      </c>
      <c r="M10" s="70" t="s">
        <v>4663</v>
      </c>
      <c r="N10" s="70" t="s">
        <v>4664</v>
      </c>
      <c r="P10" s="70" t="s">
        <v>4665</v>
      </c>
      <c r="R10" s="70" t="s">
        <v>4666</v>
      </c>
    </row>
    <row r="11" spans="1:18" ht="57.75" thickBot="1" x14ac:dyDescent="0.25">
      <c r="A11" s="70" t="s">
        <v>4667</v>
      </c>
      <c r="E11" s="70" t="s">
        <v>4668</v>
      </c>
      <c r="G11" s="70" t="s">
        <v>4669</v>
      </c>
      <c r="I11" s="71"/>
      <c r="M11" s="70" t="s">
        <v>4670</v>
      </c>
      <c r="N11" s="70" t="s">
        <v>4671</v>
      </c>
      <c r="P11" s="70" t="s">
        <v>4672</v>
      </c>
      <c r="R11" s="70" t="s">
        <v>4673</v>
      </c>
    </row>
    <row r="12" spans="1:18" ht="57.75" thickBot="1" x14ac:dyDescent="0.25">
      <c r="A12" s="70" t="s">
        <v>4674</v>
      </c>
      <c r="E12" s="70" t="s">
        <v>4675</v>
      </c>
      <c r="G12" s="70" t="s">
        <v>4676</v>
      </c>
      <c r="I12" s="71"/>
      <c r="M12" s="70" t="s">
        <v>4677</v>
      </c>
      <c r="N12" s="70" t="s">
        <v>4678</v>
      </c>
      <c r="P12" s="70" t="s">
        <v>4679</v>
      </c>
      <c r="R12" s="70" t="s">
        <v>4680</v>
      </c>
    </row>
    <row r="13" spans="1:18" ht="57.75" thickBot="1" x14ac:dyDescent="0.25">
      <c r="A13" s="70" t="s">
        <v>4681</v>
      </c>
      <c r="E13" s="70" t="s">
        <v>4682</v>
      </c>
      <c r="G13" s="70" t="s">
        <v>4683</v>
      </c>
      <c r="I13" s="71"/>
      <c r="P13" s="70" t="s">
        <v>4684</v>
      </c>
      <c r="R13" s="70" t="s">
        <v>4685</v>
      </c>
    </row>
    <row r="14" spans="1:18" ht="57.75" thickBot="1" x14ac:dyDescent="0.25">
      <c r="A14" s="70" t="s">
        <v>4686</v>
      </c>
      <c r="E14" s="70" t="s">
        <v>4687</v>
      </c>
      <c r="G14" s="70" t="s">
        <v>4688</v>
      </c>
      <c r="P14" s="70" t="s">
        <v>4689</v>
      </c>
    </row>
    <row r="15" spans="1:18" ht="57.75" thickBot="1" x14ac:dyDescent="0.25">
      <c r="A15" s="70" t="s">
        <v>4690</v>
      </c>
      <c r="E15" s="70" t="s">
        <v>4691</v>
      </c>
      <c r="P15" s="70" t="s">
        <v>4692</v>
      </c>
    </row>
    <row r="16" spans="1:18" ht="57.75" thickBot="1" x14ac:dyDescent="0.25">
      <c r="A16" s="70" t="s">
        <v>4693</v>
      </c>
      <c r="P16" s="70" t="s">
        <v>4694</v>
      </c>
    </row>
    <row r="17" spans="1:18" ht="29.25" thickBot="1" x14ac:dyDescent="0.25">
      <c r="A17" s="70" t="s">
        <v>4695</v>
      </c>
    </row>
    <row r="18" spans="1:18" ht="29.25" thickBot="1" x14ac:dyDescent="0.25">
      <c r="A18" s="70" t="s">
        <v>4696</v>
      </c>
    </row>
    <row r="19" spans="1:18" ht="28.5" x14ac:dyDescent="0.2">
      <c r="A19" s="70" t="s">
        <v>4697</v>
      </c>
      <c r="R19" s="72"/>
    </row>
    <row r="20" spans="1:18" x14ac:dyDescent="0.2">
      <c r="R20" s="72"/>
    </row>
    <row r="21" spans="1:18" x14ac:dyDescent="0.2">
      <c r="R21" s="72"/>
    </row>
    <row r="22" spans="1:18" x14ac:dyDescent="0.2">
      <c r="R22" s="72"/>
    </row>
    <row r="23" spans="1:18" x14ac:dyDescent="0.2">
      <c r="R23" s="72"/>
    </row>
    <row r="24" spans="1:18" x14ac:dyDescent="0.2">
      <c r="R24" s="72"/>
    </row>
    <row r="25" spans="1:18" x14ac:dyDescent="0.2">
      <c r="R25" s="72"/>
    </row>
  </sheetData>
  <sheetProtection algorithmName="SHA-512" hashValue="H6t8YjkWddY1NqdprbaBUWR8ifKbTWkZxlLhfFnNUpTlO0SafSJ+CqRYxN1YTdaCMnAoIRZOfMenhDXV+EMKng==" saltValue="xw8v/br1RN0M891jf1PxWg==" spinCount="100000" sheet="1" objects="1" scenarios="1"/>
  <autoFilter ref="A1:R25" xr:uid="{00000000-0009-0000-0000-000028000000}"/>
  <pageMargins left="0.70866141732283472" right="0.70866141732283472" top="0.74803149606299213" bottom="0.74803149606299213" header="0.31496062992125984" footer="0.31496062992125984"/>
  <pageSetup paperSize="9" scale="22" orientation="portrait" r:id="rId1"/>
  <headerFooter>
    <oddFooter>&amp;L2016 Annual performance report tables, December 2015</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22"/>
  <sheetViews>
    <sheetView workbookViewId="0"/>
  </sheetViews>
  <sheetFormatPr defaultRowHeight="14.25" x14ac:dyDescent="0.2"/>
  <cols>
    <col min="1" max="1" width="26.625" customWidth="1"/>
    <col min="2" max="2" width="22.25" customWidth="1"/>
    <col min="3" max="7" width="18.5" customWidth="1"/>
    <col min="8" max="8" width="15.125" customWidth="1"/>
    <col min="9" max="9" width="15" customWidth="1"/>
    <col min="10" max="10" width="18.75" customWidth="1"/>
  </cols>
  <sheetData>
    <row r="1" spans="1:10" s="68" customFormat="1" ht="15.75" thickBot="1" x14ac:dyDescent="0.3">
      <c r="A1" s="68" t="s">
        <v>1080</v>
      </c>
      <c r="B1" s="68" t="s">
        <v>1090</v>
      </c>
      <c r="C1" s="68" t="s">
        <v>1096</v>
      </c>
      <c r="D1" s="68" t="s">
        <v>1103</v>
      </c>
      <c r="E1" s="68" t="s">
        <v>1106</v>
      </c>
      <c r="F1" s="68" t="s">
        <v>1109</v>
      </c>
      <c r="G1" s="68" t="s">
        <v>1100</v>
      </c>
      <c r="H1" s="68" t="s">
        <v>1084</v>
      </c>
      <c r="I1" s="68" t="s">
        <v>1087</v>
      </c>
      <c r="J1" s="68" t="s">
        <v>1093</v>
      </c>
    </row>
    <row r="2" spans="1:10" ht="15" thickBot="1" x14ac:dyDescent="0.25">
      <c r="A2" s="69" t="s">
        <v>4547</v>
      </c>
      <c r="B2" s="69" t="s">
        <v>4547</v>
      </c>
      <c r="C2" s="69" t="s">
        <v>4547</v>
      </c>
      <c r="D2" s="69" t="s">
        <v>4547</v>
      </c>
      <c r="E2" s="69" t="s">
        <v>4547</v>
      </c>
      <c r="F2" s="69" t="s">
        <v>4547</v>
      </c>
      <c r="G2" s="69" t="s">
        <v>4547</v>
      </c>
      <c r="H2" s="69" t="s">
        <v>4547</v>
      </c>
      <c r="I2" s="69" t="s">
        <v>4547</v>
      </c>
      <c r="J2" s="69" t="s">
        <v>4547</v>
      </c>
    </row>
    <row r="3" spans="1:10" ht="57.75" thickBot="1" x14ac:dyDescent="0.25">
      <c r="A3" s="70" t="s">
        <v>4698</v>
      </c>
      <c r="B3" s="70" t="s">
        <v>4699</v>
      </c>
      <c r="C3" s="70" t="s">
        <v>4700</v>
      </c>
      <c r="D3" s="70" t="s">
        <v>4701</v>
      </c>
      <c r="E3" s="70" t="s">
        <v>4702</v>
      </c>
      <c r="F3" s="70" t="s">
        <v>4703</v>
      </c>
      <c r="G3" s="70" t="s">
        <v>4704</v>
      </c>
      <c r="H3" s="70" t="s">
        <v>4705</v>
      </c>
      <c r="I3" s="70" t="s">
        <v>4706</v>
      </c>
      <c r="J3" s="70" t="s">
        <v>4707</v>
      </c>
    </row>
    <row r="4" spans="1:10" ht="57.75" thickBot="1" x14ac:dyDescent="0.25">
      <c r="A4" s="70" t="s">
        <v>4708</v>
      </c>
      <c r="B4" s="70" t="s">
        <v>4709</v>
      </c>
      <c r="C4" s="70" t="s">
        <v>4710</v>
      </c>
      <c r="D4" s="70" t="s">
        <v>4711</v>
      </c>
      <c r="E4" s="70" t="s">
        <v>4712</v>
      </c>
      <c r="F4" s="70" t="s">
        <v>4713</v>
      </c>
      <c r="G4" s="70" t="s">
        <v>4714</v>
      </c>
      <c r="H4" s="70" t="s">
        <v>4715</v>
      </c>
      <c r="I4" s="70" t="s">
        <v>4716</v>
      </c>
      <c r="J4" s="70" t="s">
        <v>4717</v>
      </c>
    </row>
    <row r="5" spans="1:10" ht="57.75" thickBot="1" x14ac:dyDescent="0.25">
      <c r="A5" s="70" t="s">
        <v>4718</v>
      </c>
      <c r="B5" s="70" t="s">
        <v>4719</v>
      </c>
      <c r="C5" s="70" t="s">
        <v>4720</v>
      </c>
      <c r="D5" s="70" t="s">
        <v>4721</v>
      </c>
      <c r="E5" s="70" t="s">
        <v>4722</v>
      </c>
      <c r="F5" s="70" t="s">
        <v>4723</v>
      </c>
      <c r="G5" s="70" t="s">
        <v>4724</v>
      </c>
      <c r="H5" s="70" t="s">
        <v>4725</v>
      </c>
      <c r="I5" s="70" t="s">
        <v>4726</v>
      </c>
      <c r="J5" s="70" t="s">
        <v>4727</v>
      </c>
    </row>
    <row r="6" spans="1:10" ht="57.75" thickBot="1" x14ac:dyDescent="0.25">
      <c r="A6" s="70" t="s">
        <v>4728</v>
      </c>
      <c r="B6" s="70" t="s">
        <v>4729</v>
      </c>
      <c r="C6" s="70" t="s">
        <v>4730</v>
      </c>
      <c r="D6" s="70" t="s">
        <v>4731</v>
      </c>
      <c r="E6" s="70" t="s">
        <v>4732</v>
      </c>
      <c r="F6" s="70" t="s">
        <v>4733</v>
      </c>
      <c r="G6" s="70" t="s">
        <v>4734</v>
      </c>
      <c r="H6" s="70" t="s">
        <v>4735</v>
      </c>
      <c r="I6" s="70" t="s">
        <v>4736</v>
      </c>
      <c r="J6" s="70" t="s">
        <v>4737</v>
      </c>
    </row>
    <row r="7" spans="1:10" ht="72" thickBot="1" x14ac:dyDescent="0.25">
      <c r="A7" s="70" t="s">
        <v>4738</v>
      </c>
      <c r="B7" s="70" t="s">
        <v>4739</v>
      </c>
      <c r="C7" s="70" t="s">
        <v>4740</v>
      </c>
      <c r="D7" s="70" t="s">
        <v>4741</v>
      </c>
      <c r="E7" s="70" t="s">
        <v>4742</v>
      </c>
      <c r="F7" s="70" t="s">
        <v>4743</v>
      </c>
      <c r="G7" s="70" t="s">
        <v>4744</v>
      </c>
      <c r="H7" s="70" t="s">
        <v>4745</v>
      </c>
      <c r="I7" s="70" t="s">
        <v>4746</v>
      </c>
      <c r="J7" s="70" t="s">
        <v>4747</v>
      </c>
    </row>
    <row r="8" spans="1:10" ht="43.5" thickBot="1" x14ac:dyDescent="0.25">
      <c r="A8" s="70" t="s">
        <v>4748</v>
      </c>
      <c r="B8" s="70" t="s">
        <v>4749</v>
      </c>
      <c r="C8" s="70" t="s">
        <v>4750</v>
      </c>
      <c r="D8" s="70" t="s">
        <v>4751</v>
      </c>
      <c r="E8" s="70" t="s">
        <v>4752</v>
      </c>
      <c r="F8" s="70" t="s">
        <v>4753</v>
      </c>
      <c r="G8" s="70" t="s">
        <v>4754</v>
      </c>
      <c r="H8" s="70" t="s">
        <v>4755</v>
      </c>
      <c r="I8" s="73"/>
      <c r="J8" s="70" t="s">
        <v>4756</v>
      </c>
    </row>
    <row r="9" spans="1:10" ht="43.5" thickBot="1" x14ac:dyDescent="0.25">
      <c r="A9" s="70" t="s">
        <v>4757</v>
      </c>
      <c r="B9" s="70" t="s">
        <v>4758</v>
      </c>
      <c r="C9" s="70" t="s">
        <v>4759</v>
      </c>
      <c r="D9" s="70" t="s">
        <v>4760</v>
      </c>
      <c r="E9" s="70" t="s">
        <v>4761</v>
      </c>
      <c r="F9" s="70" t="s">
        <v>4762</v>
      </c>
      <c r="G9" s="70" t="s">
        <v>4763</v>
      </c>
      <c r="I9" s="73"/>
      <c r="J9" s="70" t="s">
        <v>4764</v>
      </c>
    </row>
    <row r="10" spans="1:10" ht="43.5" thickBot="1" x14ac:dyDescent="0.25">
      <c r="A10" s="70" t="s">
        <v>4765</v>
      </c>
      <c r="B10" s="70" t="s">
        <v>4766</v>
      </c>
      <c r="C10" s="70" t="s">
        <v>4767</v>
      </c>
      <c r="D10" s="70" t="s">
        <v>4768</v>
      </c>
      <c r="E10" s="70" t="s">
        <v>4769</v>
      </c>
      <c r="G10" s="70" t="s">
        <v>4770</v>
      </c>
      <c r="I10" s="73"/>
    </row>
    <row r="11" spans="1:10" ht="43.5" thickBot="1" x14ac:dyDescent="0.25">
      <c r="A11" s="70" t="s">
        <v>4771</v>
      </c>
      <c r="B11" s="70" t="s">
        <v>4772</v>
      </c>
      <c r="D11" s="70" t="s">
        <v>4773</v>
      </c>
      <c r="E11" s="70" t="s">
        <v>4774</v>
      </c>
      <c r="G11" s="70" t="s">
        <v>4775</v>
      </c>
      <c r="I11" s="73"/>
    </row>
    <row r="12" spans="1:10" ht="57.75" thickBot="1" x14ac:dyDescent="0.25">
      <c r="A12" s="70" t="s">
        <v>4776</v>
      </c>
      <c r="B12" s="70" t="s">
        <v>4777</v>
      </c>
      <c r="E12" s="70" t="s">
        <v>4778</v>
      </c>
      <c r="G12" s="70" t="s">
        <v>4779</v>
      </c>
    </row>
    <row r="13" spans="1:10" ht="57.75" thickBot="1" x14ac:dyDescent="0.25">
      <c r="B13" s="70" t="s">
        <v>4780</v>
      </c>
      <c r="E13" s="70" t="s">
        <v>4781</v>
      </c>
      <c r="G13" s="70" t="s">
        <v>4782</v>
      </c>
    </row>
    <row r="14" spans="1:10" ht="57.75" thickBot="1" x14ac:dyDescent="0.25">
      <c r="B14" s="70" t="s">
        <v>4783</v>
      </c>
      <c r="E14" s="70" t="s">
        <v>4784</v>
      </c>
      <c r="G14" s="70" t="s">
        <v>4785</v>
      </c>
    </row>
    <row r="15" spans="1:10" ht="57.75" thickBot="1" x14ac:dyDescent="0.25">
      <c r="B15" s="70" t="s">
        <v>4786</v>
      </c>
      <c r="E15" s="70" t="s">
        <v>4787</v>
      </c>
      <c r="G15" s="70" t="s">
        <v>4788</v>
      </c>
    </row>
    <row r="16" spans="1:10" ht="43.5" thickBot="1" x14ac:dyDescent="0.25">
      <c r="E16" s="70" t="s">
        <v>4789</v>
      </c>
      <c r="G16" s="70" t="s">
        <v>4790</v>
      </c>
    </row>
    <row r="17" spans="5:7" ht="57.75" thickBot="1" x14ac:dyDescent="0.25">
      <c r="E17" s="70" t="s">
        <v>4791</v>
      </c>
      <c r="G17" s="70" t="s">
        <v>4792</v>
      </c>
    </row>
    <row r="18" spans="5:7" ht="72" thickBot="1" x14ac:dyDescent="0.25">
      <c r="E18" s="70" t="s">
        <v>4793</v>
      </c>
      <c r="G18" s="70" t="s">
        <v>4794</v>
      </c>
    </row>
    <row r="19" spans="5:7" ht="72" thickBot="1" x14ac:dyDescent="0.25">
      <c r="E19" s="70" t="s">
        <v>4795</v>
      </c>
      <c r="G19" s="70" t="s">
        <v>4796</v>
      </c>
    </row>
    <row r="20" spans="5:7" ht="72" thickBot="1" x14ac:dyDescent="0.25">
      <c r="E20" s="70" t="s">
        <v>4797</v>
      </c>
      <c r="G20" s="70" t="s">
        <v>4798</v>
      </c>
    </row>
    <row r="21" spans="5:7" ht="57.75" thickBot="1" x14ac:dyDescent="0.25">
      <c r="E21" s="70" t="s">
        <v>4799</v>
      </c>
      <c r="G21" s="70" t="s">
        <v>4800</v>
      </c>
    </row>
    <row r="22" spans="5:7" ht="42.75" x14ac:dyDescent="0.2">
      <c r="E22" s="70" t="s">
        <v>4801</v>
      </c>
    </row>
  </sheetData>
  <sheetProtection algorithmName="SHA-512" hashValue="YKx1Kgjrxu7fveoqz7DQGLmHE0aBEb4cCNa/6OyOmmuCCddIcDTceMTV0yAoRTo2+iPH3B67oiukfjcpuDAz3w==" saltValue="LbOkT61o6pqD7OZwz2JRoA==" spinCount="100000" sheet="1" objects="1" scenarios="1"/>
  <autoFilter ref="A1:G30" xr:uid="{00000000-0009-0000-0000-000029000000}"/>
  <pageMargins left="0.70866141732283472" right="0.70866141732283472" top="0.74803149606299213" bottom="0.74803149606299213" header="0.31496062992125984" footer="0.31496062992125984"/>
  <pageSetup paperSize="9" scale="42" orientation="portrait" r:id="rId1"/>
  <headerFooter>
    <oddFooter>&amp;L2016 Annual performance report tables, December 2015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2"/>
  <sheetViews>
    <sheetView showGridLines="0" workbookViewId="0">
      <selection activeCell="H30" sqref="H30"/>
    </sheetView>
  </sheetViews>
  <sheetFormatPr defaultColWidth="0" defaultRowHeight="14.25" zeroHeight="1" x14ac:dyDescent="0.2"/>
  <cols>
    <col min="1" max="1" width="1.625" style="83" customWidth="1"/>
    <col min="2" max="2" width="4" style="83" customWidth="1"/>
    <col min="3" max="3" width="36.25" style="83" bestFit="1" customWidth="1"/>
    <col min="4" max="5" width="5.125" style="83" customWidth="1"/>
    <col min="6" max="10" width="12.5" style="83" customWidth="1"/>
    <col min="11" max="11" width="2.625" style="83" customWidth="1"/>
    <col min="12" max="12" width="21.75" style="83" customWidth="1"/>
    <col min="13" max="13" width="1.625" style="83" customWidth="1"/>
    <col min="14" max="14" width="1.625" style="84" hidden="1" customWidth="1"/>
    <col min="15" max="17" width="8.125" style="83" hidden="1" customWidth="1"/>
    <col min="18" max="18" width="1.625" style="84" hidden="1" customWidth="1"/>
    <col min="19" max="22" width="8.75" style="83" hidden="1" customWidth="1"/>
    <col min="23" max="16384" width="8.125" style="83" hidden="1"/>
  </cols>
  <sheetData>
    <row r="1" spans="2:17" ht="20.25" x14ac:dyDescent="0.2">
      <c r="B1" s="79" t="s">
        <v>71</v>
      </c>
      <c r="C1" s="79"/>
      <c r="D1" s="79"/>
      <c r="E1" s="79"/>
      <c r="F1" s="79"/>
      <c r="G1" s="79"/>
      <c r="H1" s="79"/>
      <c r="I1" s="79"/>
      <c r="J1" s="81" t="str">
        <f>Validation!B3</f>
        <v>Yorkshire Water</v>
      </c>
      <c r="K1" s="79"/>
      <c r="L1" s="82" t="s">
        <v>72</v>
      </c>
    </row>
    <row r="2" spans="2:17" ht="15" thickBot="1" x14ac:dyDescent="0.25">
      <c r="B2" s="86" t="s">
        <v>55</v>
      </c>
    </row>
    <row r="3" spans="2:17" ht="14.65" customHeight="1" x14ac:dyDescent="0.2">
      <c r="B3" s="881" t="s">
        <v>73</v>
      </c>
      <c r="C3" s="882"/>
      <c r="D3" s="885" t="s">
        <v>74</v>
      </c>
      <c r="E3" s="887" t="s">
        <v>75</v>
      </c>
      <c r="F3" s="889" t="s">
        <v>76</v>
      </c>
      <c r="G3" s="891" t="s">
        <v>77</v>
      </c>
      <c r="H3" s="892"/>
      <c r="I3" s="893"/>
      <c r="J3" s="894" t="s">
        <v>78</v>
      </c>
      <c r="L3" s="894" t="s">
        <v>79</v>
      </c>
    </row>
    <row r="4" spans="2:17" ht="54.75" thickBot="1" x14ac:dyDescent="0.25">
      <c r="B4" s="883"/>
      <c r="C4" s="884"/>
      <c r="D4" s="886"/>
      <c r="E4" s="888"/>
      <c r="F4" s="890"/>
      <c r="G4" s="846" t="s">
        <v>80</v>
      </c>
      <c r="H4" s="91" t="s">
        <v>81</v>
      </c>
      <c r="I4" s="847" t="s">
        <v>82</v>
      </c>
      <c r="J4" s="895"/>
      <c r="L4" s="895"/>
      <c r="O4" s="896" t="s">
        <v>83</v>
      </c>
      <c r="P4" s="896"/>
      <c r="Q4" s="896"/>
    </row>
    <row r="5" spans="2:17" ht="15" thickBot="1" x14ac:dyDescent="0.25">
      <c r="O5" s="97" t="s">
        <v>84</v>
      </c>
      <c r="P5" s="132"/>
      <c r="Q5" s="132"/>
    </row>
    <row r="6" spans="2:17" x14ac:dyDescent="0.2">
      <c r="B6" s="98">
        <v>1</v>
      </c>
      <c r="C6" s="128" t="s">
        <v>85</v>
      </c>
      <c r="D6" s="100" t="s">
        <v>86</v>
      </c>
      <c r="E6" s="101">
        <v>3</v>
      </c>
      <c r="F6" s="509">
        <v>1003.1</v>
      </c>
      <c r="G6" s="441">
        <v>-5.26</v>
      </c>
      <c r="H6" s="452">
        <v>12.691000000000003</v>
      </c>
      <c r="I6" s="199">
        <f xml:space="preserve"> G6 - H6</f>
        <v>-17.951000000000001</v>
      </c>
      <c r="J6" s="206">
        <f xml:space="preserve"> F6 + I6</f>
        <v>985.149</v>
      </c>
      <c r="L6" s="28">
        <f t="shared" ref="L6:L8" si="0" xml:space="preserve"> IF( SUM( N6:R6 ) = 0, 0, $O$5 )</f>
        <v>0</v>
      </c>
      <c r="O6" s="105">
        <f xml:space="preserve"> IF( ISNUMBER( F6 ), 0, 1 )</f>
        <v>0</v>
      </c>
      <c r="P6" s="105">
        <f t="shared" ref="P6:Q8" si="1" xml:space="preserve"> IF( ISNUMBER( G6 ), 0, 1 )</f>
        <v>0</v>
      </c>
      <c r="Q6" s="105">
        <f t="shared" si="1"/>
        <v>0</v>
      </c>
    </row>
    <row r="7" spans="2:17" x14ac:dyDescent="0.2">
      <c r="B7" s="106">
        <f xml:space="preserve"> B6 + 1</f>
        <v>2</v>
      </c>
      <c r="C7" s="99" t="s">
        <v>87</v>
      </c>
      <c r="D7" s="107" t="s">
        <v>86</v>
      </c>
      <c r="E7" s="108">
        <v>3</v>
      </c>
      <c r="F7" s="510">
        <v>-733.94800000000009</v>
      </c>
      <c r="G7" s="439">
        <v>4.1959999999999997</v>
      </c>
      <c r="H7" s="440">
        <v>-10.927</v>
      </c>
      <c r="I7" s="202">
        <f xml:space="preserve"> G7 - H7</f>
        <v>15.122999999999999</v>
      </c>
      <c r="J7" s="207">
        <f t="shared" ref="J7:J22" si="2" xml:space="preserve"> F7 + I7</f>
        <v>-718.82500000000005</v>
      </c>
      <c r="L7" s="28">
        <f t="shared" si="0"/>
        <v>0</v>
      </c>
      <c r="O7" s="105">
        <f t="shared" ref="O7:O8" si="3" xml:space="preserve"> IF( ISNUMBER( F7 ), 0, 1 )</f>
        <v>0</v>
      </c>
      <c r="P7" s="105">
        <f t="shared" si="1"/>
        <v>0</v>
      </c>
      <c r="Q7" s="105">
        <f t="shared" si="1"/>
        <v>0</v>
      </c>
    </row>
    <row r="8" spans="2:17" x14ac:dyDescent="0.2">
      <c r="B8" s="106">
        <f t="shared" ref="B8:B22" si="4" xml:space="preserve"> B7 + 1</f>
        <v>3</v>
      </c>
      <c r="C8" s="99" t="s">
        <v>88</v>
      </c>
      <c r="D8" s="107" t="s">
        <v>86</v>
      </c>
      <c r="E8" s="108">
        <v>3</v>
      </c>
      <c r="F8" s="510">
        <v>48.063000000000002</v>
      </c>
      <c r="G8" s="439">
        <v>0</v>
      </c>
      <c r="H8" s="440">
        <v>0</v>
      </c>
      <c r="I8" s="202">
        <f xml:space="preserve"> G8 - H8</f>
        <v>0</v>
      </c>
      <c r="J8" s="207">
        <f t="shared" si="2"/>
        <v>48.063000000000002</v>
      </c>
      <c r="L8" s="28">
        <f t="shared" si="0"/>
        <v>0</v>
      </c>
      <c r="O8" s="105">
        <f t="shared" si="3"/>
        <v>0</v>
      </c>
      <c r="P8" s="105">
        <f t="shared" si="1"/>
        <v>0</v>
      </c>
      <c r="Q8" s="105">
        <f t="shared" si="1"/>
        <v>0</v>
      </c>
    </row>
    <row r="9" spans="2:17" ht="15" thickBot="1" x14ac:dyDescent="0.25">
      <c r="B9" s="113">
        <f t="shared" si="4"/>
        <v>4</v>
      </c>
      <c r="C9" s="114" t="s">
        <v>89</v>
      </c>
      <c r="D9" s="115" t="s">
        <v>86</v>
      </c>
      <c r="E9" s="112">
        <v>3</v>
      </c>
      <c r="F9" s="208">
        <f>SUM( F6:F8 )</f>
        <v>317.21499999999992</v>
      </c>
      <c r="G9" s="203">
        <f>SUM( G6:G8 )</f>
        <v>-1.0640000000000001</v>
      </c>
      <c r="H9" s="204">
        <f>SUM( H6:H8 )</f>
        <v>1.7640000000000029</v>
      </c>
      <c r="I9" s="205">
        <f xml:space="preserve"> G9 - H9</f>
        <v>-2.828000000000003</v>
      </c>
      <c r="J9" s="208">
        <f xml:space="preserve"> F9 + I9</f>
        <v>314.38699999999994</v>
      </c>
      <c r="L9" s="135"/>
      <c r="O9" s="132"/>
      <c r="P9" s="132"/>
      <c r="Q9" s="132"/>
    </row>
    <row r="10" spans="2:17" ht="15" thickBot="1" x14ac:dyDescent="0.25">
      <c r="L10" s="135"/>
      <c r="O10" s="132"/>
      <c r="P10" s="132"/>
      <c r="Q10" s="132"/>
    </row>
    <row r="11" spans="2:17" x14ac:dyDescent="0.2">
      <c r="B11" s="98">
        <f xml:space="preserve"> B9 + 1</f>
        <v>5</v>
      </c>
      <c r="C11" s="128" t="s">
        <v>90</v>
      </c>
      <c r="D11" s="100" t="s">
        <v>86</v>
      </c>
      <c r="E11" s="101">
        <v>3</v>
      </c>
      <c r="F11" s="505">
        <v>0</v>
      </c>
      <c r="G11" s="441">
        <v>10.167</v>
      </c>
      <c r="H11" s="452">
        <v>8.1000000000000003E-2</v>
      </c>
      <c r="I11" s="199">
        <f xml:space="preserve"> G11 - H11</f>
        <v>10.086</v>
      </c>
      <c r="J11" s="206">
        <f xml:space="preserve"> F11 + I11</f>
        <v>10.086</v>
      </c>
      <c r="L11" s="28">
        <f t="shared" ref="L11:L13" si="5" xml:space="preserve"> IF( SUM( N11:R11 ) = 0, 0, $O$5 )</f>
        <v>0</v>
      </c>
      <c r="O11" s="105">
        <f xml:space="preserve"> IF( ISNUMBER( F11 ), 0, 1 )</f>
        <v>0</v>
      </c>
      <c r="P11" s="105">
        <f t="shared" ref="P11:Q14" si="6" xml:space="preserve"> IF( ISNUMBER( G11 ), 0, 1 )</f>
        <v>0</v>
      </c>
      <c r="Q11" s="105">
        <f t="shared" si="6"/>
        <v>0</v>
      </c>
    </row>
    <row r="12" spans="2:17" x14ac:dyDescent="0.2">
      <c r="B12" s="106">
        <f t="shared" si="4"/>
        <v>6</v>
      </c>
      <c r="C12" s="99" t="s">
        <v>91</v>
      </c>
      <c r="D12" s="107" t="s">
        <v>86</v>
      </c>
      <c r="E12" s="108">
        <v>3</v>
      </c>
      <c r="F12" s="501">
        <v>80.286000000000001</v>
      </c>
      <c r="G12" s="439">
        <v>0</v>
      </c>
      <c r="H12" s="440">
        <v>0</v>
      </c>
      <c r="I12" s="202">
        <f xml:space="preserve"> G12 - H12</f>
        <v>0</v>
      </c>
      <c r="J12" s="207">
        <f xml:space="preserve"> F12 + I12</f>
        <v>80.286000000000001</v>
      </c>
      <c r="L12" s="28">
        <f t="shared" si="5"/>
        <v>0</v>
      </c>
      <c r="O12" s="105">
        <f t="shared" ref="O12:O14" si="7" xml:space="preserve"> IF( ISNUMBER( F12 ), 0, 1 )</f>
        <v>0</v>
      </c>
      <c r="P12" s="105">
        <f t="shared" si="6"/>
        <v>0</v>
      </c>
      <c r="Q12" s="105">
        <f t="shared" si="6"/>
        <v>0</v>
      </c>
    </row>
    <row r="13" spans="2:17" x14ac:dyDescent="0.2">
      <c r="B13" s="106">
        <f t="shared" si="4"/>
        <v>7</v>
      </c>
      <c r="C13" s="99" t="s">
        <v>92</v>
      </c>
      <c r="D13" s="107" t="s">
        <v>86</v>
      </c>
      <c r="E13" s="108">
        <v>3</v>
      </c>
      <c r="F13" s="501">
        <v>-293.80099999999999</v>
      </c>
      <c r="G13" s="439">
        <v>-11.706</v>
      </c>
      <c r="H13" s="440">
        <v>0</v>
      </c>
      <c r="I13" s="202">
        <f xml:space="preserve"> G13 - H13</f>
        <v>-11.706</v>
      </c>
      <c r="J13" s="207">
        <f t="shared" si="2"/>
        <v>-305.50700000000001</v>
      </c>
      <c r="L13" s="28">
        <f t="shared" si="5"/>
        <v>0</v>
      </c>
      <c r="O13" s="105">
        <f t="shared" si="7"/>
        <v>0</v>
      </c>
      <c r="P13" s="105">
        <f t="shared" si="6"/>
        <v>0</v>
      </c>
      <c r="Q13" s="105">
        <f t="shared" si="6"/>
        <v>0</v>
      </c>
    </row>
    <row r="14" spans="2:17" x14ac:dyDescent="0.2">
      <c r="B14" s="106">
        <f t="shared" si="4"/>
        <v>8</v>
      </c>
      <c r="C14" s="99" t="s">
        <v>93</v>
      </c>
      <c r="D14" s="107" t="s">
        <v>86</v>
      </c>
      <c r="E14" s="108">
        <v>3</v>
      </c>
      <c r="F14" s="501">
        <v>0</v>
      </c>
      <c r="G14" s="439">
        <v>0</v>
      </c>
      <c r="H14" s="440">
        <v>0</v>
      </c>
      <c r="I14" s="202">
        <f xml:space="preserve"> G14 - H14</f>
        <v>0</v>
      </c>
      <c r="J14" s="207">
        <f t="shared" si="2"/>
        <v>0</v>
      </c>
      <c r="L14" s="28">
        <f xml:space="preserve"> IF( SUM( N14:R14 ) = 0, 0, $O$5 )</f>
        <v>0</v>
      </c>
      <c r="O14" s="105">
        <f t="shared" si="7"/>
        <v>0</v>
      </c>
      <c r="P14" s="105">
        <f t="shared" si="6"/>
        <v>0</v>
      </c>
      <c r="Q14" s="105">
        <f t="shared" si="6"/>
        <v>0</v>
      </c>
    </row>
    <row r="15" spans="2:17" ht="15" thickBot="1" x14ac:dyDescent="0.25">
      <c r="B15" s="113">
        <f t="shared" si="4"/>
        <v>9</v>
      </c>
      <c r="C15" s="114" t="s">
        <v>94</v>
      </c>
      <c r="D15" s="115" t="s">
        <v>86</v>
      </c>
      <c r="E15" s="112">
        <v>3</v>
      </c>
      <c r="F15" s="205">
        <f xml:space="preserve"> F9 + SUM( F11:F14 )</f>
        <v>103.69999999999993</v>
      </c>
      <c r="G15" s="210">
        <f xml:space="preserve"> G9 + SUM( G11:G14 )</f>
        <v>-2.6029999999999998</v>
      </c>
      <c r="H15" s="203">
        <f xml:space="preserve"> H9 + SUM( H11:H14 )</f>
        <v>1.8450000000000029</v>
      </c>
      <c r="I15" s="205">
        <f xml:space="preserve"> G15 - H15</f>
        <v>-4.4480000000000022</v>
      </c>
      <c r="J15" s="208">
        <f t="shared" si="2"/>
        <v>99.251999999999924</v>
      </c>
      <c r="L15" s="135"/>
      <c r="O15" s="132"/>
      <c r="P15" s="132"/>
      <c r="Q15" s="132"/>
    </row>
    <row r="16" spans="2:17" ht="15" thickBot="1" x14ac:dyDescent="0.25">
      <c r="L16" s="135"/>
      <c r="O16" s="132"/>
      <c r="P16" s="132"/>
      <c r="Q16" s="132"/>
    </row>
    <row r="17" spans="2:18" x14ac:dyDescent="0.2">
      <c r="B17" s="98">
        <f xml:space="preserve"> B15 + 1</f>
        <v>10</v>
      </c>
      <c r="C17" s="128" t="s">
        <v>95</v>
      </c>
      <c r="D17" s="100" t="s">
        <v>86</v>
      </c>
      <c r="E17" s="101">
        <v>3</v>
      </c>
      <c r="F17" s="509">
        <v>-466.53500000000003</v>
      </c>
      <c r="G17" s="441">
        <v>0</v>
      </c>
      <c r="H17" s="452">
        <v>0</v>
      </c>
      <c r="I17" s="199">
        <f xml:space="preserve"> G17 - H17</f>
        <v>0</v>
      </c>
      <c r="J17" s="209">
        <f t="shared" si="2"/>
        <v>-466.53500000000003</v>
      </c>
      <c r="L17" s="28">
        <f t="shared" ref="L17" si="8" xml:space="preserve"> IF( SUM( N17:R17 ) = 0, 0, $O$5 )</f>
        <v>0</v>
      </c>
      <c r="O17" s="105">
        <f t="shared" ref="O17:Q17" si="9" xml:space="preserve"> IF( ISNUMBER( F17 ), 0, 1 )</f>
        <v>0</v>
      </c>
      <c r="P17" s="105">
        <f t="shared" si="9"/>
        <v>0</v>
      </c>
      <c r="Q17" s="105">
        <f t="shared" si="9"/>
        <v>0</v>
      </c>
    </row>
    <row r="18" spans="2:18" ht="15" thickBot="1" x14ac:dyDescent="0.25">
      <c r="B18" s="113">
        <f t="shared" si="4"/>
        <v>11</v>
      </c>
      <c r="C18" s="114" t="s">
        <v>96</v>
      </c>
      <c r="D18" s="115" t="s">
        <v>86</v>
      </c>
      <c r="E18" s="112">
        <v>3</v>
      </c>
      <c r="F18" s="208">
        <f xml:space="preserve"> F15 + F17</f>
        <v>-362.83500000000009</v>
      </c>
      <c r="G18" s="203">
        <f xml:space="preserve"> G15 + G17</f>
        <v>-2.6029999999999998</v>
      </c>
      <c r="H18" s="204">
        <f xml:space="preserve"> H15 + H17</f>
        <v>1.8450000000000029</v>
      </c>
      <c r="I18" s="205">
        <f xml:space="preserve"> G18 - H18</f>
        <v>-4.4480000000000022</v>
      </c>
      <c r="J18" s="210">
        <f t="shared" si="2"/>
        <v>-367.28300000000007</v>
      </c>
      <c r="L18" s="135"/>
      <c r="O18" s="132"/>
      <c r="P18" s="132"/>
      <c r="Q18" s="132"/>
    </row>
    <row r="19" spans="2:18" ht="15" thickBot="1" x14ac:dyDescent="0.25">
      <c r="L19" s="135"/>
      <c r="O19" s="132"/>
      <c r="P19" s="132"/>
      <c r="Q19" s="132"/>
    </row>
    <row r="20" spans="2:18" x14ac:dyDescent="0.2">
      <c r="B20" s="98">
        <f xml:space="preserve"> B18 + 1</f>
        <v>12</v>
      </c>
      <c r="C20" s="128" t="s">
        <v>97</v>
      </c>
      <c r="D20" s="100" t="s">
        <v>86</v>
      </c>
      <c r="E20" s="101">
        <v>3</v>
      </c>
      <c r="F20" s="509">
        <v>0</v>
      </c>
      <c r="G20" s="441">
        <v>0</v>
      </c>
      <c r="H20" s="452">
        <v>0</v>
      </c>
      <c r="I20" s="199">
        <f xml:space="preserve"> G20 - H20</f>
        <v>0</v>
      </c>
      <c r="J20" s="209">
        <f t="shared" si="2"/>
        <v>0</v>
      </c>
      <c r="L20" s="28">
        <f t="shared" ref="L20:L21" si="10" xml:space="preserve"> IF( SUM( N20:R20 ) = 0, 0, $O$5 )</f>
        <v>0</v>
      </c>
      <c r="O20" s="105">
        <f t="shared" ref="O20:Q21" si="11" xml:space="preserve"> IF( ISNUMBER( F20 ), 0, 1 )</f>
        <v>0</v>
      </c>
      <c r="P20" s="105">
        <f t="shared" si="11"/>
        <v>0</v>
      </c>
      <c r="Q20" s="105">
        <f t="shared" si="11"/>
        <v>0</v>
      </c>
    </row>
    <row r="21" spans="2:18" x14ac:dyDescent="0.2">
      <c r="B21" s="106">
        <f t="shared" si="4"/>
        <v>13</v>
      </c>
      <c r="C21" s="99" t="s">
        <v>98</v>
      </c>
      <c r="D21" s="107" t="s">
        <v>86</v>
      </c>
      <c r="E21" s="108">
        <v>3</v>
      </c>
      <c r="F21" s="510">
        <v>101.53100000000001</v>
      </c>
      <c r="G21" s="439">
        <v>-1.613</v>
      </c>
      <c r="H21" s="440">
        <v>0</v>
      </c>
      <c r="I21" s="202">
        <f xml:space="preserve"> G21 - H21</f>
        <v>-1.613</v>
      </c>
      <c r="J21" s="249">
        <f t="shared" si="2"/>
        <v>99.918000000000006</v>
      </c>
      <c r="L21" s="28">
        <f t="shared" si="10"/>
        <v>0</v>
      </c>
      <c r="O21" s="105">
        <f t="shared" si="11"/>
        <v>0</v>
      </c>
      <c r="P21" s="105">
        <f t="shared" si="11"/>
        <v>0</v>
      </c>
      <c r="Q21" s="105">
        <f t="shared" si="11"/>
        <v>0</v>
      </c>
    </row>
    <row r="22" spans="2:18" ht="15" thickBot="1" x14ac:dyDescent="0.25">
      <c r="B22" s="113">
        <f t="shared" si="4"/>
        <v>14</v>
      </c>
      <c r="C22" s="114" t="s">
        <v>99</v>
      </c>
      <c r="D22" s="115" t="s">
        <v>86</v>
      </c>
      <c r="E22" s="112">
        <v>3</v>
      </c>
      <c r="F22" s="208">
        <f xml:space="preserve"> F18 + (SUM( F20:F21 ))</f>
        <v>-261.30400000000009</v>
      </c>
      <c r="G22" s="203">
        <f xml:space="preserve"> G18 + (SUM( G20:G21 ))</f>
        <v>-4.2159999999999993</v>
      </c>
      <c r="H22" s="204">
        <f xml:space="preserve"> H18 + (SUM( H20:H21 ))</f>
        <v>1.8450000000000029</v>
      </c>
      <c r="I22" s="205">
        <f xml:space="preserve"> G22 - H22</f>
        <v>-6.0610000000000017</v>
      </c>
      <c r="J22" s="210">
        <f t="shared" si="2"/>
        <v>-267.36500000000007</v>
      </c>
      <c r="L22" s="135"/>
    </row>
    <row r="23" spans="2:18" s="122" customFormat="1" ht="15" thickBot="1" x14ac:dyDescent="0.25">
      <c r="C23" s="158"/>
      <c r="G23" s="169"/>
      <c r="I23" s="129"/>
      <c r="J23" s="129"/>
      <c r="K23" s="129"/>
      <c r="L23" s="135"/>
      <c r="M23" s="129"/>
      <c r="N23" s="133"/>
      <c r="O23" s="290"/>
      <c r="R23" s="133"/>
    </row>
    <row r="24" spans="2:18" s="122" customFormat="1" ht="15" thickBot="1" x14ac:dyDescent="0.25">
      <c r="B24" s="651">
        <f xml:space="preserve"> B22 + 1</f>
        <v>15</v>
      </c>
      <c r="C24" s="652" t="s">
        <v>100</v>
      </c>
      <c r="D24" s="140" t="s">
        <v>86</v>
      </c>
      <c r="E24" s="141">
        <v>3</v>
      </c>
      <c r="F24" s="454">
        <v>-139.077</v>
      </c>
      <c r="G24" s="489">
        <v>0</v>
      </c>
      <c r="H24" s="498">
        <v>-3.238</v>
      </c>
      <c r="I24" s="255">
        <f xml:space="preserve"> G24 - H24</f>
        <v>3.238</v>
      </c>
      <c r="J24" s="529">
        <f t="shared" ref="J24" si="12" xml:space="preserve"> F24 + I24</f>
        <v>-135.839</v>
      </c>
      <c r="K24" s="83"/>
      <c r="L24" s="28">
        <f t="shared" ref="L24" si="13" xml:space="preserve"> IF( SUM( N24:R24 ) = 0, 0, $O$5 )</f>
        <v>0</v>
      </c>
      <c r="M24" s="129"/>
      <c r="N24" s="133"/>
      <c r="O24" s="105">
        <f t="shared" ref="O24" si="14" xml:space="preserve"> IF( ISNUMBER( F24 ), 0, 1 )</f>
        <v>0</v>
      </c>
      <c r="P24" s="105">
        <f t="shared" ref="P24" si="15" xml:space="preserve"> IF( ISNUMBER( G24 ), 0, 1 )</f>
        <v>0</v>
      </c>
      <c r="Q24" s="105">
        <f t="shared" ref="Q24" si="16" xml:space="preserve"> IF( ISNUMBER( H24 ), 0, 1 )</f>
        <v>0</v>
      </c>
      <c r="R24" s="133"/>
    </row>
    <row r="25" spans="2:18" s="122" customFormat="1" x14ac:dyDescent="0.2">
      <c r="C25" s="158"/>
      <c r="G25" s="169"/>
      <c r="I25" s="129"/>
      <c r="J25" s="129"/>
      <c r="K25" s="129"/>
      <c r="L25" s="135"/>
      <c r="M25" s="129"/>
      <c r="N25" s="133"/>
      <c r="O25" s="290"/>
      <c r="R25" s="133"/>
    </row>
    <row r="26" spans="2:18" s="169" customFormat="1" ht="13.5" x14ac:dyDescent="0.2">
      <c r="B26" s="897" t="s">
        <v>101</v>
      </c>
      <c r="C26" s="897"/>
      <c r="I26" s="135"/>
      <c r="J26" s="135"/>
      <c r="K26" s="135"/>
      <c r="L26" s="135"/>
      <c r="M26" s="135"/>
      <c r="N26" s="130"/>
      <c r="O26" s="212"/>
      <c r="R26" s="130"/>
    </row>
    <row r="27" spans="2:18" s="169" customFormat="1" ht="12" x14ac:dyDescent="0.2">
      <c r="B27" s="146"/>
      <c r="C27" s="147"/>
      <c r="I27" s="135"/>
      <c r="J27" s="135"/>
      <c r="K27" s="135"/>
      <c r="L27" s="135"/>
      <c r="M27" s="135"/>
      <c r="N27" s="130"/>
      <c r="O27" s="212"/>
      <c r="R27" s="130"/>
    </row>
    <row r="28" spans="2:18" s="169" customFormat="1" ht="12" x14ac:dyDescent="0.2">
      <c r="B28" s="29"/>
      <c r="C28" s="148" t="s">
        <v>102</v>
      </c>
      <c r="I28" s="135"/>
      <c r="J28" s="135"/>
      <c r="K28" s="135"/>
      <c r="L28" s="135"/>
      <c r="M28" s="135"/>
      <c r="N28" s="130"/>
      <c r="O28" s="212"/>
      <c r="R28" s="130"/>
    </row>
    <row r="29" spans="2:18" s="169" customFormat="1" ht="12" x14ac:dyDescent="0.2">
      <c r="B29" s="146"/>
      <c r="C29" s="147"/>
      <c r="I29" s="135"/>
      <c r="J29" s="135"/>
      <c r="K29" s="135"/>
      <c r="L29" s="135"/>
      <c r="M29" s="135"/>
      <c r="N29" s="130"/>
      <c r="O29" s="212"/>
      <c r="R29" s="130"/>
    </row>
    <row r="30" spans="2:18" s="169" customFormat="1" ht="12" x14ac:dyDescent="0.2">
      <c r="B30" s="149"/>
      <c r="C30" s="148" t="s">
        <v>103</v>
      </c>
      <c r="I30" s="135"/>
      <c r="J30" s="135"/>
      <c r="K30" s="135"/>
      <c r="L30" s="135"/>
      <c r="M30" s="135"/>
      <c r="N30" s="130"/>
      <c r="O30" s="212"/>
      <c r="R30" s="130"/>
    </row>
    <row r="31" spans="2:18" s="169" customFormat="1" ht="12" x14ac:dyDescent="0.2">
      <c r="B31" s="150"/>
      <c r="C31" s="148"/>
      <c r="I31" s="135"/>
      <c r="J31" s="135"/>
      <c r="K31" s="135"/>
      <c r="L31" s="135"/>
      <c r="M31" s="135"/>
      <c r="N31" s="130"/>
      <c r="O31" s="212"/>
      <c r="R31" s="130"/>
    </row>
    <row r="32" spans="2:18" s="169" customFormat="1" ht="12" x14ac:dyDescent="0.2">
      <c r="B32" s="151"/>
      <c r="C32" s="148" t="s">
        <v>104</v>
      </c>
      <c r="I32" s="135"/>
      <c r="J32" s="135"/>
      <c r="K32" s="135"/>
      <c r="L32" s="135"/>
      <c r="M32" s="135"/>
      <c r="N32" s="130"/>
      <c r="O32" s="212"/>
      <c r="R32" s="130"/>
    </row>
    <row r="33" spans="1:18" s="186" customFormat="1" ht="12.75" x14ac:dyDescent="0.2">
      <c r="A33" s="156"/>
      <c r="B33" s="156"/>
      <c r="C33" s="157"/>
      <c r="I33" s="137"/>
      <c r="J33" s="137"/>
      <c r="K33" s="137"/>
      <c r="L33" s="135"/>
      <c r="M33" s="135"/>
      <c r="N33" s="130"/>
      <c r="O33" s="309"/>
      <c r="R33" s="130"/>
    </row>
    <row r="34" spans="1:18" s="186" customFormat="1" ht="13.5" thickBot="1" x14ac:dyDescent="0.25">
      <c r="C34" s="187"/>
      <c r="I34" s="137"/>
      <c r="J34" s="137"/>
      <c r="K34" s="137"/>
      <c r="L34" s="135"/>
      <c r="M34" s="135"/>
      <c r="N34" s="130"/>
      <c r="O34" s="309"/>
      <c r="R34" s="130"/>
    </row>
    <row r="35" spans="1:18" s="122" customFormat="1" ht="21" thickBot="1" x14ac:dyDescent="0.25">
      <c r="B35" s="152" t="str">
        <f ca="1" xml:space="preserve"> RIGHT(CELL("filename", $A$1), LEN(CELL("filename", $A$1)) - SEARCH("]", CELL("filename", $A$1)))&amp;" - Line definitions"</f>
        <v>1A - Line definitions</v>
      </c>
      <c r="C35" s="153"/>
      <c r="D35" s="154"/>
      <c r="E35" s="154"/>
      <c r="F35" s="154"/>
      <c r="G35" s="154"/>
      <c r="H35" s="154"/>
      <c r="I35" s="154"/>
      <c r="J35" s="160"/>
      <c r="K35" s="129"/>
      <c r="L35" s="131"/>
      <c r="M35" s="129"/>
      <c r="N35" s="133"/>
      <c r="O35" s="290"/>
      <c r="R35" s="133"/>
    </row>
    <row r="36" spans="1:18" s="122" customFormat="1" ht="15" thickBot="1" x14ac:dyDescent="0.25">
      <c r="B36" s="87"/>
      <c r="C36" s="161"/>
      <c r="D36" s="87"/>
      <c r="E36" s="87"/>
      <c r="F36" s="87"/>
      <c r="I36" s="129"/>
      <c r="J36" s="129"/>
      <c r="K36" s="129"/>
      <c r="L36" s="131"/>
      <c r="M36" s="129"/>
      <c r="N36" s="133"/>
      <c r="O36" s="290"/>
      <c r="R36" s="133"/>
    </row>
    <row r="37" spans="1:18" s="186" customFormat="1" thickBot="1" x14ac:dyDescent="0.25">
      <c r="B37" s="295" t="s">
        <v>105</v>
      </c>
      <c r="C37" s="854" t="s">
        <v>106</v>
      </c>
      <c r="D37" s="855"/>
      <c r="E37" s="855"/>
      <c r="F37" s="855"/>
      <c r="G37" s="855"/>
      <c r="H37" s="855"/>
      <c r="I37" s="855"/>
      <c r="J37" s="163"/>
      <c r="K37" s="352"/>
      <c r="L37" s="137"/>
      <c r="M37" s="129"/>
      <c r="N37" s="133"/>
      <c r="O37" s="97" t="s">
        <v>107</v>
      </c>
      <c r="R37" s="133"/>
    </row>
    <row r="38" spans="1:18" s="122" customFormat="1" ht="38.25" x14ac:dyDescent="0.2">
      <c r="B38" s="189">
        <f>B6</f>
        <v>1</v>
      </c>
      <c r="C38" s="898" t="s">
        <v>108</v>
      </c>
      <c r="D38" s="898"/>
      <c r="E38" s="898"/>
      <c r="F38" s="898"/>
      <c r="G38" s="898"/>
      <c r="H38" s="898"/>
      <c r="I38" s="898"/>
      <c r="J38" s="899"/>
      <c r="K38" s="355"/>
      <c r="L38" s="131"/>
      <c r="M38" s="129"/>
      <c r="N38" s="425"/>
      <c r="O38" s="168" t="s">
        <v>109</v>
      </c>
      <c r="R38" s="133"/>
    </row>
    <row r="39" spans="1:18" s="122" customFormat="1" x14ac:dyDescent="0.2">
      <c r="B39" s="166">
        <f>B7</f>
        <v>2</v>
      </c>
      <c r="C39" s="877" t="s">
        <v>110</v>
      </c>
      <c r="D39" s="877"/>
      <c r="E39" s="877"/>
      <c r="F39" s="877"/>
      <c r="G39" s="877"/>
      <c r="H39" s="877"/>
      <c r="I39" s="877"/>
      <c r="J39" s="878"/>
      <c r="K39" s="356"/>
      <c r="L39" s="131"/>
      <c r="M39" s="129"/>
      <c r="N39" s="425"/>
      <c r="O39" s="215">
        <v>1</v>
      </c>
      <c r="R39" s="133"/>
    </row>
    <row r="40" spans="1:18" s="122" customFormat="1" ht="25.5" x14ac:dyDescent="0.2">
      <c r="B40" s="166">
        <f>B8</f>
        <v>3</v>
      </c>
      <c r="C40" s="877" t="s">
        <v>111</v>
      </c>
      <c r="D40" s="877"/>
      <c r="E40" s="877"/>
      <c r="F40" s="877"/>
      <c r="G40" s="877"/>
      <c r="H40" s="877"/>
      <c r="I40" s="877"/>
      <c r="J40" s="878"/>
      <c r="K40" s="355"/>
      <c r="L40" s="131"/>
      <c r="M40" s="129"/>
      <c r="N40" s="425"/>
      <c r="O40" s="216" t="s">
        <v>112</v>
      </c>
      <c r="R40" s="133"/>
    </row>
    <row r="41" spans="1:18" s="131" customFormat="1" x14ac:dyDescent="0.2">
      <c r="B41" s="166">
        <f>B9</f>
        <v>4</v>
      </c>
      <c r="C41" s="877" t="s">
        <v>113</v>
      </c>
      <c r="D41" s="877"/>
      <c r="E41" s="877"/>
      <c r="F41" s="877"/>
      <c r="G41" s="877"/>
      <c r="H41" s="877"/>
      <c r="I41" s="877"/>
      <c r="J41" s="878"/>
      <c r="K41" s="356"/>
      <c r="M41" s="129"/>
      <c r="N41" s="425"/>
      <c r="O41" s="215">
        <v>1</v>
      </c>
      <c r="R41" s="133"/>
    </row>
    <row r="42" spans="1:18" s="131" customFormat="1" ht="40.9" customHeight="1" x14ac:dyDescent="0.2">
      <c r="B42" s="166">
        <f>B11</f>
        <v>5</v>
      </c>
      <c r="C42" s="879" t="s">
        <v>114</v>
      </c>
      <c r="D42" s="879"/>
      <c r="E42" s="879"/>
      <c r="F42" s="879"/>
      <c r="G42" s="879"/>
      <c r="H42" s="879"/>
      <c r="I42" s="879"/>
      <c r="J42" s="880"/>
      <c r="K42" s="356"/>
      <c r="M42" s="129"/>
      <c r="N42" s="425"/>
      <c r="O42" s="168" t="s">
        <v>109</v>
      </c>
      <c r="R42" s="133"/>
    </row>
    <row r="43" spans="1:18" s="131" customFormat="1" x14ac:dyDescent="0.2">
      <c r="B43" s="166">
        <f>B12</f>
        <v>6</v>
      </c>
      <c r="C43" s="877" t="s">
        <v>115</v>
      </c>
      <c r="D43" s="877"/>
      <c r="E43" s="877"/>
      <c r="F43" s="877"/>
      <c r="G43" s="877"/>
      <c r="H43" s="877"/>
      <c r="I43" s="877"/>
      <c r="J43" s="878"/>
      <c r="K43" s="356"/>
      <c r="M43" s="129"/>
      <c r="N43" s="425"/>
      <c r="O43" s="215">
        <v>1</v>
      </c>
      <c r="R43" s="133"/>
    </row>
    <row r="44" spans="1:18" x14ac:dyDescent="0.2">
      <c r="B44" s="166">
        <f>B13</f>
        <v>7</v>
      </c>
      <c r="C44" s="877" t="s">
        <v>116</v>
      </c>
      <c r="D44" s="877"/>
      <c r="E44" s="877"/>
      <c r="F44" s="877"/>
      <c r="G44" s="877"/>
      <c r="H44" s="877"/>
      <c r="I44" s="877"/>
      <c r="J44" s="878"/>
      <c r="K44" s="324"/>
      <c r="N44" s="426"/>
      <c r="O44" s="165">
        <v>1</v>
      </c>
    </row>
    <row r="45" spans="1:18" ht="51" x14ac:dyDescent="0.2">
      <c r="B45" s="166">
        <f>B14</f>
        <v>8</v>
      </c>
      <c r="C45" s="877" t="s">
        <v>117</v>
      </c>
      <c r="D45" s="877"/>
      <c r="E45" s="877"/>
      <c r="F45" s="877"/>
      <c r="G45" s="877"/>
      <c r="H45" s="877"/>
      <c r="I45" s="877"/>
      <c r="J45" s="878"/>
      <c r="K45" s="323"/>
      <c r="N45" s="426"/>
      <c r="O45" s="168" t="s">
        <v>118</v>
      </c>
    </row>
    <row r="46" spans="1:18" x14ac:dyDescent="0.2">
      <c r="B46" s="166">
        <f>B15</f>
        <v>9</v>
      </c>
      <c r="C46" s="877" t="s">
        <v>119</v>
      </c>
      <c r="D46" s="877"/>
      <c r="E46" s="877"/>
      <c r="F46" s="877"/>
      <c r="G46" s="877"/>
      <c r="H46" s="877"/>
      <c r="I46" s="877"/>
      <c r="J46" s="878"/>
      <c r="K46" s="324"/>
      <c r="N46" s="426"/>
      <c r="O46" s="165">
        <v>1</v>
      </c>
    </row>
    <row r="47" spans="1:18" ht="25.5" x14ac:dyDescent="0.2">
      <c r="B47" s="166">
        <f>B17</f>
        <v>10</v>
      </c>
      <c r="C47" s="877" t="s">
        <v>120</v>
      </c>
      <c r="D47" s="877"/>
      <c r="E47" s="877"/>
      <c r="F47" s="877"/>
      <c r="G47" s="877"/>
      <c r="H47" s="877"/>
      <c r="I47" s="877"/>
      <c r="J47" s="878"/>
      <c r="K47" s="324"/>
      <c r="N47" s="426"/>
      <c r="O47" s="168" t="s">
        <v>112</v>
      </c>
    </row>
    <row r="48" spans="1:18" x14ac:dyDescent="0.2">
      <c r="B48" s="166">
        <f>B18</f>
        <v>11</v>
      </c>
      <c r="C48" s="877" t="s">
        <v>121</v>
      </c>
      <c r="D48" s="877"/>
      <c r="E48" s="877"/>
      <c r="F48" s="877"/>
      <c r="G48" s="877"/>
      <c r="H48" s="877"/>
      <c r="I48" s="877"/>
      <c r="J48" s="878"/>
      <c r="K48" s="324"/>
      <c r="N48" s="426"/>
      <c r="O48" s="165">
        <v>1</v>
      </c>
    </row>
    <row r="49" spans="2:15" ht="25.5" x14ac:dyDescent="0.2">
      <c r="B49" s="166">
        <f>B20</f>
        <v>12</v>
      </c>
      <c r="C49" s="877" t="s">
        <v>122</v>
      </c>
      <c r="D49" s="877"/>
      <c r="E49" s="877"/>
      <c r="F49" s="877"/>
      <c r="G49" s="877"/>
      <c r="H49" s="877"/>
      <c r="I49" s="877"/>
      <c r="J49" s="878"/>
      <c r="K49" s="323"/>
      <c r="N49" s="426"/>
      <c r="O49" s="168" t="s">
        <v>112</v>
      </c>
    </row>
    <row r="50" spans="2:15" x14ac:dyDescent="0.2">
      <c r="B50" s="166">
        <f>B21</f>
        <v>13</v>
      </c>
      <c r="C50" s="877" t="s">
        <v>123</v>
      </c>
      <c r="D50" s="877"/>
      <c r="E50" s="877"/>
      <c r="F50" s="877"/>
      <c r="G50" s="877"/>
      <c r="H50" s="877"/>
      <c r="I50" s="877"/>
      <c r="J50" s="878"/>
      <c r="K50" s="324"/>
      <c r="N50" s="426"/>
      <c r="O50" s="165">
        <v>1</v>
      </c>
    </row>
    <row r="51" spans="2:15" ht="15" thickBot="1" x14ac:dyDescent="0.25">
      <c r="B51" s="191">
        <f>B22</f>
        <v>14</v>
      </c>
      <c r="C51" s="900" t="s">
        <v>124</v>
      </c>
      <c r="D51" s="900"/>
      <c r="E51" s="900"/>
      <c r="F51" s="900"/>
      <c r="G51" s="900"/>
      <c r="H51" s="900"/>
      <c r="I51" s="900"/>
      <c r="J51" s="901"/>
      <c r="K51" s="324"/>
      <c r="N51" s="426"/>
      <c r="O51" s="165">
        <v>1</v>
      </c>
    </row>
    <row r="52" spans="2:15" x14ac:dyDescent="0.2">
      <c r="N52" s="426"/>
      <c r="O52" s="388"/>
    </row>
  </sheetData>
  <sheetProtection algorithmName="SHA-512" hashValue="MYYkMpX0lxN1mP1c/Mt0F2zJLfwwLdV9TFfTzoD1sPN3QArctjos68OHVJtZabDRhmyQl3fpQqt7ovQniHC0dA==" saltValue="z3vg/YqTLCSJpeJ6cs18RA==" spinCount="100000" sheet="1" objects="1" scenarios="1"/>
  <mergeCells count="23">
    <mergeCell ref="C50:J50"/>
    <mergeCell ref="C51:J51"/>
    <mergeCell ref="C44:J44"/>
    <mergeCell ref="C45:J45"/>
    <mergeCell ref="C47:J47"/>
    <mergeCell ref="C48:J48"/>
    <mergeCell ref="C49:J49"/>
    <mergeCell ref="C46:J46"/>
    <mergeCell ref="L3:L4"/>
    <mergeCell ref="O4:Q4"/>
    <mergeCell ref="B26:C26"/>
    <mergeCell ref="C38:J38"/>
    <mergeCell ref="C39:J39"/>
    <mergeCell ref="C41:J41"/>
    <mergeCell ref="C42:J42"/>
    <mergeCell ref="C43:J43"/>
    <mergeCell ref="C40:J40"/>
    <mergeCell ref="B3:C4"/>
    <mergeCell ref="D3:D4"/>
    <mergeCell ref="E3:E4"/>
    <mergeCell ref="F3:F4"/>
    <mergeCell ref="G3:I3"/>
    <mergeCell ref="J3:J4"/>
  </mergeCells>
  <conditionalFormatting sqref="L6:L8 L11:L14 L17 L20:L21">
    <cfRule type="cellIs" dxfId="201" priority="2" operator="equal">
      <formula>0</formula>
    </cfRule>
  </conditionalFormatting>
  <conditionalFormatting sqref="L24">
    <cfRule type="cellIs" dxfId="200" priority="1" operator="equal">
      <formula>0</formula>
    </cfRule>
  </conditionalFormatting>
  <printOptions horizontalCentered="1"/>
  <pageMargins left="0.39370078740157483" right="0.39370078740157483" top="0.78740157480314965" bottom="0.78740157480314965" header="0.31496062992125984" footer="0.31496062992125984"/>
  <pageSetup paperSize="9" scale="62"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1"/>
  <sheetViews>
    <sheetView showGridLines="0" workbookViewId="0">
      <selection activeCell="F7" sqref="F7:H8"/>
    </sheetView>
  </sheetViews>
  <sheetFormatPr defaultColWidth="0" defaultRowHeight="14.25" zeroHeight="1" x14ac:dyDescent="0.2"/>
  <cols>
    <col min="1" max="1" width="1.625" style="83" customWidth="1"/>
    <col min="2" max="2" width="4.125" style="83" customWidth="1"/>
    <col min="3" max="3" width="37.75" style="83" bestFit="1" customWidth="1"/>
    <col min="4" max="5" width="5.125" style="83" customWidth="1"/>
    <col min="6" max="7" width="12.5" style="83" customWidth="1"/>
    <col min="8" max="9" width="12.625" style="83" customWidth="1"/>
    <col min="10" max="10" width="15.25" style="83" customWidth="1"/>
    <col min="11" max="11" width="2.625" style="83" customWidth="1"/>
    <col min="12" max="12" width="18.75" style="83" bestFit="1" customWidth="1"/>
    <col min="13" max="13" width="2.625" style="83" customWidth="1"/>
    <col min="14" max="14" width="1.625" style="84" hidden="1" customWidth="1"/>
    <col min="15" max="17" width="5.625" style="83" hidden="1" customWidth="1"/>
    <col min="18" max="18" width="1.625" style="84" hidden="1" customWidth="1"/>
    <col min="19" max="19" width="8.125" style="83" hidden="1" customWidth="1"/>
    <col min="20" max="22" width="8.75" style="83" hidden="1" customWidth="1"/>
    <col min="23" max="16384" width="8.125" style="83" hidden="1"/>
  </cols>
  <sheetData>
    <row r="1" spans="2:18" ht="20.25" x14ac:dyDescent="0.2">
      <c r="B1" s="79" t="s">
        <v>125</v>
      </c>
      <c r="C1" s="79"/>
      <c r="D1" s="79"/>
      <c r="E1" s="79"/>
      <c r="F1" s="79"/>
      <c r="G1" s="79"/>
      <c r="H1" s="79"/>
      <c r="I1" s="79"/>
      <c r="J1" s="81" t="str">
        <f>Validation!B3</f>
        <v>Yorkshire Water</v>
      </c>
      <c r="K1" s="79"/>
      <c r="L1" s="82" t="s">
        <v>72</v>
      </c>
    </row>
    <row r="2" spans="2:18" ht="15" thickBot="1" x14ac:dyDescent="0.25">
      <c r="B2" s="86" t="s">
        <v>55</v>
      </c>
    </row>
    <row r="3" spans="2:18" ht="14.65" customHeight="1" x14ac:dyDescent="0.2">
      <c r="B3" s="881" t="s">
        <v>73</v>
      </c>
      <c r="C3" s="882"/>
      <c r="D3" s="885" t="s">
        <v>74</v>
      </c>
      <c r="E3" s="887" t="s">
        <v>75</v>
      </c>
      <c r="F3" s="889" t="s">
        <v>76</v>
      </c>
      <c r="G3" s="891" t="s">
        <v>77</v>
      </c>
      <c r="H3" s="892"/>
      <c r="I3" s="893"/>
      <c r="J3" s="894" t="s">
        <v>78</v>
      </c>
      <c r="L3" s="894" t="s">
        <v>79</v>
      </c>
    </row>
    <row r="4" spans="2:18" ht="54.75" thickBot="1" x14ac:dyDescent="0.25">
      <c r="B4" s="883"/>
      <c r="C4" s="884"/>
      <c r="D4" s="886"/>
      <c r="E4" s="888"/>
      <c r="F4" s="890"/>
      <c r="G4" s="846" t="s">
        <v>80</v>
      </c>
      <c r="H4" s="91" t="s">
        <v>81</v>
      </c>
      <c r="I4" s="847" t="s">
        <v>82</v>
      </c>
      <c r="J4" s="895"/>
      <c r="L4" s="895"/>
      <c r="M4" s="92"/>
      <c r="O4" s="896" t="s">
        <v>83</v>
      </c>
      <c r="P4" s="896"/>
      <c r="Q4" s="896"/>
    </row>
    <row r="5" spans="2:18" ht="15" thickBot="1" x14ac:dyDescent="0.25"/>
    <row r="6" spans="2:18" x14ac:dyDescent="0.2">
      <c r="B6" s="98">
        <v>1</v>
      </c>
      <c r="C6" s="128" t="s">
        <v>99</v>
      </c>
      <c r="D6" s="100" t="s">
        <v>86</v>
      </c>
      <c r="E6" s="224">
        <v>3</v>
      </c>
      <c r="F6" s="410">
        <f>'1A'!F22</f>
        <v>-261.30400000000009</v>
      </c>
      <c r="G6" s="424">
        <f>'1A'!G22</f>
        <v>-4.2159999999999993</v>
      </c>
      <c r="H6" s="350">
        <f>'1A'!H22</f>
        <v>1.8450000000000029</v>
      </c>
      <c r="I6" s="199">
        <f xml:space="preserve"> G6 - H6</f>
        <v>-6.0610000000000017</v>
      </c>
      <c r="J6" s="206">
        <f xml:space="preserve"> F6 + I6</f>
        <v>-267.36500000000007</v>
      </c>
      <c r="L6" s="135"/>
      <c r="O6" s="97" t="s">
        <v>84</v>
      </c>
    </row>
    <row r="7" spans="2:18" x14ac:dyDescent="0.2">
      <c r="B7" s="106">
        <f xml:space="preserve"> B6 + 1</f>
        <v>2</v>
      </c>
      <c r="C7" s="99" t="s">
        <v>126</v>
      </c>
      <c r="D7" s="107" t="s">
        <v>86</v>
      </c>
      <c r="E7" s="226">
        <v>3</v>
      </c>
      <c r="F7" s="438">
        <v>0</v>
      </c>
      <c r="G7" s="453">
        <v>0</v>
      </c>
      <c r="H7" s="440">
        <v>0</v>
      </c>
      <c r="I7" s="202">
        <f xml:space="preserve"> G7 - H7</f>
        <v>0</v>
      </c>
      <c r="J7" s="207">
        <f xml:space="preserve"> F7 + I7</f>
        <v>0</v>
      </c>
      <c r="L7" s="28">
        <f xml:space="preserve"> IF( SUM( N7:R7 ) = 0, 0, $O$6 )</f>
        <v>0</v>
      </c>
      <c r="O7" s="105">
        <f t="shared" ref="O7:Q8" si="0" xml:space="preserve"> IF( ISNUMBER( F7 ), 0, 1 )</f>
        <v>0</v>
      </c>
      <c r="P7" s="105">
        <f t="shared" si="0"/>
        <v>0</v>
      </c>
      <c r="Q7" s="105">
        <f t="shared" si="0"/>
        <v>0</v>
      </c>
    </row>
    <row r="8" spans="2:18" x14ac:dyDescent="0.2">
      <c r="B8" s="106">
        <f xml:space="preserve"> B7 + 1</f>
        <v>3</v>
      </c>
      <c r="C8" s="99" t="s">
        <v>127</v>
      </c>
      <c r="D8" s="107" t="s">
        <v>86</v>
      </c>
      <c r="E8" s="226">
        <v>3</v>
      </c>
      <c r="F8" s="438">
        <v>236.96899999999999</v>
      </c>
      <c r="G8" s="453">
        <v>0</v>
      </c>
      <c r="H8" s="440">
        <v>0</v>
      </c>
      <c r="I8" s="202">
        <f xml:space="preserve"> G8 - H8</f>
        <v>0</v>
      </c>
      <c r="J8" s="207">
        <f xml:space="preserve"> F8 + I8</f>
        <v>236.96899999999999</v>
      </c>
      <c r="L8" s="28">
        <f xml:space="preserve"> IF( SUM( N8:R8 ) = 0, 0, $O$6 )</f>
        <v>0</v>
      </c>
      <c r="O8" s="105">
        <f t="shared" si="0"/>
        <v>0</v>
      </c>
      <c r="P8" s="105">
        <f t="shared" si="0"/>
        <v>0</v>
      </c>
      <c r="Q8" s="105">
        <f t="shared" si="0"/>
        <v>0</v>
      </c>
    </row>
    <row r="9" spans="2:18" ht="15" thickBot="1" x14ac:dyDescent="0.25">
      <c r="B9" s="113">
        <f xml:space="preserve"> B8 + 1</f>
        <v>4</v>
      </c>
      <c r="C9" s="114" t="s">
        <v>128</v>
      </c>
      <c r="D9" s="115" t="s">
        <v>86</v>
      </c>
      <c r="E9" s="236">
        <v>3</v>
      </c>
      <c r="F9" s="210">
        <f>SUM( F6:F8 )</f>
        <v>-24.335000000000093</v>
      </c>
      <c r="G9" s="250">
        <f>SUM( G6:G8 )</f>
        <v>-4.2159999999999993</v>
      </c>
      <c r="H9" s="204">
        <f>SUM( H6:H8 )</f>
        <v>1.8450000000000029</v>
      </c>
      <c r="I9" s="205">
        <f xml:space="preserve"> G9 - H9</f>
        <v>-6.0610000000000017</v>
      </c>
      <c r="J9" s="208">
        <f xml:space="preserve"> F9 + I9</f>
        <v>-30.396000000000093</v>
      </c>
      <c r="L9" s="135"/>
    </row>
    <row r="10" spans="2:18" x14ac:dyDescent="0.2">
      <c r="L10" s="135"/>
    </row>
    <row r="11" spans="2:18" s="169" customFormat="1" x14ac:dyDescent="0.2">
      <c r="B11" s="897" t="s">
        <v>101</v>
      </c>
      <c r="C11" s="897"/>
      <c r="I11" s="135"/>
      <c r="J11" s="135"/>
      <c r="K11" s="135"/>
      <c r="L11" s="135"/>
      <c r="M11" s="135"/>
      <c r="N11" s="84"/>
      <c r="O11" s="135"/>
      <c r="P11" s="135"/>
      <c r="Q11" s="212"/>
      <c r="R11" s="84"/>
    </row>
    <row r="12" spans="2:18" s="169" customFormat="1" x14ac:dyDescent="0.2">
      <c r="B12" s="146"/>
      <c r="C12" s="147"/>
      <c r="I12" s="135"/>
      <c r="J12" s="135"/>
      <c r="K12" s="135"/>
      <c r="L12" s="135"/>
      <c r="M12" s="135"/>
      <c r="N12" s="84"/>
      <c r="O12" s="135"/>
      <c r="P12" s="135"/>
      <c r="Q12" s="212"/>
      <c r="R12" s="84"/>
    </row>
    <row r="13" spans="2:18" s="169" customFormat="1" x14ac:dyDescent="0.2">
      <c r="B13" s="29"/>
      <c r="C13" s="148" t="s">
        <v>102</v>
      </c>
      <c r="I13" s="135"/>
      <c r="J13" s="135"/>
      <c r="K13" s="135"/>
      <c r="L13" s="135"/>
      <c r="M13" s="135"/>
      <c r="N13" s="84"/>
      <c r="O13" s="135"/>
      <c r="P13" s="135"/>
      <c r="Q13" s="212"/>
      <c r="R13" s="84"/>
    </row>
    <row r="14" spans="2:18" s="169" customFormat="1" x14ac:dyDescent="0.2">
      <c r="B14" s="146"/>
      <c r="C14" s="147"/>
      <c r="I14" s="135"/>
      <c r="J14" s="135"/>
      <c r="K14" s="135"/>
      <c r="L14" s="135"/>
      <c r="M14" s="135"/>
      <c r="N14" s="84"/>
      <c r="O14" s="135"/>
      <c r="P14" s="135"/>
      <c r="Q14" s="212"/>
      <c r="R14" s="84"/>
    </row>
    <row r="15" spans="2:18" s="169" customFormat="1" x14ac:dyDescent="0.2">
      <c r="B15" s="149"/>
      <c r="C15" s="148" t="s">
        <v>103</v>
      </c>
      <c r="I15" s="135"/>
      <c r="J15" s="135"/>
      <c r="K15" s="135"/>
      <c r="L15" s="135"/>
      <c r="M15" s="135"/>
      <c r="N15" s="84"/>
      <c r="O15" s="135"/>
      <c r="P15" s="135"/>
      <c r="Q15" s="212"/>
      <c r="R15" s="84"/>
    </row>
    <row r="16" spans="2:18" s="169" customFormat="1" x14ac:dyDescent="0.2">
      <c r="B16" s="150"/>
      <c r="C16" s="148"/>
      <c r="I16" s="135"/>
      <c r="J16" s="135"/>
      <c r="K16" s="135"/>
      <c r="L16" s="135"/>
      <c r="M16" s="135"/>
      <c r="N16" s="84"/>
      <c r="O16" s="135"/>
      <c r="P16" s="135"/>
      <c r="Q16" s="212"/>
      <c r="R16" s="84"/>
    </row>
    <row r="17" spans="1:18" s="169" customFormat="1" x14ac:dyDescent="0.2">
      <c r="B17" s="151"/>
      <c r="C17" s="148" t="s">
        <v>104</v>
      </c>
      <c r="I17" s="135"/>
      <c r="J17" s="135"/>
      <c r="K17" s="135"/>
      <c r="L17" s="135"/>
      <c r="M17" s="135"/>
      <c r="N17" s="84"/>
      <c r="O17" s="135"/>
      <c r="P17" s="135"/>
      <c r="Q17" s="212"/>
      <c r="R17" s="84"/>
    </row>
    <row r="18" spans="1:18" s="186" customFormat="1" x14ac:dyDescent="0.2">
      <c r="A18" s="156"/>
      <c r="B18" s="156"/>
      <c r="C18" s="157"/>
      <c r="I18" s="137"/>
      <c r="J18" s="137"/>
      <c r="K18" s="137"/>
      <c r="L18" s="135"/>
      <c r="M18" s="135"/>
      <c r="N18" s="84"/>
      <c r="O18" s="135"/>
      <c r="P18" s="135"/>
      <c r="Q18" s="309"/>
      <c r="R18" s="84"/>
    </row>
    <row r="19" spans="1:18" s="186" customFormat="1" ht="15" thickBot="1" x14ac:dyDescent="0.25">
      <c r="C19" s="187"/>
      <c r="I19" s="137"/>
      <c r="J19" s="137"/>
      <c r="K19" s="137"/>
      <c r="L19" s="135"/>
      <c r="M19" s="135"/>
      <c r="N19" s="84"/>
      <c r="O19" s="135"/>
      <c r="P19" s="135"/>
      <c r="Q19" s="309"/>
      <c r="R19" s="84"/>
    </row>
    <row r="20" spans="1:18" s="122" customFormat="1" ht="21" thickBot="1" x14ac:dyDescent="0.25">
      <c r="B20" s="152" t="str">
        <f ca="1" xml:space="preserve"> RIGHT(CELL("filename", $A$1), LEN(CELL("filename", $A$1)) - SEARCH("]", CELL("filename", $A$1)))&amp;" - Line definitions"</f>
        <v>1B - Line definitions</v>
      </c>
      <c r="C20" s="153"/>
      <c r="D20" s="154"/>
      <c r="E20" s="154"/>
      <c r="F20" s="154"/>
      <c r="G20" s="154"/>
      <c r="H20" s="154"/>
      <c r="I20" s="154"/>
      <c r="J20" s="160"/>
      <c r="K20" s="129"/>
      <c r="L20" s="131"/>
      <c r="M20" s="129"/>
      <c r="N20" s="84"/>
      <c r="O20" s="131"/>
      <c r="P20" s="129"/>
      <c r="Q20" s="290"/>
      <c r="R20" s="84"/>
    </row>
    <row r="21" spans="1:18" s="122" customFormat="1" ht="15" thickBot="1" x14ac:dyDescent="0.25">
      <c r="B21" s="87"/>
      <c r="C21" s="161"/>
      <c r="D21" s="87"/>
      <c r="E21" s="87"/>
      <c r="F21" s="87"/>
      <c r="I21" s="129"/>
      <c r="J21" s="129"/>
      <c r="K21" s="129"/>
      <c r="L21" s="131"/>
      <c r="M21" s="129"/>
      <c r="N21" s="84"/>
      <c r="O21" s="131"/>
      <c r="P21" s="129"/>
      <c r="Q21" s="290"/>
      <c r="R21" s="84"/>
    </row>
    <row r="22" spans="1:18" s="186" customFormat="1" ht="15" thickBot="1" x14ac:dyDescent="0.25">
      <c r="B22" s="295" t="s">
        <v>105</v>
      </c>
      <c r="C22" s="854" t="s">
        <v>106</v>
      </c>
      <c r="D22" s="855"/>
      <c r="E22" s="855"/>
      <c r="F22" s="855"/>
      <c r="G22" s="855"/>
      <c r="H22" s="855"/>
      <c r="I22" s="855"/>
      <c r="J22" s="163"/>
      <c r="K22" s="352"/>
      <c r="L22" s="137"/>
      <c r="M22" s="129"/>
      <c r="N22" s="84"/>
      <c r="O22" s="97" t="s">
        <v>107</v>
      </c>
      <c r="P22" s="129"/>
      <c r="R22" s="84"/>
    </row>
    <row r="23" spans="1:18" s="122" customFormat="1" x14ac:dyDescent="0.2">
      <c r="B23" s="296">
        <f>B6</f>
        <v>1</v>
      </c>
      <c r="C23" s="898" t="s">
        <v>129</v>
      </c>
      <c r="D23" s="898"/>
      <c r="E23" s="898"/>
      <c r="F23" s="898"/>
      <c r="G23" s="898"/>
      <c r="H23" s="898"/>
      <c r="I23" s="898"/>
      <c r="J23" s="899"/>
      <c r="K23" s="355"/>
      <c r="L23" s="131"/>
      <c r="M23" s="129"/>
      <c r="N23" s="133"/>
      <c r="O23" s="168">
        <v>1</v>
      </c>
      <c r="P23" s="129"/>
      <c r="Q23" s="290"/>
      <c r="R23" s="133"/>
    </row>
    <row r="24" spans="1:18" s="122" customFormat="1" x14ac:dyDescent="0.2">
      <c r="B24" s="297">
        <f>B7</f>
        <v>2</v>
      </c>
      <c r="C24" s="877" t="s">
        <v>130</v>
      </c>
      <c r="D24" s="877"/>
      <c r="E24" s="877"/>
      <c r="F24" s="877"/>
      <c r="G24" s="877"/>
      <c r="H24" s="877"/>
      <c r="I24" s="877"/>
      <c r="J24" s="878"/>
      <c r="K24" s="356"/>
      <c r="L24" s="131"/>
      <c r="M24" s="129"/>
      <c r="N24" s="130"/>
      <c r="O24" s="264">
        <v>1</v>
      </c>
      <c r="P24" s="129"/>
      <c r="Q24" s="290"/>
      <c r="R24" s="130"/>
    </row>
    <row r="25" spans="1:18" s="122" customFormat="1" x14ac:dyDescent="0.2">
      <c r="B25" s="297">
        <f>B8</f>
        <v>3</v>
      </c>
      <c r="C25" s="877" t="s">
        <v>131</v>
      </c>
      <c r="D25" s="877"/>
      <c r="E25" s="877"/>
      <c r="F25" s="877"/>
      <c r="G25" s="877"/>
      <c r="H25" s="877"/>
      <c r="I25" s="877"/>
      <c r="J25" s="878"/>
      <c r="K25" s="355"/>
      <c r="L25" s="131"/>
      <c r="M25" s="129"/>
      <c r="N25" s="130"/>
      <c r="O25" s="264">
        <v>1</v>
      </c>
      <c r="P25" s="129"/>
      <c r="Q25" s="290"/>
      <c r="R25" s="130"/>
    </row>
    <row r="26" spans="1:18" s="131" customFormat="1" ht="15" thickBot="1" x14ac:dyDescent="0.25">
      <c r="B26" s="298">
        <f>B9</f>
        <v>4</v>
      </c>
      <c r="C26" s="900" t="s">
        <v>132</v>
      </c>
      <c r="D26" s="900"/>
      <c r="E26" s="900"/>
      <c r="F26" s="900"/>
      <c r="G26" s="900"/>
      <c r="H26" s="900"/>
      <c r="I26" s="900"/>
      <c r="J26" s="901"/>
      <c r="K26" s="356"/>
      <c r="M26" s="129"/>
      <c r="N26" s="130"/>
      <c r="O26" s="264">
        <v>1</v>
      </c>
      <c r="P26" s="129"/>
      <c r="Q26" s="290"/>
      <c r="R26" s="130"/>
    </row>
    <row r="27" spans="1:18" x14ac:dyDescent="0.2">
      <c r="N27" s="130"/>
      <c r="O27" s="388"/>
      <c r="R27" s="130"/>
    </row>
    <row r="28" spans="1:18" hidden="1" x14ac:dyDescent="0.2">
      <c r="N28" s="130"/>
      <c r="R28" s="130"/>
    </row>
    <row r="29" spans="1:18" hidden="1" x14ac:dyDescent="0.2">
      <c r="N29" s="130"/>
      <c r="R29" s="130"/>
    </row>
    <row r="30" spans="1:18" hidden="1" x14ac:dyDescent="0.2">
      <c r="N30" s="130"/>
      <c r="R30" s="130"/>
    </row>
    <row r="31" spans="1:18" hidden="1" x14ac:dyDescent="0.2">
      <c r="N31" s="130"/>
      <c r="R31" s="130"/>
    </row>
    <row r="32" spans="1:18" hidden="1" x14ac:dyDescent="0.2">
      <c r="N32" s="130"/>
      <c r="R32" s="130"/>
    </row>
    <row r="33" spans="14:18" hidden="1" x14ac:dyDescent="0.2">
      <c r="N33" s="133"/>
      <c r="R33" s="133"/>
    </row>
    <row r="34" spans="14:18" hidden="1" x14ac:dyDescent="0.2">
      <c r="N34" s="133"/>
      <c r="R34" s="133"/>
    </row>
    <row r="35" spans="14:18" hidden="1" x14ac:dyDescent="0.2">
      <c r="N35" s="133"/>
      <c r="R35" s="133"/>
    </row>
    <row r="36" spans="14:18" hidden="1" x14ac:dyDescent="0.2">
      <c r="N36" s="133"/>
      <c r="R36" s="133"/>
    </row>
    <row r="37" spans="14:18" hidden="1" x14ac:dyDescent="0.2">
      <c r="N37" s="133"/>
      <c r="R37" s="133"/>
    </row>
    <row r="38" spans="14:18" hidden="1" x14ac:dyDescent="0.2">
      <c r="N38" s="133"/>
      <c r="R38" s="133"/>
    </row>
    <row r="39" spans="14:18" hidden="1" x14ac:dyDescent="0.2">
      <c r="N39" s="133"/>
      <c r="R39" s="133"/>
    </row>
    <row r="40" spans="14:18" hidden="1" x14ac:dyDescent="0.2">
      <c r="N40" s="133"/>
      <c r="R40" s="133"/>
    </row>
    <row r="41" spans="14:18" hidden="1" x14ac:dyDescent="0.2">
      <c r="N41" s="133"/>
      <c r="R41" s="133"/>
    </row>
  </sheetData>
  <sheetProtection algorithmName="SHA-512" hashValue="43UIJG4MrOLRoJPqVlvkuX+27l0n41t8/kZ75iksEftiG4T0Q+TVoUOaeNq0iU56RUjK3LbLEtIHFXYWmIoLfw==" saltValue="h/DfXieDJGMshHrCxEjieA==" spinCount="100000" sheet="1" objects="1" scenarios="1"/>
  <mergeCells count="13">
    <mergeCell ref="C26:J26"/>
    <mergeCell ref="L3:L4"/>
    <mergeCell ref="O4:Q4"/>
    <mergeCell ref="B11:C11"/>
    <mergeCell ref="C23:J23"/>
    <mergeCell ref="C24:J24"/>
    <mergeCell ref="C25:J25"/>
    <mergeCell ref="B3:C4"/>
    <mergeCell ref="D3:D4"/>
    <mergeCell ref="E3:E4"/>
    <mergeCell ref="F3:F4"/>
    <mergeCell ref="G3:I3"/>
    <mergeCell ref="J3:J4"/>
  </mergeCells>
  <conditionalFormatting sqref="L7:L8">
    <cfRule type="cellIs" dxfId="199" priority="1" operator="equal">
      <formula>0</formula>
    </cfRule>
  </conditionalFormatting>
  <printOptions horizontalCentered="1"/>
  <pageMargins left="0.39370078740157483" right="0.39370078740157483" top="0.78740157480314965" bottom="0.78740157480314965" header="0.31496062992125984" footer="0.31496062992125984"/>
  <pageSetup paperSize="9" scale="61"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94"/>
  <sheetViews>
    <sheetView showGridLines="0" topLeftCell="A31" workbookViewId="0">
      <selection activeCell="F35" sqref="F35"/>
    </sheetView>
  </sheetViews>
  <sheetFormatPr defaultColWidth="0" defaultRowHeight="14.25" zeroHeight="1" x14ac:dyDescent="0.2"/>
  <cols>
    <col min="1" max="1" width="1.625" style="83" customWidth="1"/>
    <col min="2" max="2" width="4.125" style="83" customWidth="1"/>
    <col min="3" max="3" width="38.125" style="83" customWidth="1"/>
    <col min="4" max="5" width="5.125" style="83" customWidth="1"/>
    <col min="6" max="10" width="12.5" style="83" customWidth="1"/>
    <col min="11" max="11" width="2.625" style="83" customWidth="1"/>
    <col min="12" max="12" width="27" style="83" customWidth="1"/>
    <col min="13" max="13" width="1.625" style="83" customWidth="1"/>
    <col min="14" max="14" width="1.625" style="84" hidden="1" customWidth="1"/>
    <col min="15" max="17" width="5.625" style="83" hidden="1" customWidth="1"/>
    <col min="18" max="18" width="1.625" style="84" hidden="1" customWidth="1"/>
    <col min="19" max="19" width="8.125" style="83" hidden="1" customWidth="1"/>
    <col min="20" max="22" width="8.75" style="83" hidden="1" customWidth="1"/>
    <col min="23" max="16384" width="8.125" style="83" hidden="1"/>
  </cols>
  <sheetData>
    <row r="1" spans="2:17" ht="20.25" x14ac:dyDescent="0.2">
      <c r="B1" s="79" t="s">
        <v>133</v>
      </c>
      <c r="C1" s="79"/>
      <c r="D1" s="79"/>
      <c r="E1" s="79"/>
      <c r="F1" s="79"/>
      <c r="G1" s="79"/>
      <c r="H1" s="79"/>
      <c r="I1" s="79"/>
      <c r="J1" s="81" t="str">
        <f>Validation!B3</f>
        <v>Yorkshire Water</v>
      </c>
      <c r="K1" s="79"/>
      <c r="L1" s="82" t="s">
        <v>72</v>
      </c>
    </row>
    <row r="2" spans="2:17" ht="15" thickBot="1" x14ac:dyDescent="0.25">
      <c r="B2" s="86" t="s">
        <v>55</v>
      </c>
    </row>
    <row r="3" spans="2:17" ht="14.65" customHeight="1" x14ac:dyDescent="0.2">
      <c r="B3" s="881" t="s">
        <v>73</v>
      </c>
      <c r="C3" s="882"/>
      <c r="D3" s="885" t="s">
        <v>74</v>
      </c>
      <c r="E3" s="887" t="s">
        <v>75</v>
      </c>
      <c r="F3" s="889" t="s">
        <v>76</v>
      </c>
      <c r="G3" s="891" t="s">
        <v>77</v>
      </c>
      <c r="H3" s="892"/>
      <c r="I3" s="893"/>
      <c r="J3" s="894" t="s">
        <v>78</v>
      </c>
      <c r="L3" s="894" t="s">
        <v>79</v>
      </c>
    </row>
    <row r="4" spans="2:17" ht="54.75" thickBot="1" x14ac:dyDescent="0.25">
      <c r="B4" s="883"/>
      <c r="C4" s="884"/>
      <c r="D4" s="886"/>
      <c r="E4" s="888"/>
      <c r="F4" s="890"/>
      <c r="G4" s="846" t="s">
        <v>80</v>
      </c>
      <c r="H4" s="91" t="s">
        <v>81</v>
      </c>
      <c r="I4" s="847" t="s">
        <v>82</v>
      </c>
      <c r="J4" s="895"/>
      <c r="L4" s="895"/>
      <c r="M4" s="92"/>
      <c r="O4" s="896" t="s">
        <v>83</v>
      </c>
      <c r="P4" s="896"/>
      <c r="Q4" s="896"/>
    </row>
    <row r="5" spans="2:17" ht="15" thickBot="1" x14ac:dyDescent="0.25"/>
    <row r="6" spans="2:17" ht="15" thickBot="1" x14ac:dyDescent="0.25">
      <c r="B6" s="95" t="s">
        <v>134</v>
      </c>
      <c r="C6" s="96" t="s">
        <v>135</v>
      </c>
      <c r="O6" s="97" t="s">
        <v>84</v>
      </c>
    </row>
    <row r="7" spans="2:17" x14ac:dyDescent="0.2">
      <c r="B7" s="98">
        <v>1</v>
      </c>
      <c r="C7" s="128" t="s">
        <v>136</v>
      </c>
      <c r="D7" s="100" t="s">
        <v>86</v>
      </c>
      <c r="E7" s="101">
        <v>3</v>
      </c>
      <c r="F7" s="505">
        <v>7250.4189999999999</v>
      </c>
      <c r="G7" s="441">
        <v>-99.552999999999997</v>
      </c>
      <c r="H7" s="452">
        <v>3.645</v>
      </c>
      <c r="I7" s="199">
        <f t="shared" ref="I7:I13" si="0" xml:space="preserve"> G7 - H7</f>
        <v>-103.19799999999999</v>
      </c>
      <c r="J7" s="206">
        <f t="shared" ref="J7:J13" si="1" xml:space="preserve"> F7 + I7</f>
        <v>7147.2209999999995</v>
      </c>
      <c r="L7" s="843">
        <f xml:space="preserve"> IF( SUM( N7:R7 ) = 0, 0, $O$6 )</f>
        <v>0</v>
      </c>
      <c r="O7" s="105">
        <f t="shared" ref="O7:Q19" si="2" xml:space="preserve"> IF( ISNUMBER( F7 ), 0, 1 )</f>
        <v>0</v>
      </c>
      <c r="P7" s="105">
        <f t="shared" si="2"/>
        <v>0</v>
      </c>
      <c r="Q7" s="105">
        <f t="shared" si="2"/>
        <v>0</v>
      </c>
    </row>
    <row r="8" spans="2:17" x14ac:dyDescent="0.2">
      <c r="B8" s="106">
        <f xml:space="preserve"> B7 + 1</f>
        <v>2</v>
      </c>
      <c r="C8" s="99" t="s">
        <v>137</v>
      </c>
      <c r="D8" s="107" t="s">
        <v>86</v>
      </c>
      <c r="E8" s="108">
        <v>3</v>
      </c>
      <c r="F8" s="501">
        <v>51.259</v>
      </c>
      <c r="G8" s="439">
        <v>0</v>
      </c>
      <c r="H8" s="440">
        <v>0</v>
      </c>
      <c r="I8" s="202">
        <f xml:space="preserve"> G8 - H8</f>
        <v>0</v>
      </c>
      <c r="J8" s="207">
        <f xml:space="preserve"> F8 + I8</f>
        <v>51.259</v>
      </c>
      <c r="L8" s="843">
        <f t="shared" ref="L8:L12" si="3" xml:space="preserve"> IF( SUM( N8:R8 ) = 0, 0, $O$6 )</f>
        <v>0</v>
      </c>
      <c r="O8" s="105">
        <f t="shared" si="2"/>
        <v>0</v>
      </c>
      <c r="P8" s="105">
        <f t="shared" si="2"/>
        <v>0</v>
      </c>
      <c r="Q8" s="105">
        <f t="shared" si="2"/>
        <v>0</v>
      </c>
    </row>
    <row r="9" spans="2:17" x14ac:dyDescent="0.2">
      <c r="B9" s="106">
        <f t="shared" ref="B9:B37" si="4" xml:space="preserve"> B8 + 1</f>
        <v>3</v>
      </c>
      <c r="C9" s="99" t="s">
        <v>138</v>
      </c>
      <c r="D9" s="107" t="s">
        <v>86</v>
      </c>
      <c r="E9" s="108">
        <v>3</v>
      </c>
      <c r="F9" s="501">
        <v>1257.194</v>
      </c>
      <c r="G9" s="439">
        <v>0</v>
      </c>
      <c r="H9" s="440">
        <v>0</v>
      </c>
      <c r="I9" s="202">
        <f t="shared" si="0"/>
        <v>0</v>
      </c>
      <c r="J9" s="207">
        <f t="shared" si="1"/>
        <v>1257.194</v>
      </c>
      <c r="L9" s="843">
        <f t="shared" si="3"/>
        <v>0</v>
      </c>
      <c r="O9" s="105">
        <f t="shared" si="2"/>
        <v>0</v>
      </c>
      <c r="P9" s="105">
        <f t="shared" si="2"/>
        <v>0</v>
      </c>
      <c r="Q9" s="105">
        <f t="shared" si="2"/>
        <v>0</v>
      </c>
    </row>
    <row r="10" spans="2:17" x14ac:dyDescent="0.2">
      <c r="B10" s="106">
        <f t="shared" si="4"/>
        <v>4</v>
      </c>
      <c r="C10" s="99" t="s">
        <v>139</v>
      </c>
      <c r="D10" s="107" t="s">
        <v>86</v>
      </c>
      <c r="E10" s="108">
        <v>3</v>
      </c>
      <c r="F10" s="502">
        <v>0.05</v>
      </c>
      <c r="G10" s="503">
        <v>0</v>
      </c>
      <c r="H10" s="504">
        <v>0</v>
      </c>
      <c r="I10" s="202">
        <f t="shared" si="0"/>
        <v>0</v>
      </c>
      <c r="J10" s="207">
        <f t="shared" si="1"/>
        <v>0.05</v>
      </c>
      <c r="L10" s="843">
        <f t="shared" si="3"/>
        <v>0</v>
      </c>
      <c r="O10" s="105">
        <f t="shared" si="2"/>
        <v>0</v>
      </c>
      <c r="P10" s="105">
        <f t="shared" si="2"/>
        <v>0</v>
      </c>
      <c r="Q10" s="105">
        <f t="shared" si="2"/>
        <v>0</v>
      </c>
    </row>
    <row r="11" spans="2:17" x14ac:dyDescent="0.2">
      <c r="B11" s="106">
        <f t="shared" si="4"/>
        <v>5</v>
      </c>
      <c r="C11" s="99" t="s">
        <v>140</v>
      </c>
      <c r="D11" s="107" t="s">
        <v>86</v>
      </c>
      <c r="E11" s="108">
        <v>3</v>
      </c>
      <c r="F11" s="502">
        <v>141.346</v>
      </c>
      <c r="G11" s="503">
        <v>0</v>
      </c>
      <c r="H11" s="504">
        <v>0</v>
      </c>
      <c r="I11" s="202">
        <f t="shared" si="0"/>
        <v>0</v>
      </c>
      <c r="J11" s="207">
        <f xml:space="preserve"> F11 + I11</f>
        <v>141.346</v>
      </c>
      <c r="L11" s="843">
        <f t="shared" si="3"/>
        <v>0</v>
      </c>
      <c r="O11" s="105">
        <f t="shared" si="2"/>
        <v>0</v>
      </c>
      <c r="P11" s="105">
        <f t="shared" si="2"/>
        <v>0</v>
      </c>
      <c r="Q11" s="105">
        <f t="shared" si="2"/>
        <v>0</v>
      </c>
    </row>
    <row r="12" spans="2:17" x14ac:dyDescent="0.2">
      <c r="B12" s="106">
        <f t="shared" si="4"/>
        <v>6</v>
      </c>
      <c r="C12" s="99" t="s">
        <v>141</v>
      </c>
      <c r="D12" s="107" t="s">
        <v>86</v>
      </c>
      <c r="E12" s="108">
        <v>3</v>
      </c>
      <c r="F12" s="502">
        <v>0</v>
      </c>
      <c r="G12" s="503">
        <v>0</v>
      </c>
      <c r="H12" s="504">
        <v>0</v>
      </c>
      <c r="I12" s="202">
        <f t="shared" si="0"/>
        <v>0</v>
      </c>
      <c r="J12" s="207">
        <f t="shared" si="1"/>
        <v>0</v>
      </c>
      <c r="L12" s="843">
        <f t="shared" si="3"/>
        <v>0</v>
      </c>
      <c r="O12" s="105">
        <f t="shared" si="2"/>
        <v>0</v>
      </c>
      <c r="P12" s="105">
        <f t="shared" si="2"/>
        <v>0</v>
      </c>
      <c r="Q12" s="105">
        <f t="shared" si="2"/>
        <v>0</v>
      </c>
    </row>
    <row r="13" spans="2:17" ht="15" thickBot="1" x14ac:dyDescent="0.25">
      <c r="B13" s="113">
        <f xml:space="preserve"> B12 + 1</f>
        <v>7</v>
      </c>
      <c r="C13" s="114" t="s">
        <v>142</v>
      </c>
      <c r="D13" s="115" t="s">
        <v>86</v>
      </c>
      <c r="E13" s="112">
        <v>3</v>
      </c>
      <c r="F13" s="411">
        <f>SUM( F7:F12 )</f>
        <v>8700.2679999999982</v>
      </c>
      <c r="G13" s="203">
        <f>SUM( G7:G12 )</f>
        <v>-99.552999999999997</v>
      </c>
      <c r="H13" s="204">
        <f>SUM( H7:H12 )</f>
        <v>3.645</v>
      </c>
      <c r="I13" s="205">
        <f t="shared" si="0"/>
        <v>-103.19799999999999</v>
      </c>
      <c r="J13" s="208">
        <f t="shared" si="1"/>
        <v>8597.0699999999979</v>
      </c>
      <c r="L13" s="135"/>
    </row>
    <row r="14" spans="2:17" ht="15" thickBot="1" x14ac:dyDescent="0.25">
      <c r="L14" s="135"/>
    </row>
    <row r="15" spans="2:17" ht="15" thickBot="1" x14ac:dyDescent="0.25">
      <c r="B15" s="95" t="s">
        <v>143</v>
      </c>
      <c r="C15" s="96" t="s">
        <v>144</v>
      </c>
      <c r="L15" s="135"/>
    </row>
    <row r="16" spans="2:17" x14ac:dyDescent="0.2">
      <c r="B16" s="98">
        <f xml:space="preserve"> B13 + 1</f>
        <v>8</v>
      </c>
      <c r="C16" s="128" t="s">
        <v>145</v>
      </c>
      <c r="D16" s="100" t="s">
        <v>86</v>
      </c>
      <c r="E16" s="101">
        <v>3</v>
      </c>
      <c r="F16" s="505">
        <v>2.5259999999999998</v>
      </c>
      <c r="G16" s="441">
        <v>0</v>
      </c>
      <c r="H16" s="452">
        <v>0</v>
      </c>
      <c r="I16" s="199">
        <f xml:space="preserve"> G16 - H16</f>
        <v>0</v>
      </c>
      <c r="J16" s="206">
        <f xml:space="preserve"> F16 + I16</f>
        <v>2.5259999999999998</v>
      </c>
      <c r="L16" s="843">
        <f t="shared" ref="L16:L19" si="5" xml:space="preserve"> IF( SUM( N16:R16 ) = 0, 0, $O$6 )</f>
        <v>0</v>
      </c>
      <c r="O16" s="105">
        <f t="shared" si="2"/>
        <v>0</v>
      </c>
      <c r="P16" s="105">
        <f t="shared" si="2"/>
        <v>0</v>
      </c>
      <c r="Q16" s="105">
        <f t="shared" si="2"/>
        <v>0</v>
      </c>
    </row>
    <row r="17" spans="2:18" x14ac:dyDescent="0.2">
      <c r="B17" s="106">
        <f t="shared" si="4"/>
        <v>9</v>
      </c>
      <c r="C17" s="99" t="s">
        <v>146</v>
      </c>
      <c r="D17" s="107" t="s">
        <v>86</v>
      </c>
      <c r="E17" s="108">
        <v>3</v>
      </c>
      <c r="F17" s="501">
        <v>202.78</v>
      </c>
      <c r="G17" s="439">
        <v>0</v>
      </c>
      <c r="H17" s="440">
        <v>2.0089999999999999</v>
      </c>
      <c r="I17" s="202">
        <f xml:space="preserve"> G17 - H17</f>
        <v>-2.0089999999999999</v>
      </c>
      <c r="J17" s="207">
        <f xml:space="preserve"> F17 + I17</f>
        <v>200.77100000000002</v>
      </c>
      <c r="L17" s="843">
        <f t="shared" si="5"/>
        <v>0</v>
      </c>
      <c r="O17" s="105">
        <f t="shared" si="2"/>
        <v>0</v>
      </c>
      <c r="P17" s="105">
        <f t="shared" si="2"/>
        <v>0</v>
      </c>
      <c r="Q17" s="105">
        <f t="shared" si="2"/>
        <v>0</v>
      </c>
    </row>
    <row r="18" spans="2:18" x14ac:dyDescent="0.2">
      <c r="B18" s="106">
        <f t="shared" si="4"/>
        <v>10</v>
      </c>
      <c r="C18" s="99" t="s">
        <v>140</v>
      </c>
      <c r="D18" s="107" t="s">
        <v>86</v>
      </c>
      <c r="E18" s="108">
        <v>3</v>
      </c>
      <c r="F18" s="501">
        <v>0</v>
      </c>
      <c r="G18" s="439">
        <v>0</v>
      </c>
      <c r="H18" s="440">
        <v>0</v>
      </c>
      <c r="I18" s="202">
        <f xml:space="preserve"> G18 - H18</f>
        <v>0</v>
      </c>
      <c r="J18" s="207">
        <f xml:space="preserve"> F18 + I18</f>
        <v>0</v>
      </c>
      <c r="L18" s="843">
        <f t="shared" si="5"/>
        <v>0</v>
      </c>
      <c r="O18" s="105">
        <f t="shared" si="2"/>
        <v>0</v>
      </c>
      <c r="P18" s="105">
        <f t="shared" si="2"/>
        <v>0</v>
      </c>
      <c r="Q18" s="105">
        <f t="shared" si="2"/>
        <v>0</v>
      </c>
    </row>
    <row r="19" spans="2:18" x14ac:dyDescent="0.2">
      <c r="B19" s="106">
        <f t="shared" si="4"/>
        <v>11</v>
      </c>
      <c r="C19" s="99" t="s">
        <v>147</v>
      </c>
      <c r="D19" s="107" t="s">
        <v>86</v>
      </c>
      <c r="E19" s="108">
        <v>3</v>
      </c>
      <c r="F19" s="501">
        <v>230.29599999999999</v>
      </c>
      <c r="G19" s="439">
        <v>0</v>
      </c>
      <c r="H19" s="440">
        <v>0</v>
      </c>
      <c r="I19" s="202">
        <f xml:space="preserve"> G19 - H19</f>
        <v>0</v>
      </c>
      <c r="J19" s="207">
        <f xml:space="preserve"> F19 + I19</f>
        <v>230.29599999999999</v>
      </c>
      <c r="L19" s="843">
        <f t="shared" si="5"/>
        <v>0</v>
      </c>
      <c r="O19" s="105">
        <f t="shared" si="2"/>
        <v>0</v>
      </c>
      <c r="P19" s="105">
        <f t="shared" si="2"/>
        <v>0</v>
      </c>
      <c r="Q19" s="105">
        <f t="shared" si="2"/>
        <v>0</v>
      </c>
    </row>
    <row r="20" spans="2:18" ht="15" thickBot="1" x14ac:dyDescent="0.25">
      <c r="B20" s="113">
        <f t="shared" si="4"/>
        <v>12</v>
      </c>
      <c r="C20" s="114" t="s">
        <v>148</v>
      </c>
      <c r="D20" s="115" t="s">
        <v>86</v>
      </c>
      <c r="E20" s="112">
        <v>3</v>
      </c>
      <c r="F20" s="205">
        <f>SUM( F16:F19 )</f>
        <v>435.60199999999998</v>
      </c>
      <c r="G20" s="210">
        <f>SUM( G16:G19 )</f>
        <v>0</v>
      </c>
      <c r="H20" s="205">
        <f>SUM( H16:H19 )</f>
        <v>2.0089999999999999</v>
      </c>
      <c r="I20" s="205">
        <f xml:space="preserve"> G20 - H20</f>
        <v>-2.0089999999999999</v>
      </c>
      <c r="J20" s="208">
        <f xml:space="preserve"> F20 + I20</f>
        <v>433.59299999999996</v>
      </c>
      <c r="L20" s="135"/>
    </row>
    <row r="21" spans="2:18" ht="15" thickBot="1" x14ac:dyDescent="0.25">
      <c r="L21" s="135"/>
    </row>
    <row r="22" spans="2:18" ht="15" thickBot="1" x14ac:dyDescent="0.25">
      <c r="B22" s="95" t="s">
        <v>149</v>
      </c>
      <c r="C22" s="96" t="s">
        <v>150</v>
      </c>
      <c r="L22" s="135"/>
    </row>
    <row r="23" spans="2:18" x14ac:dyDescent="0.2">
      <c r="B23" s="98">
        <f xml:space="preserve"> B20 + 1</f>
        <v>13</v>
      </c>
      <c r="C23" s="128" t="s">
        <v>151</v>
      </c>
      <c r="D23" s="100" t="s">
        <v>86</v>
      </c>
      <c r="E23" s="101">
        <v>3</v>
      </c>
      <c r="F23" s="505">
        <v>-219.38500000000002</v>
      </c>
      <c r="G23" s="441">
        <v>0</v>
      </c>
      <c r="H23" s="452">
        <v>-0.26500000000000001</v>
      </c>
      <c r="I23" s="199">
        <f t="shared" ref="I23:I30" si="6" xml:space="preserve"> G23 - H23</f>
        <v>0.26500000000000001</v>
      </c>
      <c r="J23" s="206">
        <f t="shared" ref="J23:J30" si="7" xml:space="preserve"> F23 + I23</f>
        <v>-219.12000000000003</v>
      </c>
      <c r="L23" s="843">
        <f t="shared" ref="L23:L28" si="8" xml:space="preserve"> IF( SUM( N23:R23 ) = 0, 0, $O$6 )</f>
        <v>0</v>
      </c>
      <c r="N23" s="133"/>
      <c r="O23" s="105">
        <f t="shared" ref="O23:Q46" si="9" xml:space="preserve"> IF( ISNUMBER( F23 ), 0, 1 )</f>
        <v>0</v>
      </c>
      <c r="P23" s="105">
        <f t="shared" si="9"/>
        <v>0</v>
      </c>
      <c r="Q23" s="105">
        <f t="shared" si="9"/>
        <v>0</v>
      </c>
      <c r="R23" s="133"/>
    </row>
    <row r="24" spans="2:18" x14ac:dyDescent="0.2">
      <c r="B24" s="106">
        <f t="shared" si="4"/>
        <v>14</v>
      </c>
      <c r="C24" s="99" t="s">
        <v>152</v>
      </c>
      <c r="D24" s="107" t="s">
        <v>86</v>
      </c>
      <c r="E24" s="108">
        <v>3</v>
      </c>
      <c r="F24" s="501">
        <v>-80.343999999999994</v>
      </c>
      <c r="G24" s="439">
        <v>0</v>
      </c>
      <c r="H24" s="440">
        <v>0</v>
      </c>
      <c r="I24" s="202">
        <f t="shared" si="6"/>
        <v>0</v>
      </c>
      <c r="J24" s="207">
        <f t="shared" si="7"/>
        <v>-80.343999999999994</v>
      </c>
      <c r="L24" s="843">
        <f t="shared" si="8"/>
        <v>0</v>
      </c>
      <c r="N24" s="130"/>
      <c r="O24" s="105">
        <f t="shared" si="9"/>
        <v>0</v>
      </c>
      <c r="P24" s="105">
        <f t="shared" si="9"/>
        <v>0</v>
      </c>
      <c r="Q24" s="105">
        <f t="shared" si="9"/>
        <v>0</v>
      </c>
      <c r="R24" s="130"/>
    </row>
    <row r="25" spans="2:18" x14ac:dyDescent="0.2">
      <c r="B25" s="106">
        <f t="shared" si="4"/>
        <v>15</v>
      </c>
      <c r="C25" s="99" t="s">
        <v>153</v>
      </c>
      <c r="D25" s="107" t="s">
        <v>86</v>
      </c>
      <c r="E25" s="108">
        <v>3</v>
      </c>
      <c r="F25" s="501">
        <v>-81.605999999999995</v>
      </c>
      <c r="G25" s="439">
        <v>0</v>
      </c>
      <c r="H25" s="440">
        <v>0</v>
      </c>
      <c r="I25" s="202">
        <f t="shared" si="6"/>
        <v>0</v>
      </c>
      <c r="J25" s="207">
        <f t="shared" si="7"/>
        <v>-81.605999999999995</v>
      </c>
      <c r="L25" s="843">
        <f t="shared" si="8"/>
        <v>0</v>
      </c>
      <c r="N25" s="130"/>
      <c r="O25" s="105">
        <f t="shared" si="9"/>
        <v>0</v>
      </c>
      <c r="P25" s="105">
        <f t="shared" si="9"/>
        <v>0</v>
      </c>
      <c r="Q25" s="105">
        <f t="shared" si="9"/>
        <v>0</v>
      </c>
      <c r="R25" s="130"/>
    </row>
    <row r="26" spans="2:18" x14ac:dyDescent="0.2">
      <c r="B26" s="106">
        <f t="shared" si="4"/>
        <v>16</v>
      </c>
      <c r="C26" s="99" t="s">
        <v>140</v>
      </c>
      <c r="D26" s="107" t="s">
        <v>86</v>
      </c>
      <c r="E26" s="108">
        <v>3</v>
      </c>
      <c r="F26" s="501">
        <v>0</v>
      </c>
      <c r="G26" s="439">
        <v>0</v>
      </c>
      <c r="H26" s="440">
        <v>0</v>
      </c>
      <c r="I26" s="202">
        <f t="shared" si="6"/>
        <v>0</v>
      </c>
      <c r="J26" s="207">
        <f t="shared" si="7"/>
        <v>0</v>
      </c>
      <c r="L26" s="843">
        <f t="shared" si="8"/>
        <v>0</v>
      </c>
      <c r="N26" s="130"/>
      <c r="O26" s="105">
        <f t="shared" si="9"/>
        <v>0</v>
      </c>
      <c r="P26" s="105">
        <f t="shared" si="9"/>
        <v>0</v>
      </c>
      <c r="Q26" s="105">
        <f t="shared" si="9"/>
        <v>0</v>
      </c>
      <c r="R26" s="130"/>
    </row>
    <row r="27" spans="2:18" x14ac:dyDescent="0.2">
      <c r="B27" s="106">
        <f t="shared" si="4"/>
        <v>17</v>
      </c>
      <c r="C27" s="99" t="s">
        <v>154</v>
      </c>
      <c r="D27" s="107" t="s">
        <v>86</v>
      </c>
      <c r="E27" s="108">
        <v>3</v>
      </c>
      <c r="F27" s="501">
        <v>0</v>
      </c>
      <c r="G27" s="439">
        <v>0</v>
      </c>
      <c r="H27" s="440">
        <v>0</v>
      </c>
      <c r="I27" s="202">
        <f t="shared" si="6"/>
        <v>0</v>
      </c>
      <c r="J27" s="207">
        <f t="shared" si="7"/>
        <v>0</v>
      </c>
      <c r="L27" s="843">
        <f t="shared" si="8"/>
        <v>0</v>
      </c>
      <c r="N27" s="130"/>
      <c r="O27" s="105">
        <f t="shared" si="9"/>
        <v>0</v>
      </c>
      <c r="P27" s="105">
        <f t="shared" si="9"/>
        <v>0</v>
      </c>
      <c r="Q27" s="105">
        <f t="shared" si="9"/>
        <v>0</v>
      </c>
      <c r="R27" s="130"/>
    </row>
    <row r="28" spans="2:18" x14ac:dyDescent="0.2">
      <c r="B28" s="106">
        <f t="shared" si="4"/>
        <v>18</v>
      </c>
      <c r="C28" s="99" t="s">
        <v>155</v>
      </c>
      <c r="D28" s="107" t="s">
        <v>86</v>
      </c>
      <c r="E28" s="108">
        <v>3</v>
      </c>
      <c r="F28" s="501">
        <v>-2.984</v>
      </c>
      <c r="G28" s="439">
        <v>0</v>
      </c>
      <c r="H28" s="440">
        <v>0</v>
      </c>
      <c r="I28" s="202">
        <f t="shared" si="6"/>
        <v>0</v>
      </c>
      <c r="J28" s="207">
        <f t="shared" si="7"/>
        <v>-2.984</v>
      </c>
      <c r="L28" s="843">
        <f t="shared" si="8"/>
        <v>0</v>
      </c>
      <c r="N28" s="130"/>
      <c r="O28" s="105">
        <f t="shared" si="9"/>
        <v>0</v>
      </c>
      <c r="P28" s="105">
        <f t="shared" si="9"/>
        <v>0</v>
      </c>
      <c r="Q28" s="105">
        <f t="shared" si="9"/>
        <v>0</v>
      </c>
      <c r="R28" s="130"/>
    </row>
    <row r="29" spans="2:18" x14ac:dyDescent="0.2">
      <c r="B29" s="106">
        <f t="shared" si="4"/>
        <v>19</v>
      </c>
      <c r="C29" s="99" t="s">
        <v>156</v>
      </c>
      <c r="D29" s="107" t="s">
        <v>86</v>
      </c>
      <c r="E29" s="108">
        <v>3</v>
      </c>
      <c r="F29" s="249">
        <f xml:space="preserve"> SUM( F23:F28 )</f>
        <v>-384.31900000000002</v>
      </c>
      <c r="G29" s="253">
        <f xml:space="preserve"> SUM( G23:G28 )</f>
        <v>0</v>
      </c>
      <c r="H29" s="252">
        <f xml:space="preserve"> SUM( H23:H28 )</f>
        <v>-0.26500000000000001</v>
      </c>
      <c r="I29" s="202">
        <f t="shared" si="6"/>
        <v>0.26500000000000001</v>
      </c>
      <c r="J29" s="207">
        <f t="shared" si="7"/>
        <v>-384.05400000000003</v>
      </c>
      <c r="L29" s="135"/>
      <c r="M29" s="131"/>
      <c r="N29" s="130"/>
      <c r="O29" s="131"/>
      <c r="P29" s="131"/>
      <c r="Q29" s="131"/>
      <c r="R29" s="130"/>
    </row>
    <row r="30" spans="2:18" ht="15" thickBot="1" x14ac:dyDescent="0.25">
      <c r="B30" s="113">
        <f xml:space="preserve"> B29 + 1</f>
        <v>20</v>
      </c>
      <c r="C30" s="114" t="s">
        <v>157</v>
      </c>
      <c r="D30" s="115" t="s">
        <v>86</v>
      </c>
      <c r="E30" s="112">
        <v>3</v>
      </c>
      <c r="F30" s="412">
        <f xml:space="preserve"> F20 + F29</f>
        <v>51.282999999999959</v>
      </c>
      <c r="G30" s="413">
        <f xml:space="preserve"> G20 + G29</f>
        <v>0</v>
      </c>
      <c r="H30" s="414">
        <f xml:space="preserve"> H20 + H29</f>
        <v>1.7439999999999998</v>
      </c>
      <c r="I30" s="205">
        <f t="shared" si="6"/>
        <v>-1.7439999999999998</v>
      </c>
      <c r="J30" s="210">
        <f t="shared" si="7"/>
        <v>49.538999999999959</v>
      </c>
      <c r="L30" s="135"/>
      <c r="M30" s="131"/>
      <c r="N30" s="130"/>
      <c r="O30" s="131"/>
      <c r="P30" s="131"/>
      <c r="Q30" s="131"/>
      <c r="R30" s="130"/>
    </row>
    <row r="31" spans="2:18" ht="15" thickBot="1" x14ac:dyDescent="0.25">
      <c r="L31" s="135"/>
      <c r="N31" s="130"/>
      <c r="R31" s="130"/>
    </row>
    <row r="32" spans="2:18" ht="15" thickBot="1" x14ac:dyDescent="0.25">
      <c r="B32" s="95" t="s">
        <v>158</v>
      </c>
      <c r="C32" s="96" t="s">
        <v>159</v>
      </c>
      <c r="L32" s="135"/>
      <c r="N32" s="130"/>
      <c r="R32" s="130"/>
    </row>
    <row r="33" spans="2:18" x14ac:dyDescent="0.2">
      <c r="B33" s="98">
        <f xml:space="preserve"> B30 + 1</f>
        <v>21</v>
      </c>
      <c r="C33" s="128" t="s">
        <v>151</v>
      </c>
      <c r="D33" s="100" t="s">
        <v>86</v>
      </c>
      <c r="E33" s="224">
        <v>3</v>
      </c>
      <c r="F33" s="455">
        <v>-3.5680000000000001</v>
      </c>
      <c r="G33" s="441">
        <v>0</v>
      </c>
      <c r="H33" s="452">
        <v>0</v>
      </c>
      <c r="I33" s="199">
        <f t="shared" ref="I33:I42" si="10" xml:space="preserve"> G33 - H33</f>
        <v>0</v>
      </c>
      <c r="J33" s="209">
        <f t="shared" ref="J33:J42" si="11" xml:space="preserve"> F33 + I33</f>
        <v>-3.5680000000000001</v>
      </c>
      <c r="L33" s="843">
        <f t="shared" ref="L33:L40" si="12" xml:space="preserve"> IF( SUM( N33:R33 ) = 0, 0, $O$6 )</f>
        <v>0</v>
      </c>
      <c r="N33" s="133"/>
      <c r="O33" s="105">
        <f t="shared" si="9"/>
        <v>0</v>
      </c>
      <c r="P33" s="105">
        <f t="shared" si="9"/>
        <v>0</v>
      </c>
      <c r="Q33" s="105">
        <f t="shared" si="9"/>
        <v>0</v>
      </c>
      <c r="R33" s="133"/>
    </row>
    <row r="34" spans="2:18" x14ac:dyDescent="0.2">
      <c r="B34" s="179">
        <f t="shared" si="4"/>
        <v>22</v>
      </c>
      <c r="C34" s="180" t="s">
        <v>153</v>
      </c>
      <c r="D34" s="175" t="s">
        <v>86</v>
      </c>
      <c r="E34" s="415">
        <v>3</v>
      </c>
      <c r="F34" s="506">
        <v>-4931.3020000000006</v>
      </c>
      <c r="G34" s="507">
        <v>0</v>
      </c>
      <c r="H34" s="508">
        <v>0</v>
      </c>
      <c r="I34" s="416">
        <f t="shared" si="10"/>
        <v>0</v>
      </c>
      <c r="J34" s="417">
        <f t="shared" si="11"/>
        <v>-4931.3020000000006</v>
      </c>
      <c r="L34" s="843">
        <f t="shared" si="12"/>
        <v>0</v>
      </c>
      <c r="N34" s="133"/>
      <c r="O34" s="105">
        <f t="shared" si="9"/>
        <v>0</v>
      </c>
      <c r="P34" s="105">
        <f t="shared" si="9"/>
        <v>0</v>
      </c>
      <c r="Q34" s="105">
        <f t="shared" si="9"/>
        <v>0</v>
      </c>
      <c r="R34" s="133"/>
    </row>
    <row r="35" spans="2:18" x14ac:dyDescent="0.2">
      <c r="B35" s="179">
        <f t="shared" si="4"/>
        <v>23</v>
      </c>
      <c r="C35" s="180" t="s">
        <v>140</v>
      </c>
      <c r="D35" s="175" t="s">
        <v>86</v>
      </c>
      <c r="E35" s="415">
        <v>3</v>
      </c>
      <c r="F35" s="506">
        <v>-2065.989</v>
      </c>
      <c r="G35" s="507">
        <v>0</v>
      </c>
      <c r="H35" s="508">
        <v>0</v>
      </c>
      <c r="I35" s="416">
        <f t="shared" si="10"/>
        <v>0</v>
      </c>
      <c r="J35" s="417">
        <f t="shared" si="11"/>
        <v>-2065.989</v>
      </c>
      <c r="L35" s="843">
        <f t="shared" si="12"/>
        <v>0</v>
      </c>
      <c r="N35" s="133"/>
      <c r="O35" s="105">
        <f t="shared" si="9"/>
        <v>0</v>
      </c>
      <c r="P35" s="105">
        <f t="shared" si="9"/>
        <v>0</v>
      </c>
      <c r="Q35" s="105">
        <f t="shared" si="9"/>
        <v>0</v>
      </c>
      <c r="R35" s="133"/>
    </row>
    <row r="36" spans="2:18" x14ac:dyDescent="0.2">
      <c r="B36" s="179">
        <f t="shared" si="4"/>
        <v>24</v>
      </c>
      <c r="C36" s="180" t="s">
        <v>160</v>
      </c>
      <c r="D36" s="175" t="s">
        <v>86</v>
      </c>
      <c r="E36" s="415">
        <v>3</v>
      </c>
      <c r="F36" s="506">
        <v>0</v>
      </c>
      <c r="G36" s="507">
        <v>0</v>
      </c>
      <c r="H36" s="508">
        <v>0</v>
      </c>
      <c r="I36" s="416">
        <f t="shared" si="10"/>
        <v>0</v>
      </c>
      <c r="J36" s="417">
        <f t="shared" si="11"/>
        <v>0</v>
      </c>
      <c r="L36" s="843">
        <f t="shared" si="12"/>
        <v>0</v>
      </c>
      <c r="N36" s="133"/>
      <c r="O36" s="105">
        <f t="shared" si="9"/>
        <v>0</v>
      </c>
      <c r="P36" s="105">
        <f t="shared" si="9"/>
        <v>0</v>
      </c>
      <c r="Q36" s="105">
        <f t="shared" si="9"/>
        <v>0</v>
      </c>
      <c r="R36" s="133"/>
    </row>
    <row r="37" spans="2:18" x14ac:dyDescent="0.2">
      <c r="B37" s="179">
        <f t="shared" si="4"/>
        <v>25</v>
      </c>
      <c r="C37" s="180" t="s">
        <v>155</v>
      </c>
      <c r="D37" s="175" t="s">
        <v>86</v>
      </c>
      <c r="E37" s="415">
        <v>3</v>
      </c>
      <c r="F37" s="506">
        <v>-0.57599999999999996</v>
      </c>
      <c r="G37" s="507">
        <v>0</v>
      </c>
      <c r="H37" s="508">
        <v>0</v>
      </c>
      <c r="I37" s="416">
        <f t="shared" si="10"/>
        <v>0</v>
      </c>
      <c r="J37" s="417">
        <f t="shared" si="11"/>
        <v>-0.57599999999999996</v>
      </c>
      <c r="L37" s="843">
        <f t="shared" si="12"/>
        <v>0</v>
      </c>
      <c r="N37" s="133"/>
      <c r="O37" s="105">
        <f t="shared" si="9"/>
        <v>0</v>
      </c>
      <c r="P37" s="105">
        <f t="shared" si="9"/>
        <v>0</v>
      </c>
      <c r="Q37" s="105">
        <f t="shared" si="9"/>
        <v>0</v>
      </c>
      <c r="R37" s="133"/>
    </row>
    <row r="38" spans="2:18" x14ac:dyDescent="0.2">
      <c r="B38" s="179">
        <f xml:space="preserve"> B37 + 1</f>
        <v>26</v>
      </c>
      <c r="C38" s="180" t="s">
        <v>161</v>
      </c>
      <c r="D38" s="175" t="s">
        <v>86</v>
      </c>
      <c r="E38" s="415">
        <v>3</v>
      </c>
      <c r="F38" s="506">
        <v>-422.24799999999999</v>
      </c>
      <c r="G38" s="507">
        <v>5.4429999999999996</v>
      </c>
      <c r="H38" s="508">
        <v>-2.3090000000000002</v>
      </c>
      <c r="I38" s="416">
        <f t="shared" si="10"/>
        <v>7.7519999999999998</v>
      </c>
      <c r="J38" s="417">
        <f t="shared" si="11"/>
        <v>-414.49599999999998</v>
      </c>
      <c r="L38" s="843">
        <f t="shared" si="12"/>
        <v>0</v>
      </c>
      <c r="N38" s="133"/>
      <c r="O38" s="105">
        <f t="shared" si="9"/>
        <v>0</v>
      </c>
      <c r="P38" s="105">
        <f t="shared" si="9"/>
        <v>0</v>
      </c>
      <c r="Q38" s="105">
        <f t="shared" si="9"/>
        <v>0</v>
      </c>
      <c r="R38" s="133"/>
    </row>
    <row r="39" spans="2:18" x14ac:dyDescent="0.2">
      <c r="B39" s="179">
        <f xml:space="preserve"> B38 + 1</f>
        <v>27</v>
      </c>
      <c r="C39" s="180" t="s">
        <v>162</v>
      </c>
      <c r="D39" s="175" t="s">
        <v>86</v>
      </c>
      <c r="E39" s="415">
        <v>3</v>
      </c>
      <c r="F39" s="506">
        <v>0</v>
      </c>
      <c r="G39" s="507">
        <v>0</v>
      </c>
      <c r="H39" s="508">
        <v>0</v>
      </c>
      <c r="I39" s="416">
        <f t="shared" si="10"/>
        <v>0</v>
      </c>
      <c r="J39" s="417">
        <f t="shared" si="11"/>
        <v>0</v>
      </c>
      <c r="L39" s="843">
        <f t="shared" si="12"/>
        <v>0</v>
      </c>
      <c r="N39" s="133"/>
      <c r="O39" s="105">
        <f t="shared" si="9"/>
        <v>0</v>
      </c>
      <c r="P39" s="105">
        <f t="shared" si="9"/>
        <v>0</v>
      </c>
      <c r="Q39" s="105">
        <f t="shared" si="9"/>
        <v>0</v>
      </c>
      <c r="R39" s="133"/>
    </row>
    <row r="40" spans="2:18" x14ac:dyDescent="0.2">
      <c r="B40" s="179">
        <f xml:space="preserve"> B39 + 1</f>
        <v>28</v>
      </c>
      <c r="C40" s="180" t="s">
        <v>98</v>
      </c>
      <c r="D40" s="175" t="s">
        <v>86</v>
      </c>
      <c r="E40" s="415">
        <v>3</v>
      </c>
      <c r="F40" s="506">
        <v>-343.31400000000002</v>
      </c>
      <c r="G40" s="507">
        <v>16.951000000000001</v>
      </c>
      <c r="H40" s="508">
        <v>0</v>
      </c>
      <c r="I40" s="416">
        <f t="shared" si="10"/>
        <v>16.951000000000001</v>
      </c>
      <c r="J40" s="417">
        <f t="shared" si="11"/>
        <v>-326.363</v>
      </c>
      <c r="L40" s="843">
        <f t="shared" si="12"/>
        <v>0</v>
      </c>
      <c r="N40" s="133"/>
      <c r="O40" s="105">
        <f t="shared" si="9"/>
        <v>0</v>
      </c>
      <c r="P40" s="105">
        <f t="shared" si="9"/>
        <v>0</v>
      </c>
      <c r="Q40" s="105">
        <f t="shared" si="9"/>
        <v>0</v>
      </c>
      <c r="R40" s="133"/>
    </row>
    <row r="41" spans="2:18" x14ac:dyDescent="0.2">
      <c r="B41" s="106">
        <f xml:space="preserve"> B40 + 1</f>
        <v>29</v>
      </c>
      <c r="C41" s="99" t="s">
        <v>163</v>
      </c>
      <c r="D41" s="107" t="s">
        <v>86</v>
      </c>
      <c r="E41" s="226">
        <v>3</v>
      </c>
      <c r="F41" s="249">
        <f xml:space="preserve"> SUM( F33:F40 )</f>
        <v>-7766.9970000000003</v>
      </c>
      <c r="G41" s="253">
        <f xml:space="preserve"> SUM( G33:G40 )</f>
        <v>22.393999999999998</v>
      </c>
      <c r="H41" s="252">
        <f xml:space="preserve"> SUM( H33:H40 )</f>
        <v>-2.3090000000000002</v>
      </c>
      <c r="I41" s="202">
        <f t="shared" si="10"/>
        <v>24.702999999999999</v>
      </c>
      <c r="J41" s="249">
        <f t="shared" si="11"/>
        <v>-7742.2939999999999</v>
      </c>
      <c r="L41" s="135"/>
      <c r="M41" s="131"/>
      <c r="N41" s="133"/>
      <c r="O41" s="131"/>
      <c r="P41" s="131"/>
      <c r="Q41" s="131"/>
      <c r="R41" s="133"/>
    </row>
    <row r="42" spans="2:18" ht="15" thickBot="1" x14ac:dyDescent="0.25">
      <c r="B42" s="113">
        <f xml:space="preserve"> B41 + 1</f>
        <v>30</v>
      </c>
      <c r="C42" s="114" t="s">
        <v>164</v>
      </c>
      <c r="D42" s="115" t="s">
        <v>86</v>
      </c>
      <c r="E42" s="236">
        <v>3</v>
      </c>
      <c r="F42" s="418">
        <f xml:space="preserve"> F13 + F30 + F41</f>
        <v>984.55399999999736</v>
      </c>
      <c r="G42" s="413">
        <f xml:space="preserve"> G13 + G30 + G41</f>
        <v>-77.158999999999992</v>
      </c>
      <c r="H42" s="414">
        <f xml:space="preserve"> H13 + H30 + H41</f>
        <v>3.0799999999999992</v>
      </c>
      <c r="I42" s="205">
        <f t="shared" si="10"/>
        <v>-80.23899999999999</v>
      </c>
      <c r="J42" s="210">
        <f t="shared" si="11"/>
        <v>904.31499999999733</v>
      </c>
      <c r="L42" s="135"/>
      <c r="M42" s="131"/>
      <c r="O42" s="131"/>
      <c r="P42" s="131"/>
      <c r="Q42" s="131"/>
    </row>
    <row r="43" spans="2:18" ht="15" thickBot="1" x14ac:dyDescent="0.25">
      <c r="L43" s="135"/>
    </row>
    <row r="44" spans="2:18" ht="15" thickBot="1" x14ac:dyDescent="0.25">
      <c r="B44" s="95" t="s">
        <v>165</v>
      </c>
      <c r="C44" s="96" t="s">
        <v>166</v>
      </c>
      <c r="L44" s="135"/>
    </row>
    <row r="45" spans="2:18" x14ac:dyDescent="0.2">
      <c r="B45" s="98">
        <f xml:space="preserve"> B42 + 1</f>
        <v>31</v>
      </c>
      <c r="C45" s="128" t="s">
        <v>167</v>
      </c>
      <c r="D45" s="100" t="s">
        <v>86</v>
      </c>
      <c r="E45" s="224">
        <v>3</v>
      </c>
      <c r="F45" s="455">
        <v>10</v>
      </c>
      <c r="G45" s="441">
        <v>0</v>
      </c>
      <c r="H45" s="452">
        <v>0</v>
      </c>
      <c r="I45" s="199">
        <f xml:space="preserve"> G45 - H45</f>
        <v>0</v>
      </c>
      <c r="J45" s="209">
        <f xml:space="preserve"> F45 + I45</f>
        <v>10</v>
      </c>
      <c r="L45" s="843">
        <f xml:space="preserve"> IF( SUM( N45:R45 ) = 0, 0, $O$6 )</f>
        <v>0</v>
      </c>
      <c r="O45" s="105">
        <f t="shared" si="9"/>
        <v>0</v>
      </c>
      <c r="P45" s="105">
        <f t="shared" si="9"/>
        <v>0</v>
      </c>
      <c r="Q45" s="105">
        <f t="shared" si="9"/>
        <v>0</v>
      </c>
    </row>
    <row r="46" spans="2:18" x14ac:dyDescent="0.2">
      <c r="B46" s="179">
        <f xml:space="preserve"> B45 + 1</f>
        <v>32</v>
      </c>
      <c r="C46" s="180" t="s">
        <v>168</v>
      </c>
      <c r="D46" s="175" t="s">
        <v>86</v>
      </c>
      <c r="E46" s="415">
        <v>3</v>
      </c>
      <c r="F46" s="506">
        <v>974.55400000000009</v>
      </c>
      <c r="G46" s="507">
        <v>-77.158999999999992</v>
      </c>
      <c r="H46" s="508">
        <v>3.08</v>
      </c>
      <c r="I46" s="416">
        <f xml:space="preserve"> G46 - H46</f>
        <v>-80.23899999999999</v>
      </c>
      <c r="J46" s="417">
        <f xml:space="preserve"> F46 + I46</f>
        <v>894.31500000000005</v>
      </c>
      <c r="L46" s="843">
        <f xml:space="preserve"> IF( SUM( N46:R46 ) = 0, 0, $O$6 )</f>
        <v>0</v>
      </c>
      <c r="O46" s="105">
        <f t="shared" si="9"/>
        <v>0</v>
      </c>
      <c r="P46" s="105">
        <f t="shared" si="9"/>
        <v>0</v>
      </c>
      <c r="Q46" s="105">
        <f t="shared" si="9"/>
        <v>0</v>
      </c>
    </row>
    <row r="47" spans="2:18" ht="15" thickBot="1" x14ac:dyDescent="0.25">
      <c r="B47" s="183">
        <f xml:space="preserve"> B46 + 1</f>
        <v>33</v>
      </c>
      <c r="C47" s="408" t="s">
        <v>169</v>
      </c>
      <c r="D47" s="184" t="s">
        <v>86</v>
      </c>
      <c r="E47" s="409">
        <v>3</v>
      </c>
      <c r="F47" s="418">
        <f xml:space="preserve"> F45 + F46</f>
        <v>984.55400000000009</v>
      </c>
      <c r="G47" s="413">
        <f xml:space="preserve"> G45 + G46</f>
        <v>-77.158999999999992</v>
      </c>
      <c r="H47" s="414">
        <f xml:space="preserve"> H45 + H46</f>
        <v>3.08</v>
      </c>
      <c r="I47" s="259">
        <f xml:space="preserve"> G47 - H47</f>
        <v>-80.23899999999999</v>
      </c>
      <c r="J47" s="418">
        <f xml:space="preserve"> F47 + I47</f>
        <v>904.31500000000005</v>
      </c>
      <c r="L47" s="135"/>
    </row>
    <row r="48" spans="2:18" s="122" customFormat="1" x14ac:dyDescent="0.2">
      <c r="C48" s="158"/>
      <c r="G48" s="169"/>
      <c r="I48" s="129"/>
      <c r="J48" s="129"/>
      <c r="K48" s="129"/>
      <c r="L48" s="135"/>
      <c r="M48" s="129"/>
      <c r="N48" s="84"/>
      <c r="O48" s="131"/>
      <c r="P48" s="129"/>
      <c r="Q48" s="290"/>
      <c r="R48" s="84"/>
    </row>
    <row r="49" spans="1:18" s="169" customFormat="1" x14ac:dyDescent="0.2">
      <c r="B49" s="897" t="s">
        <v>101</v>
      </c>
      <c r="C49" s="897"/>
      <c r="I49" s="135"/>
      <c r="J49" s="135"/>
      <c r="K49" s="135"/>
      <c r="L49" s="135"/>
      <c r="M49" s="135"/>
      <c r="N49" s="84"/>
      <c r="O49" s="135"/>
      <c r="P49" s="135"/>
      <c r="Q49" s="212"/>
      <c r="R49" s="84"/>
    </row>
    <row r="50" spans="1:18" s="169" customFormat="1" x14ac:dyDescent="0.2">
      <c r="B50" s="146"/>
      <c r="C50" s="147"/>
      <c r="I50" s="135"/>
      <c r="J50" s="135"/>
      <c r="K50" s="135"/>
      <c r="L50" s="135"/>
      <c r="M50" s="135"/>
      <c r="N50" s="84"/>
      <c r="O50" s="135"/>
      <c r="P50" s="135"/>
      <c r="Q50" s="212"/>
      <c r="R50" s="84"/>
    </row>
    <row r="51" spans="1:18" s="169" customFormat="1" x14ac:dyDescent="0.2">
      <c r="B51" s="29"/>
      <c r="C51" s="148" t="s">
        <v>102</v>
      </c>
      <c r="I51" s="135"/>
      <c r="J51" s="135"/>
      <c r="K51" s="135"/>
      <c r="L51" s="135"/>
      <c r="M51" s="135"/>
      <c r="N51" s="84"/>
      <c r="O51" s="135"/>
      <c r="P51" s="135"/>
      <c r="Q51" s="212"/>
      <c r="R51" s="84"/>
    </row>
    <row r="52" spans="1:18" s="169" customFormat="1" x14ac:dyDescent="0.2">
      <c r="B52" s="146"/>
      <c r="C52" s="147"/>
      <c r="I52" s="135"/>
      <c r="J52" s="135"/>
      <c r="K52" s="135"/>
      <c r="L52" s="135"/>
      <c r="M52" s="135"/>
      <c r="N52" s="84"/>
      <c r="O52" s="135"/>
      <c r="P52" s="135"/>
      <c r="Q52" s="212"/>
      <c r="R52" s="84"/>
    </row>
    <row r="53" spans="1:18" s="169" customFormat="1" x14ac:dyDescent="0.2">
      <c r="B53" s="149"/>
      <c r="C53" s="148" t="s">
        <v>103</v>
      </c>
      <c r="I53" s="135"/>
      <c r="J53" s="135"/>
      <c r="K53" s="135"/>
      <c r="L53" s="135"/>
      <c r="M53" s="135"/>
      <c r="N53" s="84"/>
      <c r="O53" s="135"/>
      <c r="P53" s="135"/>
      <c r="Q53" s="212"/>
      <c r="R53" s="84"/>
    </row>
    <row r="54" spans="1:18" s="169" customFormat="1" x14ac:dyDescent="0.2">
      <c r="B54" s="150"/>
      <c r="C54" s="148"/>
      <c r="I54" s="135"/>
      <c r="J54" s="135"/>
      <c r="K54" s="135"/>
      <c r="L54" s="135"/>
      <c r="M54" s="135"/>
      <c r="N54" s="84"/>
      <c r="O54" s="135"/>
      <c r="P54" s="135"/>
      <c r="Q54" s="212"/>
      <c r="R54" s="84"/>
    </row>
    <row r="55" spans="1:18" s="169" customFormat="1" x14ac:dyDescent="0.2">
      <c r="B55" s="151"/>
      <c r="C55" s="148" t="s">
        <v>104</v>
      </c>
      <c r="I55" s="135"/>
      <c r="J55" s="135"/>
      <c r="K55" s="135"/>
      <c r="L55" s="135"/>
      <c r="M55" s="135"/>
      <c r="N55" s="84"/>
      <c r="O55" s="135"/>
      <c r="P55" s="135"/>
      <c r="Q55" s="212"/>
      <c r="R55" s="84"/>
    </row>
    <row r="56" spans="1:18" s="186" customFormat="1" x14ac:dyDescent="0.2">
      <c r="A56" s="156"/>
      <c r="B56" s="156"/>
      <c r="C56" s="157"/>
      <c r="I56" s="137"/>
      <c r="J56" s="137"/>
      <c r="K56" s="137"/>
      <c r="L56" s="135"/>
      <c r="M56" s="135"/>
      <c r="N56" s="84"/>
      <c r="O56" s="135"/>
      <c r="P56" s="135"/>
      <c r="Q56" s="309"/>
      <c r="R56" s="84"/>
    </row>
    <row r="57" spans="1:18" s="186" customFormat="1" ht="15" thickBot="1" x14ac:dyDescent="0.25">
      <c r="C57" s="187"/>
      <c r="I57" s="137"/>
      <c r="J57" s="137"/>
      <c r="K57" s="137"/>
      <c r="L57" s="135"/>
      <c r="M57" s="135"/>
      <c r="N57" s="84"/>
      <c r="O57" s="135"/>
      <c r="P57" s="135"/>
      <c r="Q57" s="309"/>
      <c r="R57" s="84"/>
    </row>
    <row r="58" spans="1:18" s="122" customFormat="1" ht="26.65" customHeight="1" thickBot="1" x14ac:dyDescent="0.25">
      <c r="B58" s="152" t="str">
        <f ca="1" xml:space="preserve"> RIGHT(CELL("filename", $A$1), LEN(CELL("filename", $A$1)) - SEARCH("]", CELL("filename", $A$1)))&amp;" - Line definitions"</f>
        <v>1C - Line definitions</v>
      </c>
      <c r="C58" s="153"/>
      <c r="D58" s="154"/>
      <c r="E58" s="154"/>
      <c r="F58" s="154"/>
      <c r="G58" s="154"/>
      <c r="H58" s="154"/>
      <c r="I58" s="154"/>
      <c r="J58" s="160"/>
      <c r="K58" s="129"/>
      <c r="L58" s="131"/>
      <c r="M58" s="129"/>
      <c r="N58" s="84"/>
      <c r="O58" s="131"/>
      <c r="P58" s="129"/>
      <c r="Q58" s="290"/>
      <c r="R58" s="84"/>
    </row>
    <row r="59" spans="1:18" s="122" customFormat="1" ht="26.65" customHeight="1" thickBot="1" x14ac:dyDescent="0.25">
      <c r="B59" s="87"/>
      <c r="C59" s="161"/>
      <c r="D59" s="87"/>
      <c r="E59" s="87"/>
      <c r="F59" s="87"/>
      <c r="I59" s="129"/>
      <c r="J59" s="129"/>
      <c r="K59" s="129"/>
      <c r="L59" s="131"/>
      <c r="M59" s="129"/>
      <c r="N59" s="84"/>
      <c r="O59" s="131"/>
      <c r="P59" s="129"/>
      <c r="Q59" s="290"/>
      <c r="R59" s="84"/>
    </row>
    <row r="60" spans="1:18" s="186" customFormat="1" ht="15" thickBot="1" x14ac:dyDescent="0.25">
      <c r="B60" s="295" t="s">
        <v>105</v>
      </c>
      <c r="C60" s="854" t="s">
        <v>106</v>
      </c>
      <c r="D60" s="855"/>
      <c r="E60" s="855"/>
      <c r="F60" s="855"/>
      <c r="G60" s="855"/>
      <c r="H60" s="855"/>
      <c r="I60" s="855"/>
      <c r="J60" s="163"/>
      <c r="K60" s="352"/>
      <c r="L60" s="137"/>
      <c r="M60" s="129"/>
      <c r="N60" s="84"/>
      <c r="O60" s="97" t="s">
        <v>107</v>
      </c>
      <c r="P60" s="129"/>
      <c r="R60" s="84"/>
    </row>
    <row r="61" spans="1:18" s="122" customFormat="1" ht="25.5" x14ac:dyDescent="0.2">
      <c r="B61" s="296">
        <f t="shared" ref="B61:B67" si="13">B7</f>
        <v>1</v>
      </c>
      <c r="C61" s="898" t="s">
        <v>170</v>
      </c>
      <c r="D61" s="898"/>
      <c r="E61" s="898"/>
      <c r="F61" s="898"/>
      <c r="G61" s="898"/>
      <c r="H61" s="898"/>
      <c r="I61" s="898"/>
      <c r="J61" s="899"/>
      <c r="K61" s="355"/>
      <c r="L61" s="131"/>
      <c r="M61" s="129"/>
      <c r="N61" s="84"/>
      <c r="O61" s="168" t="s">
        <v>112</v>
      </c>
      <c r="P61" s="129"/>
      <c r="Q61" s="290"/>
      <c r="R61" s="84"/>
    </row>
    <row r="62" spans="1:18" s="122" customFormat="1" x14ac:dyDescent="0.2">
      <c r="B62" s="297">
        <f t="shared" si="13"/>
        <v>2</v>
      </c>
      <c r="C62" s="877" t="s">
        <v>171</v>
      </c>
      <c r="D62" s="877"/>
      <c r="E62" s="877"/>
      <c r="F62" s="877"/>
      <c r="G62" s="877"/>
      <c r="H62" s="877"/>
      <c r="I62" s="877"/>
      <c r="J62" s="878"/>
      <c r="K62" s="355"/>
      <c r="N62" s="84"/>
      <c r="O62" s="264">
        <v>1</v>
      </c>
      <c r="R62" s="84"/>
    </row>
    <row r="63" spans="1:18" s="122" customFormat="1" x14ac:dyDescent="0.2">
      <c r="B63" s="297">
        <f t="shared" si="13"/>
        <v>3</v>
      </c>
      <c r="C63" s="877" t="s">
        <v>172</v>
      </c>
      <c r="D63" s="877"/>
      <c r="E63" s="877"/>
      <c r="F63" s="877"/>
      <c r="G63" s="877"/>
      <c r="H63" s="877"/>
      <c r="I63" s="877"/>
      <c r="J63" s="878"/>
      <c r="K63" s="355"/>
      <c r="N63" s="84"/>
      <c r="O63" s="264">
        <v>1</v>
      </c>
      <c r="R63" s="84"/>
    </row>
    <row r="64" spans="1:18" s="131" customFormat="1" x14ac:dyDescent="0.2">
      <c r="B64" s="297">
        <f t="shared" si="13"/>
        <v>4</v>
      </c>
      <c r="C64" s="877" t="s">
        <v>173</v>
      </c>
      <c r="D64" s="877"/>
      <c r="E64" s="877"/>
      <c r="F64" s="877"/>
      <c r="G64" s="877"/>
      <c r="H64" s="877"/>
      <c r="I64" s="877"/>
      <c r="J64" s="878"/>
      <c r="K64" s="355"/>
      <c r="N64" s="84"/>
      <c r="O64" s="264">
        <v>1</v>
      </c>
      <c r="R64" s="84"/>
    </row>
    <row r="65" spans="2:18" s="131" customFormat="1" ht="25.5" x14ac:dyDescent="0.2">
      <c r="B65" s="297">
        <f t="shared" si="13"/>
        <v>5</v>
      </c>
      <c r="C65" s="877" t="s">
        <v>174</v>
      </c>
      <c r="D65" s="877"/>
      <c r="E65" s="877"/>
      <c r="F65" s="877"/>
      <c r="G65" s="877"/>
      <c r="H65" s="877"/>
      <c r="I65" s="877"/>
      <c r="J65" s="878"/>
      <c r="K65" s="355"/>
      <c r="N65" s="84"/>
      <c r="O65" s="387" t="s">
        <v>112</v>
      </c>
      <c r="R65" s="84"/>
    </row>
    <row r="66" spans="2:18" s="131" customFormat="1" ht="31.15" customHeight="1" x14ac:dyDescent="0.2">
      <c r="B66" s="297">
        <f t="shared" si="13"/>
        <v>6</v>
      </c>
      <c r="C66" s="877" t="s">
        <v>175</v>
      </c>
      <c r="D66" s="877"/>
      <c r="E66" s="877"/>
      <c r="F66" s="877"/>
      <c r="G66" s="877"/>
      <c r="H66" s="877"/>
      <c r="I66" s="877"/>
      <c r="J66" s="878"/>
      <c r="K66" s="355"/>
      <c r="N66" s="84"/>
      <c r="O66" s="264">
        <v>1</v>
      </c>
      <c r="R66" s="84"/>
    </row>
    <row r="67" spans="2:18" x14ac:dyDescent="0.2">
      <c r="B67" s="297">
        <f t="shared" si="13"/>
        <v>7</v>
      </c>
      <c r="C67" s="877" t="s">
        <v>176</v>
      </c>
      <c r="D67" s="877"/>
      <c r="E67" s="877"/>
      <c r="F67" s="877"/>
      <c r="G67" s="877"/>
      <c r="H67" s="877"/>
      <c r="I67" s="877"/>
      <c r="J67" s="878"/>
      <c r="K67" s="355"/>
      <c r="O67" s="165">
        <v>1</v>
      </c>
    </row>
    <row r="68" spans="2:18" x14ac:dyDescent="0.2">
      <c r="B68" s="297">
        <f>B16</f>
        <v>8</v>
      </c>
      <c r="C68" s="877" t="s">
        <v>177</v>
      </c>
      <c r="D68" s="877"/>
      <c r="E68" s="877"/>
      <c r="F68" s="877"/>
      <c r="G68" s="877"/>
      <c r="H68" s="877"/>
      <c r="I68" s="877"/>
      <c r="J68" s="878"/>
      <c r="K68" s="355"/>
      <c r="O68" s="165">
        <v>1</v>
      </c>
    </row>
    <row r="69" spans="2:18" ht="25.5" x14ac:dyDescent="0.2">
      <c r="B69" s="297">
        <f>B17</f>
        <v>9</v>
      </c>
      <c r="C69" s="877" t="s">
        <v>178</v>
      </c>
      <c r="D69" s="877"/>
      <c r="E69" s="877"/>
      <c r="F69" s="877"/>
      <c r="G69" s="877"/>
      <c r="H69" s="877"/>
      <c r="I69" s="877"/>
      <c r="J69" s="878"/>
      <c r="K69" s="355"/>
      <c r="O69" s="387" t="s">
        <v>112</v>
      </c>
    </row>
    <row r="70" spans="2:18" ht="25.5" x14ac:dyDescent="0.2">
      <c r="B70" s="297">
        <f>B18</f>
        <v>10</v>
      </c>
      <c r="C70" s="877" t="s">
        <v>179</v>
      </c>
      <c r="D70" s="877"/>
      <c r="E70" s="877"/>
      <c r="F70" s="877"/>
      <c r="G70" s="877"/>
      <c r="H70" s="877"/>
      <c r="I70" s="877"/>
      <c r="J70" s="878"/>
      <c r="K70" s="355"/>
      <c r="O70" s="387" t="s">
        <v>112</v>
      </c>
    </row>
    <row r="71" spans="2:18" ht="25.5" x14ac:dyDescent="0.2">
      <c r="B71" s="297">
        <f>B19</f>
        <v>11</v>
      </c>
      <c r="C71" s="877" t="s">
        <v>180</v>
      </c>
      <c r="D71" s="877"/>
      <c r="E71" s="877"/>
      <c r="F71" s="877"/>
      <c r="G71" s="877"/>
      <c r="H71" s="877"/>
      <c r="I71" s="877"/>
      <c r="J71" s="878"/>
      <c r="K71" s="355"/>
      <c r="O71" s="168" t="s">
        <v>112</v>
      </c>
    </row>
    <row r="72" spans="2:18" x14ac:dyDescent="0.2">
      <c r="B72" s="297">
        <f>B20</f>
        <v>12</v>
      </c>
      <c r="C72" s="877" t="s">
        <v>181</v>
      </c>
      <c r="D72" s="877"/>
      <c r="E72" s="877"/>
      <c r="F72" s="877"/>
      <c r="G72" s="877"/>
      <c r="H72" s="877"/>
      <c r="I72" s="877"/>
      <c r="J72" s="878"/>
      <c r="K72" s="355"/>
      <c r="O72" s="165">
        <v>1</v>
      </c>
    </row>
    <row r="73" spans="2:18" ht="25.5" x14ac:dyDescent="0.2">
      <c r="B73" s="297">
        <f t="shared" ref="B73:B80" si="14">B23</f>
        <v>13</v>
      </c>
      <c r="C73" s="877" t="s">
        <v>182</v>
      </c>
      <c r="D73" s="877"/>
      <c r="E73" s="877"/>
      <c r="F73" s="877"/>
      <c r="G73" s="877"/>
      <c r="H73" s="877"/>
      <c r="I73" s="877"/>
      <c r="J73" s="878"/>
      <c r="K73" s="355"/>
      <c r="O73" s="387" t="s">
        <v>112</v>
      </c>
    </row>
    <row r="74" spans="2:18" x14ac:dyDescent="0.2">
      <c r="B74" s="297">
        <f t="shared" si="14"/>
        <v>14</v>
      </c>
      <c r="C74" s="877" t="s">
        <v>183</v>
      </c>
      <c r="D74" s="877"/>
      <c r="E74" s="877"/>
      <c r="F74" s="877"/>
      <c r="G74" s="877"/>
      <c r="H74" s="877"/>
      <c r="I74" s="877"/>
      <c r="J74" s="878"/>
      <c r="K74" s="355"/>
      <c r="O74" s="165">
        <v>1</v>
      </c>
    </row>
    <row r="75" spans="2:18" ht="127.5" x14ac:dyDescent="0.2">
      <c r="B75" s="297">
        <f t="shared" si="14"/>
        <v>15</v>
      </c>
      <c r="C75" s="877" t="s">
        <v>184</v>
      </c>
      <c r="D75" s="877"/>
      <c r="E75" s="877"/>
      <c r="F75" s="877"/>
      <c r="G75" s="877"/>
      <c r="H75" s="877"/>
      <c r="I75" s="877"/>
      <c r="J75" s="878"/>
      <c r="K75" s="355"/>
      <c r="O75" s="168" t="s">
        <v>185</v>
      </c>
    </row>
    <row r="76" spans="2:18" ht="25.5" x14ac:dyDescent="0.2">
      <c r="B76" s="297">
        <f t="shared" si="14"/>
        <v>16</v>
      </c>
      <c r="C76" s="877" t="s">
        <v>186</v>
      </c>
      <c r="D76" s="877"/>
      <c r="E76" s="877"/>
      <c r="F76" s="877"/>
      <c r="G76" s="877"/>
      <c r="H76" s="877"/>
      <c r="I76" s="877"/>
      <c r="J76" s="878"/>
      <c r="K76" s="355"/>
      <c r="O76" s="168" t="s">
        <v>112</v>
      </c>
    </row>
    <row r="77" spans="2:18" x14ac:dyDescent="0.2">
      <c r="B77" s="297">
        <f t="shared" si="14"/>
        <v>17</v>
      </c>
      <c r="C77" s="877" t="s">
        <v>187</v>
      </c>
      <c r="D77" s="877"/>
      <c r="E77" s="877"/>
      <c r="F77" s="877"/>
      <c r="G77" s="877"/>
      <c r="H77" s="877"/>
      <c r="I77" s="877"/>
      <c r="J77" s="878"/>
      <c r="K77" s="355"/>
      <c r="O77" s="165">
        <v>1</v>
      </c>
    </row>
    <row r="78" spans="2:18" ht="25.5" x14ac:dyDescent="0.2">
      <c r="B78" s="297">
        <f t="shared" si="14"/>
        <v>18</v>
      </c>
      <c r="C78" s="877" t="s">
        <v>188</v>
      </c>
      <c r="D78" s="877"/>
      <c r="E78" s="877"/>
      <c r="F78" s="877"/>
      <c r="G78" s="877"/>
      <c r="H78" s="877"/>
      <c r="I78" s="877"/>
      <c r="J78" s="878"/>
      <c r="K78" s="355"/>
      <c r="O78" s="168" t="s">
        <v>112</v>
      </c>
    </row>
    <row r="79" spans="2:18" x14ac:dyDescent="0.2">
      <c r="B79" s="297">
        <f t="shared" si="14"/>
        <v>19</v>
      </c>
      <c r="C79" s="877" t="s">
        <v>189</v>
      </c>
      <c r="D79" s="877"/>
      <c r="E79" s="877"/>
      <c r="F79" s="877"/>
      <c r="G79" s="877"/>
      <c r="H79" s="877"/>
      <c r="I79" s="877"/>
      <c r="J79" s="878"/>
      <c r="K79" s="355"/>
      <c r="O79" s="165">
        <v>1</v>
      </c>
    </row>
    <row r="80" spans="2:18" x14ac:dyDescent="0.2">
      <c r="B80" s="297">
        <f t="shared" si="14"/>
        <v>20</v>
      </c>
      <c r="C80" s="877" t="s">
        <v>190</v>
      </c>
      <c r="D80" s="877"/>
      <c r="E80" s="877"/>
      <c r="F80" s="877"/>
      <c r="G80" s="877"/>
      <c r="H80" s="877"/>
      <c r="I80" s="877"/>
      <c r="J80" s="878"/>
      <c r="K80" s="355"/>
      <c r="O80" s="165">
        <v>1</v>
      </c>
    </row>
    <row r="81" spans="2:15" ht="25.5" x14ac:dyDescent="0.2">
      <c r="B81" s="297">
        <f>B33</f>
        <v>21</v>
      </c>
      <c r="C81" s="877" t="s">
        <v>191</v>
      </c>
      <c r="D81" s="877"/>
      <c r="E81" s="877"/>
      <c r="F81" s="877"/>
      <c r="G81" s="877"/>
      <c r="H81" s="877"/>
      <c r="I81" s="877"/>
      <c r="J81" s="878"/>
      <c r="K81" s="355"/>
      <c r="O81" s="168" t="s">
        <v>112</v>
      </c>
    </row>
    <row r="82" spans="2:15" ht="127.5" x14ac:dyDescent="0.2">
      <c r="B82" s="297">
        <f>B34</f>
        <v>22</v>
      </c>
      <c r="C82" s="877" t="s">
        <v>192</v>
      </c>
      <c r="D82" s="877"/>
      <c r="E82" s="877"/>
      <c r="F82" s="877"/>
      <c r="G82" s="877"/>
      <c r="H82" s="877"/>
      <c r="I82" s="877"/>
      <c r="J82" s="878"/>
      <c r="K82" s="355"/>
      <c r="O82" s="168" t="s">
        <v>185</v>
      </c>
    </row>
    <row r="83" spans="2:15" ht="25.5" x14ac:dyDescent="0.2">
      <c r="B83" s="297">
        <f t="shared" ref="B83:B90" si="15">B35</f>
        <v>23</v>
      </c>
      <c r="C83" s="877" t="s">
        <v>193</v>
      </c>
      <c r="D83" s="877"/>
      <c r="E83" s="877"/>
      <c r="F83" s="877"/>
      <c r="G83" s="877"/>
      <c r="H83" s="877"/>
      <c r="I83" s="877"/>
      <c r="J83" s="878"/>
      <c r="K83" s="355"/>
      <c r="O83" s="168" t="s">
        <v>112</v>
      </c>
    </row>
    <row r="84" spans="2:15" ht="34.15" customHeight="1" x14ac:dyDescent="0.2">
      <c r="B84" s="297">
        <f t="shared" si="15"/>
        <v>24</v>
      </c>
      <c r="C84" s="877" t="s">
        <v>194</v>
      </c>
      <c r="D84" s="877"/>
      <c r="E84" s="877"/>
      <c r="F84" s="877"/>
      <c r="G84" s="877"/>
      <c r="H84" s="877"/>
      <c r="I84" s="877"/>
      <c r="J84" s="878"/>
      <c r="K84" s="355"/>
      <c r="O84" s="165">
        <v>1</v>
      </c>
    </row>
    <row r="85" spans="2:15" x14ac:dyDescent="0.2">
      <c r="B85" s="297">
        <f t="shared" si="15"/>
        <v>25</v>
      </c>
      <c r="C85" s="877" t="s">
        <v>195</v>
      </c>
      <c r="D85" s="877"/>
      <c r="E85" s="877"/>
      <c r="F85" s="877"/>
      <c r="G85" s="877"/>
      <c r="H85" s="877"/>
      <c r="I85" s="877"/>
      <c r="J85" s="878"/>
      <c r="K85" s="355"/>
      <c r="O85" s="165">
        <v>1</v>
      </c>
    </row>
    <row r="86" spans="2:15" ht="25.5" x14ac:dyDescent="0.2">
      <c r="B86" s="297">
        <f t="shared" si="15"/>
        <v>26</v>
      </c>
      <c r="C86" s="877" t="s">
        <v>196</v>
      </c>
      <c r="D86" s="877"/>
      <c r="E86" s="877"/>
      <c r="F86" s="877"/>
      <c r="G86" s="877"/>
      <c r="H86" s="877"/>
      <c r="I86" s="877"/>
      <c r="J86" s="878"/>
      <c r="K86" s="355"/>
      <c r="O86" s="168" t="s">
        <v>112</v>
      </c>
    </row>
    <row r="87" spans="2:15" x14ac:dyDescent="0.2">
      <c r="B87" s="297">
        <f t="shared" si="15"/>
        <v>27</v>
      </c>
      <c r="C87" s="877" t="s">
        <v>197</v>
      </c>
      <c r="D87" s="877"/>
      <c r="E87" s="877"/>
      <c r="F87" s="877"/>
      <c r="G87" s="877"/>
      <c r="H87" s="877"/>
      <c r="I87" s="877"/>
      <c r="J87" s="878"/>
      <c r="K87" s="355"/>
      <c r="O87" s="165">
        <v>1</v>
      </c>
    </row>
    <row r="88" spans="2:15" ht="25.5" x14ac:dyDescent="0.2">
      <c r="B88" s="297">
        <f t="shared" si="15"/>
        <v>28</v>
      </c>
      <c r="C88" s="877" t="s">
        <v>198</v>
      </c>
      <c r="D88" s="877"/>
      <c r="E88" s="877"/>
      <c r="F88" s="877"/>
      <c r="G88" s="877"/>
      <c r="H88" s="877"/>
      <c r="I88" s="877"/>
      <c r="J88" s="878"/>
      <c r="K88" s="355"/>
      <c r="O88" s="168" t="s">
        <v>112</v>
      </c>
    </row>
    <row r="89" spans="2:15" x14ac:dyDescent="0.2">
      <c r="B89" s="297">
        <f t="shared" si="15"/>
        <v>29</v>
      </c>
      <c r="C89" s="877" t="s">
        <v>199</v>
      </c>
      <c r="D89" s="877"/>
      <c r="E89" s="877"/>
      <c r="F89" s="877"/>
      <c r="G89" s="877"/>
      <c r="H89" s="877"/>
      <c r="I89" s="877"/>
      <c r="J89" s="878"/>
      <c r="K89" s="355"/>
      <c r="O89" s="165">
        <v>1</v>
      </c>
    </row>
    <row r="90" spans="2:15" x14ac:dyDescent="0.2">
      <c r="B90" s="297">
        <f t="shared" si="15"/>
        <v>30</v>
      </c>
      <c r="C90" s="877" t="s">
        <v>200</v>
      </c>
      <c r="D90" s="877"/>
      <c r="E90" s="877"/>
      <c r="F90" s="877"/>
      <c r="G90" s="877"/>
      <c r="H90" s="877"/>
      <c r="I90" s="877"/>
      <c r="J90" s="878"/>
      <c r="K90" s="355"/>
      <c r="O90" s="165">
        <v>1</v>
      </c>
    </row>
    <row r="91" spans="2:15" x14ac:dyDescent="0.2">
      <c r="B91" s="297">
        <f>B45</f>
        <v>31</v>
      </c>
      <c r="C91" s="877" t="s">
        <v>201</v>
      </c>
      <c r="D91" s="877"/>
      <c r="E91" s="877"/>
      <c r="F91" s="877"/>
      <c r="G91" s="877"/>
      <c r="H91" s="877"/>
      <c r="I91" s="877"/>
      <c r="J91" s="878"/>
      <c r="K91" s="355"/>
      <c r="O91" s="165">
        <v>1</v>
      </c>
    </row>
    <row r="92" spans="2:15" x14ac:dyDescent="0.2">
      <c r="B92" s="297">
        <f>B46</f>
        <v>32</v>
      </c>
      <c r="C92" s="877" t="s">
        <v>202</v>
      </c>
      <c r="D92" s="877"/>
      <c r="E92" s="877"/>
      <c r="F92" s="877"/>
      <c r="G92" s="877"/>
      <c r="H92" s="877"/>
      <c r="I92" s="877"/>
      <c r="J92" s="878"/>
      <c r="O92" s="165">
        <v>1</v>
      </c>
    </row>
    <row r="93" spans="2:15" ht="26.25" thickBot="1" x14ac:dyDescent="0.25">
      <c r="B93" s="298">
        <f>B47</f>
        <v>33</v>
      </c>
      <c r="C93" s="900" t="s">
        <v>203</v>
      </c>
      <c r="D93" s="900"/>
      <c r="E93" s="900"/>
      <c r="F93" s="900"/>
      <c r="G93" s="900"/>
      <c r="H93" s="900"/>
      <c r="I93" s="900"/>
      <c r="J93" s="901"/>
      <c r="O93" s="168" t="s">
        <v>112</v>
      </c>
    </row>
    <row r="94" spans="2:15" x14ac:dyDescent="0.2">
      <c r="B94" s="423"/>
      <c r="C94" s="146"/>
      <c r="D94" s="146"/>
      <c r="E94" s="146"/>
      <c r="F94" s="146"/>
      <c r="G94" s="146"/>
      <c r="H94" s="146"/>
      <c r="I94" s="146"/>
      <c r="J94" s="146"/>
      <c r="O94" s="132"/>
    </row>
  </sheetData>
  <sheetProtection algorithmName="SHA-512" hashValue="qD+iZEGalVyfGgyBCgnTQ5Q5gIeMf67nING/tcfjTuE0vyoZUdyN4n6GB+RJIJjoPJ3W7yc/solIlnA6HwSsOg==" saltValue="r5hGL2EvJQf06xbumztBdA==" spinCount="100000" sheet="1" objects="1" scenarios="1"/>
  <mergeCells count="42">
    <mergeCell ref="C93:J93"/>
    <mergeCell ref="C82:J82"/>
    <mergeCell ref="C83:J83"/>
    <mergeCell ref="C84:J84"/>
    <mergeCell ref="C85:J85"/>
    <mergeCell ref="C86:J86"/>
    <mergeCell ref="C87:J87"/>
    <mergeCell ref="C88:J88"/>
    <mergeCell ref="C89:J89"/>
    <mergeCell ref="C90:J90"/>
    <mergeCell ref="C91:J91"/>
    <mergeCell ref="C92:J92"/>
    <mergeCell ref="C67:J67"/>
    <mergeCell ref="C68:J68"/>
    <mergeCell ref="C81:J81"/>
    <mergeCell ref="C70:J70"/>
    <mergeCell ref="C71:J71"/>
    <mergeCell ref="C72:J72"/>
    <mergeCell ref="C73:J73"/>
    <mergeCell ref="C74:J74"/>
    <mergeCell ref="C75:J75"/>
    <mergeCell ref="C76:J76"/>
    <mergeCell ref="C77:J77"/>
    <mergeCell ref="C78:J78"/>
    <mergeCell ref="C79:J79"/>
    <mergeCell ref="C80:J80"/>
    <mergeCell ref="C69:J69"/>
    <mergeCell ref="L3:L4"/>
    <mergeCell ref="O4:Q4"/>
    <mergeCell ref="B49:C49"/>
    <mergeCell ref="C61:J61"/>
    <mergeCell ref="C62:J62"/>
    <mergeCell ref="C64:J64"/>
    <mergeCell ref="C65:J65"/>
    <mergeCell ref="C66:J66"/>
    <mergeCell ref="C63:J63"/>
    <mergeCell ref="B3:C4"/>
    <mergeCell ref="D3:D4"/>
    <mergeCell ref="E3:E4"/>
    <mergeCell ref="F3:F4"/>
    <mergeCell ref="G3:I3"/>
    <mergeCell ref="J3:J4"/>
  </mergeCells>
  <conditionalFormatting sqref="L7:L12 L16:L19 L23:L28 L33:L40 L45:L46">
    <cfRule type="cellIs" dxfId="198" priority="1" operator="equal">
      <formula>0</formula>
    </cfRule>
  </conditionalFormatting>
  <printOptions horizontalCentered="1"/>
  <pageMargins left="0.39370078740157483" right="0.39370078740157483" top="0.78740157480314965" bottom="0.78740157480314965" header="0.31496062992125984" footer="0.31496062992125984"/>
  <pageSetup paperSize="9" scale="41" orientation="portrait" r:id="rId1"/>
  <headerFooter>
    <oddHeader>&amp;L&amp;9&amp;K857362Page &amp;P of &amp;N&amp;C&amp;9 &amp;K8573622017 annual performance report tables (May 2017) &amp;R&amp;9&amp;G</oddHeader>
    <oddFooter>&amp;L&amp;9&amp;K857362&amp;A&amp;R&amp;9&amp;K857362Printed: &amp;D &amp;T</oddFooter>
  </headerFooter>
  <rowBreaks count="1" manualBreakCount="1">
    <brk id="57" max="19"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101"/>
  <sheetViews>
    <sheetView showGridLines="0" workbookViewId="0">
      <selection activeCell="F13" sqref="F13"/>
    </sheetView>
  </sheetViews>
  <sheetFormatPr defaultColWidth="0" defaultRowHeight="14.25" zeroHeight="1" x14ac:dyDescent="0.2"/>
  <cols>
    <col min="1" max="1" width="1.625" style="83" customWidth="1"/>
    <col min="2" max="2" width="4.125" style="83" customWidth="1"/>
    <col min="3" max="3" width="38.125" style="83" customWidth="1"/>
    <col min="4" max="5" width="5.125" style="83" customWidth="1"/>
    <col min="6" max="10" width="12.5" style="83" customWidth="1"/>
    <col min="11" max="11" width="2.25" style="83" customWidth="1"/>
    <col min="12" max="12" width="18.75" style="83" bestFit="1" customWidth="1"/>
    <col min="13" max="13" width="1.625" style="83" customWidth="1"/>
    <col min="14" max="14" width="1.625" style="84" hidden="1" customWidth="1"/>
    <col min="15" max="17" width="5.625" style="83" hidden="1" customWidth="1"/>
    <col min="18" max="18" width="1.625" style="84" hidden="1" customWidth="1"/>
    <col min="19" max="19" width="8.125" style="83" hidden="1" customWidth="1"/>
    <col min="20" max="22" width="8.75" style="83" hidden="1" customWidth="1"/>
    <col min="23" max="16384" width="8.125" style="83" hidden="1"/>
  </cols>
  <sheetData>
    <row r="1" spans="2:17" ht="20.25" x14ac:dyDescent="0.2">
      <c r="B1" s="79" t="s">
        <v>204</v>
      </c>
      <c r="C1" s="79"/>
      <c r="D1" s="79"/>
      <c r="E1" s="79"/>
      <c r="F1" s="79"/>
      <c r="G1" s="79"/>
      <c r="H1" s="79"/>
      <c r="I1" s="79"/>
      <c r="J1" s="81" t="str">
        <f>Validation!B3</f>
        <v>Yorkshire Water</v>
      </c>
      <c r="K1" s="79"/>
      <c r="L1" s="82" t="s">
        <v>72</v>
      </c>
    </row>
    <row r="2" spans="2:17" ht="15" thickBot="1" x14ac:dyDescent="0.25">
      <c r="B2" s="86" t="s">
        <v>55</v>
      </c>
    </row>
    <row r="3" spans="2:17" ht="14.65" customHeight="1" x14ac:dyDescent="0.2">
      <c r="B3" s="881" t="s">
        <v>73</v>
      </c>
      <c r="C3" s="882"/>
      <c r="D3" s="885" t="s">
        <v>74</v>
      </c>
      <c r="E3" s="887" t="s">
        <v>75</v>
      </c>
      <c r="F3" s="889" t="s">
        <v>76</v>
      </c>
      <c r="G3" s="891" t="s">
        <v>77</v>
      </c>
      <c r="H3" s="892"/>
      <c r="I3" s="893"/>
      <c r="J3" s="894" t="s">
        <v>78</v>
      </c>
      <c r="L3" s="894" t="s">
        <v>79</v>
      </c>
    </row>
    <row r="4" spans="2:17" ht="54.75" thickBot="1" x14ac:dyDescent="0.25">
      <c r="B4" s="883"/>
      <c r="C4" s="884"/>
      <c r="D4" s="886"/>
      <c r="E4" s="888"/>
      <c r="F4" s="890"/>
      <c r="G4" s="846" t="s">
        <v>80</v>
      </c>
      <c r="H4" s="91" t="s">
        <v>81</v>
      </c>
      <c r="I4" s="847" t="s">
        <v>82</v>
      </c>
      <c r="J4" s="895"/>
      <c r="L4" s="895"/>
      <c r="M4" s="92"/>
      <c r="O4" s="896" t="s">
        <v>83</v>
      </c>
      <c r="P4" s="896"/>
      <c r="Q4" s="896"/>
    </row>
    <row r="5" spans="2:17" ht="15" thickBot="1" x14ac:dyDescent="0.25"/>
    <row r="6" spans="2:17" ht="15" thickBot="1" x14ac:dyDescent="0.25">
      <c r="B6" s="95" t="s">
        <v>134</v>
      </c>
      <c r="C6" s="96" t="s">
        <v>205</v>
      </c>
      <c r="O6" s="97" t="s">
        <v>84</v>
      </c>
    </row>
    <row r="7" spans="2:17" x14ac:dyDescent="0.2">
      <c r="B7" s="98">
        <v>1</v>
      </c>
      <c r="C7" s="128" t="s">
        <v>89</v>
      </c>
      <c r="D7" s="100" t="s">
        <v>86</v>
      </c>
      <c r="E7" s="101">
        <v>3</v>
      </c>
      <c r="F7" s="410">
        <f>'1A'!F9</f>
        <v>317.21499999999992</v>
      </c>
      <c r="G7" s="349">
        <f>'1A'!G9</f>
        <v>-1.0640000000000001</v>
      </c>
      <c r="H7" s="350">
        <f>'1A'!H9</f>
        <v>1.7640000000000029</v>
      </c>
      <c r="I7" s="199">
        <f t="shared" ref="I7:I15" si="0" xml:space="preserve"> G7 - H7</f>
        <v>-2.828000000000003</v>
      </c>
      <c r="J7" s="206">
        <f t="shared" ref="J7:J15" si="1" xml:space="preserve"> F7 + I7</f>
        <v>314.38699999999994</v>
      </c>
      <c r="L7" s="135"/>
      <c r="O7" s="132"/>
      <c r="P7" s="132"/>
      <c r="Q7" s="132"/>
    </row>
    <row r="8" spans="2:17" x14ac:dyDescent="0.2">
      <c r="B8" s="106">
        <f xml:space="preserve"> B7 + 1</f>
        <v>2</v>
      </c>
      <c r="C8" s="99" t="s">
        <v>90</v>
      </c>
      <c r="D8" s="107" t="s">
        <v>86</v>
      </c>
      <c r="E8" s="108">
        <v>3</v>
      </c>
      <c r="F8" s="501">
        <v>0</v>
      </c>
      <c r="G8" s="439">
        <v>10.167</v>
      </c>
      <c r="H8" s="440">
        <v>0</v>
      </c>
      <c r="I8" s="202">
        <f t="shared" si="0"/>
        <v>10.167</v>
      </c>
      <c r="J8" s="207">
        <f t="shared" si="1"/>
        <v>10.167</v>
      </c>
      <c r="L8" s="28">
        <f xml:space="preserve"> IF( SUM( N8:R8 ) = 0, 0, $O$6 )</f>
        <v>0</v>
      </c>
      <c r="O8" s="105">
        <f t="shared" ref="O8:Q32" si="2" xml:space="preserve"> IF( ISNUMBER( F8 ), 0, 1 )</f>
        <v>0</v>
      </c>
      <c r="P8" s="105">
        <f t="shared" si="2"/>
        <v>0</v>
      </c>
      <c r="Q8" s="105">
        <f t="shared" si="2"/>
        <v>0</v>
      </c>
    </row>
    <row r="9" spans="2:17" x14ac:dyDescent="0.2">
      <c r="B9" s="106">
        <f t="shared" ref="B9:B34" si="3" xml:space="preserve"> B8 + 1</f>
        <v>3</v>
      </c>
      <c r="C9" s="99" t="s">
        <v>206</v>
      </c>
      <c r="D9" s="107" t="s">
        <v>86</v>
      </c>
      <c r="E9" s="108">
        <v>3</v>
      </c>
      <c r="F9" s="501">
        <v>276.87700000000001</v>
      </c>
      <c r="G9" s="439">
        <v>-9.1029999999999998</v>
      </c>
      <c r="H9" s="440">
        <v>0.23799999999999999</v>
      </c>
      <c r="I9" s="202">
        <f t="shared" si="0"/>
        <v>-9.3409999999999993</v>
      </c>
      <c r="J9" s="207">
        <f t="shared" si="1"/>
        <v>267.536</v>
      </c>
      <c r="L9" s="28">
        <f t="shared" ref="L9:L14" si="4" xml:space="preserve"> IF( SUM( N9:R9 ) = 0, 0, $O$6 )</f>
        <v>0</v>
      </c>
      <c r="O9" s="105">
        <f t="shared" si="2"/>
        <v>0</v>
      </c>
      <c r="P9" s="105">
        <f t="shared" si="2"/>
        <v>0</v>
      </c>
      <c r="Q9" s="105">
        <f t="shared" si="2"/>
        <v>0</v>
      </c>
    </row>
    <row r="10" spans="2:17" x14ac:dyDescent="0.2">
      <c r="B10" s="106">
        <f t="shared" si="3"/>
        <v>4</v>
      </c>
      <c r="C10" s="99" t="s">
        <v>207</v>
      </c>
      <c r="D10" s="107" t="s">
        <v>86</v>
      </c>
      <c r="E10" s="108">
        <v>3</v>
      </c>
      <c r="F10" s="502">
        <v>-2.9050203199999998</v>
      </c>
      <c r="G10" s="503">
        <v>0</v>
      </c>
      <c r="H10" s="504">
        <v>-0.16599999999999993</v>
      </c>
      <c r="I10" s="202">
        <f t="shared" si="0"/>
        <v>0.16599999999999993</v>
      </c>
      <c r="J10" s="207">
        <f t="shared" si="1"/>
        <v>-2.7390203199999998</v>
      </c>
      <c r="L10" s="28">
        <f t="shared" si="4"/>
        <v>0</v>
      </c>
      <c r="O10" s="105">
        <f t="shared" si="2"/>
        <v>0</v>
      </c>
      <c r="P10" s="105">
        <f t="shared" si="2"/>
        <v>0</v>
      </c>
      <c r="Q10" s="105">
        <f t="shared" si="2"/>
        <v>0</v>
      </c>
    </row>
    <row r="11" spans="2:17" x14ac:dyDescent="0.2">
      <c r="B11" s="106">
        <f t="shared" si="3"/>
        <v>5</v>
      </c>
      <c r="C11" s="99" t="s">
        <v>208</v>
      </c>
      <c r="D11" s="107" t="s">
        <v>86</v>
      </c>
      <c r="E11" s="108">
        <v>3</v>
      </c>
      <c r="F11" s="502">
        <v>-11.693</v>
      </c>
      <c r="G11" s="503">
        <v>0</v>
      </c>
      <c r="H11" s="504">
        <v>1.4020000000000001</v>
      </c>
      <c r="I11" s="202">
        <f t="shared" si="0"/>
        <v>-1.4020000000000001</v>
      </c>
      <c r="J11" s="207">
        <f t="shared" si="1"/>
        <v>-13.094999999999999</v>
      </c>
      <c r="L11" s="28">
        <f t="shared" si="4"/>
        <v>0</v>
      </c>
      <c r="O11" s="105">
        <f t="shared" si="2"/>
        <v>0</v>
      </c>
      <c r="P11" s="105">
        <f t="shared" si="2"/>
        <v>0</v>
      </c>
      <c r="Q11" s="105">
        <f t="shared" si="2"/>
        <v>0</v>
      </c>
    </row>
    <row r="12" spans="2:17" x14ac:dyDescent="0.2">
      <c r="B12" s="106">
        <f t="shared" si="3"/>
        <v>6</v>
      </c>
      <c r="C12" s="99" t="s">
        <v>209</v>
      </c>
      <c r="D12" s="107" t="s">
        <v>86</v>
      </c>
      <c r="E12" s="108">
        <v>3</v>
      </c>
      <c r="F12" s="502">
        <v>0</v>
      </c>
      <c r="G12" s="503">
        <v>0</v>
      </c>
      <c r="H12" s="504">
        <v>0</v>
      </c>
      <c r="I12" s="202">
        <f t="shared" si="0"/>
        <v>0</v>
      </c>
      <c r="J12" s="207">
        <f t="shared" si="1"/>
        <v>0</v>
      </c>
      <c r="L12" s="28">
        <f t="shared" si="4"/>
        <v>0</v>
      </c>
      <c r="O12" s="105">
        <f t="shared" si="2"/>
        <v>0</v>
      </c>
      <c r="P12" s="105">
        <f t="shared" si="2"/>
        <v>0</v>
      </c>
      <c r="Q12" s="105">
        <f t="shared" si="2"/>
        <v>0</v>
      </c>
    </row>
    <row r="13" spans="2:17" x14ac:dyDescent="0.2">
      <c r="B13" s="106">
        <f t="shared" si="3"/>
        <v>7</v>
      </c>
      <c r="C13" s="99" t="s">
        <v>210</v>
      </c>
      <c r="D13" s="107" t="s">
        <v>86</v>
      </c>
      <c r="E13" s="108">
        <v>3</v>
      </c>
      <c r="F13" s="502">
        <v>-0.108</v>
      </c>
      <c r="G13" s="503">
        <v>0</v>
      </c>
      <c r="H13" s="504">
        <v>0</v>
      </c>
      <c r="I13" s="202">
        <f t="shared" si="0"/>
        <v>0</v>
      </c>
      <c r="J13" s="207">
        <f t="shared" si="1"/>
        <v>-0.108</v>
      </c>
      <c r="L13" s="28">
        <f t="shared" si="4"/>
        <v>0</v>
      </c>
      <c r="O13" s="105">
        <f t="shared" si="2"/>
        <v>0</v>
      </c>
      <c r="P13" s="105">
        <f t="shared" si="2"/>
        <v>0</v>
      </c>
      <c r="Q13" s="105">
        <f t="shared" si="2"/>
        <v>0</v>
      </c>
    </row>
    <row r="14" spans="2:17" x14ac:dyDescent="0.2">
      <c r="B14" s="106">
        <f t="shared" si="3"/>
        <v>8</v>
      </c>
      <c r="C14" s="99" t="s">
        <v>211</v>
      </c>
      <c r="D14" s="107" t="s">
        <v>86</v>
      </c>
      <c r="E14" s="108">
        <v>3</v>
      </c>
      <c r="F14" s="502">
        <v>-2.0630000000000002</v>
      </c>
      <c r="G14" s="503">
        <v>0</v>
      </c>
      <c r="H14" s="504">
        <v>0</v>
      </c>
      <c r="I14" s="202">
        <f t="shared" si="0"/>
        <v>0</v>
      </c>
      <c r="J14" s="207">
        <f t="shared" si="1"/>
        <v>-2.0630000000000002</v>
      </c>
      <c r="L14" s="28">
        <f t="shared" si="4"/>
        <v>0</v>
      </c>
      <c r="O14" s="105">
        <f t="shared" si="2"/>
        <v>0</v>
      </c>
      <c r="P14" s="105">
        <f t="shared" si="2"/>
        <v>0</v>
      </c>
      <c r="Q14" s="105">
        <f t="shared" si="2"/>
        <v>0</v>
      </c>
    </row>
    <row r="15" spans="2:17" ht="15" thickBot="1" x14ac:dyDescent="0.25">
      <c r="B15" s="113">
        <f xml:space="preserve"> B14 + 1</f>
        <v>9</v>
      </c>
      <c r="C15" s="114" t="s">
        <v>212</v>
      </c>
      <c r="D15" s="115" t="s">
        <v>86</v>
      </c>
      <c r="E15" s="112">
        <v>3</v>
      </c>
      <c r="F15" s="411">
        <f>SUM( F7:F14 )</f>
        <v>577.32297968</v>
      </c>
      <c r="G15" s="203">
        <f>SUM( G7:G14 )</f>
        <v>0</v>
      </c>
      <c r="H15" s="204">
        <f>SUM( H7:H14 )</f>
        <v>3.2380000000000031</v>
      </c>
      <c r="I15" s="205">
        <f t="shared" si="0"/>
        <v>-3.2380000000000031</v>
      </c>
      <c r="J15" s="208">
        <f t="shared" si="1"/>
        <v>574.08497967999995</v>
      </c>
      <c r="L15" s="135"/>
    </row>
    <row r="16" spans="2:17" ht="15" thickBot="1" x14ac:dyDescent="0.25">
      <c r="L16" s="135"/>
    </row>
    <row r="17" spans="2:18" x14ac:dyDescent="0.2">
      <c r="B17" s="98">
        <f xml:space="preserve"> B15 + 1</f>
        <v>10</v>
      </c>
      <c r="C17" s="128" t="s">
        <v>213</v>
      </c>
      <c r="D17" s="100" t="s">
        <v>86</v>
      </c>
      <c r="E17" s="101">
        <v>3</v>
      </c>
      <c r="F17" s="505">
        <v>-171.31</v>
      </c>
      <c r="G17" s="441">
        <v>0</v>
      </c>
      <c r="H17" s="452">
        <v>0</v>
      </c>
      <c r="I17" s="199">
        <f xml:space="preserve"> G17 - H17</f>
        <v>0</v>
      </c>
      <c r="J17" s="206">
        <f xml:space="preserve"> F17 + I17</f>
        <v>-171.31</v>
      </c>
      <c r="L17" s="28">
        <f t="shared" ref="L17:L18" si="5" xml:space="preserve"> IF( SUM( N17:R17 ) = 0, 0, $O$6 )</f>
        <v>0</v>
      </c>
      <c r="O17" s="105">
        <f t="shared" si="2"/>
        <v>0</v>
      </c>
      <c r="P17" s="105">
        <f t="shared" si="2"/>
        <v>0</v>
      </c>
      <c r="Q17" s="105">
        <f t="shared" si="2"/>
        <v>0</v>
      </c>
    </row>
    <row r="18" spans="2:18" x14ac:dyDescent="0.2">
      <c r="B18" s="106">
        <f t="shared" si="3"/>
        <v>11</v>
      </c>
      <c r="C18" s="99" t="s">
        <v>214</v>
      </c>
      <c r="D18" s="107" t="s">
        <v>86</v>
      </c>
      <c r="E18" s="108">
        <v>3</v>
      </c>
      <c r="F18" s="501">
        <v>0</v>
      </c>
      <c r="G18" s="439">
        <v>0</v>
      </c>
      <c r="H18" s="440">
        <v>0</v>
      </c>
      <c r="I18" s="202">
        <f xml:space="preserve"> G18 - H18</f>
        <v>0</v>
      </c>
      <c r="J18" s="207">
        <f xml:space="preserve"> F18 + I18</f>
        <v>0</v>
      </c>
      <c r="L18" s="28">
        <f t="shared" si="5"/>
        <v>0</v>
      </c>
      <c r="O18" s="105">
        <f t="shared" si="2"/>
        <v>0</v>
      </c>
      <c r="P18" s="105">
        <f t="shared" si="2"/>
        <v>0</v>
      </c>
      <c r="Q18" s="105">
        <f t="shared" si="2"/>
        <v>0</v>
      </c>
    </row>
    <row r="19" spans="2:18" ht="15" thickBot="1" x14ac:dyDescent="0.25">
      <c r="B19" s="113">
        <f xml:space="preserve"> B18 + 1</f>
        <v>12</v>
      </c>
      <c r="C19" s="114" t="s">
        <v>215</v>
      </c>
      <c r="D19" s="115" t="s">
        <v>86</v>
      </c>
      <c r="E19" s="112">
        <v>3</v>
      </c>
      <c r="F19" s="205">
        <f xml:space="preserve"> F15 + SUM( F17:F18 )</f>
        <v>406.01297968</v>
      </c>
      <c r="G19" s="210">
        <f xml:space="preserve"> G15 + SUM( G17:G18 )</f>
        <v>0</v>
      </c>
      <c r="H19" s="205">
        <f xml:space="preserve"> H15 + SUM( H17:H18 )</f>
        <v>3.2380000000000031</v>
      </c>
      <c r="I19" s="205">
        <f xml:space="preserve"> G19 - H19</f>
        <v>-3.2380000000000031</v>
      </c>
      <c r="J19" s="208">
        <f xml:space="preserve"> F19 + I19</f>
        <v>402.77497968</v>
      </c>
      <c r="L19" s="135"/>
    </row>
    <row r="20" spans="2:18" ht="15" thickBot="1" x14ac:dyDescent="0.25">
      <c r="L20" s="135"/>
    </row>
    <row r="21" spans="2:18" ht="15" thickBot="1" x14ac:dyDescent="0.25">
      <c r="B21" s="95" t="s">
        <v>149</v>
      </c>
      <c r="C21" s="96" t="s">
        <v>216</v>
      </c>
      <c r="L21" s="135"/>
    </row>
    <row r="22" spans="2:18" x14ac:dyDescent="0.2">
      <c r="B22" s="98">
        <f xml:space="preserve"> B19 + 1</f>
        <v>13</v>
      </c>
      <c r="C22" s="128" t="s">
        <v>217</v>
      </c>
      <c r="D22" s="100" t="s">
        <v>86</v>
      </c>
      <c r="E22" s="101">
        <v>3</v>
      </c>
      <c r="F22" s="505">
        <v>-354.66800000000001</v>
      </c>
      <c r="G22" s="441">
        <v>0</v>
      </c>
      <c r="H22" s="452">
        <v>0</v>
      </c>
      <c r="I22" s="199">
        <f t="shared" ref="I22:I27" si="6" xml:space="preserve"> G22 - H22</f>
        <v>0</v>
      </c>
      <c r="J22" s="206">
        <f t="shared" ref="J22:J27" si="7" xml:space="preserve"> F22 + I22</f>
        <v>-354.66800000000001</v>
      </c>
      <c r="L22" s="28">
        <f t="shared" ref="L22:L25" si="8" xml:space="preserve"> IF( SUM( N22:R22 ) = 0, 0, $O$6 )</f>
        <v>0</v>
      </c>
      <c r="O22" s="105">
        <f t="shared" si="2"/>
        <v>0</v>
      </c>
      <c r="P22" s="105">
        <f t="shared" si="2"/>
        <v>0</v>
      </c>
      <c r="Q22" s="105">
        <f t="shared" si="2"/>
        <v>0</v>
      </c>
    </row>
    <row r="23" spans="2:18" x14ac:dyDescent="0.2">
      <c r="B23" s="106">
        <f t="shared" si="3"/>
        <v>14</v>
      </c>
      <c r="C23" s="99" t="s">
        <v>218</v>
      </c>
      <c r="D23" s="107" t="s">
        <v>86</v>
      </c>
      <c r="E23" s="108">
        <v>3</v>
      </c>
      <c r="F23" s="501">
        <v>37.847999999999999</v>
      </c>
      <c r="G23" s="439">
        <v>0</v>
      </c>
      <c r="H23" s="440">
        <v>0</v>
      </c>
      <c r="I23" s="202">
        <f t="shared" si="6"/>
        <v>0</v>
      </c>
      <c r="J23" s="207">
        <f t="shared" si="7"/>
        <v>37.847999999999999</v>
      </c>
      <c r="L23" s="28">
        <f t="shared" si="8"/>
        <v>0</v>
      </c>
      <c r="N23" s="133"/>
      <c r="O23" s="105">
        <f t="shared" si="2"/>
        <v>0</v>
      </c>
      <c r="P23" s="105">
        <f t="shared" si="2"/>
        <v>0</v>
      </c>
      <c r="Q23" s="105">
        <f t="shared" si="2"/>
        <v>0</v>
      </c>
      <c r="R23" s="133"/>
    </row>
    <row r="24" spans="2:18" x14ac:dyDescent="0.2">
      <c r="B24" s="106">
        <f t="shared" si="3"/>
        <v>15</v>
      </c>
      <c r="C24" s="99" t="s">
        <v>219</v>
      </c>
      <c r="D24" s="107" t="s">
        <v>86</v>
      </c>
      <c r="E24" s="108">
        <v>3</v>
      </c>
      <c r="F24" s="501">
        <v>2.9830000000000001</v>
      </c>
      <c r="G24" s="439">
        <v>0</v>
      </c>
      <c r="H24" s="440">
        <v>0</v>
      </c>
      <c r="I24" s="202">
        <f t="shared" si="6"/>
        <v>0</v>
      </c>
      <c r="J24" s="207">
        <f t="shared" si="7"/>
        <v>2.9830000000000001</v>
      </c>
      <c r="L24" s="28">
        <f t="shared" si="8"/>
        <v>0</v>
      </c>
      <c r="N24" s="130"/>
      <c r="O24" s="105">
        <f t="shared" si="2"/>
        <v>0</v>
      </c>
      <c r="P24" s="105">
        <f t="shared" si="2"/>
        <v>0</v>
      </c>
      <c r="Q24" s="105">
        <f t="shared" si="2"/>
        <v>0</v>
      </c>
      <c r="R24" s="130"/>
    </row>
    <row r="25" spans="2:18" x14ac:dyDescent="0.2">
      <c r="B25" s="106">
        <f t="shared" si="3"/>
        <v>16</v>
      </c>
      <c r="C25" s="99" t="s">
        <v>220</v>
      </c>
      <c r="D25" s="107" t="s">
        <v>86</v>
      </c>
      <c r="E25" s="108">
        <v>3</v>
      </c>
      <c r="F25" s="501">
        <v>-29.024000000000001</v>
      </c>
      <c r="G25" s="439">
        <v>0</v>
      </c>
      <c r="H25" s="440">
        <v>0</v>
      </c>
      <c r="I25" s="202">
        <f t="shared" si="6"/>
        <v>0</v>
      </c>
      <c r="J25" s="207">
        <f t="shared" si="7"/>
        <v>-29.024000000000001</v>
      </c>
      <c r="L25" s="28">
        <f t="shared" si="8"/>
        <v>0</v>
      </c>
      <c r="N25" s="130"/>
      <c r="O25" s="105">
        <f t="shared" si="2"/>
        <v>0</v>
      </c>
      <c r="P25" s="105">
        <f t="shared" si="2"/>
        <v>0</v>
      </c>
      <c r="Q25" s="105">
        <f t="shared" si="2"/>
        <v>0</v>
      </c>
      <c r="R25" s="130"/>
    </row>
    <row r="26" spans="2:18" x14ac:dyDescent="0.2">
      <c r="B26" s="106">
        <f t="shared" si="3"/>
        <v>17</v>
      </c>
      <c r="C26" s="99" t="s">
        <v>221</v>
      </c>
      <c r="D26" s="107" t="s">
        <v>86</v>
      </c>
      <c r="E26" s="108">
        <v>3</v>
      </c>
      <c r="F26" s="249">
        <f xml:space="preserve"> SUM( F22:F25 )</f>
        <v>-342.86099999999999</v>
      </c>
      <c r="G26" s="253">
        <f xml:space="preserve"> SUM( G22:G25 )</f>
        <v>0</v>
      </c>
      <c r="H26" s="252">
        <f xml:space="preserve"> SUM( H22:H25 )</f>
        <v>0</v>
      </c>
      <c r="I26" s="202">
        <f t="shared" si="6"/>
        <v>0</v>
      </c>
      <c r="J26" s="207">
        <f t="shared" si="7"/>
        <v>-342.86099999999999</v>
      </c>
      <c r="L26" s="135"/>
      <c r="N26" s="130"/>
      <c r="R26" s="130"/>
    </row>
    <row r="27" spans="2:18" ht="15" thickBot="1" x14ac:dyDescent="0.25">
      <c r="B27" s="113">
        <f xml:space="preserve"> B26 + 1</f>
        <v>18</v>
      </c>
      <c r="C27" s="114" t="s">
        <v>222</v>
      </c>
      <c r="D27" s="115" t="s">
        <v>86</v>
      </c>
      <c r="E27" s="112">
        <v>3</v>
      </c>
      <c r="F27" s="412">
        <f xml:space="preserve"> F19 + F26</f>
        <v>63.151979680000011</v>
      </c>
      <c r="G27" s="413">
        <f xml:space="preserve"> G19 + G26</f>
        <v>0</v>
      </c>
      <c r="H27" s="414">
        <f xml:space="preserve"> H19 + H26</f>
        <v>3.2380000000000031</v>
      </c>
      <c r="I27" s="205">
        <f t="shared" si="6"/>
        <v>-3.2380000000000031</v>
      </c>
      <c r="J27" s="210">
        <f t="shared" si="7"/>
        <v>59.913979680000011</v>
      </c>
      <c r="L27" s="135"/>
      <c r="N27" s="130"/>
      <c r="R27" s="130"/>
    </row>
    <row r="28" spans="2:18" ht="15" thickBot="1" x14ac:dyDescent="0.25">
      <c r="L28" s="135"/>
      <c r="N28" s="130"/>
      <c r="R28" s="130"/>
    </row>
    <row r="29" spans="2:18" ht="15" thickBot="1" x14ac:dyDescent="0.25">
      <c r="B29" s="95" t="s">
        <v>158</v>
      </c>
      <c r="C29" s="96" t="s">
        <v>223</v>
      </c>
      <c r="L29" s="135"/>
      <c r="N29" s="130"/>
      <c r="R29" s="130"/>
    </row>
    <row r="30" spans="2:18" x14ac:dyDescent="0.2">
      <c r="B30" s="98">
        <f xml:space="preserve"> B27 + 1</f>
        <v>19</v>
      </c>
      <c r="C30" s="128" t="s">
        <v>224</v>
      </c>
      <c r="D30" s="100" t="s">
        <v>86</v>
      </c>
      <c r="E30" s="224">
        <v>3</v>
      </c>
      <c r="F30" s="455">
        <v>-139.077</v>
      </c>
      <c r="G30" s="441">
        <v>0</v>
      </c>
      <c r="H30" s="452">
        <v>-3.238</v>
      </c>
      <c r="I30" s="199">
        <f xml:space="preserve"> G30 - H30</f>
        <v>3.238</v>
      </c>
      <c r="J30" s="209">
        <f xml:space="preserve"> F30 + I30</f>
        <v>-135.839</v>
      </c>
      <c r="L30" s="28">
        <f t="shared" ref="L30:L32" si="9" xml:space="preserve"> IF( SUM( N30:R30 ) = 0, 0, $O$6 )</f>
        <v>0</v>
      </c>
      <c r="N30" s="130"/>
      <c r="O30" s="105">
        <f t="shared" si="2"/>
        <v>0</v>
      </c>
      <c r="P30" s="105">
        <f t="shared" si="2"/>
        <v>0</v>
      </c>
      <c r="Q30" s="105">
        <f t="shared" si="2"/>
        <v>0</v>
      </c>
      <c r="R30" s="130"/>
    </row>
    <row r="31" spans="2:18" x14ac:dyDescent="0.2">
      <c r="B31" s="179">
        <f t="shared" si="3"/>
        <v>20</v>
      </c>
      <c r="C31" s="180" t="s">
        <v>225</v>
      </c>
      <c r="D31" s="175" t="s">
        <v>86</v>
      </c>
      <c r="E31" s="415">
        <v>3</v>
      </c>
      <c r="F31" s="506">
        <v>282.21800000000002</v>
      </c>
      <c r="G31" s="507">
        <v>0</v>
      </c>
      <c r="H31" s="508">
        <v>0</v>
      </c>
      <c r="I31" s="416">
        <f xml:space="preserve"> G31 - H31</f>
        <v>0</v>
      </c>
      <c r="J31" s="417">
        <f xml:space="preserve"> F31 + I31</f>
        <v>282.21800000000002</v>
      </c>
      <c r="L31" s="28">
        <f t="shared" si="9"/>
        <v>0</v>
      </c>
      <c r="N31" s="130"/>
      <c r="O31" s="105">
        <f t="shared" si="2"/>
        <v>0</v>
      </c>
      <c r="P31" s="105">
        <f t="shared" si="2"/>
        <v>0</v>
      </c>
      <c r="Q31" s="105">
        <f t="shared" si="2"/>
        <v>0</v>
      </c>
      <c r="R31" s="130"/>
    </row>
    <row r="32" spans="2:18" x14ac:dyDescent="0.2">
      <c r="B32" s="179">
        <f t="shared" si="3"/>
        <v>21</v>
      </c>
      <c r="C32" s="180" t="s">
        <v>226</v>
      </c>
      <c r="D32" s="175" t="s">
        <v>86</v>
      </c>
      <c r="E32" s="415">
        <v>3</v>
      </c>
      <c r="F32" s="506">
        <v>0</v>
      </c>
      <c r="G32" s="507">
        <v>0</v>
      </c>
      <c r="H32" s="508">
        <v>0</v>
      </c>
      <c r="I32" s="416">
        <f xml:space="preserve"> G32 - H32</f>
        <v>0</v>
      </c>
      <c r="J32" s="417">
        <f xml:space="preserve"> F32 + I32</f>
        <v>0</v>
      </c>
      <c r="L32" s="28">
        <f t="shared" si="9"/>
        <v>0</v>
      </c>
      <c r="N32" s="130"/>
      <c r="O32" s="105">
        <f t="shared" si="2"/>
        <v>0</v>
      </c>
      <c r="P32" s="105">
        <f t="shared" si="2"/>
        <v>0</v>
      </c>
      <c r="Q32" s="105">
        <f t="shared" si="2"/>
        <v>0</v>
      </c>
      <c r="R32" s="130"/>
    </row>
    <row r="33" spans="1:18" x14ac:dyDescent="0.2">
      <c r="B33" s="179">
        <f t="shared" si="3"/>
        <v>22</v>
      </c>
      <c r="C33" s="99" t="s">
        <v>227</v>
      </c>
      <c r="D33" s="107" t="s">
        <v>86</v>
      </c>
      <c r="E33" s="226">
        <v>3</v>
      </c>
      <c r="F33" s="249">
        <f xml:space="preserve"> SUM( F30:F32 )</f>
        <v>143.14100000000002</v>
      </c>
      <c r="G33" s="253">
        <f xml:space="preserve"> SUM( G30:G32 )</f>
        <v>0</v>
      </c>
      <c r="H33" s="252">
        <f xml:space="preserve"> SUM( H30:H32 )</f>
        <v>-3.238</v>
      </c>
      <c r="I33" s="202">
        <f xml:space="preserve"> G33 - H33</f>
        <v>3.238</v>
      </c>
      <c r="J33" s="249">
        <f xml:space="preserve"> F33 + I33</f>
        <v>146.37900000000002</v>
      </c>
      <c r="L33" s="135"/>
      <c r="N33" s="133"/>
      <c r="R33" s="133"/>
    </row>
    <row r="34" spans="1:18" ht="15" thickBot="1" x14ac:dyDescent="0.25">
      <c r="B34" s="113">
        <f t="shared" si="3"/>
        <v>23</v>
      </c>
      <c r="C34" s="114" t="s">
        <v>228</v>
      </c>
      <c r="D34" s="115" t="s">
        <v>86</v>
      </c>
      <c r="E34" s="236">
        <v>3</v>
      </c>
      <c r="F34" s="418">
        <f xml:space="preserve"> F27 + F33</f>
        <v>206.29297968000003</v>
      </c>
      <c r="G34" s="413">
        <f xml:space="preserve"> G27 + G33</f>
        <v>0</v>
      </c>
      <c r="H34" s="414">
        <f xml:space="preserve"> H27 + H33</f>
        <v>0</v>
      </c>
      <c r="I34" s="205">
        <f xml:space="preserve"> G34 - H34</f>
        <v>0</v>
      </c>
      <c r="J34" s="210">
        <f xml:space="preserve"> F34 + I34</f>
        <v>206.29297968000003</v>
      </c>
      <c r="L34" s="135"/>
      <c r="N34" s="133"/>
      <c r="R34" s="133"/>
    </row>
    <row r="35" spans="1:18" s="122" customFormat="1" x14ac:dyDescent="0.2">
      <c r="C35" s="158"/>
      <c r="G35" s="169"/>
      <c r="I35" s="129"/>
      <c r="J35" s="129"/>
      <c r="K35" s="129"/>
      <c r="L35" s="135"/>
      <c r="M35" s="129"/>
      <c r="N35" s="133"/>
      <c r="O35" s="131"/>
      <c r="P35" s="129"/>
      <c r="Q35" s="290"/>
      <c r="R35" s="133"/>
    </row>
    <row r="36" spans="1:18" s="169" customFormat="1" ht="13.5" x14ac:dyDescent="0.2">
      <c r="B36" s="897" t="s">
        <v>101</v>
      </c>
      <c r="C36" s="897"/>
      <c r="I36" s="135"/>
      <c r="J36" s="135"/>
      <c r="K36" s="135"/>
      <c r="L36" s="135"/>
      <c r="M36" s="135"/>
      <c r="N36" s="133"/>
      <c r="O36" s="135"/>
      <c r="P36" s="135"/>
      <c r="Q36" s="212"/>
      <c r="R36" s="133"/>
    </row>
    <row r="37" spans="1:18" s="169" customFormat="1" ht="12" x14ac:dyDescent="0.2">
      <c r="B37" s="146"/>
      <c r="C37" s="147"/>
      <c r="I37" s="135"/>
      <c r="J37" s="135"/>
      <c r="K37" s="135"/>
      <c r="L37" s="135"/>
      <c r="M37" s="135"/>
      <c r="N37" s="133"/>
      <c r="O37" s="135"/>
      <c r="P37" s="135"/>
      <c r="Q37" s="212"/>
      <c r="R37" s="133"/>
    </row>
    <row r="38" spans="1:18" s="169" customFormat="1" ht="12" x14ac:dyDescent="0.2">
      <c r="B38" s="29"/>
      <c r="C38" s="148" t="s">
        <v>102</v>
      </c>
      <c r="I38" s="135"/>
      <c r="J38" s="135"/>
      <c r="K38" s="135"/>
      <c r="L38" s="135"/>
      <c r="M38" s="135"/>
      <c r="N38" s="133"/>
      <c r="O38" s="135"/>
      <c r="P38" s="135"/>
      <c r="Q38" s="212"/>
      <c r="R38" s="133"/>
    </row>
    <row r="39" spans="1:18" s="169" customFormat="1" ht="12" x14ac:dyDescent="0.2">
      <c r="B39" s="146"/>
      <c r="C39" s="147"/>
      <c r="I39" s="135"/>
      <c r="J39" s="135"/>
      <c r="K39" s="135"/>
      <c r="L39" s="135"/>
      <c r="M39" s="135"/>
      <c r="N39" s="133"/>
      <c r="O39" s="135"/>
      <c r="P39" s="135"/>
      <c r="Q39" s="212"/>
      <c r="R39" s="133"/>
    </row>
    <row r="40" spans="1:18" s="169" customFormat="1" ht="12" x14ac:dyDescent="0.2">
      <c r="B40" s="149"/>
      <c r="C40" s="148" t="s">
        <v>103</v>
      </c>
      <c r="I40" s="135"/>
      <c r="J40" s="135"/>
      <c r="K40" s="135"/>
      <c r="L40" s="135"/>
      <c r="M40" s="135"/>
      <c r="N40" s="133"/>
      <c r="O40" s="135"/>
      <c r="P40" s="135"/>
      <c r="Q40" s="212"/>
      <c r="R40" s="133"/>
    </row>
    <row r="41" spans="1:18" s="169" customFormat="1" ht="12" x14ac:dyDescent="0.2">
      <c r="B41" s="150"/>
      <c r="C41" s="148"/>
      <c r="I41" s="135"/>
      <c r="J41" s="135"/>
      <c r="K41" s="135"/>
      <c r="L41" s="135"/>
      <c r="M41" s="135"/>
      <c r="N41" s="133"/>
      <c r="O41" s="135"/>
      <c r="P41" s="135"/>
      <c r="Q41" s="212"/>
      <c r="R41" s="133"/>
    </row>
    <row r="42" spans="1:18" s="169" customFormat="1" x14ac:dyDescent="0.2">
      <c r="B42" s="151"/>
      <c r="C42" s="148" t="s">
        <v>104</v>
      </c>
      <c r="I42" s="135"/>
      <c r="J42" s="135"/>
      <c r="K42" s="135"/>
      <c r="L42" s="135"/>
      <c r="M42" s="135"/>
      <c r="N42" s="84"/>
      <c r="O42" s="135"/>
      <c r="P42" s="135"/>
      <c r="Q42" s="212"/>
      <c r="R42" s="84"/>
    </row>
    <row r="43" spans="1:18" s="186" customFormat="1" x14ac:dyDescent="0.2">
      <c r="A43" s="156"/>
      <c r="B43" s="156"/>
      <c r="C43" s="157"/>
      <c r="I43" s="137"/>
      <c r="J43" s="137"/>
      <c r="K43" s="137"/>
      <c r="L43" s="135"/>
      <c r="M43" s="135"/>
      <c r="N43" s="84"/>
      <c r="O43" s="135"/>
      <c r="P43" s="135"/>
      <c r="Q43" s="309"/>
      <c r="R43" s="84"/>
    </row>
    <row r="44" spans="1:18" s="186" customFormat="1" ht="15" thickBot="1" x14ac:dyDescent="0.25">
      <c r="C44" s="187"/>
      <c r="I44" s="137"/>
      <c r="J44" s="137"/>
      <c r="K44" s="137"/>
      <c r="L44" s="135"/>
      <c r="M44" s="135"/>
      <c r="N44" s="84"/>
      <c r="O44" s="135"/>
      <c r="P44" s="135"/>
      <c r="Q44" s="309"/>
      <c r="R44" s="84"/>
    </row>
    <row r="45" spans="1:18" s="122" customFormat="1" ht="21" thickBot="1" x14ac:dyDescent="0.25">
      <c r="B45" s="152" t="str">
        <f ca="1" xml:space="preserve"> RIGHT(CELL("filename", $A$1), LEN(CELL("filename", $A$1)) - SEARCH("]", CELL("filename", $A$1)))&amp;" - Line definitions"</f>
        <v>1D - Line definitions</v>
      </c>
      <c r="C45" s="153"/>
      <c r="D45" s="154"/>
      <c r="E45" s="154"/>
      <c r="F45" s="154"/>
      <c r="G45" s="154"/>
      <c r="H45" s="154"/>
      <c r="I45" s="154"/>
      <c r="J45" s="160"/>
      <c r="K45" s="129"/>
      <c r="L45" s="131"/>
      <c r="M45" s="129"/>
      <c r="N45" s="84"/>
      <c r="O45" s="131"/>
      <c r="P45" s="129"/>
      <c r="Q45" s="290"/>
      <c r="R45" s="84"/>
    </row>
    <row r="46" spans="1:18" s="122" customFormat="1" ht="15" thickBot="1" x14ac:dyDescent="0.25">
      <c r="B46" s="87"/>
      <c r="C46" s="161"/>
      <c r="D46" s="87"/>
      <c r="E46" s="87"/>
      <c r="F46" s="87"/>
      <c r="I46" s="129"/>
      <c r="J46" s="129"/>
      <c r="K46" s="129"/>
      <c r="L46" s="131"/>
      <c r="M46" s="129"/>
      <c r="N46" s="84"/>
      <c r="O46" s="131"/>
      <c r="P46" s="129"/>
      <c r="Q46" s="290"/>
      <c r="R46" s="84"/>
    </row>
    <row r="47" spans="1:18" s="186" customFormat="1" ht="15" thickBot="1" x14ac:dyDescent="0.25">
      <c r="B47" s="376" t="s">
        <v>105</v>
      </c>
      <c r="C47" s="377" t="s">
        <v>106</v>
      </c>
      <c r="D47" s="378"/>
      <c r="E47" s="378"/>
      <c r="F47" s="378"/>
      <c r="G47" s="378"/>
      <c r="H47" s="378"/>
      <c r="I47" s="378"/>
      <c r="J47" s="379"/>
      <c r="K47" s="352"/>
      <c r="L47" s="137"/>
      <c r="M47" s="129"/>
      <c r="N47" s="84"/>
      <c r="O47" s="97" t="s">
        <v>107</v>
      </c>
      <c r="P47" s="129"/>
      <c r="Q47" s="290"/>
      <c r="R47" s="84"/>
    </row>
    <row r="48" spans="1:18" s="122" customFormat="1" x14ac:dyDescent="0.2">
      <c r="B48" s="189">
        <f t="shared" ref="B48:B53" si="10">B7</f>
        <v>1</v>
      </c>
      <c r="C48" s="898" t="s">
        <v>229</v>
      </c>
      <c r="D48" s="898"/>
      <c r="E48" s="898"/>
      <c r="F48" s="898"/>
      <c r="G48" s="898"/>
      <c r="H48" s="898"/>
      <c r="I48" s="898"/>
      <c r="J48" s="899"/>
      <c r="K48" s="355"/>
      <c r="L48" s="131"/>
      <c r="M48" s="129"/>
      <c r="N48" s="84"/>
      <c r="O48" s="165">
        <v>1</v>
      </c>
      <c r="P48" s="129"/>
      <c r="Q48" s="186"/>
      <c r="R48" s="84"/>
    </row>
    <row r="49" spans="2:18" s="122" customFormat="1" x14ac:dyDescent="0.2">
      <c r="B49" s="166">
        <f t="shared" si="10"/>
        <v>2</v>
      </c>
      <c r="C49" s="877" t="s">
        <v>230</v>
      </c>
      <c r="D49" s="877"/>
      <c r="E49" s="877"/>
      <c r="F49" s="877"/>
      <c r="G49" s="877"/>
      <c r="H49" s="877"/>
      <c r="I49" s="877"/>
      <c r="J49" s="878"/>
      <c r="K49" s="355"/>
      <c r="N49" s="84"/>
      <c r="O49" s="168">
        <v>1</v>
      </c>
      <c r="P49" s="129"/>
      <c r="Q49" s="290"/>
      <c r="R49" s="84"/>
    </row>
    <row r="50" spans="2:18" s="122" customFormat="1" x14ac:dyDescent="0.2">
      <c r="B50" s="166">
        <f t="shared" si="10"/>
        <v>3</v>
      </c>
      <c r="C50" s="877" t="s">
        <v>231</v>
      </c>
      <c r="D50" s="877"/>
      <c r="E50" s="877"/>
      <c r="F50" s="877"/>
      <c r="G50" s="877"/>
      <c r="H50" s="877"/>
      <c r="I50" s="877"/>
      <c r="J50" s="878"/>
      <c r="K50" s="355"/>
      <c r="N50" s="84"/>
      <c r="O50" s="264">
        <v>1</v>
      </c>
      <c r="R50" s="84"/>
    </row>
    <row r="51" spans="2:18" s="131" customFormat="1" x14ac:dyDescent="0.2">
      <c r="B51" s="166">
        <f t="shared" si="10"/>
        <v>4</v>
      </c>
      <c r="C51" s="877" t="s">
        <v>232</v>
      </c>
      <c r="D51" s="877"/>
      <c r="E51" s="877"/>
      <c r="F51" s="877"/>
      <c r="G51" s="877"/>
      <c r="H51" s="877"/>
      <c r="I51" s="877"/>
      <c r="J51" s="878"/>
      <c r="K51" s="355"/>
      <c r="N51" s="84"/>
      <c r="O51" s="264">
        <v>1</v>
      </c>
      <c r="R51" s="84"/>
    </row>
    <row r="52" spans="2:18" s="131" customFormat="1" x14ac:dyDescent="0.2">
      <c r="B52" s="166">
        <f t="shared" si="10"/>
        <v>5</v>
      </c>
      <c r="C52" s="877" t="s">
        <v>233</v>
      </c>
      <c r="D52" s="877"/>
      <c r="E52" s="877"/>
      <c r="F52" s="877"/>
      <c r="G52" s="877"/>
      <c r="H52" s="877"/>
      <c r="I52" s="877"/>
      <c r="J52" s="878"/>
      <c r="K52" s="355"/>
      <c r="N52" s="84"/>
      <c r="O52" s="264">
        <v>1</v>
      </c>
      <c r="R52" s="84"/>
    </row>
    <row r="53" spans="2:18" s="131" customFormat="1" x14ac:dyDescent="0.2">
      <c r="B53" s="166">
        <f t="shared" si="10"/>
        <v>6</v>
      </c>
      <c r="C53" s="877" t="s">
        <v>234</v>
      </c>
      <c r="D53" s="877"/>
      <c r="E53" s="877"/>
      <c r="F53" s="877"/>
      <c r="G53" s="877"/>
      <c r="H53" s="877"/>
      <c r="I53" s="877"/>
      <c r="J53" s="878"/>
      <c r="K53" s="355"/>
      <c r="N53" s="84"/>
      <c r="O53" s="264">
        <v>1</v>
      </c>
      <c r="R53" s="84"/>
    </row>
    <row r="54" spans="2:18" ht="38.25" x14ac:dyDescent="0.2">
      <c r="B54" s="166">
        <f>B13</f>
        <v>7</v>
      </c>
      <c r="C54" s="877" t="s">
        <v>235</v>
      </c>
      <c r="D54" s="877"/>
      <c r="E54" s="877"/>
      <c r="F54" s="877"/>
      <c r="G54" s="877"/>
      <c r="H54" s="877"/>
      <c r="I54" s="877"/>
      <c r="J54" s="878"/>
      <c r="K54" s="355"/>
      <c r="O54" s="168" t="s">
        <v>109</v>
      </c>
    </row>
    <row r="55" spans="2:18" x14ac:dyDescent="0.2">
      <c r="B55" s="166">
        <f>B14</f>
        <v>8</v>
      </c>
      <c r="C55" s="877" t="s">
        <v>236</v>
      </c>
      <c r="D55" s="877"/>
      <c r="E55" s="877"/>
      <c r="F55" s="877"/>
      <c r="G55" s="877"/>
      <c r="H55" s="877"/>
      <c r="I55" s="877"/>
      <c r="J55" s="878"/>
      <c r="K55" s="355"/>
      <c r="O55" s="165">
        <v>1</v>
      </c>
    </row>
    <row r="56" spans="2:18" x14ac:dyDescent="0.2">
      <c r="B56" s="166">
        <f>B15</f>
        <v>9</v>
      </c>
      <c r="C56" s="877" t="s">
        <v>237</v>
      </c>
      <c r="D56" s="877"/>
      <c r="E56" s="877"/>
      <c r="F56" s="877"/>
      <c r="G56" s="877"/>
      <c r="H56" s="877"/>
      <c r="I56" s="877"/>
      <c r="J56" s="878"/>
      <c r="K56" s="355"/>
      <c r="O56" s="165">
        <v>1</v>
      </c>
    </row>
    <row r="57" spans="2:18" x14ac:dyDescent="0.2">
      <c r="B57" s="166">
        <f>B17</f>
        <v>10</v>
      </c>
      <c r="C57" s="877" t="s">
        <v>238</v>
      </c>
      <c r="D57" s="877"/>
      <c r="E57" s="877"/>
      <c r="F57" s="877"/>
      <c r="G57" s="877"/>
      <c r="H57" s="877"/>
      <c r="I57" s="877"/>
      <c r="J57" s="878"/>
      <c r="K57" s="355"/>
      <c r="O57" s="165">
        <v>1</v>
      </c>
    </row>
    <row r="58" spans="2:18" ht="25.5" x14ac:dyDescent="0.2">
      <c r="B58" s="166">
        <f>B18</f>
        <v>11</v>
      </c>
      <c r="C58" s="877" t="s">
        <v>239</v>
      </c>
      <c r="D58" s="877"/>
      <c r="E58" s="877"/>
      <c r="F58" s="877"/>
      <c r="G58" s="877"/>
      <c r="H58" s="877"/>
      <c r="I58" s="877"/>
      <c r="J58" s="878"/>
      <c r="K58" s="355"/>
      <c r="O58" s="168" t="s">
        <v>112</v>
      </c>
    </row>
    <row r="59" spans="2:18" x14ac:dyDescent="0.2">
      <c r="B59" s="166">
        <f>B19</f>
        <v>12</v>
      </c>
      <c r="C59" s="877" t="s">
        <v>240</v>
      </c>
      <c r="D59" s="877"/>
      <c r="E59" s="877"/>
      <c r="F59" s="877"/>
      <c r="G59" s="877"/>
      <c r="H59" s="877"/>
      <c r="I59" s="877"/>
      <c r="J59" s="878"/>
      <c r="K59" s="355"/>
      <c r="O59" s="165">
        <v>1</v>
      </c>
    </row>
    <row r="60" spans="2:18" x14ac:dyDescent="0.2">
      <c r="B60" s="166">
        <f t="shared" ref="B60:B65" si="11">B22</f>
        <v>13</v>
      </c>
      <c r="C60" s="877" t="s">
        <v>241</v>
      </c>
      <c r="D60" s="877"/>
      <c r="E60" s="877"/>
      <c r="F60" s="877"/>
      <c r="G60" s="877"/>
      <c r="H60" s="877"/>
      <c r="I60" s="877"/>
      <c r="J60" s="878"/>
      <c r="K60" s="355"/>
      <c r="O60" s="165">
        <v>1</v>
      </c>
    </row>
    <row r="61" spans="2:18" x14ac:dyDescent="0.2">
      <c r="B61" s="166">
        <f t="shared" si="11"/>
        <v>14</v>
      </c>
      <c r="C61" s="877" t="s">
        <v>242</v>
      </c>
      <c r="D61" s="877"/>
      <c r="E61" s="877"/>
      <c r="F61" s="877"/>
      <c r="G61" s="877"/>
      <c r="H61" s="877"/>
      <c r="I61" s="877"/>
      <c r="J61" s="878"/>
      <c r="K61" s="355"/>
      <c r="O61" s="165">
        <v>1</v>
      </c>
    </row>
    <row r="62" spans="2:18" x14ac:dyDescent="0.2">
      <c r="B62" s="166">
        <f t="shared" si="11"/>
        <v>15</v>
      </c>
      <c r="C62" s="877" t="s">
        <v>243</v>
      </c>
      <c r="D62" s="877"/>
      <c r="E62" s="877"/>
      <c r="F62" s="877"/>
      <c r="G62" s="877"/>
      <c r="H62" s="877"/>
      <c r="I62" s="877"/>
      <c r="J62" s="878"/>
      <c r="K62" s="355"/>
      <c r="O62" s="165">
        <v>1</v>
      </c>
    </row>
    <row r="63" spans="2:18" x14ac:dyDescent="0.2">
      <c r="B63" s="166">
        <f t="shared" si="11"/>
        <v>16</v>
      </c>
      <c r="C63" s="877" t="s">
        <v>244</v>
      </c>
      <c r="D63" s="877"/>
      <c r="E63" s="877"/>
      <c r="F63" s="877"/>
      <c r="G63" s="877"/>
      <c r="H63" s="877"/>
      <c r="I63" s="877"/>
      <c r="J63" s="878"/>
      <c r="K63" s="355"/>
      <c r="O63" s="165">
        <v>1</v>
      </c>
    </row>
    <row r="64" spans="2:18" ht="25.5" x14ac:dyDescent="0.2">
      <c r="B64" s="166">
        <f t="shared" si="11"/>
        <v>17</v>
      </c>
      <c r="C64" s="877" t="s">
        <v>245</v>
      </c>
      <c r="D64" s="877"/>
      <c r="E64" s="877"/>
      <c r="F64" s="877"/>
      <c r="G64" s="877"/>
      <c r="H64" s="877"/>
      <c r="I64" s="877"/>
      <c r="J64" s="878"/>
      <c r="K64" s="355"/>
      <c r="O64" s="168" t="s">
        <v>112</v>
      </c>
    </row>
    <row r="65" spans="2:15" x14ac:dyDescent="0.2">
      <c r="B65" s="166">
        <f t="shared" si="11"/>
        <v>18</v>
      </c>
      <c r="C65" s="877" t="s">
        <v>246</v>
      </c>
      <c r="D65" s="877"/>
      <c r="E65" s="877"/>
      <c r="F65" s="877"/>
      <c r="G65" s="877"/>
      <c r="H65" s="877"/>
      <c r="I65" s="877"/>
      <c r="J65" s="878"/>
      <c r="K65" s="355"/>
      <c r="O65" s="165">
        <v>1</v>
      </c>
    </row>
    <row r="66" spans="2:15" x14ac:dyDescent="0.2">
      <c r="B66" s="166">
        <f>B30</f>
        <v>19</v>
      </c>
      <c r="C66" s="877" t="s">
        <v>247</v>
      </c>
      <c r="D66" s="877"/>
      <c r="E66" s="877"/>
      <c r="F66" s="877"/>
      <c r="G66" s="877"/>
      <c r="H66" s="877"/>
      <c r="I66" s="877"/>
      <c r="J66" s="878"/>
      <c r="K66" s="355"/>
      <c r="O66" s="165">
        <v>1</v>
      </c>
    </row>
    <row r="67" spans="2:15" x14ac:dyDescent="0.2">
      <c r="B67" s="166">
        <f>B31</f>
        <v>20</v>
      </c>
      <c r="C67" s="877" t="s">
        <v>248</v>
      </c>
      <c r="D67" s="877"/>
      <c r="E67" s="877"/>
      <c r="F67" s="877"/>
      <c r="G67" s="877"/>
      <c r="H67" s="877"/>
      <c r="I67" s="877"/>
      <c r="J67" s="878"/>
      <c r="K67" s="355"/>
      <c r="O67" s="165">
        <v>1</v>
      </c>
    </row>
    <row r="68" spans="2:15" ht="14.65" customHeight="1" x14ac:dyDescent="0.2">
      <c r="B68" s="166">
        <f>B32</f>
        <v>21</v>
      </c>
      <c r="C68" s="877" t="s">
        <v>249</v>
      </c>
      <c r="D68" s="877"/>
      <c r="E68" s="877"/>
      <c r="F68" s="877"/>
      <c r="G68" s="877"/>
      <c r="H68" s="877"/>
      <c r="I68" s="877"/>
      <c r="J68" s="878"/>
      <c r="K68" s="355"/>
      <c r="O68" s="165">
        <v>1</v>
      </c>
    </row>
    <row r="69" spans="2:15" ht="24.6" customHeight="1" x14ac:dyDescent="0.2">
      <c r="B69" s="419">
        <f>B33</f>
        <v>22</v>
      </c>
      <c r="C69" s="877" t="s">
        <v>250</v>
      </c>
      <c r="D69" s="877"/>
      <c r="E69" s="877"/>
      <c r="F69" s="877"/>
      <c r="G69" s="877"/>
      <c r="H69" s="877"/>
      <c r="I69" s="877"/>
      <c r="J69" s="878"/>
      <c r="O69" s="168" t="s">
        <v>112</v>
      </c>
    </row>
    <row r="70" spans="2:15" ht="15" thickBot="1" x14ac:dyDescent="0.25">
      <c r="B70" s="167">
        <f>B34</f>
        <v>23</v>
      </c>
      <c r="C70" s="420" t="s">
        <v>251</v>
      </c>
      <c r="D70" s="421"/>
      <c r="E70" s="421"/>
      <c r="F70" s="421"/>
      <c r="G70" s="421"/>
      <c r="H70" s="421"/>
      <c r="I70" s="421"/>
      <c r="J70" s="422"/>
      <c r="O70" s="165">
        <v>1</v>
      </c>
    </row>
    <row r="71" spans="2:15" x14ac:dyDescent="0.2">
      <c r="O71" s="132"/>
    </row>
    <row r="72" spans="2:15" hidden="1" x14ac:dyDescent="0.2">
      <c r="O72" s="132"/>
    </row>
    <row r="73" spans="2:15" hidden="1" x14ac:dyDescent="0.2">
      <c r="O73" s="132"/>
    </row>
    <row r="74" spans="2:15" hidden="1" x14ac:dyDescent="0.2">
      <c r="O74" s="132"/>
    </row>
    <row r="75" spans="2:15" hidden="1" x14ac:dyDescent="0.2">
      <c r="O75" s="132"/>
    </row>
    <row r="76" spans="2:15" hidden="1" x14ac:dyDescent="0.2">
      <c r="O76" s="132"/>
    </row>
    <row r="77" spans="2:15" hidden="1" x14ac:dyDescent="0.2">
      <c r="O77" s="132"/>
    </row>
    <row r="78" spans="2:15" hidden="1" x14ac:dyDescent="0.2">
      <c r="O78" s="132"/>
    </row>
    <row r="79" spans="2:15" hidden="1" x14ac:dyDescent="0.2">
      <c r="O79" s="132"/>
    </row>
    <row r="80" spans="2:15" hidden="1" x14ac:dyDescent="0.2">
      <c r="O80" s="132"/>
    </row>
    <row r="81" spans="15:15" hidden="1" x14ac:dyDescent="0.2">
      <c r="O81" s="132"/>
    </row>
    <row r="82" spans="15:15" hidden="1" x14ac:dyDescent="0.2">
      <c r="O82" s="132"/>
    </row>
    <row r="83" spans="15:15" hidden="1" x14ac:dyDescent="0.2">
      <c r="O83" s="132"/>
    </row>
    <row r="84" spans="15:15" hidden="1" x14ac:dyDescent="0.2">
      <c r="O84" s="132"/>
    </row>
    <row r="85" spans="15:15" hidden="1" x14ac:dyDescent="0.2">
      <c r="O85" s="132"/>
    </row>
    <row r="86" spans="15:15" hidden="1" x14ac:dyDescent="0.2">
      <c r="O86" s="132"/>
    </row>
    <row r="87" spans="15:15" hidden="1" x14ac:dyDescent="0.2">
      <c r="O87" s="132"/>
    </row>
    <row r="88" spans="15:15" hidden="1" x14ac:dyDescent="0.2">
      <c r="O88" s="132"/>
    </row>
    <row r="89" spans="15:15" hidden="1" x14ac:dyDescent="0.2">
      <c r="O89" s="132"/>
    </row>
    <row r="90" spans="15:15" hidden="1" x14ac:dyDescent="0.2">
      <c r="O90" s="132"/>
    </row>
    <row r="91" spans="15:15" hidden="1" x14ac:dyDescent="0.2">
      <c r="O91" s="132"/>
    </row>
    <row r="92" spans="15:15" hidden="1" x14ac:dyDescent="0.2">
      <c r="O92" s="132"/>
    </row>
    <row r="93" spans="15:15" hidden="1" x14ac:dyDescent="0.2">
      <c r="O93" s="132"/>
    </row>
    <row r="94" spans="15:15" hidden="1" x14ac:dyDescent="0.2">
      <c r="O94" s="132"/>
    </row>
    <row r="95" spans="15:15" hidden="1" x14ac:dyDescent="0.2">
      <c r="O95" s="132"/>
    </row>
    <row r="96" spans="15:15" hidden="1" x14ac:dyDescent="0.2">
      <c r="O96" s="132"/>
    </row>
    <row r="97" spans="15:15" hidden="1" x14ac:dyDescent="0.2">
      <c r="O97" s="132"/>
    </row>
    <row r="98" spans="15:15" hidden="1" x14ac:dyDescent="0.2">
      <c r="O98" s="132"/>
    </row>
    <row r="99" spans="15:15" hidden="1" x14ac:dyDescent="0.2">
      <c r="O99" s="132"/>
    </row>
    <row r="100" spans="15:15" hidden="1" x14ac:dyDescent="0.2">
      <c r="O100" s="132"/>
    </row>
    <row r="101" spans="15:15" hidden="1" x14ac:dyDescent="0.2">
      <c r="O101" s="132"/>
    </row>
  </sheetData>
  <sheetProtection algorithmName="SHA-512" hashValue="vZ0S76IJoFaORWi0ClIe7yfb5WR59W38LCLde+JlMxvY/YyyBILEKXXFnggMkHedgGjj7hPLBPKX/bnfPIq/2A==" saltValue="ru9/6ysUZThszgRUW0BHCQ==" spinCount="100000" sheet="1" objects="1" scenarios="1"/>
  <mergeCells count="31">
    <mergeCell ref="C69:J69"/>
    <mergeCell ref="C63:J63"/>
    <mergeCell ref="C64:J64"/>
    <mergeCell ref="C65:J65"/>
    <mergeCell ref="C66:J66"/>
    <mergeCell ref="C67:J67"/>
    <mergeCell ref="C68:J68"/>
    <mergeCell ref="C62:J62"/>
    <mergeCell ref="C51:J51"/>
    <mergeCell ref="C52:J52"/>
    <mergeCell ref="C53:J53"/>
    <mergeCell ref="C54:J54"/>
    <mergeCell ref="C55:J55"/>
    <mergeCell ref="C56:J56"/>
    <mergeCell ref="C57:J57"/>
    <mergeCell ref="C58:J58"/>
    <mergeCell ref="C59:J59"/>
    <mergeCell ref="C60:J60"/>
    <mergeCell ref="C61:J61"/>
    <mergeCell ref="L3:L4"/>
    <mergeCell ref="O4:Q4"/>
    <mergeCell ref="B36:C36"/>
    <mergeCell ref="C48:J48"/>
    <mergeCell ref="C49:J49"/>
    <mergeCell ref="C50:J50"/>
    <mergeCell ref="B3:C4"/>
    <mergeCell ref="D3:D4"/>
    <mergeCell ref="E3:E4"/>
    <mergeCell ref="F3:F4"/>
    <mergeCell ref="G3:I3"/>
    <mergeCell ref="J3:J4"/>
  </mergeCells>
  <conditionalFormatting sqref="L8:L14 L17:L18 L22:L25 L30:L32">
    <cfRule type="cellIs" dxfId="197" priority="1" operator="equal">
      <formula>0</formula>
    </cfRule>
  </conditionalFormatting>
  <printOptions horizontalCentered="1"/>
  <pageMargins left="0.39370078740157483" right="0.39370078740157483" top="0.78740157480314965" bottom="0.78740157480314965" header="0.31496062992125984" footer="0.31496062992125984"/>
  <pageSetup paperSize="9" scale="63" orientation="portrait" r:id="rId1"/>
  <headerFooter>
    <oddHeader>&amp;L&amp;9&amp;K857362Page &amp;P of &amp;N&amp;C&amp;9 &amp;K8573622017 annual performance report tables (May 2017) &amp;R&amp;9&amp;G</oddHeader>
    <oddFooter>&amp;L&amp;9&amp;K857362&amp;A&amp;R&amp;9&amp;K857362Printed: &amp;D &amp;T</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54"/>
  <sheetViews>
    <sheetView showGridLines="0" workbookViewId="0">
      <selection activeCell="F23" sqref="F23:I23"/>
    </sheetView>
  </sheetViews>
  <sheetFormatPr defaultColWidth="0" defaultRowHeight="14.25" zeroHeight="1" x14ac:dyDescent="0.2"/>
  <cols>
    <col min="1" max="1" width="1.625" style="83" customWidth="1"/>
    <col min="2" max="2" width="4.125" style="83" customWidth="1"/>
    <col min="3" max="3" width="38.125" style="83" customWidth="1"/>
    <col min="4" max="5" width="5.125" style="83" customWidth="1"/>
    <col min="6" max="9" width="12.5" style="83" customWidth="1"/>
    <col min="10" max="10" width="2.625" style="83" customWidth="1"/>
    <col min="11" max="11" width="18.75" style="83" bestFit="1" customWidth="1"/>
    <col min="12" max="12" width="1.625" style="83" customWidth="1"/>
    <col min="13" max="13" width="1.625" style="84" hidden="1" customWidth="1"/>
    <col min="14" max="17" width="5.625" style="83" hidden="1" customWidth="1"/>
    <col min="18" max="18" width="1.625" style="84" hidden="1" customWidth="1"/>
    <col min="19" max="22" width="8.75" style="83" hidden="1" customWidth="1"/>
    <col min="23" max="16384" width="8.125" style="83" hidden="1"/>
  </cols>
  <sheetData>
    <row r="1" spans="2:17" ht="20.25" x14ac:dyDescent="0.2">
      <c r="B1" s="79" t="s">
        <v>252</v>
      </c>
      <c r="C1" s="79"/>
      <c r="D1" s="79"/>
      <c r="E1" s="79"/>
      <c r="F1" s="79"/>
      <c r="G1" s="79"/>
      <c r="H1" s="79"/>
      <c r="I1" s="81" t="str">
        <f>Validation!B3</f>
        <v>Yorkshire Water</v>
      </c>
      <c r="J1" s="79"/>
      <c r="K1" s="82" t="s">
        <v>72</v>
      </c>
    </row>
    <row r="2" spans="2:17" ht="15" thickBot="1" x14ac:dyDescent="0.25">
      <c r="B2" s="86" t="s">
        <v>55</v>
      </c>
    </row>
    <row r="3" spans="2:17" ht="14.65" customHeight="1" x14ac:dyDescent="0.2">
      <c r="B3" s="881" t="s">
        <v>73</v>
      </c>
      <c r="C3" s="882"/>
      <c r="D3" s="885" t="s">
        <v>74</v>
      </c>
      <c r="E3" s="887" t="s">
        <v>75</v>
      </c>
      <c r="F3" s="908" t="s">
        <v>253</v>
      </c>
      <c r="G3" s="909"/>
      <c r="H3" s="909"/>
      <c r="I3" s="910"/>
      <c r="K3" s="894" t="s">
        <v>79</v>
      </c>
      <c r="N3" s="896" t="s">
        <v>83</v>
      </c>
      <c r="O3" s="896"/>
      <c r="P3" s="896"/>
      <c r="Q3" s="896"/>
    </row>
    <row r="4" spans="2:17" ht="14.65" customHeight="1" thickBot="1" x14ac:dyDescent="0.25">
      <c r="B4" s="883"/>
      <c r="C4" s="884"/>
      <c r="D4" s="886"/>
      <c r="E4" s="888"/>
      <c r="F4" s="846" t="s">
        <v>254</v>
      </c>
      <c r="G4" s="91" t="s">
        <v>255</v>
      </c>
      <c r="H4" s="91" t="s">
        <v>256</v>
      </c>
      <c r="I4" s="847" t="s">
        <v>257</v>
      </c>
      <c r="K4" s="895"/>
      <c r="L4" s="92"/>
      <c r="N4" s="896"/>
      <c r="O4" s="896"/>
      <c r="P4" s="896"/>
      <c r="Q4" s="896"/>
    </row>
    <row r="5" spans="2:17" ht="15" thickBot="1" x14ac:dyDescent="0.25">
      <c r="N5" s="97" t="s">
        <v>84</v>
      </c>
    </row>
    <row r="6" spans="2:17" ht="15" thickBot="1" x14ac:dyDescent="0.25">
      <c r="B6" s="98">
        <v>1</v>
      </c>
      <c r="C6" s="128" t="s">
        <v>258</v>
      </c>
      <c r="D6" s="100" t="s">
        <v>86</v>
      </c>
      <c r="E6" s="101">
        <v>3</v>
      </c>
      <c r="F6" s="489">
        <v>2204.0830000000001</v>
      </c>
      <c r="G6" s="498">
        <v>1145.579</v>
      </c>
      <c r="H6" s="498">
        <v>1510.7739537653426</v>
      </c>
      <c r="I6" s="530">
        <f xml:space="preserve"> SUM( F6:H6 )</f>
        <v>4860.4359537653427</v>
      </c>
      <c r="K6" s="28">
        <f xml:space="preserve"> IF( SUM( M6:R6 ) = 0, 0, $N$5 )</f>
        <v>0</v>
      </c>
      <c r="N6" s="105">
        <f xml:space="preserve"> IF( ISNUMBER( F6 ), 0, 1 )</f>
        <v>0</v>
      </c>
      <c r="O6" s="105">
        <f xml:space="preserve"> IF( ISNUMBER( G6 ), 0, 1 )</f>
        <v>0</v>
      </c>
      <c r="P6" s="105">
        <f xml:space="preserve"> IF( ISNUMBER( H6 ), 0, 1 )</f>
        <v>0</v>
      </c>
    </row>
    <row r="7" spans="2:17" x14ac:dyDescent="0.2">
      <c r="B7" s="106">
        <f xml:space="preserve"> B6 + 1</f>
        <v>2</v>
      </c>
      <c r="C7" s="99" t="s">
        <v>162</v>
      </c>
      <c r="D7" s="107" t="s">
        <v>86</v>
      </c>
      <c r="E7" s="108">
        <v>3</v>
      </c>
      <c r="I7" s="249">
        <f>-1 * '1C'!J39</f>
        <v>0</v>
      </c>
      <c r="K7" s="135"/>
      <c r="Q7" s="132"/>
    </row>
    <row r="8" spans="2:17" x14ac:dyDescent="0.2">
      <c r="B8" s="106">
        <f xml:space="preserve"> B7 + 1</f>
        <v>3</v>
      </c>
      <c r="C8" s="99" t="s">
        <v>259</v>
      </c>
      <c r="D8" s="107" t="s">
        <v>86</v>
      </c>
      <c r="E8" s="108">
        <v>3</v>
      </c>
      <c r="I8" s="249">
        <f xml:space="preserve"> I6 + I7</f>
        <v>4860.4359537653427</v>
      </c>
      <c r="K8" s="135"/>
    </row>
    <row r="9" spans="2:17" x14ac:dyDescent="0.2">
      <c r="B9" s="106">
        <f xml:space="preserve"> B8 + 1</f>
        <v>4</v>
      </c>
      <c r="C9" s="99" t="s">
        <v>260</v>
      </c>
      <c r="D9" s="107" t="s">
        <v>86</v>
      </c>
      <c r="E9" s="108">
        <v>3</v>
      </c>
      <c r="I9" s="438">
        <v>-204.672</v>
      </c>
      <c r="K9" s="28">
        <f t="shared" ref="K9:K10" si="0" xml:space="preserve"> IF( SUM( M9:R9 ) = 0, 0, $N$5 )</f>
        <v>0</v>
      </c>
      <c r="Q9" s="105">
        <f xml:space="preserve"> IF( ISNUMBER( I9 ), 0, 1 )</f>
        <v>0</v>
      </c>
    </row>
    <row r="10" spans="2:17" x14ac:dyDescent="0.2">
      <c r="B10" s="106">
        <f xml:space="preserve"> B9 + 1</f>
        <v>5</v>
      </c>
      <c r="C10" s="99" t="s">
        <v>261</v>
      </c>
      <c r="D10" s="107" t="s">
        <v>86</v>
      </c>
      <c r="E10" s="108">
        <v>3</v>
      </c>
      <c r="I10" s="438">
        <v>-25.623999999999999</v>
      </c>
      <c r="K10" s="28">
        <f t="shared" si="0"/>
        <v>0</v>
      </c>
      <c r="Q10" s="105">
        <f xml:space="preserve"> IF( ISNUMBER( I10 ), 0, 1 )</f>
        <v>0</v>
      </c>
    </row>
    <row r="11" spans="2:17" ht="15" thickBot="1" x14ac:dyDescent="0.25">
      <c r="B11" s="113">
        <f xml:space="preserve">  B10 + 1</f>
        <v>6</v>
      </c>
      <c r="C11" s="114" t="s">
        <v>262</v>
      </c>
      <c r="D11" s="115" t="s">
        <v>86</v>
      </c>
      <c r="E11" s="112">
        <v>3</v>
      </c>
      <c r="I11" s="210">
        <f xml:space="preserve"> SUM( I8:I10 )</f>
        <v>4630.1399537653433</v>
      </c>
      <c r="K11" s="135"/>
    </row>
    <row r="12" spans="2:17" ht="15" thickBot="1" x14ac:dyDescent="0.25">
      <c r="K12" s="135"/>
    </row>
    <row r="13" spans="2:17" x14ac:dyDescent="0.2">
      <c r="B13" s="98">
        <f xml:space="preserve"> B11 + 1</f>
        <v>7</v>
      </c>
      <c r="C13" s="128" t="s">
        <v>263</v>
      </c>
      <c r="D13" s="100" t="s">
        <v>264</v>
      </c>
      <c r="E13" s="101">
        <v>2</v>
      </c>
      <c r="I13" s="806">
        <f>IF(Validation!$H$3=1, IF( '4C'!F6 = 0, 0, I11 / '4C'!F6 ), IF( '4C'!F6 + '4C'!G6 = 0, 0, I11 / ('4C'!F6 + '4C'!G6) ))</f>
        <v>0.75364987523082361</v>
      </c>
      <c r="K13" s="135"/>
    </row>
    <row r="14" spans="2:17" ht="15" thickBot="1" x14ac:dyDescent="0.25">
      <c r="B14" s="113">
        <f xml:space="preserve"> B13 + 1</f>
        <v>8</v>
      </c>
      <c r="C14" s="114" t="s">
        <v>265</v>
      </c>
      <c r="D14" s="115" t="s">
        <v>264</v>
      </c>
      <c r="E14" s="112">
        <v>2</v>
      </c>
      <c r="I14" s="731">
        <v>0.76800000000000002</v>
      </c>
      <c r="K14" s="28">
        <f t="shared" ref="K14:K17" si="1" xml:space="preserve"> IF( SUM( M14:R14 ) = 0, 0, $N$5 )</f>
        <v>0</v>
      </c>
      <c r="Q14" s="105">
        <f xml:space="preserve"> IF( ISNUMBER( I14 ), 0, 1 )</f>
        <v>0</v>
      </c>
    </row>
    <row r="15" spans="2:17" ht="15" thickBot="1" x14ac:dyDescent="0.25">
      <c r="K15" s="235"/>
    </row>
    <row r="16" spans="2:17" x14ac:dyDescent="0.2">
      <c r="B16" s="98">
        <f xml:space="preserve"> B14 + 1</f>
        <v>9</v>
      </c>
      <c r="C16" s="128" t="s">
        <v>266</v>
      </c>
      <c r="D16" s="100" t="s">
        <v>86</v>
      </c>
      <c r="E16" s="101">
        <v>3</v>
      </c>
      <c r="F16" s="441">
        <v>127.02</v>
      </c>
      <c r="G16" s="452">
        <v>16.164000000000001</v>
      </c>
      <c r="H16" s="452">
        <v>166.15600000000001</v>
      </c>
      <c r="I16" s="199">
        <f xml:space="preserve"> SUM( F16:H16 )</f>
        <v>309.34000000000003</v>
      </c>
      <c r="K16" s="28">
        <f t="shared" si="1"/>
        <v>0</v>
      </c>
      <c r="N16" s="105">
        <f t="shared" ref="N16:P17" si="2" xml:space="preserve"> IF( ISNUMBER( F16 ), 0, 1 )</f>
        <v>0</v>
      </c>
      <c r="O16" s="105">
        <f t="shared" si="2"/>
        <v>0</v>
      </c>
      <c r="P16" s="105">
        <f t="shared" si="2"/>
        <v>0</v>
      </c>
    </row>
    <row r="17" spans="1:18" ht="15" thickBot="1" x14ac:dyDescent="0.25">
      <c r="B17" s="113">
        <f xml:space="preserve"> B16 + 1</f>
        <v>10</v>
      </c>
      <c r="C17" s="114" t="s">
        <v>267</v>
      </c>
      <c r="D17" s="115" t="s">
        <v>86</v>
      </c>
      <c r="E17" s="112">
        <v>3</v>
      </c>
      <c r="F17" s="499">
        <v>127.02</v>
      </c>
      <c r="G17" s="500">
        <v>16.164000000000001</v>
      </c>
      <c r="H17" s="500">
        <v>70.08</v>
      </c>
      <c r="I17" s="205">
        <f xml:space="preserve"> SUM( F17:H17 )</f>
        <v>213.26400000000001</v>
      </c>
      <c r="K17" s="28">
        <f t="shared" si="1"/>
        <v>0</v>
      </c>
      <c r="N17" s="105">
        <f t="shared" si="2"/>
        <v>0</v>
      </c>
      <c r="O17" s="105">
        <f t="shared" si="2"/>
        <v>0</v>
      </c>
      <c r="P17" s="105">
        <f t="shared" si="2"/>
        <v>0</v>
      </c>
    </row>
    <row r="18" spans="1:18" ht="15" thickBot="1" x14ac:dyDescent="0.25">
      <c r="K18" s="135"/>
    </row>
    <row r="19" spans="1:18" ht="15" thickBot="1" x14ac:dyDescent="0.25">
      <c r="B19" s="911" t="s">
        <v>268</v>
      </c>
      <c r="C19" s="912"/>
      <c r="K19" s="135"/>
    </row>
    <row r="20" spans="1:18" x14ac:dyDescent="0.2">
      <c r="B20" s="98">
        <f xml:space="preserve"> B17 + 1</f>
        <v>11</v>
      </c>
      <c r="C20" s="128" t="s">
        <v>269</v>
      </c>
      <c r="D20" s="100" t="s">
        <v>264</v>
      </c>
      <c r="E20" s="224">
        <v>2</v>
      </c>
      <c r="F20" s="807">
        <v>5.6500000000000002E-2</v>
      </c>
      <c r="G20" s="808">
        <v>-8.5800000000000001E-2</v>
      </c>
      <c r="H20" s="808">
        <v>5.9299999999999999E-2</v>
      </c>
      <c r="I20" s="809">
        <v>6.3600000000000004E-2</v>
      </c>
      <c r="K20" s="28">
        <f t="shared" ref="K20:K21" si="3" xml:space="preserve"> IF( SUM( M20:R20 ) = 0, 0, $N$5 )</f>
        <v>0</v>
      </c>
      <c r="N20" s="105">
        <f xml:space="preserve"> IF( ISNUMBER( F20 ), 0, 1 )</f>
        <v>0</v>
      </c>
      <c r="O20" s="105">
        <f t="shared" ref="O20:Q21" si="4" xml:space="preserve"> IF( ISNUMBER( G20 ), 0, 1 )</f>
        <v>0</v>
      </c>
      <c r="P20" s="105">
        <f t="shared" si="4"/>
        <v>0</v>
      </c>
      <c r="Q20" s="105">
        <f t="shared" si="4"/>
        <v>0</v>
      </c>
    </row>
    <row r="21" spans="1:18" ht="15" thickBot="1" x14ac:dyDescent="0.25">
      <c r="B21" s="183">
        <f xml:space="preserve"> B20 + 1</f>
        <v>12</v>
      </c>
      <c r="C21" s="408" t="s">
        <v>270</v>
      </c>
      <c r="D21" s="184" t="s">
        <v>264</v>
      </c>
      <c r="E21" s="409">
        <v>2</v>
      </c>
      <c r="F21" s="810">
        <v>5.6500000000000002E-2</v>
      </c>
      <c r="G21" s="811">
        <v>-8.5800000000000001E-2</v>
      </c>
      <c r="H21" s="811">
        <v>2.5000000000000001E-2</v>
      </c>
      <c r="I21" s="812">
        <v>4.3900000000000002E-2</v>
      </c>
      <c r="K21" s="28">
        <f t="shared" si="3"/>
        <v>0</v>
      </c>
      <c r="N21" s="105">
        <f xml:space="preserve"> IF( ISNUMBER( F21 ), 0, 1 )</f>
        <v>0</v>
      </c>
      <c r="O21" s="105">
        <f t="shared" si="4"/>
        <v>0</v>
      </c>
      <c r="P21" s="105">
        <f t="shared" si="4"/>
        <v>0</v>
      </c>
      <c r="Q21" s="105">
        <f t="shared" si="4"/>
        <v>0</v>
      </c>
    </row>
    <row r="22" spans="1:18" s="122" customFormat="1" ht="15" thickBot="1" x14ac:dyDescent="0.25">
      <c r="C22" s="158"/>
      <c r="G22" s="169"/>
      <c r="I22" s="129"/>
      <c r="J22" s="129"/>
      <c r="K22" s="131"/>
      <c r="L22" s="129"/>
      <c r="M22" s="84"/>
      <c r="N22" s="131"/>
      <c r="O22" s="129"/>
      <c r="P22" s="290"/>
      <c r="R22" s="84"/>
    </row>
    <row r="23" spans="1:18" ht="15" thickBot="1" x14ac:dyDescent="0.25">
      <c r="B23" s="138">
        <v>13</v>
      </c>
      <c r="C23" s="735" t="s">
        <v>271</v>
      </c>
      <c r="D23" s="737" t="s">
        <v>272</v>
      </c>
      <c r="E23" s="736">
        <v>2</v>
      </c>
      <c r="F23" s="531">
        <v>10.604519153834444</v>
      </c>
      <c r="G23" s="532">
        <v>9.600488269254793</v>
      </c>
      <c r="H23" s="532">
        <v>28.147830025937282</v>
      </c>
      <c r="I23" s="533">
        <v>15.49959867453043</v>
      </c>
      <c r="K23" s="28">
        <f t="shared" ref="K23" si="5" xml:space="preserve"> IF( SUM( M23:R23 ) = 0, 0, $N$5 )</f>
        <v>0</v>
      </c>
      <c r="N23" s="105">
        <f xml:space="preserve"> IF( ISNUMBER( F23 ), 0, 1 )</f>
        <v>0</v>
      </c>
      <c r="O23" s="105">
        <f t="shared" ref="O23" si="6" xml:space="preserve"> IF( ISNUMBER( G23 ), 0, 1 )</f>
        <v>0</v>
      </c>
      <c r="P23" s="105">
        <f t="shared" ref="P23" si="7" xml:space="preserve"> IF( ISNUMBER( H23 ), 0, 1 )</f>
        <v>0</v>
      </c>
      <c r="Q23" s="105">
        <f t="shared" ref="Q23" si="8" xml:space="preserve"> IF( ISNUMBER( I23 ), 0, 1 )</f>
        <v>0</v>
      </c>
    </row>
    <row r="24" spans="1:18" s="122" customFormat="1" x14ac:dyDescent="0.2">
      <c r="C24" s="158"/>
      <c r="G24" s="169"/>
      <c r="I24" s="129"/>
      <c r="J24" s="129"/>
      <c r="K24" s="131"/>
      <c r="L24" s="129"/>
      <c r="M24" s="84"/>
      <c r="N24" s="131"/>
      <c r="O24" s="129"/>
      <c r="P24" s="290"/>
      <c r="R24" s="84"/>
    </row>
    <row r="25" spans="1:18" s="169" customFormat="1" ht="13.5" x14ac:dyDescent="0.2">
      <c r="B25" s="897" t="s">
        <v>101</v>
      </c>
      <c r="C25" s="897"/>
      <c r="I25" s="135"/>
      <c r="J25" s="135"/>
      <c r="K25" s="135"/>
      <c r="L25" s="135"/>
      <c r="M25" s="133"/>
      <c r="N25" s="135"/>
      <c r="O25" s="135"/>
      <c r="P25" s="212"/>
      <c r="R25" s="133"/>
    </row>
    <row r="26" spans="1:18" s="169" customFormat="1" ht="12" x14ac:dyDescent="0.2">
      <c r="B26" s="146"/>
      <c r="C26" s="147"/>
      <c r="I26" s="135"/>
      <c r="J26" s="135"/>
      <c r="K26" s="135"/>
      <c r="L26" s="135"/>
      <c r="M26" s="130"/>
      <c r="N26" s="135"/>
      <c r="O26" s="135"/>
      <c r="P26" s="212"/>
      <c r="R26" s="130"/>
    </row>
    <row r="27" spans="1:18" s="169" customFormat="1" ht="12" x14ac:dyDescent="0.2">
      <c r="B27" s="29"/>
      <c r="C27" s="148" t="s">
        <v>102</v>
      </c>
      <c r="I27" s="135"/>
      <c r="J27" s="135"/>
      <c r="K27" s="135"/>
      <c r="L27" s="135"/>
      <c r="M27" s="130"/>
      <c r="N27" s="135"/>
      <c r="O27" s="135"/>
      <c r="P27" s="212"/>
      <c r="R27" s="130"/>
    </row>
    <row r="28" spans="1:18" s="169" customFormat="1" ht="12" x14ac:dyDescent="0.2">
      <c r="B28" s="146"/>
      <c r="C28" s="147"/>
      <c r="I28" s="135"/>
      <c r="J28" s="135"/>
      <c r="K28" s="135"/>
      <c r="L28" s="135"/>
      <c r="M28" s="130"/>
      <c r="N28" s="135"/>
      <c r="O28" s="135"/>
      <c r="P28" s="212"/>
      <c r="R28" s="130"/>
    </row>
    <row r="29" spans="1:18" s="169" customFormat="1" ht="12" x14ac:dyDescent="0.2">
      <c r="B29" s="149"/>
      <c r="C29" s="148" t="s">
        <v>103</v>
      </c>
      <c r="I29" s="135"/>
      <c r="J29" s="135"/>
      <c r="K29" s="135"/>
      <c r="L29" s="135"/>
      <c r="M29" s="130"/>
      <c r="N29" s="135"/>
      <c r="O29" s="135"/>
      <c r="P29" s="212"/>
      <c r="R29" s="130"/>
    </row>
    <row r="30" spans="1:18" s="169" customFormat="1" ht="12" x14ac:dyDescent="0.2">
      <c r="B30" s="150"/>
      <c r="C30" s="148"/>
      <c r="I30" s="135"/>
      <c r="J30" s="135"/>
      <c r="K30" s="135"/>
      <c r="L30" s="135"/>
      <c r="M30" s="130"/>
      <c r="N30" s="135"/>
      <c r="O30" s="135"/>
      <c r="P30" s="212"/>
      <c r="R30" s="130"/>
    </row>
    <row r="31" spans="1:18" s="169" customFormat="1" ht="12" x14ac:dyDescent="0.2">
      <c r="B31" s="151"/>
      <c r="C31" s="148" t="s">
        <v>104</v>
      </c>
      <c r="I31" s="135"/>
      <c r="J31" s="135"/>
      <c r="K31" s="135"/>
      <c r="L31" s="135"/>
      <c r="M31" s="130"/>
      <c r="N31" s="135"/>
      <c r="O31" s="135"/>
      <c r="P31" s="212"/>
      <c r="R31" s="130"/>
    </row>
    <row r="32" spans="1:18" s="186" customFormat="1" ht="12.75" x14ac:dyDescent="0.2">
      <c r="A32" s="156"/>
      <c r="B32" s="156"/>
      <c r="C32" s="157"/>
      <c r="I32" s="137"/>
      <c r="J32" s="137"/>
      <c r="K32" s="135"/>
      <c r="L32" s="135"/>
      <c r="M32" s="130"/>
      <c r="N32" s="135"/>
      <c r="O32" s="135"/>
      <c r="P32" s="309"/>
      <c r="R32" s="130"/>
    </row>
    <row r="33" spans="2:18" s="186" customFormat="1" ht="13.5" thickBot="1" x14ac:dyDescent="0.25">
      <c r="C33" s="187"/>
      <c r="I33" s="137"/>
      <c r="J33" s="137"/>
      <c r="K33" s="135"/>
      <c r="L33" s="135"/>
      <c r="M33" s="130"/>
      <c r="N33" s="135"/>
      <c r="O33" s="135"/>
      <c r="P33" s="309"/>
      <c r="R33" s="130"/>
    </row>
    <row r="34" spans="2:18" s="122" customFormat="1" ht="21" thickBot="1" x14ac:dyDescent="0.25">
      <c r="B34" s="152" t="str">
        <f ca="1" xml:space="preserve"> RIGHT(CELL("filename", $A$1), LEN(CELL("filename", $A$1)) - SEARCH("]", CELL("filename", $A$1)))&amp;" - Line definitions"</f>
        <v>1E - Line definitions</v>
      </c>
      <c r="C34" s="153"/>
      <c r="D34" s="154"/>
      <c r="E34" s="154"/>
      <c r="F34" s="154"/>
      <c r="G34" s="154"/>
      <c r="H34" s="154"/>
      <c r="I34" s="160"/>
      <c r="J34" s="129"/>
      <c r="K34" s="131"/>
      <c r="L34" s="129"/>
      <c r="M34" s="130"/>
      <c r="N34" s="131"/>
      <c r="O34" s="129"/>
      <c r="P34" s="290"/>
      <c r="R34" s="130"/>
    </row>
    <row r="35" spans="2:18" s="122" customFormat="1" ht="15" thickBot="1" x14ac:dyDescent="0.25">
      <c r="B35" s="87"/>
      <c r="C35" s="161"/>
      <c r="D35" s="87"/>
      <c r="E35" s="87"/>
      <c r="F35" s="87"/>
      <c r="I35" s="129"/>
      <c r="J35" s="129"/>
      <c r="K35" s="131"/>
      <c r="L35" s="129"/>
      <c r="M35" s="133"/>
      <c r="O35" s="129"/>
      <c r="P35" s="290"/>
      <c r="R35" s="133"/>
    </row>
    <row r="36" spans="2:18" s="186" customFormat="1" thickBot="1" x14ac:dyDescent="0.25">
      <c r="B36" s="376" t="s">
        <v>105</v>
      </c>
      <c r="C36" s="377" t="s">
        <v>106</v>
      </c>
      <c r="D36" s="378"/>
      <c r="E36" s="378"/>
      <c r="F36" s="378"/>
      <c r="G36" s="378"/>
      <c r="H36" s="378"/>
      <c r="I36" s="379"/>
      <c r="J36" s="352"/>
      <c r="K36" s="137"/>
      <c r="L36" s="129"/>
      <c r="M36" s="133"/>
      <c r="N36" s="97" t="s">
        <v>107</v>
      </c>
      <c r="O36" s="129"/>
      <c r="R36" s="133"/>
    </row>
    <row r="37" spans="2:18" s="122" customFormat="1" ht="204.6" customHeight="1" x14ac:dyDescent="0.2">
      <c r="B37" s="189">
        <v>1</v>
      </c>
      <c r="C37" s="913" t="s">
        <v>273</v>
      </c>
      <c r="D37" s="914"/>
      <c r="E37" s="914"/>
      <c r="F37" s="914"/>
      <c r="G37" s="914"/>
      <c r="H37" s="914"/>
      <c r="I37" s="915"/>
      <c r="J37" s="355"/>
      <c r="K37" s="131"/>
      <c r="L37" s="129"/>
      <c r="M37" s="133"/>
      <c r="N37" s="168" t="s">
        <v>274</v>
      </c>
      <c r="O37" s="129"/>
      <c r="P37" s="290"/>
      <c r="R37" s="133"/>
    </row>
    <row r="38" spans="2:18" s="122" customFormat="1" ht="25.5" x14ac:dyDescent="0.2">
      <c r="B38" s="166">
        <v>2</v>
      </c>
      <c r="C38" s="905" t="s">
        <v>275</v>
      </c>
      <c r="D38" s="906"/>
      <c r="E38" s="906"/>
      <c r="F38" s="906"/>
      <c r="G38" s="906"/>
      <c r="H38" s="906"/>
      <c r="I38" s="907"/>
      <c r="J38" s="355"/>
      <c r="M38" s="133"/>
      <c r="N38" s="387" t="s">
        <v>112</v>
      </c>
      <c r="R38" s="133"/>
    </row>
    <row r="39" spans="2:18" s="122" customFormat="1" x14ac:dyDescent="0.2">
      <c r="B39" s="166">
        <v>3</v>
      </c>
      <c r="C39" s="905" t="s">
        <v>276</v>
      </c>
      <c r="D39" s="906"/>
      <c r="E39" s="906"/>
      <c r="F39" s="906"/>
      <c r="G39" s="906"/>
      <c r="H39" s="906"/>
      <c r="I39" s="907"/>
      <c r="J39" s="355"/>
      <c r="M39" s="133"/>
      <c r="N39" s="264">
        <v>1</v>
      </c>
      <c r="R39" s="133"/>
    </row>
    <row r="40" spans="2:18" s="131" customFormat="1" x14ac:dyDescent="0.2">
      <c r="B40" s="166">
        <v>4</v>
      </c>
      <c r="C40" s="905" t="s">
        <v>277</v>
      </c>
      <c r="D40" s="906"/>
      <c r="E40" s="906"/>
      <c r="F40" s="906"/>
      <c r="G40" s="906"/>
      <c r="H40" s="906"/>
      <c r="I40" s="907"/>
      <c r="J40" s="355"/>
      <c r="M40" s="133"/>
      <c r="N40" s="264">
        <v>1</v>
      </c>
      <c r="R40" s="133"/>
    </row>
    <row r="41" spans="2:18" s="131" customFormat="1" x14ac:dyDescent="0.2">
      <c r="B41" s="166">
        <v>5</v>
      </c>
      <c r="C41" s="905" t="s">
        <v>278</v>
      </c>
      <c r="D41" s="906"/>
      <c r="E41" s="906"/>
      <c r="F41" s="906"/>
      <c r="G41" s="906"/>
      <c r="H41" s="906"/>
      <c r="I41" s="907"/>
      <c r="J41" s="355"/>
      <c r="M41" s="133"/>
      <c r="N41" s="264">
        <v>1</v>
      </c>
      <c r="R41" s="133"/>
    </row>
    <row r="42" spans="2:18" s="131" customFormat="1" x14ac:dyDescent="0.2">
      <c r="B42" s="166">
        <v>6</v>
      </c>
      <c r="C42" s="905" t="s">
        <v>279</v>
      </c>
      <c r="D42" s="906"/>
      <c r="E42" s="906"/>
      <c r="F42" s="906"/>
      <c r="G42" s="906"/>
      <c r="H42" s="906"/>
      <c r="I42" s="907"/>
      <c r="J42" s="355"/>
      <c r="M42" s="133"/>
      <c r="N42" s="264">
        <v>1</v>
      </c>
      <c r="R42" s="133"/>
    </row>
    <row r="43" spans="2:18" x14ac:dyDescent="0.2">
      <c r="B43" s="166">
        <v>7</v>
      </c>
      <c r="C43" s="905" t="s">
        <v>280</v>
      </c>
      <c r="D43" s="906"/>
      <c r="E43" s="906"/>
      <c r="F43" s="906"/>
      <c r="G43" s="906"/>
      <c r="H43" s="906"/>
      <c r="I43" s="907"/>
      <c r="J43" s="355"/>
      <c r="M43" s="133"/>
      <c r="N43" s="165">
        <v>1</v>
      </c>
      <c r="R43" s="133"/>
    </row>
    <row r="44" spans="2:18" ht="38.25" x14ac:dyDescent="0.2">
      <c r="B44" s="166">
        <v>8</v>
      </c>
      <c r="C44" s="905" t="s">
        <v>281</v>
      </c>
      <c r="D44" s="906"/>
      <c r="E44" s="906"/>
      <c r="F44" s="906"/>
      <c r="G44" s="906"/>
      <c r="H44" s="906"/>
      <c r="I44" s="907"/>
      <c r="J44" s="355"/>
      <c r="N44" s="168" t="s">
        <v>109</v>
      </c>
    </row>
    <row r="45" spans="2:18" ht="293.25" x14ac:dyDescent="0.2">
      <c r="B45" s="166">
        <v>9</v>
      </c>
      <c r="C45" s="905" t="s">
        <v>282</v>
      </c>
      <c r="D45" s="906"/>
      <c r="E45" s="906"/>
      <c r="F45" s="906"/>
      <c r="G45" s="906"/>
      <c r="H45" s="906"/>
      <c r="I45" s="907"/>
      <c r="J45" s="355"/>
      <c r="N45" s="168" t="s">
        <v>283</v>
      </c>
    </row>
    <row r="46" spans="2:18" ht="76.5" x14ac:dyDescent="0.2">
      <c r="B46" s="166">
        <v>10</v>
      </c>
      <c r="C46" s="905" t="s">
        <v>284</v>
      </c>
      <c r="D46" s="906"/>
      <c r="E46" s="906"/>
      <c r="F46" s="906"/>
      <c r="G46" s="906"/>
      <c r="H46" s="906"/>
      <c r="I46" s="907"/>
      <c r="J46" s="355"/>
      <c r="N46" s="168" t="s">
        <v>285</v>
      </c>
    </row>
    <row r="47" spans="2:18" ht="25.5" x14ac:dyDescent="0.2">
      <c r="B47" s="166">
        <v>11</v>
      </c>
      <c r="C47" s="905" t="s">
        <v>286</v>
      </c>
      <c r="D47" s="906"/>
      <c r="E47" s="906"/>
      <c r="F47" s="906"/>
      <c r="G47" s="906"/>
      <c r="H47" s="906"/>
      <c r="I47" s="907"/>
      <c r="J47" s="355"/>
      <c r="N47" s="168" t="s">
        <v>112</v>
      </c>
    </row>
    <row r="48" spans="2:18" ht="26.25" thickBot="1" x14ac:dyDescent="0.25">
      <c r="B48" s="191">
        <v>12</v>
      </c>
      <c r="C48" s="916" t="s">
        <v>287</v>
      </c>
      <c r="D48" s="917"/>
      <c r="E48" s="917"/>
      <c r="F48" s="917"/>
      <c r="G48" s="917"/>
      <c r="H48" s="917"/>
      <c r="I48" s="918"/>
      <c r="J48" s="355"/>
      <c r="N48" s="168" t="s">
        <v>112</v>
      </c>
    </row>
    <row r="49" spans="2:14" ht="128.25" thickBot="1" x14ac:dyDescent="0.25">
      <c r="B49" s="191">
        <v>13</v>
      </c>
      <c r="C49" s="902" t="s">
        <v>288</v>
      </c>
      <c r="D49" s="903"/>
      <c r="E49" s="903"/>
      <c r="F49" s="903"/>
      <c r="G49" s="903"/>
      <c r="H49" s="903"/>
      <c r="I49" s="904"/>
      <c r="J49" s="355"/>
      <c r="N49" s="168" t="s">
        <v>185</v>
      </c>
    </row>
    <row r="50" spans="2:14" x14ac:dyDescent="0.2">
      <c r="N50" s="132"/>
    </row>
    <row r="51" spans="2:14" hidden="1" x14ac:dyDescent="0.2">
      <c r="N51" s="132"/>
    </row>
    <row r="52" spans="2:14" hidden="1" x14ac:dyDescent="0.2">
      <c r="N52" s="132"/>
    </row>
    <row r="53" spans="2:14" hidden="1" x14ac:dyDescent="0.2">
      <c r="N53" s="132"/>
    </row>
    <row r="54" spans="2:14" hidden="1" x14ac:dyDescent="0.2">
      <c r="N54" s="132"/>
    </row>
  </sheetData>
  <sheetProtection algorithmName="SHA-512" hashValue="nflyDI/zi8T82CF2CN3/pS3mrFR596V3gM0EnEHKFqBB4MFVijoOK3Z9FmPkZKJMjcqiJWsroyazW4UAs0jDRA==" saltValue="LW3P2nwNq8E7+9HFcCc/FA==" spinCount="100000" sheet="1" objects="1" scenarios="1"/>
  <mergeCells count="21">
    <mergeCell ref="C42:I42"/>
    <mergeCell ref="C43:I43"/>
    <mergeCell ref="C44:I44"/>
    <mergeCell ref="C45:I45"/>
    <mergeCell ref="C46:I46"/>
    <mergeCell ref="C49:I49"/>
    <mergeCell ref="K3:K4"/>
    <mergeCell ref="N3:Q4"/>
    <mergeCell ref="C40:I40"/>
    <mergeCell ref="B3:C4"/>
    <mergeCell ref="D3:D4"/>
    <mergeCell ref="E3:E4"/>
    <mergeCell ref="F3:I3"/>
    <mergeCell ref="B19:C19"/>
    <mergeCell ref="B25:C25"/>
    <mergeCell ref="C37:I37"/>
    <mergeCell ref="C38:I38"/>
    <mergeCell ref="C39:I39"/>
    <mergeCell ref="C47:I47"/>
    <mergeCell ref="C48:I48"/>
    <mergeCell ref="C41:I41"/>
  </mergeCells>
  <conditionalFormatting sqref="K6 K9:K10">
    <cfRule type="cellIs" dxfId="196" priority="5" operator="equal">
      <formula>0</formula>
    </cfRule>
  </conditionalFormatting>
  <conditionalFormatting sqref="K14">
    <cfRule type="cellIs" dxfId="195" priority="4" operator="equal">
      <formula>0</formula>
    </cfRule>
  </conditionalFormatting>
  <conditionalFormatting sqref="K16:K17">
    <cfRule type="cellIs" dxfId="194" priority="3" operator="equal">
      <formula>0</formula>
    </cfRule>
  </conditionalFormatting>
  <conditionalFormatting sqref="K20:K21">
    <cfRule type="cellIs" dxfId="193" priority="2" operator="equal">
      <formula>0</formula>
    </cfRule>
  </conditionalFormatting>
  <conditionalFormatting sqref="K23">
    <cfRule type="cellIs" dxfId="192" priority="1" operator="equal">
      <formula>0</formula>
    </cfRule>
  </conditionalFormatting>
  <printOptions horizontalCentered="1"/>
  <pageMargins left="0.39370078740157483" right="0.39370078740157483" top="0.78740157480314965" bottom="0.78740157480314965" header="0.31496062992125984" footer="0.31496062992125984"/>
  <pageSetup paperSize="9" scale="53" orientation="portrait" r:id="rId1"/>
  <headerFooter>
    <oddHeader>&amp;L&amp;9&amp;K857362Page &amp;P of &amp;N&amp;C&amp;9 &amp;K8573622017 annual performance report tables (May 2017) &amp;R&amp;9&amp;G</oddHeader>
    <oddFooter>&amp;L&amp;9&amp;K857362&amp;A&amp;R&amp;9&amp;K857362Printed: &amp;D &amp;T</oddFooter>
  </headerFooter>
  <rowBreaks count="1" manualBreakCount="1">
    <brk id="33" max="21"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C2D776FD421048BBCD3E32F8A2EED1" ma:contentTypeVersion="11" ma:contentTypeDescription="Create a new document." ma:contentTypeScope="" ma:versionID="f6b2b7be7fb66997ad3f4cb6ef441ea0">
  <xsd:schema xmlns:xsd="http://www.w3.org/2001/XMLSchema" xmlns:xs="http://www.w3.org/2001/XMLSchema" xmlns:p="http://schemas.microsoft.com/office/2006/metadata/properties" xmlns:ns2="1f7dbc3c-4cfd-4668-b4f1-62c2182dd93b" xmlns:ns3="6968f469-3245-46c0-969d-52423cde7f6d" targetNamespace="http://schemas.microsoft.com/office/2006/metadata/properties" ma:root="true" ma:fieldsID="5a0fd82e69ef7345082ee575c8884ced" ns2:_="" ns3:_="">
    <xsd:import namespace="1f7dbc3c-4cfd-4668-b4f1-62c2182dd93b"/>
    <xsd:import namespace="6968f469-3245-46c0-969d-52423cde7f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dbc3c-4cfd-4668-b4f1-62c2182dd9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68f469-3245-46c0-969d-52423cde7f6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F1F12B-8B37-40CB-B99C-72B107A1C942}">
  <ds:schemaRefs>
    <ds:schemaRef ds:uri="http://schemas.openxmlformats.org/package/2006/metadata/core-properties"/>
    <ds:schemaRef ds:uri="http://www.w3.org/XML/1998/namespace"/>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6968f469-3245-46c0-969d-52423cde7f6d"/>
    <ds:schemaRef ds:uri="1f7dbc3c-4cfd-4668-b4f1-62c2182dd93b"/>
    <ds:schemaRef ds:uri="http://schemas.microsoft.com/office/2006/metadata/properties"/>
  </ds:schemaRefs>
</ds:datastoreItem>
</file>

<file path=customXml/itemProps2.xml><?xml version="1.0" encoding="utf-8"?>
<ds:datastoreItem xmlns:ds="http://schemas.openxmlformats.org/officeDocument/2006/customXml" ds:itemID="{512B1558-BFF9-4747-892E-1DD61557879B}">
  <ds:schemaRefs>
    <ds:schemaRef ds:uri="http://schemas.microsoft.com/sharepoint/v3/contenttype/forms"/>
  </ds:schemaRefs>
</ds:datastoreItem>
</file>

<file path=customXml/itemProps3.xml><?xml version="1.0" encoding="utf-8"?>
<ds:datastoreItem xmlns:ds="http://schemas.openxmlformats.org/officeDocument/2006/customXml" ds:itemID="{D5AD71DF-7AF0-47F0-90AE-4B93CA75E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dbc3c-4cfd-4668-b4f1-62c2182dd93b"/>
    <ds:schemaRef ds:uri="6968f469-3245-46c0-969d-52423cde7f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43</vt:i4>
      </vt:variant>
      <vt:variant>
        <vt:lpstr>Named Ranges</vt:lpstr>
      </vt:variant>
      <vt:variant>
        <vt:i4>30</vt:i4>
      </vt:variant>
    </vt:vector>
  </HeadingPairs>
  <TitlesOfParts>
    <vt:vector size="73" baseType="lpstr">
      <vt:lpstr>Change log</vt:lpstr>
      <vt:lpstr>Introduction</vt:lpstr>
      <vt:lpstr>Validation</vt:lpstr>
      <vt:lpstr>Section 1 -&gt;</vt:lpstr>
      <vt:lpstr>1A</vt:lpstr>
      <vt:lpstr>1B</vt:lpstr>
      <vt:lpstr>1C</vt:lpstr>
      <vt:lpstr>1D</vt:lpstr>
      <vt:lpstr>1E</vt:lpstr>
      <vt:lpstr>Section 2 -&gt;</vt:lpstr>
      <vt:lpstr>CLEAR_SHEET</vt:lpstr>
      <vt:lpstr>2A</vt:lpstr>
      <vt:lpstr>2B</vt:lpstr>
      <vt:lpstr>2C</vt:lpstr>
      <vt:lpstr>2D</vt:lpstr>
      <vt:lpstr>2E</vt:lpstr>
      <vt:lpstr>2F</vt:lpstr>
      <vt:lpstr>2G</vt:lpstr>
      <vt:lpstr>2H</vt:lpstr>
      <vt:lpstr>2I</vt:lpstr>
      <vt:lpstr>Section 3 -&gt;</vt:lpstr>
      <vt:lpstr>3A</vt:lpstr>
      <vt:lpstr>3B</vt:lpstr>
      <vt:lpstr>3C</vt:lpstr>
      <vt:lpstr>3D</vt:lpstr>
      <vt:lpstr>Section 4 -&gt;</vt:lpstr>
      <vt:lpstr>4A</vt:lpstr>
      <vt:lpstr>4B</vt:lpstr>
      <vt:lpstr>4C</vt:lpstr>
      <vt:lpstr>Sheet1</vt:lpstr>
      <vt:lpstr>4D</vt:lpstr>
      <vt:lpstr>4E</vt:lpstr>
      <vt:lpstr>4F</vt:lpstr>
      <vt:lpstr>4G</vt:lpstr>
      <vt:lpstr>4H</vt:lpstr>
      <vt:lpstr>4I</vt:lpstr>
      <vt:lpstr>Lists</vt:lpstr>
      <vt:lpstr>PC LIST</vt:lpstr>
      <vt:lpstr>PC list edited</vt:lpstr>
      <vt:lpstr>SUB LIST</vt:lpstr>
      <vt:lpstr>SUB list edited</vt:lpstr>
      <vt:lpstr>Water</vt:lpstr>
      <vt:lpstr>Sewerage</vt:lpstr>
      <vt:lpstr>'1A'!Print_Area</vt:lpstr>
      <vt:lpstr>'1B'!Print_Area</vt:lpstr>
      <vt:lpstr>'1C'!Print_Area</vt:lpstr>
      <vt:lpstr>'1D'!Print_Area</vt:lpstr>
      <vt:lpstr>'1E'!Print_Area</vt:lpstr>
      <vt:lpstr>'2A'!Print_Area</vt:lpstr>
      <vt:lpstr>'2B'!Print_Area</vt:lpstr>
      <vt:lpstr>'2C'!Print_Area</vt:lpstr>
      <vt:lpstr>'2D'!Print_Area</vt:lpstr>
      <vt:lpstr>'2E'!Print_Area</vt:lpstr>
      <vt:lpstr>'2F'!Print_Area</vt:lpstr>
      <vt:lpstr>'2G'!Print_Area</vt:lpstr>
      <vt:lpstr>'2H'!Print_Area</vt:lpstr>
      <vt:lpstr>'2I'!Print_Area</vt:lpstr>
      <vt:lpstr>'3A'!Print_Area</vt:lpstr>
      <vt:lpstr>'3B'!Print_Area</vt:lpstr>
      <vt:lpstr>'3C'!Print_Area</vt:lpstr>
      <vt:lpstr>'3D'!Print_Area</vt:lpstr>
      <vt:lpstr>'4A'!Print_Area</vt:lpstr>
      <vt:lpstr>'4B'!Print_Area</vt:lpstr>
      <vt:lpstr>'4C'!Print_Area</vt:lpstr>
      <vt:lpstr>'4D'!Print_Area</vt:lpstr>
      <vt:lpstr>'4E'!Print_Area</vt:lpstr>
      <vt:lpstr>'4F'!Print_Area</vt:lpstr>
      <vt:lpstr>'4G'!Print_Area</vt:lpstr>
      <vt:lpstr>'4H'!Print_Area</vt:lpstr>
      <vt:lpstr>'4I'!Print_Area</vt:lpstr>
      <vt:lpstr>'Change log'!Print_Area</vt:lpstr>
      <vt:lpstr>Introduction!Print_Area</vt:lpstr>
      <vt:lpstr>Validation!Print_Area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2017-05-24T13:36:10Z</dcterms:created>
  <dcterms:modified xsi:type="dcterms:W3CDTF">2025-10-21T07:56:32Z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0x01010034C2D776FD421048BBCD3E32F8A2EED1</vt:lpwstr>
  </property>
  <property fmtid="{D5CDD505-2E9C-101B-9397-08002B2CF9AE}" pid="3" name="Order">
    <vt:r8>86900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SIP_Label_d04dfc70-0289-4bbf-a1df-2e48919102f8_Enabled">
    <vt:lpwstr>true</vt:lpwstr>
  </property>
  <property fmtid="{D5CDD505-2E9C-101B-9397-08002B2CF9AE}" pid="11" name="MSIP_Label_d04dfc70-0289-4bbf-a1df-2e48919102f8_SetDate">
    <vt:lpwstr>2024-02-15T14:31:24Z</vt:lpwstr>
  </property>
  <property fmtid="{D5CDD505-2E9C-101B-9397-08002B2CF9AE}" pid="12" name="MSIP_Label_d04dfc70-0289-4bbf-a1df-2e48919102f8_Method">
    <vt:lpwstr>Standard</vt:lpwstr>
  </property>
  <property fmtid="{D5CDD505-2E9C-101B-9397-08002B2CF9AE}" pid="13" name="MSIP_Label_d04dfc70-0289-4bbf-a1df-2e48919102f8_Name">
    <vt:lpwstr>Private2</vt:lpwstr>
  </property>
  <property fmtid="{D5CDD505-2E9C-101B-9397-08002B2CF9AE}" pid="14" name="MSIP_Label_d04dfc70-0289-4bbf-a1df-2e48919102f8_SiteId">
    <vt:lpwstr>92ebd22d-0a9c-4516-a68f-ba966853a8f3</vt:lpwstr>
  </property>
  <property fmtid="{D5CDD505-2E9C-101B-9397-08002B2CF9AE}" pid="15" name="MSIP_Label_d04dfc70-0289-4bbf-a1df-2e48919102f8_ActionId">
    <vt:lpwstr>02121693-b371-4e8b-beaf-8fb55be27f11</vt:lpwstr>
  </property>
  <property fmtid="{D5CDD505-2E9C-101B-9397-08002B2CF9AE}" pid="16" name="MSIP_Label_d04dfc70-0289-4bbf-a1df-2e48919102f8_ContentBits">
    <vt:lpwstr>0</vt:lpwstr>
  </property>
</Properties>
</file>