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lewandow\Desktop\"/>
    </mc:Choice>
  </mc:AlternateContent>
  <xr:revisionPtr revIDLastSave="0" documentId="8_{CBF07476-7E87-4D62-B16F-39DBE913F5CB}" xr6:coauthVersionLast="47" xr6:coauthVersionMax="47" xr10:uidLastSave="{00000000-0000-0000-0000-000000000000}"/>
  <workbookProtection workbookAlgorithmName="SHA-512" workbookHashValue="ZszOGgDseQo4Qsa/gadRYz9x7vTi77EFScCPbQ692k1R2EMyvS20BWE27YJFL+BJYuMBUz/2plUQ4jlRhuewBw==" workbookSaltValue="6RJw7A8PymBuKlgaqSQRjQ==" workbookSpinCount="100000" lockStructure="1"/>
  <bookViews>
    <workbookView xWindow="-120" yWindow="-120" windowWidth="29040" windowHeight="15840" tabRatio="681" firstSheet="10" activeTab="26" xr2:uid="{00000000-000D-0000-FFFF-FFFF00000000}"/>
  </bookViews>
  <sheets>
    <sheet name="Change log" sheetId="37" r:id="rId1"/>
    <sheet name="Introduction" sheetId="2" r:id="rId2"/>
    <sheet name="Validation" sheetId="38" r:id="rId3"/>
    <sheet name="Section 1 -&gt;" sheetId="4" r:id="rId4"/>
    <sheet name="1A" sheetId="5" r:id="rId5"/>
    <sheet name="1B" sheetId="6" r:id="rId6"/>
    <sheet name="1C" sheetId="7" r:id="rId7"/>
    <sheet name="1D" sheetId="8" r:id="rId8"/>
    <sheet name="1E" sheetId="9" r:id="rId9"/>
    <sheet name="Section 2 -&gt;" sheetId="10" r:id="rId10"/>
    <sheet name="2A" sheetId="11" r:id="rId11"/>
    <sheet name="2B" sheetId="12" r:id="rId12"/>
    <sheet name="2C" sheetId="13" r:id="rId13"/>
    <sheet name="2D" sheetId="14" r:id="rId14"/>
    <sheet name="2E" sheetId="16" r:id="rId15"/>
    <sheet name="2F" sheetId="17" r:id="rId16"/>
    <sheet name="2G" sheetId="18" r:id="rId17"/>
    <sheet name="2H" sheetId="19" r:id="rId18"/>
    <sheet name="2I" sheetId="20" r:id="rId19"/>
    <sheet name="Section 3 -&gt;" sheetId="21" r:id="rId20"/>
    <sheet name="3A" sheetId="22" r:id="rId21"/>
    <sheet name="Section 4 -&gt;" sheetId="23" r:id="rId22"/>
    <sheet name="4A" sheetId="24" r:id="rId23"/>
    <sheet name="4B" sheetId="25" r:id="rId24"/>
    <sheet name="4C" sheetId="26" r:id="rId25"/>
    <sheet name="4D" sheetId="27" r:id="rId26"/>
    <sheet name="4E" sheetId="28" r:id="rId27"/>
    <sheet name="4F" sheetId="29" r:id="rId28"/>
    <sheet name="4G" sheetId="30" r:id="rId29"/>
    <sheet name="4H" sheetId="31" r:id="rId30"/>
    <sheet name="4I" sheetId="32" r:id="rId31"/>
    <sheet name="Lists" sheetId="33" state="hidden" r:id="rId32"/>
    <sheet name="PC LIST" sheetId="1" state="hidden" r:id="rId33"/>
    <sheet name="PC list edited" sheetId="34" state="hidden" r:id="rId34"/>
    <sheet name="Water" sheetId="35" state="hidden" r:id="rId35"/>
    <sheet name="Sewerage" sheetId="36" state="hidden" r:id="rId36"/>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257</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xlnm._FilterDatabase" localSheetId="33" hidden="1">'PC list edited'!$A$1:$B$529</definedName>
    <definedName name="_xlnm._FilterDatabase" localSheetId="35" hidden="1">Sewerage!$A$1:$G$30</definedName>
    <definedName name="_xlnm._FilterDatabase" localSheetId="34" hidden="1">Water!$A$1:$R$25</definedName>
    <definedName name="_Order1" hidden="1">255</definedName>
    <definedName name="_Order2" hidden="1">255</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4">'1A'!$A$1:$AC$50</definedName>
    <definedName name="_xlnm.Print_Area" localSheetId="5">'1B'!$A$1:$X$31</definedName>
    <definedName name="_xlnm.Print_Area" localSheetId="6">'1C'!$A$1:$T$94</definedName>
    <definedName name="_xlnm.Print_Area" localSheetId="7">'1D'!$A$1:$T$78</definedName>
    <definedName name="_xlnm.Print_Area" localSheetId="8">'1E'!$A$1:$V$47</definedName>
    <definedName name="_xlnm.Print_Area" localSheetId="10">'2A'!$A$1:$W$37</definedName>
    <definedName name="_xlnm.Print_Area" localSheetId="11">'2B'!$A$1:$R$68</definedName>
    <definedName name="_xlnm.Print_Area" localSheetId="12">'2C'!$A$1:$R$43</definedName>
    <definedName name="_xlnm.Print_Area" localSheetId="13">'2D'!$A$1:$AJ$43</definedName>
    <definedName name="_xlnm.Print_Area" localSheetId="14">'2E'!$A$1:$X$61</definedName>
    <definedName name="_xlnm.Print_Area" localSheetId="15">'2F'!$A$1:$V$34</definedName>
    <definedName name="_xlnm.Print_Area" localSheetId="16">'2G'!$A$1:$V$49</definedName>
    <definedName name="_xlnm.Print_Area" localSheetId="17">'2H'!$A$1:$U$49</definedName>
    <definedName name="_xlnm.Print_Area" localSheetId="18">'2I'!$A$1:$AB$74</definedName>
    <definedName name="_xlnm.Print_Area" localSheetId="20">'3A'!$A$1:$Z$87</definedName>
    <definedName name="_xlnm.Print_Area" localSheetId="22">'4A'!$A$1:$N$45</definedName>
    <definedName name="_xlnm.Print_Area" localSheetId="23">'4B'!$A$1:$AA$38</definedName>
    <definedName name="_xlnm.Print_Area" localSheetId="24">'4C'!$A$1:$T$27</definedName>
    <definedName name="_xlnm.Print_Area" localSheetId="25">'4D'!$A$1:$AG$78</definedName>
    <definedName name="_xlnm.Print_Area" localSheetId="26">'4E'!$A$1:$Y$79</definedName>
    <definedName name="_xlnm.Print_Area" localSheetId="27">'4F'!$A$1:$AA$52</definedName>
    <definedName name="_xlnm.Print_Area" localSheetId="28">'4G'!$A$1:$R$44</definedName>
    <definedName name="_xlnm.Print_Area" localSheetId="29">'4H'!$A$1:$Z$75</definedName>
    <definedName name="_xlnm.Print_Area" localSheetId="30">'4I'!$A$1:$AJ$76</definedName>
    <definedName name="_xlnm.Print_Area" localSheetId="0">'Change log'!$A$1:$L$15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definedName>
    <definedName name="SAPBEXsysID" hidden="1">"BWB"</definedName>
    <definedName name="SAPBEXwbID" hidden="1">"49ZLUKBQR0WG29D9LLI3IBIIT"</definedName>
    <definedName name="wrn.wpapers." hidden="1">{"bal",#N/A,FALSE,"working papers";"income",#N/A,FALSE,"working papers"}</definedName>
    <definedName name="Z_0D666283_CADB_464A_974F_FFED8E45FEBD_.wvu.Cols" localSheetId="13" hidden="1">'2D'!$U:$XFD</definedName>
    <definedName name="Z_0D666283_CADB_464A_974F_FFED8E45FEBD_.wvu.Cols" localSheetId="22" hidden="1">'4A'!$R:$XFD</definedName>
    <definedName name="Z_0D666283_CADB_464A_974F_FFED8E45FEBD_.wvu.Cols" localSheetId="3" hidden="1">'Section 1 -&gt;'!$1:$1048576</definedName>
    <definedName name="Z_0D666283_CADB_464A_974F_FFED8E45FEBD_.wvu.Cols" localSheetId="9" hidden="1">'Section 2 -&gt;'!$1:$1048576</definedName>
    <definedName name="Z_0D666283_CADB_464A_974F_FFED8E45FEBD_.wvu.Cols" localSheetId="19" hidden="1">'Section 3 -&gt;'!$1:$1048576</definedName>
    <definedName name="Z_0D666283_CADB_464A_974F_FFED8E45FEBD_.wvu.Cols" localSheetId="21" hidden="1">'Section 4 -&gt;'!$1:$1048576</definedName>
    <definedName name="Z_0D666283_CADB_464A_974F_FFED8E45FEBD_.wvu.FilterData" localSheetId="33" hidden="1">'PC list edited'!$A$1:$B$529</definedName>
    <definedName name="Z_0D666283_CADB_464A_974F_FFED8E45FEBD_.wvu.FilterData" localSheetId="35" hidden="1">Sewerage!$A$1:$G$30</definedName>
    <definedName name="Z_0D666283_CADB_464A_974F_FFED8E45FEBD_.wvu.FilterData" localSheetId="34" hidden="1">Water!$A$1:$R$25</definedName>
    <definedName name="Z_0D666283_CADB_464A_974F_FFED8E45FEBD_.wvu.Rows" localSheetId="10" hidden="1">'2A'!$95:$1048576,'2A'!$56:$94</definedName>
    <definedName name="Z_0D666283_CADB_464A_974F_FFED8E45FEBD_.wvu.Rows" localSheetId="13" hidden="1">'2D'!$65:$1048576,'2D'!$44:$59</definedName>
    <definedName name="Z_0D666283_CADB_464A_974F_FFED8E45FEBD_.wvu.Rows" localSheetId="22" hidden="1">'4A'!$65:$1048576</definedName>
    <definedName name="Z_0D666283_CADB_464A_974F_FFED8E45FEBD_.wvu.Rows" localSheetId="3" hidden="1">'Section 1 -&gt;'!$36:$1048576,'Section 1 -&gt;'!$1:$35</definedName>
    <definedName name="Z_0D666283_CADB_464A_974F_FFED8E45FEBD_.wvu.Rows" localSheetId="9" hidden="1">'Section 2 -&gt;'!$36:$1048576,'Section 2 -&gt;'!$1:$35</definedName>
    <definedName name="Z_0D666283_CADB_464A_974F_FFED8E45FEBD_.wvu.Rows" localSheetId="19" hidden="1">'Section 3 -&gt;'!$36:$1048576,'Section 3 -&gt;'!$1:$35</definedName>
    <definedName name="Z_0D666283_CADB_464A_974F_FFED8E45FEBD_.wvu.Rows" localSheetId="21" hidden="1">'Section 4 -&gt;'!$36:$1048576,'Section 4 -&gt;'!$1:$35</definedName>
    <definedName name="Z_3BF63FB9_9E69_4F23_B37F_22932F355A10_.wvu.Cols" localSheetId="13" hidden="1">'2D'!$U:$XFD</definedName>
    <definedName name="Z_3BF63FB9_9E69_4F23_B37F_22932F355A10_.wvu.Cols" localSheetId="22" hidden="1">'4A'!$R:$XFD</definedName>
    <definedName name="Z_3BF63FB9_9E69_4F23_B37F_22932F355A10_.wvu.Cols" localSheetId="3" hidden="1">'Section 1 -&gt;'!$1:$1048576</definedName>
    <definedName name="Z_3BF63FB9_9E69_4F23_B37F_22932F355A10_.wvu.Cols" localSheetId="9" hidden="1">'Section 2 -&gt;'!$1:$1048576</definedName>
    <definedName name="Z_3BF63FB9_9E69_4F23_B37F_22932F355A10_.wvu.Cols" localSheetId="19" hidden="1">'Section 3 -&gt;'!$1:$1048576</definedName>
    <definedName name="Z_3BF63FB9_9E69_4F23_B37F_22932F355A10_.wvu.Cols" localSheetId="21" hidden="1">'Section 4 -&gt;'!$1:$1048576</definedName>
    <definedName name="Z_3BF63FB9_9E69_4F23_B37F_22932F355A10_.wvu.FilterData" localSheetId="33" hidden="1">'PC list edited'!$A$1:$B$529</definedName>
    <definedName name="Z_3BF63FB9_9E69_4F23_B37F_22932F355A10_.wvu.FilterData" localSheetId="35" hidden="1">Sewerage!$A$1:$G$30</definedName>
    <definedName name="Z_3BF63FB9_9E69_4F23_B37F_22932F355A10_.wvu.FilterData" localSheetId="34" hidden="1">Water!$A$1:$R$25</definedName>
    <definedName name="Z_3BF63FB9_9E69_4F23_B37F_22932F355A10_.wvu.Rows" localSheetId="10" hidden="1">'2A'!$95:$1048576,'2A'!$56:$94</definedName>
    <definedName name="Z_3BF63FB9_9E69_4F23_B37F_22932F355A10_.wvu.Rows" localSheetId="13" hidden="1">'2D'!$65:$1048576,'2D'!$44:$59</definedName>
    <definedName name="Z_3BF63FB9_9E69_4F23_B37F_22932F355A10_.wvu.Rows" localSheetId="22" hidden="1">'4A'!$65:$1048576</definedName>
    <definedName name="Z_3BF63FB9_9E69_4F23_B37F_22932F355A10_.wvu.Rows" localSheetId="3" hidden="1">'Section 1 -&gt;'!$36:$1048576,'Section 1 -&gt;'!$1:$35</definedName>
    <definedName name="Z_3BF63FB9_9E69_4F23_B37F_22932F355A10_.wvu.Rows" localSheetId="9" hidden="1">'Section 2 -&gt;'!$36:$1048576,'Section 2 -&gt;'!$1:$35</definedName>
    <definedName name="Z_3BF63FB9_9E69_4F23_B37F_22932F355A10_.wvu.Rows" localSheetId="19" hidden="1">'Section 3 -&gt;'!$36:$1048576,'Section 3 -&gt;'!$1:$35</definedName>
    <definedName name="Z_3BF63FB9_9E69_4F23_B37F_22932F355A10_.wvu.Rows" localSheetId="21" hidden="1">'Section 4 -&gt;'!$36:$1048576,'Section 4 -&gt;'!$1:$35</definedName>
    <definedName name="Z_A683DE68_74F1_44FC_875D_47ACE58076E1_.wvu.Cols" localSheetId="13" hidden="1">'2D'!$U:$XFD</definedName>
    <definedName name="Z_A683DE68_74F1_44FC_875D_47ACE58076E1_.wvu.Cols" localSheetId="22" hidden="1">'4A'!$R:$XFD</definedName>
    <definedName name="Z_A683DE68_74F1_44FC_875D_47ACE58076E1_.wvu.Cols" localSheetId="3" hidden="1">'Section 1 -&gt;'!$1:$1048576</definedName>
    <definedName name="Z_A683DE68_74F1_44FC_875D_47ACE58076E1_.wvu.Cols" localSheetId="9" hidden="1">'Section 2 -&gt;'!$1:$1048576</definedName>
    <definedName name="Z_A683DE68_74F1_44FC_875D_47ACE58076E1_.wvu.Cols" localSheetId="19" hidden="1">'Section 3 -&gt;'!$1:$1048576</definedName>
    <definedName name="Z_A683DE68_74F1_44FC_875D_47ACE58076E1_.wvu.Cols" localSheetId="21" hidden="1">'Section 4 -&gt;'!$1:$1048576</definedName>
    <definedName name="Z_A683DE68_74F1_44FC_875D_47ACE58076E1_.wvu.FilterData" localSheetId="33" hidden="1">'PC list edited'!$A$1:$B$529</definedName>
    <definedName name="Z_A683DE68_74F1_44FC_875D_47ACE58076E1_.wvu.FilterData" localSheetId="35" hidden="1">Sewerage!$A$1:$G$30</definedName>
    <definedName name="Z_A683DE68_74F1_44FC_875D_47ACE58076E1_.wvu.FilterData" localSheetId="34" hidden="1">Water!$A$1:$R$25</definedName>
    <definedName name="Z_A683DE68_74F1_44FC_875D_47ACE58076E1_.wvu.Rows" localSheetId="10" hidden="1">'2A'!$95:$1048576,'2A'!$56:$94</definedName>
    <definedName name="Z_A683DE68_74F1_44FC_875D_47ACE58076E1_.wvu.Rows" localSheetId="13" hidden="1">'2D'!$65:$1048576,'2D'!$44:$59</definedName>
    <definedName name="Z_A683DE68_74F1_44FC_875D_47ACE58076E1_.wvu.Rows" localSheetId="22" hidden="1">'4A'!$65:$1048576</definedName>
    <definedName name="Z_A683DE68_74F1_44FC_875D_47ACE58076E1_.wvu.Rows" localSheetId="3" hidden="1">'Section 1 -&gt;'!$36:$1048576,'Section 1 -&gt;'!$1:$35</definedName>
    <definedName name="Z_A683DE68_74F1_44FC_875D_47ACE58076E1_.wvu.Rows" localSheetId="9" hidden="1">'Section 2 -&gt;'!$36:$1048576,'Section 2 -&gt;'!$1:$35</definedName>
    <definedName name="Z_A683DE68_74F1_44FC_875D_47ACE58076E1_.wvu.Rows" localSheetId="19" hidden="1">'Section 3 -&gt;'!$36:$1048576,'Section 3 -&gt;'!$1:$35</definedName>
    <definedName name="Z_A683DE68_74F1_44FC_875D_47ACE58076E1_.wvu.Rows" localSheetId="21" hidden="1">'Section 4 -&gt;'!$36:$1048576,'Section 4 -&gt;'!$1:$35</definedName>
    <definedName name="Z_B6110306_7EDB_4112_9F29_7D9801D46B38_.wvu.Cols" localSheetId="13" hidden="1">'2D'!$U:$XFD</definedName>
    <definedName name="Z_B6110306_7EDB_4112_9F29_7D9801D46B38_.wvu.Cols" localSheetId="22" hidden="1">'4A'!$R:$XFD</definedName>
    <definedName name="Z_B6110306_7EDB_4112_9F29_7D9801D46B38_.wvu.Cols" localSheetId="3" hidden="1">'Section 1 -&gt;'!$1:$1048576</definedName>
    <definedName name="Z_B6110306_7EDB_4112_9F29_7D9801D46B38_.wvu.Cols" localSheetId="9" hidden="1">'Section 2 -&gt;'!$1:$1048576</definedName>
    <definedName name="Z_B6110306_7EDB_4112_9F29_7D9801D46B38_.wvu.Cols" localSheetId="19" hidden="1">'Section 3 -&gt;'!$1:$1048576</definedName>
    <definedName name="Z_B6110306_7EDB_4112_9F29_7D9801D46B38_.wvu.Cols" localSheetId="21" hidden="1">'Section 4 -&gt;'!$1:$1048576</definedName>
    <definedName name="Z_B6110306_7EDB_4112_9F29_7D9801D46B38_.wvu.FilterData" localSheetId="33" hidden="1">'PC list edited'!$A$1:$B$529</definedName>
    <definedName name="Z_B6110306_7EDB_4112_9F29_7D9801D46B38_.wvu.FilterData" localSheetId="35" hidden="1">Sewerage!$A$1:$G$30</definedName>
    <definedName name="Z_B6110306_7EDB_4112_9F29_7D9801D46B38_.wvu.FilterData" localSheetId="34" hidden="1">Water!$A$1:$R$25</definedName>
    <definedName name="Z_B6110306_7EDB_4112_9F29_7D9801D46B38_.wvu.Rows" localSheetId="10" hidden="1">'2A'!$95:$1048576,'2A'!$56:$94</definedName>
    <definedName name="Z_B6110306_7EDB_4112_9F29_7D9801D46B38_.wvu.Rows" localSheetId="13" hidden="1">'2D'!$65:$1048576,'2D'!$44:$59</definedName>
    <definedName name="Z_B6110306_7EDB_4112_9F29_7D9801D46B38_.wvu.Rows" localSheetId="22" hidden="1">'4A'!$65:$1048576</definedName>
    <definedName name="Z_B6110306_7EDB_4112_9F29_7D9801D46B38_.wvu.Rows" localSheetId="3" hidden="1">'Section 1 -&gt;'!$2:$1048576,'Section 1 -&gt;'!$1:$1</definedName>
    <definedName name="Z_B6110306_7EDB_4112_9F29_7D9801D46B38_.wvu.Rows" localSheetId="9" hidden="1">'Section 2 -&gt;'!$2:$1048576,'Section 2 -&gt;'!$1:$1</definedName>
    <definedName name="Z_B6110306_7EDB_4112_9F29_7D9801D46B38_.wvu.Rows" localSheetId="19" hidden="1">'Section 3 -&gt;'!$2:$1048576,'Section 3 -&gt;'!$1:$1</definedName>
    <definedName name="Z_B6110306_7EDB_4112_9F29_7D9801D46B38_.wvu.Rows" localSheetId="21" hidden="1">'Section 4 -&gt;'!$2:$1048576,'Section 4 -&gt;'!$1:$1</definedName>
    <definedName name="Z_C2AA8589_53C1_4273_B7EE_5FA5323CA1F5_.wvu.FilterData" localSheetId="33" hidden="1">'PC list edited'!$A$1:$B$529</definedName>
    <definedName name="Z_C2AA8589_53C1_4273_B7EE_5FA5323CA1F5_.wvu.FilterData" localSheetId="35" hidden="1">Sewerage!$A$1:$G$30</definedName>
    <definedName name="Z_C2AA8589_53C1_4273_B7EE_5FA5323CA1F5_.wvu.FilterData" localSheetId="34" hidden="1">Water!$A$1:$R$25</definedName>
    <definedName name="Z_C652482F_DA5C_42AD_B6EE_268877F72B6E_.wvu.Cols" localSheetId="13" hidden="1">'2D'!$U:$XFD</definedName>
    <definedName name="Z_C652482F_DA5C_42AD_B6EE_268877F72B6E_.wvu.Cols" localSheetId="22" hidden="1">'4A'!$R:$XFD</definedName>
    <definedName name="Z_C652482F_DA5C_42AD_B6EE_268877F72B6E_.wvu.Cols" localSheetId="3" hidden="1">'Section 1 -&gt;'!$1:$1048576</definedName>
    <definedName name="Z_C652482F_DA5C_42AD_B6EE_268877F72B6E_.wvu.Cols" localSheetId="9" hidden="1">'Section 2 -&gt;'!$1:$1048576</definedName>
    <definedName name="Z_C652482F_DA5C_42AD_B6EE_268877F72B6E_.wvu.Cols" localSheetId="19" hidden="1">'Section 3 -&gt;'!$1:$1048576</definedName>
    <definedName name="Z_C652482F_DA5C_42AD_B6EE_268877F72B6E_.wvu.Cols" localSheetId="21" hidden="1">'Section 4 -&gt;'!$1:$1048576</definedName>
    <definedName name="Z_C652482F_DA5C_42AD_B6EE_268877F72B6E_.wvu.FilterData" localSheetId="33" hidden="1">'PC list edited'!$A$1:$B$529</definedName>
    <definedName name="Z_C652482F_DA5C_42AD_B6EE_268877F72B6E_.wvu.FilterData" localSheetId="35" hidden="1">Sewerage!$A$1:$G$30</definedName>
    <definedName name="Z_C652482F_DA5C_42AD_B6EE_268877F72B6E_.wvu.FilterData" localSheetId="34" hidden="1">Water!$A$1:$R$25</definedName>
    <definedName name="Z_C652482F_DA5C_42AD_B6EE_268877F72B6E_.wvu.Rows" localSheetId="10" hidden="1">'2A'!$95:$1048576,'2A'!$56:$94</definedName>
    <definedName name="Z_C652482F_DA5C_42AD_B6EE_268877F72B6E_.wvu.Rows" localSheetId="13" hidden="1">'2D'!$65:$1048576,'2D'!$44:$59</definedName>
    <definedName name="Z_C652482F_DA5C_42AD_B6EE_268877F72B6E_.wvu.Rows" localSheetId="22" hidden="1">'4A'!$65:$1048576</definedName>
    <definedName name="Z_C652482F_DA5C_42AD_B6EE_268877F72B6E_.wvu.Rows" localSheetId="3" hidden="1">'Section 1 -&gt;'!$36:$1048576,'Section 1 -&gt;'!$1:$35</definedName>
    <definedName name="Z_C652482F_DA5C_42AD_B6EE_268877F72B6E_.wvu.Rows" localSheetId="9" hidden="1">'Section 2 -&gt;'!$36:$1048576,'Section 2 -&gt;'!$1:$35</definedName>
    <definedName name="Z_C652482F_DA5C_42AD_B6EE_268877F72B6E_.wvu.Rows" localSheetId="19" hidden="1">'Section 3 -&gt;'!$36:$1048576,'Section 3 -&gt;'!$1:$35</definedName>
    <definedName name="Z_C652482F_DA5C_42AD_B6EE_268877F72B6E_.wvu.Rows" localSheetId="21" hidden="1">'Section 4 -&gt;'!$36:$1048576,'Section 4 -&gt;'!$1:$35</definedName>
    <definedName name="Z_FCCFC11C_78D7_49AB_93F6_D160FB23647D_.wvu.FilterData" localSheetId="33" hidden="1">'PC list edited'!$A$1:$B$529</definedName>
    <definedName name="Z_FCCFC11C_78D7_49AB_93F6_D160FB23647D_.wvu.FilterData" localSheetId="35" hidden="1">Sewerage!$A$1:$G$30</definedName>
    <definedName name="Z_FCCFC11C_78D7_49AB_93F6_D160FB23647D_.wvu.FilterData" localSheetId="34" hidden="1">Water!$A$1:$R$25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8" l="1"/>
  <c r="E27" i="18"/>
  <c r="D27" i="18"/>
  <c r="G29" i="19"/>
  <c r="E29" i="19"/>
  <c r="D29" i="19"/>
  <c r="H5" i="17"/>
  <c r="H10" i="17"/>
  <c r="H9" i="17"/>
  <c r="H8" i="17"/>
  <c r="H7" i="17"/>
  <c r="H6" i="17"/>
  <c r="L15" i="31"/>
  <c r="I15" i="31"/>
  <c r="G3" i="38"/>
  <c r="H3" i="38"/>
  <c r="B8" i="38"/>
  <c r="B9" i="38"/>
  <c r="B10" i="38"/>
  <c r="B11" i="38"/>
  <c r="B12" i="38"/>
  <c r="C14" i="38"/>
  <c r="D14" i="38"/>
  <c r="B15" i="38"/>
  <c r="B16" i="38"/>
  <c r="B17" i="38"/>
  <c r="B18" i="38"/>
  <c r="B19" i="38"/>
  <c r="B20" i="38"/>
  <c r="B21" i="38"/>
  <c r="B22" i="38"/>
  <c r="B23" i="38"/>
  <c r="B26" i="38"/>
  <c r="B29" i="38"/>
  <c r="B30" i="38"/>
  <c r="B31" i="38"/>
  <c r="B32" i="38"/>
  <c r="B33" i="38"/>
  <c r="B34" i="38"/>
  <c r="B35" i="38"/>
  <c r="B36" i="38"/>
  <c r="B37" i="38"/>
  <c r="Y11" i="29"/>
  <c r="Y7" i="29"/>
  <c r="Y10" i="29"/>
  <c r="V13" i="29"/>
  <c r="Y9" i="29"/>
  <c r="V11" i="29"/>
  <c r="Y13" i="29"/>
  <c r="Y8" i="29"/>
  <c r="V7" i="29"/>
  <c r="V9" i="29"/>
  <c r="V8" i="29"/>
  <c r="H13" i="19"/>
  <c r="H13" i="18"/>
  <c r="H6" i="18"/>
  <c r="AP57" i="34"/>
  <c r="AO57" i="34"/>
  <c r="AN57" i="34"/>
  <c r="AP56" i="34"/>
  <c r="AO56" i="34"/>
  <c r="AN56" i="34"/>
  <c r="AP55" i="34"/>
  <c r="AO55" i="34"/>
  <c r="AN55" i="34"/>
  <c r="AP54" i="34"/>
  <c r="AO54" i="34"/>
  <c r="AN54" i="34"/>
  <c r="AP53" i="34"/>
  <c r="AO53" i="34"/>
  <c r="AN53" i="34"/>
  <c r="AP52" i="34"/>
  <c r="AO52" i="34"/>
  <c r="AN52" i="34"/>
  <c r="AP51" i="34"/>
  <c r="AO51" i="34"/>
  <c r="AN51" i="34"/>
  <c r="AP50" i="34"/>
  <c r="AO50" i="34"/>
  <c r="AN50" i="34"/>
  <c r="AP49" i="34"/>
  <c r="AO49" i="34"/>
  <c r="AN49" i="34"/>
  <c r="AP48" i="34"/>
  <c r="AO48" i="34"/>
  <c r="AN48" i="34"/>
  <c r="AP47" i="34"/>
  <c r="AO47" i="34"/>
  <c r="AN47" i="34"/>
  <c r="AJ47" i="34"/>
  <c r="AI47" i="34"/>
  <c r="AH47" i="34"/>
  <c r="AP46" i="34"/>
  <c r="AO46" i="34"/>
  <c r="AN46" i="34"/>
  <c r="AJ46" i="34"/>
  <c r="AI46" i="34"/>
  <c r="AH46" i="34"/>
  <c r="O46" i="34"/>
  <c r="N46" i="34"/>
  <c r="M46" i="34"/>
  <c r="AP45" i="34"/>
  <c r="AO45" i="34"/>
  <c r="AN45" i="34"/>
  <c r="AJ45" i="34"/>
  <c r="AI45" i="34"/>
  <c r="AH45" i="34"/>
  <c r="O45" i="34"/>
  <c r="N45" i="34"/>
  <c r="M45" i="34"/>
  <c r="AP44" i="34"/>
  <c r="AO44" i="34"/>
  <c r="AN44" i="34"/>
  <c r="AM44" i="34"/>
  <c r="AL44" i="34"/>
  <c r="AK44" i="34"/>
  <c r="AJ44" i="34"/>
  <c r="AI44" i="34"/>
  <c r="AH44" i="34"/>
  <c r="O44" i="34"/>
  <c r="N44" i="34"/>
  <c r="M44" i="34"/>
  <c r="AP43" i="34"/>
  <c r="AO43" i="34"/>
  <c r="AN43" i="34"/>
  <c r="AM43" i="34"/>
  <c r="AL43" i="34"/>
  <c r="AK43" i="34"/>
  <c r="AJ43" i="34"/>
  <c r="AI43" i="34"/>
  <c r="AH43" i="34"/>
  <c r="O43" i="34"/>
  <c r="N43" i="34"/>
  <c r="M43" i="34"/>
  <c r="AP42" i="34"/>
  <c r="AO42" i="34"/>
  <c r="AN42" i="34"/>
  <c r="AM42" i="34"/>
  <c r="AL42" i="34"/>
  <c r="AK42" i="34"/>
  <c r="AJ42" i="34"/>
  <c r="AI42" i="34"/>
  <c r="AH42" i="34"/>
  <c r="O42" i="34"/>
  <c r="N42" i="34"/>
  <c r="M42" i="34"/>
  <c r="AP41" i="34"/>
  <c r="AO41" i="34"/>
  <c r="AN41" i="34"/>
  <c r="AM41" i="34"/>
  <c r="AL41" i="34"/>
  <c r="AK41" i="34"/>
  <c r="AJ41" i="34"/>
  <c r="AI41" i="34"/>
  <c r="AH41" i="34"/>
  <c r="O41" i="34"/>
  <c r="N41" i="34"/>
  <c r="M41" i="34"/>
  <c r="F41" i="34"/>
  <c r="E41" i="34"/>
  <c r="D41" i="34"/>
  <c r="AP40" i="34"/>
  <c r="AO40" i="34"/>
  <c r="AN40" i="34"/>
  <c r="AM40" i="34"/>
  <c r="AL40" i="34"/>
  <c r="AK40" i="34"/>
  <c r="AJ40" i="34"/>
  <c r="AI40" i="34"/>
  <c r="AH40" i="34"/>
  <c r="O40" i="34"/>
  <c r="N40" i="34"/>
  <c r="M40" i="34"/>
  <c r="F40" i="34"/>
  <c r="E40" i="34"/>
  <c r="D40" i="34"/>
  <c r="AP39" i="34"/>
  <c r="AO39" i="34"/>
  <c r="AN39" i="34"/>
  <c r="AM39" i="34"/>
  <c r="AL39" i="34"/>
  <c r="AK39" i="34"/>
  <c r="AJ39" i="34"/>
  <c r="AI39" i="34"/>
  <c r="AH39" i="34"/>
  <c r="O39" i="34"/>
  <c r="N39" i="34"/>
  <c r="M39" i="34"/>
  <c r="F39" i="34"/>
  <c r="E39" i="34"/>
  <c r="D39" i="34"/>
  <c r="AP38" i="34"/>
  <c r="AO38" i="34"/>
  <c r="AN38" i="34"/>
  <c r="AM38" i="34"/>
  <c r="AL38" i="34"/>
  <c r="AK38" i="34"/>
  <c r="AJ38" i="34"/>
  <c r="AI38" i="34"/>
  <c r="AH38" i="34"/>
  <c r="O38" i="34"/>
  <c r="N38" i="34"/>
  <c r="M38" i="34"/>
  <c r="F38" i="34"/>
  <c r="E38" i="34"/>
  <c r="D38" i="34"/>
  <c r="AP37" i="34"/>
  <c r="AO37" i="34"/>
  <c r="AN37" i="34"/>
  <c r="AM37" i="34"/>
  <c r="AL37" i="34"/>
  <c r="AK37" i="34"/>
  <c r="AJ37" i="34"/>
  <c r="AI37" i="34"/>
  <c r="AH37" i="34"/>
  <c r="O37" i="34"/>
  <c r="N37" i="34"/>
  <c r="M37" i="34"/>
  <c r="F37" i="34"/>
  <c r="E37" i="34"/>
  <c r="D37" i="34"/>
  <c r="BB36" i="34"/>
  <c r="BA36" i="34"/>
  <c r="AZ36" i="34"/>
  <c r="AP36" i="34"/>
  <c r="AO36" i="34"/>
  <c r="AN36" i="34"/>
  <c r="AM36" i="34"/>
  <c r="AL36" i="34"/>
  <c r="AK36" i="34"/>
  <c r="AJ36" i="34"/>
  <c r="AI36" i="34"/>
  <c r="AH36" i="34"/>
  <c r="AA36" i="34"/>
  <c r="Z36" i="34"/>
  <c r="Y36" i="34"/>
  <c r="O36" i="34"/>
  <c r="N36" i="34"/>
  <c r="M36" i="34"/>
  <c r="F36" i="34"/>
  <c r="E36" i="34"/>
  <c r="D36" i="34"/>
  <c r="BB35" i="34"/>
  <c r="BA35" i="34"/>
  <c r="AZ35" i="34"/>
  <c r="AP35" i="34"/>
  <c r="AO35" i="34"/>
  <c r="AN35" i="34"/>
  <c r="AM35" i="34"/>
  <c r="AL35" i="34"/>
  <c r="AK35" i="34"/>
  <c r="AJ35" i="34"/>
  <c r="AI35" i="34"/>
  <c r="AH35" i="34"/>
  <c r="AD35" i="34"/>
  <c r="AC35" i="34"/>
  <c r="AB35" i="34"/>
  <c r="AA35" i="34"/>
  <c r="Z35" i="34"/>
  <c r="Y35" i="34"/>
  <c r="O35" i="34"/>
  <c r="N35" i="34"/>
  <c r="M35" i="34"/>
  <c r="F35" i="34"/>
  <c r="E35" i="34"/>
  <c r="D35" i="34"/>
  <c r="BB34" i="34"/>
  <c r="BA34" i="34"/>
  <c r="AZ34" i="34"/>
  <c r="AY34" i="34"/>
  <c r="AX34" i="34"/>
  <c r="AW34" i="34"/>
  <c r="AP34" i="34"/>
  <c r="AO34" i="34"/>
  <c r="AN34" i="34"/>
  <c r="AM34" i="34"/>
  <c r="AL34" i="34"/>
  <c r="AK34" i="34"/>
  <c r="AJ34" i="34"/>
  <c r="AI34" i="34"/>
  <c r="AH34" i="34"/>
  <c r="AD34" i="34"/>
  <c r="AC34" i="34"/>
  <c r="AB34" i="34"/>
  <c r="AA34" i="34"/>
  <c r="Z34" i="34"/>
  <c r="Y34" i="34"/>
  <c r="O34" i="34"/>
  <c r="N34" i="34"/>
  <c r="M34" i="34"/>
  <c r="F34" i="34"/>
  <c r="E34" i="34"/>
  <c r="D34" i="34"/>
  <c r="BB33" i="34"/>
  <c r="BA33" i="34"/>
  <c r="AZ33" i="34"/>
  <c r="AY33" i="34"/>
  <c r="AX33" i="34"/>
  <c r="AW33" i="34"/>
  <c r="AV33" i="34"/>
  <c r="AU33" i="34"/>
  <c r="AT33" i="34"/>
  <c r="AP33" i="34"/>
  <c r="AO33" i="34"/>
  <c r="AN33" i="34"/>
  <c r="AM33" i="34"/>
  <c r="AL33" i="34"/>
  <c r="AK33" i="34"/>
  <c r="AJ33" i="34"/>
  <c r="AI33" i="34"/>
  <c r="AH33" i="34"/>
  <c r="AD33" i="34"/>
  <c r="AC33" i="34"/>
  <c r="AB33" i="34"/>
  <c r="AA33" i="34"/>
  <c r="Z33" i="34"/>
  <c r="Y33" i="34"/>
  <c r="O33" i="34"/>
  <c r="N33" i="34"/>
  <c r="M33" i="34"/>
  <c r="F33" i="34"/>
  <c r="E33" i="34"/>
  <c r="D33" i="34"/>
  <c r="BB32" i="34"/>
  <c r="BA32" i="34"/>
  <c r="AZ32" i="34"/>
  <c r="AY32" i="34"/>
  <c r="AX32" i="34"/>
  <c r="AW32" i="34"/>
  <c r="AV32" i="34"/>
  <c r="AU32" i="34"/>
  <c r="AT32" i="34"/>
  <c r="AP32" i="34"/>
  <c r="AO32" i="34"/>
  <c r="AN32" i="34"/>
  <c r="AM32" i="34"/>
  <c r="AL32" i="34"/>
  <c r="AK32" i="34"/>
  <c r="AJ32" i="34"/>
  <c r="AI32" i="34"/>
  <c r="AH32" i="34"/>
  <c r="AD32" i="34"/>
  <c r="AC32" i="34"/>
  <c r="AB32" i="34"/>
  <c r="AA32" i="34"/>
  <c r="Z32" i="34"/>
  <c r="Y32" i="34"/>
  <c r="O32" i="34"/>
  <c r="N32" i="34"/>
  <c r="M32" i="34"/>
  <c r="F32" i="34"/>
  <c r="E32" i="34"/>
  <c r="D32" i="34"/>
  <c r="BB31" i="34"/>
  <c r="BA31" i="34"/>
  <c r="AZ31" i="34"/>
  <c r="AY31" i="34"/>
  <c r="AX31" i="34"/>
  <c r="AW31" i="34"/>
  <c r="AV31" i="34"/>
  <c r="AU31" i="34"/>
  <c r="AT31" i="34"/>
  <c r="AP31" i="34"/>
  <c r="AO31" i="34"/>
  <c r="AN31" i="34"/>
  <c r="AM31" i="34"/>
  <c r="AL31" i="34"/>
  <c r="AK31" i="34"/>
  <c r="AJ31" i="34"/>
  <c r="AI31" i="34"/>
  <c r="AH31" i="34"/>
  <c r="AD31" i="34"/>
  <c r="AC31" i="34"/>
  <c r="AB31" i="34"/>
  <c r="AA31" i="34"/>
  <c r="Z31" i="34"/>
  <c r="Y31" i="34"/>
  <c r="O31" i="34"/>
  <c r="N31" i="34"/>
  <c r="M31" i="34"/>
  <c r="F31" i="34"/>
  <c r="E31" i="34"/>
  <c r="D31" i="34"/>
  <c r="BB30" i="34"/>
  <c r="BA30" i="34"/>
  <c r="AZ30" i="34"/>
  <c r="AY30" i="34"/>
  <c r="AX30" i="34"/>
  <c r="AW30" i="34"/>
  <c r="AV30" i="34"/>
  <c r="AU30" i="34"/>
  <c r="AT30" i="34"/>
  <c r="AP30" i="34"/>
  <c r="AO30" i="34"/>
  <c r="AN30" i="34"/>
  <c r="AM30" i="34"/>
  <c r="AL30" i="34"/>
  <c r="AK30" i="34"/>
  <c r="AJ30" i="34"/>
  <c r="AI30" i="34"/>
  <c r="AH30" i="34"/>
  <c r="AD30" i="34"/>
  <c r="AC30" i="34"/>
  <c r="AB30" i="34"/>
  <c r="AA30" i="34"/>
  <c r="Z30" i="34"/>
  <c r="Y30" i="34"/>
  <c r="O30" i="34"/>
  <c r="N30" i="34"/>
  <c r="M30" i="34"/>
  <c r="F30" i="34"/>
  <c r="E30" i="34"/>
  <c r="D30" i="34"/>
  <c r="BB29" i="34"/>
  <c r="BA29" i="34"/>
  <c r="AZ29" i="34"/>
  <c r="AY29" i="34"/>
  <c r="AX29" i="34"/>
  <c r="AW29" i="34"/>
  <c r="AV29" i="34"/>
  <c r="AU29" i="34"/>
  <c r="AT29" i="34"/>
  <c r="AS29" i="34"/>
  <c r="AR29" i="34"/>
  <c r="AQ29" i="34"/>
  <c r="AP29" i="34"/>
  <c r="AO29" i="34"/>
  <c r="AN29" i="34"/>
  <c r="AM29" i="34"/>
  <c r="AL29" i="34"/>
  <c r="AK29" i="34"/>
  <c r="AJ29" i="34"/>
  <c r="AI29" i="34"/>
  <c r="AH29" i="34"/>
  <c r="AD29" i="34"/>
  <c r="AC29" i="34"/>
  <c r="AB29" i="34"/>
  <c r="AA29" i="34"/>
  <c r="Z29" i="34"/>
  <c r="Y29" i="34"/>
  <c r="O29" i="34"/>
  <c r="N29" i="34"/>
  <c r="M29" i="34"/>
  <c r="F29" i="34"/>
  <c r="E29" i="34"/>
  <c r="D29" i="34"/>
  <c r="BB28" i="34"/>
  <c r="BA28" i="34"/>
  <c r="AZ28" i="34"/>
  <c r="AY28" i="34"/>
  <c r="AX28" i="34"/>
  <c r="AW28" i="34"/>
  <c r="AV28" i="34"/>
  <c r="AU28" i="34"/>
  <c r="AT28" i="34"/>
  <c r="AS28" i="34"/>
  <c r="AR28" i="34"/>
  <c r="AQ28" i="34"/>
  <c r="AP28" i="34"/>
  <c r="AO28" i="34"/>
  <c r="AN28" i="34"/>
  <c r="AM28" i="34"/>
  <c r="AL28" i="34"/>
  <c r="AK28" i="34"/>
  <c r="AJ28" i="34"/>
  <c r="AI28" i="34"/>
  <c r="AH28" i="34"/>
  <c r="AD28" i="34"/>
  <c r="AC28" i="34"/>
  <c r="AB28" i="34"/>
  <c r="AA28" i="34"/>
  <c r="Z28" i="34"/>
  <c r="Y28" i="34"/>
  <c r="O28" i="34"/>
  <c r="N28" i="34"/>
  <c r="M28" i="34"/>
  <c r="F28" i="34"/>
  <c r="E28" i="34"/>
  <c r="D28" i="34"/>
  <c r="BB27" i="34"/>
  <c r="BA27" i="34"/>
  <c r="AZ27" i="34"/>
  <c r="AY27" i="34"/>
  <c r="AX27" i="34"/>
  <c r="AW27" i="34"/>
  <c r="AV27" i="34"/>
  <c r="AU27" i="34"/>
  <c r="AT27" i="34"/>
  <c r="AS27" i="34"/>
  <c r="AR27" i="34"/>
  <c r="AQ27" i="34"/>
  <c r="AP27" i="34"/>
  <c r="AO27" i="34"/>
  <c r="AN27" i="34"/>
  <c r="AM27" i="34"/>
  <c r="AL27" i="34"/>
  <c r="AK27" i="34"/>
  <c r="AJ27" i="34"/>
  <c r="AI27" i="34"/>
  <c r="AH27" i="34"/>
  <c r="AD27" i="34"/>
  <c r="AC27" i="34"/>
  <c r="AB27" i="34"/>
  <c r="AA27" i="34"/>
  <c r="Z27" i="34"/>
  <c r="Y27" i="34"/>
  <c r="O27" i="34"/>
  <c r="N27" i="34"/>
  <c r="M27" i="34"/>
  <c r="F27" i="34"/>
  <c r="E27" i="34"/>
  <c r="D27" i="34"/>
  <c r="BB26" i="34"/>
  <c r="BA26" i="34"/>
  <c r="AZ26" i="34"/>
  <c r="AY26" i="34"/>
  <c r="AX26" i="34"/>
  <c r="AW26" i="34"/>
  <c r="AV26" i="34"/>
  <c r="AU26" i="34"/>
  <c r="AT26" i="34"/>
  <c r="AS26" i="34"/>
  <c r="AR26" i="34"/>
  <c r="AQ26" i="34"/>
  <c r="AP26" i="34"/>
  <c r="AO26" i="34"/>
  <c r="AN26" i="34"/>
  <c r="AM26" i="34"/>
  <c r="AL26" i="34"/>
  <c r="AK26" i="34"/>
  <c r="AJ26" i="34"/>
  <c r="AI26" i="34"/>
  <c r="AH26" i="34"/>
  <c r="AD26" i="34"/>
  <c r="AC26" i="34"/>
  <c r="AB26" i="34"/>
  <c r="AA26" i="34"/>
  <c r="Z26" i="34"/>
  <c r="Y26" i="34"/>
  <c r="O26" i="34"/>
  <c r="N26" i="34"/>
  <c r="M26" i="34"/>
  <c r="F26" i="34"/>
  <c r="E26" i="34"/>
  <c r="D26" i="34"/>
  <c r="BB25" i="34"/>
  <c r="BA25" i="34"/>
  <c r="AZ25" i="34"/>
  <c r="AY25" i="34"/>
  <c r="AX25" i="34"/>
  <c r="AW25" i="34"/>
  <c r="AV25" i="34"/>
  <c r="AU25" i="34"/>
  <c r="AT25" i="34"/>
  <c r="AS25" i="34"/>
  <c r="AR25" i="34"/>
  <c r="AQ25" i="34"/>
  <c r="AP25" i="34"/>
  <c r="AO25" i="34"/>
  <c r="AN25" i="34"/>
  <c r="AM25" i="34"/>
  <c r="AL25" i="34"/>
  <c r="AK25" i="34"/>
  <c r="AJ25" i="34"/>
  <c r="AI25" i="34"/>
  <c r="AH25" i="34"/>
  <c r="AD25" i="34"/>
  <c r="AC25" i="34"/>
  <c r="AB25" i="34"/>
  <c r="AA25" i="34"/>
  <c r="Z25" i="34"/>
  <c r="Y25" i="34"/>
  <c r="O25" i="34"/>
  <c r="N25" i="34"/>
  <c r="M25" i="34"/>
  <c r="F25" i="34"/>
  <c r="E25" i="34"/>
  <c r="D25" i="34"/>
  <c r="BB24" i="34"/>
  <c r="BA24" i="34"/>
  <c r="AZ24" i="34"/>
  <c r="AY24" i="34"/>
  <c r="AX24" i="34"/>
  <c r="AW24" i="34"/>
  <c r="AV24" i="34"/>
  <c r="AU24" i="34"/>
  <c r="AT24" i="34"/>
  <c r="AS24" i="34"/>
  <c r="AR24" i="34"/>
  <c r="AQ24" i="34"/>
  <c r="AP24" i="34"/>
  <c r="AO24" i="34"/>
  <c r="AN24" i="34"/>
  <c r="AM24" i="34"/>
  <c r="AL24" i="34"/>
  <c r="AK24" i="34"/>
  <c r="AJ24" i="34"/>
  <c r="AI24" i="34"/>
  <c r="AH24" i="34"/>
  <c r="AD24" i="34"/>
  <c r="AC24" i="34"/>
  <c r="AB24" i="34"/>
  <c r="AA24" i="34"/>
  <c r="Z24" i="34"/>
  <c r="Y24" i="34"/>
  <c r="O24" i="34"/>
  <c r="N24" i="34"/>
  <c r="M24" i="34"/>
  <c r="F24" i="34"/>
  <c r="E24" i="34"/>
  <c r="D24" i="34"/>
  <c r="BB23" i="34"/>
  <c r="BA23" i="34"/>
  <c r="AZ23" i="34"/>
  <c r="AY23" i="34"/>
  <c r="AX23" i="34"/>
  <c r="AW23" i="34"/>
  <c r="AV23" i="34"/>
  <c r="AU23" i="34"/>
  <c r="AT23" i="34"/>
  <c r="AS23" i="34"/>
  <c r="AR23" i="34"/>
  <c r="AQ23" i="34"/>
  <c r="AP23" i="34"/>
  <c r="AO23" i="34"/>
  <c r="AN23" i="34"/>
  <c r="AM23" i="34"/>
  <c r="AL23" i="34"/>
  <c r="AK23" i="34"/>
  <c r="AJ23" i="34"/>
  <c r="AI23" i="34"/>
  <c r="AH23" i="34"/>
  <c r="AD23" i="34"/>
  <c r="AC23" i="34"/>
  <c r="AB23" i="34"/>
  <c r="AA23" i="34"/>
  <c r="Z23" i="34"/>
  <c r="Y23" i="34"/>
  <c r="X23" i="34"/>
  <c r="W23" i="34"/>
  <c r="V23" i="34"/>
  <c r="O23" i="34"/>
  <c r="N23" i="34"/>
  <c r="M23" i="34"/>
  <c r="I23" i="34"/>
  <c r="H23" i="34"/>
  <c r="G23" i="34"/>
  <c r="F23" i="34"/>
  <c r="E23" i="34"/>
  <c r="D23" i="34"/>
  <c r="BB22" i="34"/>
  <c r="BA22" i="34"/>
  <c r="AZ22" i="34"/>
  <c r="AY22" i="34"/>
  <c r="AX22" i="34"/>
  <c r="AW22" i="34"/>
  <c r="AV22" i="34"/>
  <c r="AU22" i="34"/>
  <c r="AT22" i="34"/>
  <c r="AS22" i="34"/>
  <c r="AR22" i="34"/>
  <c r="AQ22" i="34"/>
  <c r="AP22" i="34"/>
  <c r="AO22" i="34"/>
  <c r="AN22" i="34"/>
  <c r="AM22" i="34"/>
  <c r="AL22" i="34"/>
  <c r="AK22" i="34"/>
  <c r="AJ22" i="34"/>
  <c r="AI22" i="34"/>
  <c r="AH22" i="34"/>
  <c r="AD22" i="34"/>
  <c r="AC22" i="34"/>
  <c r="AB22" i="34"/>
  <c r="AA22" i="34"/>
  <c r="Z22" i="34"/>
  <c r="Y22" i="34"/>
  <c r="X22" i="34"/>
  <c r="W22" i="34"/>
  <c r="V22" i="34"/>
  <c r="O22" i="34"/>
  <c r="N22" i="34"/>
  <c r="M22" i="34"/>
  <c r="I22" i="34"/>
  <c r="H22" i="34"/>
  <c r="G22" i="34"/>
  <c r="F22" i="34"/>
  <c r="E22" i="34"/>
  <c r="D22" i="34"/>
  <c r="BB21" i="34"/>
  <c r="BA21" i="34"/>
  <c r="AZ21" i="34"/>
  <c r="AY21" i="34"/>
  <c r="AX21" i="34"/>
  <c r="AW21" i="34"/>
  <c r="AV21" i="34"/>
  <c r="AU21" i="34"/>
  <c r="AT21" i="34"/>
  <c r="AS21" i="34"/>
  <c r="AR21" i="34"/>
  <c r="AQ21" i="34"/>
  <c r="AP21" i="34"/>
  <c r="AO21" i="34"/>
  <c r="AN21" i="34"/>
  <c r="AM21" i="34"/>
  <c r="AL21" i="34"/>
  <c r="AK21" i="34"/>
  <c r="AJ21" i="34"/>
  <c r="AI21" i="34"/>
  <c r="AH21" i="34"/>
  <c r="AD21" i="34"/>
  <c r="AC21" i="34"/>
  <c r="AB21" i="34"/>
  <c r="AA21" i="34"/>
  <c r="Z21" i="34"/>
  <c r="Y21" i="34"/>
  <c r="X21" i="34"/>
  <c r="W21" i="34"/>
  <c r="V21" i="34"/>
  <c r="O21" i="34"/>
  <c r="N21" i="34"/>
  <c r="M21" i="34"/>
  <c r="I21" i="34"/>
  <c r="H21" i="34"/>
  <c r="G21" i="34"/>
  <c r="F21" i="34"/>
  <c r="E21" i="34"/>
  <c r="D21" i="34"/>
  <c r="BB20" i="34"/>
  <c r="BA20" i="34"/>
  <c r="AZ20" i="34"/>
  <c r="AY20" i="34"/>
  <c r="AX20" i="34"/>
  <c r="AW20" i="34"/>
  <c r="AV20" i="34"/>
  <c r="AU20" i="34"/>
  <c r="AT20" i="34"/>
  <c r="AS20" i="34"/>
  <c r="AR20" i="34"/>
  <c r="AQ20" i="34"/>
  <c r="AP20" i="34"/>
  <c r="AO20" i="34"/>
  <c r="AN20" i="34"/>
  <c r="AM20" i="34"/>
  <c r="AL20" i="34"/>
  <c r="AK20" i="34"/>
  <c r="AJ20" i="34"/>
  <c r="AI20" i="34"/>
  <c r="AH20" i="34"/>
  <c r="AD20" i="34"/>
  <c r="AC20" i="34"/>
  <c r="AB20" i="34"/>
  <c r="AA20" i="34"/>
  <c r="Z20" i="34"/>
  <c r="Y20" i="34"/>
  <c r="X20" i="34"/>
  <c r="W20" i="34"/>
  <c r="V20" i="34"/>
  <c r="O20" i="34"/>
  <c r="N20" i="34"/>
  <c r="M20" i="34"/>
  <c r="I20" i="34"/>
  <c r="H20" i="34"/>
  <c r="G20" i="34"/>
  <c r="F20" i="34"/>
  <c r="E20" i="34"/>
  <c r="D20" i="34"/>
  <c r="BB19" i="34"/>
  <c r="BA19" i="34"/>
  <c r="AZ19" i="34"/>
  <c r="AY19" i="34"/>
  <c r="AX19" i="34"/>
  <c r="AW19" i="34"/>
  <c r="AV19" i="34"/>
  <c r="AU19" i="34"/>
  <c r="AT19" i="34"/>
  <c r="AS19" i="34"/>
  <c r="AR19" i="34"/>
  <c r="AQ19" i="34"/>
  <c r="AP19" i="34"/>
  <c r="AO19" i="34"/>
  <c r="AN19" i="34"/>
  <c r="AM19" i="34"/>
  <c r="AL19" i="34"/>
  <c r="AK19" i="34"/>
  <c r="AJ19" i="34"/>
  <c r="AI19" i="34"/>
  <c r="AH19" i="34"/>
  <c r="AD19" i="34"/>
  <c r="AC19" i="34"/>
  <c r="AB19" i="34"/>
  <c r="AA19" i="34"/>
  <c r="Z19" i="34"/>
  <c r="Y19" i="34"/>
  <c r="X19" i="34"/>
  <c r="W19" i="34"/>
  <c r="V19" i="34"/>
  <c r="O19" i="34"/>
  <c r="N19" i="34"/>
  <c r="M19" i="34"/>
  <c r="I19" i="34"/>
  <c r="H19" i="34"/>
  <c r="G19" i="34"/>
  <c r="F19" i="34"/>
  <c r="E19" i="34"/>
  <c r="D19" i="34"/>
  <c r="BB18" i="34"/>
  <c r="BA18" i="34"/>
  <c r="AZ18" i="34"/>
  <c r="AY18" i="34"/>
  <c r="AX18" i="34"/>
  <c r="AW18" i="34"/>
  <c r="AV18" i="34"/>
  <c r="AU18" i="34"/>
  <c r="AT18" i="34"/>
  <c r="AS18" i="34"/>
  <c r="AR18" i="34"/>
  <c r="AQ18" i="34"/>
  <c r="AP18" i="34"/>
  <c r="AO18" i="34"/>
  <c r="AN18" i="34"/>
  <c r="AM18" i="34"/>
  <c r="AL18" i="34"/>
  <c r="AK18" i="34"/>
  <c r="AJ18" i="34"/>
  <c r="AI18" i="34"/>
  <c r="AH18" i="34"/>
  <c r="AD18" i="34"/>
  <c r="AC18" i="34"/>
  <c r="AB18" i="34"/>
  <c r="AA18" i="34"/>
  <c r="Z18" i="34"/>
  <c r="Y18" i="34"/>
  <c r="X18" i="34"/>
  <c r="W18" i="34"/>
  <c r="V18" i="34"/>
  <c r="O18" i="34"/>
  <c r="N18" i="34"/>
  <c r="M18" i="34"/>
  <c r="I18" i="34"/>
  <c r="H18" i="34"/>
  <c r="G18" i="34"/>
  <c r="F18" i="34"/>
  <c r="E18" i="34"/>
  <c r="D18" i="34"/>
  <c r="BB17" i="34"/>
  <c r="BA17" i="34"/>
  <c r="AZ17" i="34"/>
  <c r="AY17" i="34"/>
  <c r="AX17" i="34"/>
  <c r="AW17" i="34"/>
  <c r="AV17" i="34"/>
  <c r="AU17" i="34"/>
  <c r="AT17" i="34"/>
  <c r="AS17" i="34"/>
  <c r="AR17" i="34"/>
  <c r="AQ17" i="34"/>
  <c r="AP17" i="34"/>
  <c r="AO17" i="34"/>
  <c r="AN17" i="34"/>
  <c r="AM17" i="34"/>
  <c r="AL17" i="34"/>
  <c r="AK17" i="34"/>
  <c r="AJ17" i="34"/>
  <c r="AI17" i="34"/>
  <c r="AH17" i="34"/>
  <c r="AG17" i="34"/>
  <c r="AF17" i="34"/>
  <c r="AE17" i="34"/>
  <c r="AD17" i="34"/>
  <c r="AC17" i="34"/>
  <c r="AB17" i="34"/>
  <c r="AA17" i="34"/>
  <c r="Z17" i="34"/>
  <c r="Y17" i="34"/>
  <c r="X17" i="34"/>
  <c r="W17" i="34"/>
  <c r="V17" i="34"/>
  <c r="U17" i="34"/>
  <c r="T17" i="34"/>
  <c r="S17" i="34"/>
  <c r="O17" i="34"/>
  <c r="N17" i="34"/>
  <c r="M17" i="34"/>
  <c r="I17" i="34"/>
  <c r="H17" i="34"/>
  <c r="G17" i="34"/>
  <c r="F17" i="34"/>
  <c r="E17" i="34"/>
  <c r="D17" i="34"/>
  <c r="BB16" i="34"/>
  <c r="BA16" i="34"/>
  <c r="AZ16" i="34"/>
  <c r="AY16" i="34"/>
  <c r="AX16" i="34"/>
  <c r="AW16" i="34"/>
  <c r="AV16" i="34"/>
  <c r="AU16" i="34"/>
  <c r="AT16" i="34"/>
  <c r="AS16" i="34"/>
  <c r="AR16" i="34"/>
  <c r="AQ16" i="34"/>
  <c r="AP16" i="34"/>
  <c r="AO16" i="34"/>
  <c r="AN16" i="34"/>
  <c r="AM16" i="34"/>
  <c r="AL16" i="34"/>
  <c r="AK16" i="34"/>
  <c r="AJ16" i="34"/>
  <c r="AI16" i="34"/>
  <c r="AH16" i="34"/>
  <c r="AG16" i="34"/>
  <c r="AF16" i="34"/>
  <c r="AE16" i="34"/>
  <c r="AD16" i="34"/>
  <c r="AC16" i="34"/>
  <c r="AB16" i="34"/>
  <c r="AA16" i="34"/>
  <c r="Z16" i="34"/>
  <c r="Y16" i="34"/>
  <c r="X16" i="34"/>
  <c r="W16" i="34"/>
  <c r="V16" i="34"/>
  <c r="U16" i="34"/>
  <c r="T16" i="34"/>
  <c r="S16" i="34"/>
  <c r="O16" i="34"/>
  <c r="N16" i="34"/>
  <c r="M16" i="34"/>
  <c r="I16" i="34"/>
  <c r="H16" i="34"/>
  <c r="G16" i="34"/>
  <c r="F16" i="34"/>
  <c r="E16" i="34"/>
  <c r="D16" i="34"/>
  <c r="BB15" i="34"/>
  <c r="BA15" i="34"/>
  <c r="AZ15" i="34"/>
  <c r="AY15" i="34"/>
  <c r="AX15" i="34"/>
  <c r="AW15" i="34"/>
  <c r="AV15" i="34"/>
  <c r="AU15" i="34"/>
  <c r="AT15" i="34"/>
  <c r="AS15" i="34"/>
  <c r="AR15" i="34"/>
  <c r="AQ15" i="34"/>
  <c r="AP15" i="34"/>
  <c r="AO15" i="34"/>
  <c r="AN15" i="34"/>
  <c r="AM15" i="34"/>
  <c r="AL15" i="34"/>
  <c r="AK15" i="34"/>
  <c r="AJ15" i="34"/>
  <c r="AI15" i="34"/>
  <c r="AH15" i="34"/>
  <c r="AG15" i="34"/>
  <c r="AF15" i="34"/>
  <c r="AE15" i="34"/>
  <c r="AD15" i="34"/>
  <c r="AC15" i="34"/>
  <c r="AB15" i="34"/>
  <c r="AA15" i="34"/>
  <c r="Z15" i="34"/>
  <c r="Y15" i="34"/>
  <c r="X15" i="34"/>
  <c r="W15" i="34"/>
  <c r="V15" i="34"/>
  <c r="U15" i="34"/>
  <c r="T15" i="34"/>
  <c r="S15" i="34"/>
  <c r="R15" i="34"/>
  <c r="Q15" i="34"/>
  <c r="P15" i="34"/>
  <c r="O15" i="34"/>
  <c r="N15" i="34"/>
  <c r="M15" i="34"/>
  <c r="L15" i="34"/>
  <c r="K15" i="34"/>
  <c r="J15" i="34"/>
  <c r="I15" i="34"/>
  <c r="H15" i="34"/>
  <c r="G15" i="34"/>
  <c r="F15" i="34"/>
  <c r="E15" i="34"/>
  <c r="D15" i="34"/>
  <c r="C15" i="34"/>
  <c r="B15" i="34"/>
  <c r="A15" i="34"/>
  <c r="BB14" i="34"/>
  <c r="BA14" i="34"/>
  <c r="AZ14" i="34"/>
  <c r="AY14" i="34"/>
  <c r="AX14" i="34"/>
  <c r="AW14" i="34"/>
  <c r="AV14" i="34"/>
  <c r="AU14" i="34"/>
  <c r="AT14" i="34"/>
  <c r="AS14" i="34"/>
  <c r="AR14" i="34"/>
  <c r="AQ14" i="34"/>
  <c r="AP14" i="34"/>
  <c r="AO14" i="34"/>
  <c r="AN14" i="34"/>
  <c r="AM14" i="34"/>
  <c r="AL14" i="34"/>
  <c r="AK14" i="34"/>
  <c r="AJ14" i="34"/>
  <c r="AI14" i="34"/>
  <c r="AH14" i="34"/>
  <c r="AG14" i="34"/>
  <c r="AF14" i="34"/>
  <c r="AE14" i="34"/>
  <c r="AD14" i="34"/>
  <c r="AC14" i="34"/>
  <c r="AB14" i="34"/>
  <c r="AA14" i="34"/>
  <c r="Z14" i="34"/>
  <c r="Y14" i="34"/>
  <c r="X14" i="34"/>
  <c r="W14" i="34"/>
  <c r="V14" i="34"/>
  <c r="U14" i="34"/>
  <c r="T14" i="34"/>
  <c r="S14" i="34"/>
  <c r="R14" i="34"/>
  <c r="Q14" i="34"/>
  <c r="P14" i="34"/>
  <c r="O14" i="34"/>
  <c r="N14" i="34"/>
  <c r="M14" i="34"/>
  <c r="L14" i="34"/>
  <c r="K14" i="34"/>
  <c r="J14" i="34"/>
  <c r="I14" i="34"/>
  <c r="H14" i="34"/>
  <c r="G14" i="34"/>
  <c r="F14" i="34"/>
  <c r="E14" i="34"/>
  <c r="D14" i="34"/>
  <c r="C14" i="34"/>
  <c r="B14" i="34"/>
  <c r="A14" i="34"/>
  <c r="BB13" i="34"/>
  <c r="BA13" i="34"/>
  <c r="AZ13" i="34"/>
  <c r="AY13" i="34"/>
  <c r="AX13" i="34"/>
  <c r="AW13" i="34"/>
  <c r="AV13" i="34"/>
  <c r="AU13" i="34"/>
  <c r="AT13" i="34"/>
  <c r="AS13" i="34"/>
  <c r="AR13" i="34"/>
  <c r="AQ13" i="34"/>
  <c r="AP13" i="34"/>
  <c r="AO13" i="34"/>
  <c r="AN13" i="34"/>
  <c r="AM13" i="34"/>
  <c r="AL13" i="34"/>
  <c r="AK13" i="34"/>
  <c r="AJ13" i="34"/>
  <c r="AI13" i="34"/>
  <c r="AH13" i="34"/>
  <c r="AG13" i="34"/>
  <c r="AF13" i="34"/>
  <c r="AE13" i="34"/>
  <c r="AD13" i="34"/>
  <c r="AC13" i="34"/>
  <c r="AB13" i="34"/>
  <c r="AA13" i="34"/>
  <c r="Z13" i="34"/>
  <c r="Y13" i="34"/>
  <c r="X13" i="34"/>
  <c r="W13" i="34"/>
  <c r="V13" i="34"/>
  <c r="U13" i="34"/>
  <c r="T13" i="34"/>
  <c r="S13" i="34"/>
  <c r="R13" i="34"/>
  <c r="Q13" i="34"/>
  <c r="P13" i="34"/>
  <c r="O13" i="34"/>
  <c r="N13" i="34"/>
  <c r="M13" i="34"/>
  <c r="L13" i="34"/>
  <c r="K13" i="34"/>
  <c r="J13" i="34"/>
  <c r="I13" i="34"/>
  <c r="H13" i="34"/>
  <c r="G13" i="34"/>
  <c r="F13" i="34"/>
  <c r="E13" i="34"/>
  <c r="D13" i="34"/>
  <c r="C13" i="34"/>
  <c r="B13" i="34"/>
  <c r="A13" i="34"/>
  <c r="BB12" i="34"/>
  <c r="BA12" i="34"/>
  <c r="AZ12" i="34"/>
  <c r="AY12" i="34"/>
  <c r="AX12" i="34"/>
  <c r="AW12" i="34"/>
  <c r="AV12" i="34"/>
  <c r="AU12" i="34"/>
  <c r="AT12" i="34"/>
  <c r="AS12" i="34"/>
  <c r="AR12" i="34"/>
  <c r="AQ12" i="34"/>
  <c r="AP12" i="34"/>
  <c r="AO12" i="34"/>
  <c r="AN12" i="34"/>
  <c r="AM12" i="34"/>
  <c r="AL12" i="34"/>
  <c r="AK12" i="34"/>
  <c r="AJ12" i="34"/>
  <c r="AI12" i="34"/>
  <c r="AH12" i="34"/>
  <c r="AG12" i="34"/>
  <c r="AF12" i="34"/>
  <c r="AE12" i="34"/>
  <c r="AD12" i="34"/>
  <c r="AC12" i="34"/>
  <c r="AB12" i="34"/>
  <c r="AA12" i="34"/>
  <c r="Z12" i="34"/>
  <c r="Y12" i="34"/>
  <c r="X12" i="34"/>
  <c r="W12" i="34"/>
  <c r="V12" i="34"/>
  <c r="U12" i="34"/>
  <c r="T12" i="34"/>
  <c r="S12" i="34"/>
  <c r="R12" i="34"/>
  <c r="Q12" i="34"/>
  <c r="P12" i="34"/>
  <c r="O12" i="34"/>
  <c r="N12" i="34"/>
  <c r="M12" i="34"/>
  <c r="L12" i="34"/>
  <c r="K12" i="34"/>
  <c r="J12" i="34"/>
  <c r="I12" i="34"/>
  <c r="H12" i="34"/>
  <c r="G12" i="34"/>
  <c r="F12" i="34"/>
  <c r="E12" i="34"/>
  <c r="D12" i="34"/>
  <c r="C12" i="34"/>
  <c r="B12" i="34"/>
  <c r="A12" i="34"/>
  <c r="BB11" i="34"/>
  <c r="BA11" i="34"/>
  <c r="AZ11" i="34"/>
  <c r="AY11" i="34"/>
  <c r="AX11" i="34"/>
  <c r="AW11" i="34"/>
  <c r="AV11" i="34"/>
  <c r="AU11" i="34"/>
  <c r="AT11" i="34"/>
  <c r="AS11" i="34"/>
  <c r="AR11" i="34"/>
  <c r="AQ11" i="34"/>
  <c r="AP11" i="34"/>
  <c r="AO11" i="34"/>
  <c r="AN11" i="34"/>
  <c r="AM11" i="34"/>
  <c r="AL11" i="34"/>
  <c r="AK11" i="34"/>
  <c r="AJ11" i="34"/>
  <c r="AI11" i="34"/>
  <c r="AH11" i="34"/>
  <c r="AG11" i="34"/>
  <c r="AF11" i="34"/>
  <c r="AE11" i="34"/>
  <c r="AD11" i="34"/>
  <c r="AC11" i="34"/>
  <c r="AB11" i="34"/>
  <c r="AA11" i="34"/>
  <c r="Z11" i="34"/>
  <c r="Y11" i="34"/>
  <c r="X11" i="34"/>
  <c r="W11" i="34"/>
  <c r="V11" i="34"/>
  <c r="U11" i="34"/>
  <c r="T11" i="34"/>
  <c r="S11" i="34"/>
  <c r="R11" i="34"/>
  <c r="Q11" i="34"/>
  <c r="P11" i="34"/>
  <c r="O11" i="34"/>
  <c r="N11" i="34"/>
  <c r="M11" i="34"/>
  <c r="L11" i="34"/>
  <c r="K11" i="34"/>
  <c r="J11" i="34"/>
  <c r="I11" i="34"/>
  <c r="H11" i="34"/>
  <c r="G11" i="34"/>
  <c r="F11" i="34"/>
  <c r="E11" i="34"/>
  <c r="D11" i="34"/>
  <c r="C11" i="34"/>
  <c r="B11" i="34"/>
  <c r="A11" i="34"/>
  <c r="BB10" i="34"/>
  <c r="BA10" i="34"/>
  <c r="AZ10" i="34"/>
  <c r="AY10" i="34"/>
  <c r="AX10" i="34"/>
  <c r="AW10" i="34"/>
  <c r="AV10" i="34"/>
  <c r="AU10" i="34"/>
  <c r="AT10" i="34"/>
  <c r="AS10" i="34"/>
  <c r="AR10" i="34"/>
  <c r="AQ10" i="34"/>
  <c r="AP10" i="34"/>
  <c r="AO10" i="34"/>
  <c r="AN10" i="34"/>
  <c r="AM10" i="34"/>
  <c r="AL10" i="34"/>
  <c r="AK10" i="34"/>
  <c r="AJ10" i="34"/>
  <c r="AI10" i="34"/>
  <c r="AH10" i="34"/>
  <c r="AG10" i="34"/>
  <c r="AF10" i="34"/>
  <c r="AE10" i="34"/>
  <c r="AD10" i="34"/>
  <c r="AC10" i="34"/>
  <c r="AB10" i="34"/>
  <c r="AA10" i="34"/>
  <c r="Z10" i="34"/>
  <c r="Y10" i="34"/>
  <c r="X10" i="34"/>
  <c r="W10" i="34"/>
  <c r="V10" i="34"/>
  <c r="U10" i="34"/>
  <c r="T10" i="34"/>
  <c r="S10" i="34"/>
  <c r="R10" i="34"/>
  <c r="Q10" i="34"/>
  <c r="P10" i="34"/>
  <c r="O10" i="34"/>
  <c r="N10" i="34"/>
  <c r="M10" i="34"/>
  <c r="L10" i="34"/>
  <c r="K10" i="34"/>
  <c r="J10" i="34"/>
  <c r="I10" i="34"/>
  <c r="H10" i="34"/>
  <c r="G10" i="34"/>
  <c r="F10" i="34"/>
  <c r="E10" i="34"/>
  <c r="D10" i="34"/>
  <c r="C10" i="34"/>
  <c r="B10" i="34"/>
  <c r="A10" i="34"/>
  <c r="BB9" i="34"/>
  <c r="BA9" i="34"/>
  <c r="AZ9" i="34"/>
  <c r="AY9" i="34"/>
  <c r="AX9" i="34"/>
  <c r="AW9" i="34"/>
  <c r="AV9" i="34"/>
  <c r="AU9" i="34"/>
  <c r="AT9" i="34"/>
  <c r="AS9" i="34"/>
  <c r="AR9" i="34"/>
  <c r="AQ9" i="34"/>
  <c r="AP9" i="34"/>
  <c r="AO9" i="34"/>
  <c r="AN9" i="34"/>
  <c r="AM9" i="34"/>
  <c r="AL9" i="34"/>
  <c r="AK9" i="34"/>
  <c r="AJ9" i="34"/>
  <c r="AI9" i="34"/>
  <c r="AH9" i="34"/>
  <c r="AG9" i="34"/>
  <c r="AF9" i="34"/>
  <c r="AE9" i="34"/>
  <c r="AD9" i="34"/>
  <c r="AC9" i="34"/>
  <c r="AB9" i="34"/>
  <c r="AA9" i="34"/>
  <c r="Z9" i="34"/>
  <c r="Y9" i="34"/>
  <c r="X9" i="34"/>
  <c r="W9" i="34"/>
  <c r="V9" i="34"/>
  <c r="U9" i="34"/>
  <c r="T9" i="34"/>
  <c r="S9" i="34"/>
  <c r="R9" i="34"/>
  <c r="Q9" i="34"/>
  <c r="P9" i="34"/>
  <c r="O9" i="34"/>
  <c r="N9" i="34"/>
  <c r="M9" i="34"/>
  <c r="L9" i="34"/>
  <c r="K9" i="34"/>
  <c r="J9" i="34"/>
  <c r="I9" i="34"/>
  <c r="H9" i="34"/>
  <c r="G9" i="34"/>
  <c r="F9" i="34"/>
  <c r="E9" i="34"/>
  <c r="D9" i="34"/>
  <c r="C9" i="34"/>
  <c r="B9" i="34"/>
  <c r="A9" i="34"/>
  <c r="BB8" i="34"/>
  <c r="BA8" i="34"/>
  <c r="AZ8" i="34"/>
  <c r="AY8" i="34"/>
  <c r="AX8" i="34"/>
  <c r="AW8" i="34"/>
  <c r="AV8" i="34"/>
  <c r="AU8" i="34"/>
  <c r="AT8" i="34"/>
  <c r="AS8" i="34"/>
  <c r="AR8" i="34"/>
  <c r="AQ8" i="34"/>
  <c r="AP8" i="34"/>
  <c r="AO8" i="34"/>
  <c r="AN8" i="34"/>
  <c r="AM8" i="34"/>
  <c r="AL8" i="34"/>
  <c r="AK8" i="34"/>
  <c r="AJ8" i="34"/>
  <c r="AI8" i="34"/>
  <c r="AH8" i="34"/>
  <c r="AG8" i="34"/>
  <c r="AF8" i="34"/>
  <c r="AE8" i="34"/>
  <c r="AD8" i="34"/>
  <c r="AC8" i="34"/>
  <c r="AB8" i="34"/>
  <c r="AA8" i="34"/>
  <c r="Z8" i="34"/>
  <c r="Y8" i="34"/>
  <c r="X8" i="34"/>
  <c r="W8" i="34"/>
  <c r="V8" i="34"/>
  <c r="U8" i="34"/>
  <c r="T8" i="34"/>
  <c r="S8" i="34"/>
  <c r="R8" i="34"/>
  <c r="Q8" i="34"/>
  <c r="P8" i="34"/>
  <c r="O8" i="34"/>
  <c r="N8" i="34"/>
  <c r="M8" i="34"/>
  <c r="L8" i="34"/>
  <c r="K8" i="34"/>
  <c r="J8" i="34"/>
  <c r="I8" i="34"/>
  <c r="H8" i="34"/>
  <c r="G8" i="34"/>
  <c r="F8" i="34"/>
  <c r="E8" i="34"/>
  <c r="D8" i="34"/>
  <c r="C8" i="34"/>
  <c r="B8" i="34"/>
  <c r="A8" i="34"/>
  <c r="BB7" i="34"/>
  <c r="BA7" i="34"/>
  <c r="AZ7" i="34"/>
  <c r="AY7" i="34"/>
  <c r="AX7" i="34"/>
  <c r="AW7" i="34"/>
  <c r="AV7" i="34"/>
  <c r="AU7" i="34"/>
  <c r="AT7" i="34"/>
  <c r="AS7" i="34"/>
  <c r="AR7" i="34"/>
  <c r="AQ7" i="34"/>
  <c r="AP7" i="34"/>
  <c r="AO7" i="34"/>
  <c r="AN7" i="34"/>
  <c r="AM7" i="34"/>
  <c r="AL7" i="34"/>
  <c r="AK7" i="34"/>
  <c r="AJ7" i="34"/>
  <c r="AI7" i="34"/>
  <c r="AH7" i="34"/>
  <c r="AG7" i="34"/>
  <c r="AF7" i="34"/>
  <c r="AE7" i="34"/>
  <c r="AD7" i="34"/>
  <c r="AC7" i="34"/>
  <c r="AB7" i="34"/>
  <c r="AA7" i="34"/>
  <c r="Z7" i="34"/>
  <c r="Y7" i="34"/>
  <c r="X7" i="34"/>
  <c r="W7" i="34"/>
  <c r="V7" i="34"/>
  <c r="U7" i="34"/>
  <c r="T7" i="34"/>
  <c r="S7" i="34"/>
  <c r="R7" i="34"/>
  <c r="Q7" i="34"/>
  <c r="P7" i="34"/>
  <c r="O7" i="34"/>
  <c r="N7" i="34"/>
  <c r="M7" i="34"/>
  <c r="L7" i="34"/>
  <c r="K7" i="34"/>
  <c r="J7" i="34"/>
  <c r="I7" i="34"/>
  <c r="H7" i="34"/>
  <c r="G7" i="34"/>
  <c r="F7" i="34"/>
  <c r="E7" i="34"/>
  <c r="D7" i="34"/>
  <c r="C7" i="34"/>
  <c r="B7" i="34"/>
  <c r="A7" i="34"/>
  <c r="BB6" i="34"/>
  <c r="BA6" i="34"/>
  <c r="AZ6" i="34"/>
  <c r="AY6" i="34"/>
  <c r="AX6" i="34"/>
  <c r="AW6" i="34"/>
  <c r="AV6" i="34"/>
  <c r="AU6" i="34"/>
  <c r="AT6" i="34"/>
  <c r="AS6" i="34"/>
  <c r="AR6" i="34"/>
  <c r="AQ6" i="34"/>
  <c r="AP6" i="34"/>
  <c r="AO6" i="34"/>
  <c r="AN6" i="34"/>
  <c r="AM6" i="34"/>
  <c r="AL6" i="34"/>
  <c r="AK6" i="34"/>
  <c r="AJ6" i="34"/>
  <c r="AI6" i="34"/>
  <c r="AH6" i="34"/>
  <c r="AG6" i="34"/>
  <c r="AF6" i="34"/>
  <c r="AE6" i="34"/>
  <c r="AD6" i="34"/>
  <c r="AC6" i="34"/>
  <c r="AB6" i="34"/>
  <c r="AA6" i="34"/>
  <c r="Z6" i="34"/>
  <c r="Y6" i="34"/>
  <c r="X6" i="34"/>
  <c r="W6" i="34"/>
  <c r="V6" i="34"/>
  <c r="U6" i="34"/>
  <c r="T6" i="34"/>
  <c r="S6" i="34"/>
  <c r="R6" i="34"/>
  <c r="Q6" i="34"/>
  <c r="P6" i="34"/>
  <c r="O6" i="34"/>
  <c r="N6" i="34"/>
  <c r="M6" i="34"/>
  <c r="L6" i="34"/>
  <c r="K6" i="34"/>
  <c r="J6" i="34"/>
  <c r="I6" i="34"/>
  <c r="H6" i="34"/>
  <c r="G6" i="34"/>
  <c r="F6" i="34"/>
  <c r="E6" i="34"/>
  <c r="D6" i="34"/>
  <c r="C6" i="34"/>
  <c r="B6" i="34"/>
  <c r="A6" i="34"/>
  <c r="BB5" i="34"/>
  <c r="BA5" i="34"/>
  <c r="AZ5" i="34"/>
  <c r="AY5" i="34"/>
  <c r="AX5" i="34"/>
  <c r="AW5" i="34"/>
  <c r="AV5" i="34"/>
  <c r="AU5" i="34"/>
  <c r="AT5" i="34"/>
  <c r="AS5" i="34"/>
  <c r="AR5" i="34"/>
  <c r="AQ5" i="34"/>
  <c r="AP5" i="34"/>
  <c r="AO5" i="34"/>
  <c r="AN5" i="34"/>
  <c r="AM5" i="34"/>
  <c r="AL5" i="34"/>
  <c r="AK5" i="34"/>
  <c r="AJ5" i="34"/>
  <c r="AI5" i="34"/>
  <c r="AH5" i="34"/>
  <c r="AG5" i="34"/>
  <c r="AF5" i="34"/>
  <c r="AE5" i="34"/>
  <c r="AD5" i="34"/>
  <c r="AC5" i="34"/>
  <c r="AB5" i="34"/>
  <c r="AA5" i="34"/>
  <c r="Z5" i="34"/>
  <c r="Y5" i="34"/>
  <c r="X5" i="34"/>
  <c r="W5" i="34"/>
  <c r="V5" i="34"/>
  <c r="U5" i="34"/>
  <c r="T5" i="34"/>
  <c r="S5" i="34"/>
  <c r="R5" i="34"/>
  <c r="Q5" i="34"/>
  <c r="P5" i="34"/>
  <c r="O5" i="34"/>
  <c r="N5" i="34"/>
  <c r="M5" i="34"/>
  <c r="L5" i="34"/>
  <c r="K5" i="34"/>
  <c r="J5" i="34"/>
  <c r="I5" i="34"/>
  <c r="H5" i="34"/>
  <c r="G5" i="34"/>
  <c r="F5" i="34"/>
  <c r="E5" i="34"/>
  <c r="D5" i="34"/>
  <c r="C5" i="34"/>
  <c r="B5" i="34"/>
  <c r="A5" i="34"/>
  <c r="BB4" i="34"/>
  <c r="BA4" i="34"/>
  <c r="AZ4" i="34"/>
  <c r="AY4" i="34"/>
  <c r="AX4" i="34"/>
  <c r="AW4" i="34"/>
  <c r="AV4" i="34"/>
  <c r="AU4" i="34"/>
  <c r="AT4" i="34"/>
  <c r="AS4" i="34"/>
  <c r="AR4" i="34"/>
  <c r="AQ4" i="34"/>
  <c r="AP4" i="34"/>
  <c r="AO4" i="34"/>
  <c r="AN4" i="34"/>
  <c r="AM4" i="34"/>
  <c r="AL4" i="34"/>
  <c r="AK4" i="34"/>
  <c r="AJ4" i="34"/>
  <c r="AI4" i="34"/>
  <c r="AH4" i="34"/>
  <c r="AG4" i="34"/>
  <c r="AF4" i="34"/>
  <c r="AE4" i="34"/>
  <c r="AD4" i="34"/>
  <c r="AC4" i="34"/>
  <c r="AB4" i="34"/>
  <c r="AA4" i="34"/>
  <c r="Z4" i="34"/>
  <c r="Y4" i="34"/>
  <c r="X4" i="34"/>
  <c r="W4" i="34"/>
  <c r="V4" i="34"/>
  <c r="U4" i="34"/>
  <c r="T4" i="34"/>
  <c r="S4" i="34"/>
  <c r="R4" i="34"/>
  <c r="Q4" i="34"/>
  <c r="P4" i="34"/>
  <c r="O4" i="34"/>
  <c r="N4" i="34"/>
  <c r="M4" i="34"/>
  <c r="L4" i="34"/>
  <c r="K4" i="34"/>
  <c r="J4" i="34"/>
  <c r="I4" i="34"/>
  <c r="H4" i="34"/>
  <c r="G4" i="34"/>
  <c r="F4" i="34"/>
  <c r="E4" i="34"/>
  <c r="D4" i="34"/>
  <c r="C4" i="34"/>
  <c r="B4" i="34"/>
  <c r="A4" i="34"/>
  <c r="BB3" i="34"/>
  <c r="BA3" i="34"/>
  <c r="AZ3" i="34"/>
  <c r="AY3" i="34"/>
  <c r="AX3" i="34"/>
  <c r="AW3" i="34"/>
  <c r="AV3" i="34"/>
  <c r="AU3" i="34"/>
  <c r="AT3" i="34"/>
  <c r="AS3" i="34"/>
  <c r="AR3" i="34"/>
  <c r="AQ3" i="34"/>
  <c r="AP3" i="34"/>
  <c r="AO3" i="34"/>
  <c r="AN3" i="34"/>
  <c r="AM3" i="34"/>
  <c r="AL3" i="34"/>
  <c r="AK3" i="34"/>
  <c r="AJ3" i="34"/>
  <c r="AI3" i="34"/>
  <c r="AH3" i="34"/>
  <c r="AG3" i="34"/>
  <c r="AF3" i="34"/>
  <c r="AE3" i="34"/>
  <c r="AD3" i="34"/>
  <c r="AC3" i="34"/>
  <c r="AB3" i="34"/>
  <c r="AA3" i="34"/>
  <c r="Z3" i="34"/>
  <c r="Y3" i="34"/>
  <c r="X3" i="34"/>
  <c r="W3" i="34"/>
  <c r="V3" i="34"/>
  <c r="U3" i="34"/>
  <c r="T3" i="34"/>
  <c r="S3" i="34"/>
  <c r="R3" i="34"/>
  <c r="Q3" i="34"/>
  <c r="P3" i="34"/>
  <c r="O3" i="34"/>
  <c r="N3" i="34"/>
  <c r="M3" i="34"/>
  <c r="L3" i="34"/>
  <c r="K3" i="34"/>
  <c r="J3" i="34"/>
  <c r="I3" i="34"/>
  <c r="H3" i="34"/>
  <c r="G3" i="34"/>
  <c r="F3" i="34"/>
  <c r="E3" i="34"/>
  <c r="D3" i="34"/>
  <c r="C3" i="34"/>
  <c r="B3" i="34"/>
  <c r="A3" i="34"/>
  <c r="BB2" i="34"/>
  <c r="BA2" i="34"/>
  <c r="AY2" i="34"/>
  <c r="AV2" i="34"/>
  <c r="AU2" i="34"/>
  <c r="AS2" i="34"/>
  <c r="AR2" i="34"/>
  <c r="AP2" i="34"/>
  <c r="AO2" i="34"/>
  <c r="AM2" i="34"/>
  <c r="AL2" i="34"/>
  <c r="AJ2" i="34"/>
  <c r="AI2" i="34"/>
  <c r="AG2" i="34"/>
  <c r="AF2" i="34"/>
  <c r="AD2" i="34"/>
  <c r="AC2" i="34"/>
  <c r="AA2" i="34"/>
  <c r="Z2" i="34"/>
  <c r="X2" i="34"/>
  <c r="W2" i="34"/>
  <c r="U2" i="34"/>
  <c r="T2" i="34"/>
  <c r="R2" i="34"/>
  <c r="Q2" i="34"/>
  <c r="O2" i="34"/>
  <c r="N2" i="34"/>
  <c r="L2" i="34"/>
  <c r="K2" i="34"/>
  <c r="I2" i="34"/>
  <c r="H2" i="34"/>
  <c r="F2" i="34"/>
  <c r="E2" i="34"/>
  <c r="C2" i="34"/>
  <c r="B2" i="34"/>
  <c r="B51" i="32"/>
  <c r="B46" i="32"/>
  <c r="E37" i="38" s="1"/>
  <c r="K32" i="32"/>
  <c r="J32" i="32"/>
  <c r="H32" i="32"/>
  <c r="G32" i="32"/>
  <c r="F32" i="32"/>
  <c r="Z31" i="32"/>
  <c r="Y31" i="32"/>
  <c r="X31" i="32"/>
  <c r="W31" i="32"/>
  <c r="V31" i="32"/>
  <c r="U31" i="32"/>
  <c r="T31" i="32"/>
  <c r="I31" i="32"/>
  <c r="Z30" i="32"/>
  <c r="Y30" i="32"/>
  <c r="X30" i="32"/>
  <c r="W30" i="32"/>
  <c r="V30" i="32"/>
  <c r="U30" i="32"/>
  <c r="T30" i="32"/>
  <c r="I30" i="32"/>
  <c r="Z29" i="32"/>
  <c r="Y29" i="32"/>
  <c r="X29" i="32"/>
  <c r="W29" i="32"/>
  <c r="V29" i="32"/>
  <c r="U29" i="32"/>
  <c r="T29" i="32"/>
  <c r="I29" i="32"/>
  <c r="Z28" i="32"/>
  <c r="Y28" i="32"/>
  <c r="X28" i="32"/>
  <c r="W28" i="32"/>
  <c r="V28" i="32"/>
  <c r="U28" i="32"/>
  <c r="T28" i="32"/>
  <c r="I28" i="32"/>
  <c r="I32" i="32"/>
  <c r="K25" i="32"/>
  <c r="J25" i="32"/>
  <c r="H25" i="32"/>
  <c r="G25" i="32"/>
  <c r="F25" i="32"/>
  <c r="Z24" i="32"/>
  <c r="Y24" i="32"/>
  <c r="X24" i="32"/>
  <c r="W24" i="32"/>
  <c r="V24" i="32"/>
  <c r="U24" i="32"/>
  <c r="T24" i="32"/>
  <c r="I24" i="32"/>
  <c r="Z23" i="32"/>
  <c r="Y23" i="32"/>
  <c r="X23" i="32"/>
  <c r="W23" i="32"/>
  <c r="V23" i="32"/>
  <c r="U23" i="32"/>
  <c r="T23" i="32"/>
  <c r="I23" i="32"/>
  <c r="Z22" i="32"/>
  <c r="Y22" i="32"/>
  <c r="X22" i="32"/>
  <c r="W22" i="32"/>
  <c r="V22" i="32"/>
  <c r="U22" i="32"/>
  <c r="T22" i="32"/>
  <c r="I22" i="32"/>
  <c r="Z21" i="32"/>
  <c r="Y21" i="32"/>
  <c r="X21" i="32"/>
  <c r="W21" i="32"/>
  <c r="V21" i="32"/>
  <c r="U21" i="32"/>
  <c r="T21" i="32"/>
  <c r="I21" i="32"/>
  <c r="K18" i="32"/>
  <c r="J18" i="32"/>
  <c r="H18" i="32"/>
  <c r="G18" i="32"/>
  <c r="F18" i="32"/>
  <c r="Z17" i="32"/>
  <c r="Y17" i="32"/>
  <c r="X17" i="32"/>
  <c r="W17" i="32"/>
  <c r="V17" i="32"/>
  <c r="U17" i="32"/>
  <c r="T17" i="32"/>
  <c r="I17" i="32"/>
  <c r="Z16" i="32"/>
  <c r="Y16" i="32"/>
  <c r="X16" i="32"/>
  <c r="W16" i="32"/>
  <c r="V16" i="32"/>
  <c r="U16" i="32"/>
  <c r="T16" i="32"/>
  <c r="I16" i="32"/>
  <c r="Z15" i="32"/>
  <c r="Y15" i="32"/>
  <c r="X15" i="32"/>
  <c r="W15" i="32"/>
  <c r="V15" i="32"/>
  <c r="U15" i="32"/>
  <c r="T15" i="32"/>
  <c r="I15" i="32"/>
  <c r="Z14" i="32"/>
  <c r="Y14" i="32"/>
  <c r="X14" i="32"/>
  <c r="W14" i="32"/>
  <c r="V14" i="32"/>
  <c r="U14" i="32"/>
  <c r="T14" i="32"/>
  <c r="I14" i="32"/>
  <c r="I18" i="32"/>
  <c r="B14" i="32"/>
  <c r="B15" i="32"/>
  <c r="B16" i="32"/>
  <c r="B17" i="32"/>
  <c r="B18" i="32"/>
  <c r="K11" i="32"/>
  <c r="J11" i="32"/>
  <c r="H11" i="32"/>
  <c r="G11" i="32"/>
  <c r="F11" i="32"/>
  <c r="Z10" i="32"/>
  <c r="Y10" i="32"/>
  <c r="X10" i="32"/>
  <c r="W10" i="32"/>
  <c r="V10" i="32"/>
  <c r="U10" i="32"/>
  <c r="T10" i="32"/>
  <c r="I10" i="32"/>
  <c r="Z9" i="32"/>
  <c r="Y9" i="32"/>
  <c r="X9" i="32"/>
  <c r="W9" i="32"/>
  <c r="V9" i="32"/>
  <c r="U9" i="32"/>
  <c r="T9" i="32"/>
  <c r="I9" i="32"/>
  <c r="Z8" i="32"/>
  <c r="Y8" i="32"/>
  <c r="X8" i="32"/>
  <c r="W8" i="32"/>
  <c r="V8" i="32"/>
  <c r="U8" i="32"/>
  <c r="T8" i="32"/>
  <c r="I8" i="32"/>
  <c r="O1" i="32"/>
  <c r="B65" i="31"/>
  <c r="B64" i="31"/>
  <c r="B63" i="31"/>
  <c r="B62" i="31"/>
  <c r="B61" i="31"/>
  <c r="B60" i="31"/>
  <c r="B59" i="31"/>
  <c r="B57" i="31"/>
  <c r="B56" i="31"/>
  <c r="B55" i="31"/>
  <c r="B47" i="31"/>
  <c r="E36" i="38" s="1"/>
  <c r="P35" i="31"/>
  <c r="N35" i="31"/>
  <c r="H35" i="31"/>
  <c r="L35" i="31"/>
  <c r="I35" i="31"/>
  <c r="L34" i="31"/>
  <c r="I34" i="31"/>
  <c r="L33" i="31"/>
  <c r="I33" i="31"/>
  <c r="L32" i="31"/>
  <c r="I32" i="31"/>
  <c r="L31" i="31"/>
  <c r="I31" i="31"/>
  <c r="L19" i="31"/>
  <c r="I19" i="31"/>
  <c r="L18" i="31"/>
  <c r="I18" i="31"/>
  <c r="L16" i="31"/>
  <c r="I16" i="31"/>
  <c r="L14" i="31"/>
  <c r="I14" i="31"/>
  <c r="L11" i="31"/>
  <c r="I11" i="31"/>
  <c r="L10" i="31"/>
  <c r="I10" i="31"/>
  <c r="L9" i="31"/>
  <c r="B7" i="31"/>
  <c r="B53" i="31"/>
  <c r="F1" i="31"/>
  <c r="B32" i="30"/>
  <c r="B29" i="30"/>
  <c r="E35" i="38" s="1"/>
  <c r="M17" i="30"/>
  <c r="H17" i="30"/>
  <c r="M14" i="30"/>
  <c r="H14" i="30"/>
  <c r="M13" i="30"/>
  <c r="H13" i="30"/>
  <c r="M12" i="30"/>
  <c r="H12" i="30"/>
  <c r="M11" i="30"/>
  <c r="H11" i="30"/>
  <c r="G8" i="30"/>
  <c r="F8" i="30"/>
  <c r="M7" i="30"/>
  <c r="H7" i="30"/>
  <c r="B6" i="30"/>
  <c r="B33" i="30"/>
  <c r="G5" i="30"/>
  <c r="F5" i="30"/>
  <c r="H1" i="30"/>
  <c r="B36" i="29"/>
  <c r="B33" i="29"/>
  <c r="E34" i="38" s="1"/>
  <c r="N22" i="29"/>
  <c r="Z21" i="29"/>
  <c r="Q21" i="29"/>
  <c r="Z20" i="29"/>
  <c r="Q20" i="29"/>
  <c r="N19" i="29"/>
  <c r="Z18" i="29"/>
  <c r="Q18" i="29"/>
  <c r="Z17" i="29"/>
  <c r="Q17" i="29"/>
  <c r="AE13" i="29"/>
  <c r="W13" i="29"/>
  <c r="T13" i="29"/>
  <c r="M13" i="29"/>
  <c r="I13" i="29"/>
  <c r="L12" i="29"/>
  <c r="L14" i="29"/>
  <c r="K12" i="29"/>
  <c r="K14" i="29"/>
  <c r="J12" i="29"/>
  <c r="H12" i="29"/>
  <c r="H14" i="29"/>
  <c r="G12" i="29"/>
  <c r="G14" i="29"/>
  <c r="F12" i="29"/>
  <c r="F14" i="29"/>
  <c r="AE11" i="29"/>
  <c r="W11" i="29"/>
  <c r="T11" i="29"/>
  <c r="M11" i="29"/>
  <c r="I11" i="29"/>
  <c r="AE10" i="29"/>
  <c r="W10" i="29"/>
  <c r="M10" i="29"/>
  <c r="I10" i="29"/>
  <c r="AE9" i="29"/>
  <c r="W9" i="29"/>
  <c r="T9" i="29"/>
  <c r="M9" i="29"/>
  <c r="I9" i="29"/>
  <c r="AE8" i="29"/>
  <c r="W8" i="29"/>
  <c r="T8" i="29"/>
  <c r="M8" i="29"/>
  <c r="I8" i="29"/>
  <c r="B8" i="29"/>
  <c r="B9" i="29"/>
  <c r="B38" i="29"/>
  <c r="AE7" i="29"/>
  <c r="W7" i="29"/>
  <c r="T7" i="29"/>
  <c r="M7" i="29"/>
  <c r="I7" i="29"/>
  <c r="Q6" i="29"/>
  <c r="N1" i="29"/>
  <c r="B57" i="28"/>
  <c r="B54" i="28"/>
  <c r="E33" i="38" s="1"/>
  <c r="AA42" i="28"/>
  <c r="Q42" i="28"/>
  <c r="Z41" i="28"/>
  <c r="Q41" i="28"/>
  <c r="Y40" i="28"/>
  <c r="Q40" i="28"/>
  <c r="X39" i="28"/>
  <c r="Q39" i="28"/>
  <c r="W38" i="28"/>
  <c r="Q38" i="28"/>
  <c r="V37" i="28"/>
  <c r="Q37" i="28"/>
  <c r="U36" i="28"/>
  <c r="Q36" i="28"/>
  <c r="T35" i="28"/>
  <c r="Q35" i="28"/>
  <c r="AF31" i="28"/>
  <c r="AA31" i="28"/>
  <c r="Z31" i="28"/>
  <c r="Y31" i="28"/>
  <c r="X31" i="28"/>
  <c r="W31" i="28"/>
  <c r="V31" i="28"/>
  <c r="U31" i="28"/>
  <c r="T31" i="28"/>
  <c r="N31" i="28"/>
  <c r="AE31" i="28"/>
  <c r="AF30" i="28"/>
  <c r="AA30" i="28"/>
  <c r="Z30" i="28"/>
  <c r="Y30" i="28"/>
  <c r="X30" i="28"/>
  <c r="W30" i="28"/>
  <c r="V30" i="28"/>
  <c r="U30" i="28"/>
  <c r="T30" i="28"/>
  <c r="N30" i="28"/>
  <c r="AE30" i="28"/>
  <c r="AA26" i="28"/>
  <c r="Z26" i="28"/>
  <c r="Y26" i="28"/>
  <c r="X26" i="28"/>
  <c r="W26" i="28"/>
  <c r="V26" i="28"/>
  <c r="U26" i="28"/>
  <c r="T26" i="28"/>
  <c r="N26" i="28"/>
  <c r="AE26" i="28"/>
  <c r="AF24" i="28"/>
  <c r="AA24" i="28"/>
  <c r="Z24" i="28"/>
  <c r="Y24" i="28"/>
  <c r="X24" i="28"/>
  <c r="W24" i="28"/>
  <c r="V24" i="28"/>
  <c r="U24" i="28"/>
  <c r="T24" i="28"/>
  <c r="N24" i="28"/>
  <c r="AE24" i="28"/>
  <c r="M23" i="28"/>
  <c r="M25" i="28"/>
  <c r="L23" i="28"/>
  <c r="L25" i="28"/>
  <c r="K23" i="28"/>
  <c r="K25" i="28"/>
  <c r="J23" i="28"/>
  <c r="J25" i="28"/>
  <c r="I23" i="28"/>
  <c r="I25" i="28"/>
  <c r="H23" i="28"/>
  <c r="H25" i="28"/>
  <c r="G23" i="28"/>
  <c r="G25" i="28"/>
  <c r="F23" i="28"/>
  <c r="F25" i="28"/>
  <c r="AF22" i="28"/>
  <c r="AA22" i="28"/>
  <c r="Z22" i="28"/>
  <c r="Y22" i="28"/>
  <c r="X22" i="28"/>
  <c r="W22" i="28"/>
  <c r="V22" i="28"/>
  <c r="U22" i="28"/>
  <c r="T22" i="28"/>
  <c r="N22" i="28"/>
  <c r="AE22" i="28"/>
  <c r="AF21" i="28"/>
  <c r="AA21" i="28"/>
  <c r="Z21" i="28"/>
  <c r="Y21" i="28"/>
  <c r="X21" i="28"/>
  <c r="W21" i="28"/>
  <c r="V21" i="28"/>
  <c r="U21" i="28"/>
  <c r="T21" i="28"/>
  <c r="N21" i="28"/>
  <c r="AE21" i="28"/>
  <c r="AF20" i="28"/>
  <c r="AA20" i="28"/>
  <c r="Z20" i="28"/>
  <c r="Y20" i="28"/>
  <c r="X20" i="28"/>
  <c r="W20" i="28"/>
  <c r="V20" i="28"/>
  <c r="U20" i="28"/>
  <c r="T20" i="28"/>
  <c r="N20" i="28"/>
  <c r="AE20" i="28"/>
  <c r="AF19" i="28"/>
  <c r="AA19" i="28"/>
  <c r="Z19" i="28"/>
  <c r="Y19" i="28"/>
  <c r="X19" i="28"/>
  <c r="W19" i="28"/>
  <c r="V19" i="28"/>
  <c r="U19" i="28"/>
  <c r="T19" i="28"/>
  <c r="N19" i="28"/>
  <c r="AE19" i="28"/>
  <c r="AF15" i="28"/>
  <c r="AA15" i="28"/>
  <c r="Z15" i="28"/>
  <c r="Y15" i="28"/>
  <c r="X15" i="28"/>
  <c r="W15" i="28"/>
  <c r="V15" i="28"/>
  <c r="U15" i="28"/>
  <c r="T15" i="28"/>
  <c r="N15" i="28"/>
  <c r="AE15" i="28"/>
  <c r="M13" i="28"/>
  <c r="M16" i="28"/>
  <c r="M43" i="28"/>
  <c r="L13" i="28"/>
  <c r="L16" i="28"/>
  <c r="L43" i="28"/>
  <c r="K13" i="28"/>
  <c r="K16" i="28"/>
  <c r="K43" i="28"/>
  <c r="J13" i="28"/>
  <c r="J16" i="28"/>
  <c r="J43" i="28"/>
  <c r="I13" i="28"/>
  <c r="I16" i="28"/>
  <c r="I43" i="28"/>
  <c r="H13" i="28"/>
  <c r="H16" i="28"/>
  <c r="H43" i="28"/>
  <c r="G13" i="28"/>
  <c r="G16" i="28"/>
  <c r="G43" i="28"/>
  <c r="F13" i="28"/>
  <c r="F16" i="28"/>
  <c r="F43" i="28"/>
  <c r="AF12" i="28"/>
  <c r="AA12" i="28"/>
  <c r="Z12" i="28"/>
  <c r="Y12" i="28"/>
  <c r="X12" i="28"/>
  <c r="W12" i="28"/>
  <c r="V12" i="28"/>
  <c r="U12" i="28"/>
  <c r="T12" i="28"/>
  <c r="N12" i="28"/>
  <c r="AE12" i="28"/>
  <c r="AF11" i="28"/>
  <c r="AA11" i="28"/>
  <c r="Z11" i="28"/>
  <c r="Y11" i="28"/>
  <c r="X11" i="28"/>
  <c r="W11" i="28"/>
  <c r="V11" i="28"/>
  <c r="U11" i="28"/>
  <c r="T11" i="28"/>
  <c r="N11" i="28"/>
  <c r="AE11" i="28"/>
  <c r="AF10" i="28"/>
  <c r="AA10" i="28"/>
  <c r="Z10" i="28"/>
  <c r="Y10" i="28"/>
  <c r="X10" i="28"/>
  <c r="W10" i="28"/>
  <c r="V10" i="28"/>
  <c r="U10" i="28"/>
  <c r="T10" i="28"/>
  <c r="N10" i="28"/>
  <c r="AE10" i="28"/>
  <c r="AF9" i="28"/>
  <c r="AA9" i="28"/>
  <c r="Z9" i="28"/>
  <c r="Y9" i="28"/>
  <c r="X9" i="28"/>
  <c r="W9" i="28"/>
  <c r="V9" i="28"/>
  <c r="U9" i="28"/>
  <c r="T9" i="28"/>
  <c r="N9" i="28"/>
  <c r="AE9" i="28"/>
  <c r="AF8" i="28"/>
  <c r="AA8" i="28"/>
  <c r="Z8" i="28"/>
  <c r="Y8" i="28"/>
  <c r="X8" i="28"/>
  <c r="W8" i="28"/>
  <c r="V8" i="28"/>
  <c r="U8" i="28"/>
  <c r="T8" i="28"/>
  <c r="N8" i="28"/>
  <c r="AE8" i="28"/>
  <c r="B8" i="28"/>
  <c r="B9" i="28"/>
  <c r="AF7" i="28"/>
  <c r="AA7" i="28"/>
  <c r="Z7" i="28"/>
  <c r="Y7" i="28"/>
  <c r="X7" i="28"/>
  <c r="W7" i="28"/>
  <c r="V7" i="28"/>
  <c r="U7" i="28"/>
  <c r="T7" i="28"/>
  <c r="N7" i="28"/>
  <c r="AE7" i="28"/>
  <c r="Q6" i="28"/>
  <c r="N1" i="28"/>
  <c r="B55" i="27"/>
  <c r="B52" i="27"/>
  <c r="E32" i="38" s="1"/>
  <c r="W40" i="27"/>
  <c r="O40" i="27"/>
  <c r="V39" i="27"/>
  <c r="O39" i="27"/>
  <c r="U38" i="27"/>
  <c r="O38" i="27"/>
  <c r="T37" i="27"/>
  <c r="O37" i="27"/>
  <c r="S36" i="27"/>
  <c r="O36" i="27"/>
  <c r="R35" i="27"/>
  <c r="O35" i="27"/>
  <c r="AB31" i="27"/>
  <c r="W31" i="27"/>
  <c r="V31" i="27"/>
  <c r="U31" i="27"/>
  <c r="T31" i="27"/>
  <c r="S31" i="27"/>
  <c r="R31" i="27"/>
  <c r="L31" i="27"/>
  <c r="AA31" i="27"/>
  <c r="AB30" i="27"/>
  <c r="W30" i="27"/>
  <c r="V30" i="27"/>
  <c r="U30" i="27"/>
  <c r="T30" i="27"/>
  <c r="S30" i="27"/>
  <c r="R30" i="27"/>
  <c r="L30" i="27"/>
  <c r="AA30" i="27"/>
  <c r="W26" i="27"/>
  <c r="V26" i="27"/>
  <c r="U26" i="27"/>
  <c r="T26" i="27"/>
  <c r="S26" i="27"/>
  <c r="R26" i="27"/>
  <c r="L26" i="27"/>
  <c r="AA26" i="27"/>
  <c r="AB24" i="27"/>
  <c r="W24" i="27"/>
  <c r="V24" i="27"/>
  <c r="U24" i="27"/>
  <c r="T24" i="27"/>
  <c r="S24" i="27"/>
  <c r="R24" i="27"/>
  <c r="L24" i="27"/>
  <c r="AA24" i="27"/>
  <c r="K23" i="27"/>
  <c r="K25" i="27"/>
  <c r="J23" i="27"/>
  <c r="J25" i="27"/>
  <c r="I23" i="27"/>
  <c r="I25" i="27"/>
  <c r="H23" i="27"/>
  <c r="H25" i="27"/>
  <c r="G23" i="27"/>
  <c r="G25" i="27"/>
  <c r="F23" i="27"/>
  <c r="F25" i="27"/>
  <c r="AB22" i="27"/>
  <c r="W22" i="27"/>
  <c r="V22" i="27"/>
  <c r="U22" i="27"/>
  <c r="T22" i="27"/>
  <c r="S22" i="27"/>
  <c r="R22" i="27"/>
  <c r="L22" i="27"/>
  <c r="AA22" i="27"/>
  <c r="AB21" i="27"/>
  <c r="W21" i="27"/>
  <c r="V21" i="27"/>
  <c r="U21" i="27"/>
  <c r="T21" i="27"/>
  <c r="S21" i="27"/>
  <c r="R21" i="27"/>
  <c r="L21" i="27"/>
  <c r="AA21" i="27"/>
  <c r="AB20" i="27"/>
  <c r="W20" i="27"/>
  <c r="V20" i="27"/>
  <c r="U20" i="27"/>
  <c r="T20" i="27"/>
  <c r="S20" i="27"/>
  <c r="R20" i="27"/>
  <c r="L20" i="27"/>
  <c r="AA20" i="27"/>
  <c r="AB19" i="27"/>
  <c r="W19" i="27"/>
  <c r="V19" i="27"/>
  <c r="U19" i="27"/>
  <c r="T19" i="27"/>
  <c r="S19" i="27"/>
  <c r="R19" i="27"/>
  <c r="L19" i="27"/>
  <c r="AA19" i="27"/>
  <c r="AB15" i="27"/>
  <c r="W15" i="27"/>
  <c r="V15" i="27"/>
  <c r="U15" i="27"/>
  <c r="T15" i="27"/>
  <c r="S15" i="27"/>
  <c r="R15" i="27"/>
  <c r="L15" i="27"/>
  <c r="AA15" i="27"/>
  <c r="K13" i="27"/>
  <c r="K16" i="27"/>
  <c r="K41" i="27"/>
  <c r="J13" i="27"/>
  <c r="J16" i="27"/>
  <c r="J41" i="27"/>
  <c r="I13" i="27"/>
  <c r="I16" i="27"/>
  <c r="H13" i="27"/>
  <c r="H16" i="27"/>
  <c r="H41" i="27"/>
  <c r="G13" i="27"/>
  <c r="G16" i="27"/>
  <c r="G41" i="27"/>
  <c r="F13" i="27"/>
  <c r="F16" i="27"/>
  <c r="F41" i="27"/>
  <c r="AB12" i="27"/>
  <c r="W12" i="27"/>
  <c r="V12" i="27"/>
  <c r="U12" i="27"/>
  <c r="T12" i="27"/>
  <c r="S12" i="27"/>
  <c r="R12" i="27"/>
  <c r="L12" i="27"/>
  <c r="AA12" i="27"/>
  <c r="AB11" i="27"/>
  <c r="W11" i="27"/>
  <c r="V11" i="27"/>
  <c r="U11" i="27"/>
  <c r="T11" i="27"/>
  <c r="S11" i="27"/>
  <c r="R11" i="27"/>
  <c r="L11" i="27"/>
  <c r="AA11" i="27"/>
  <c r="AB10" i="27"/>
  <c r="W10" i="27"/>
  <c r="V10" i="27"/>
  <c r="U10" i="27"/>
  <c r="T10" i="27"/>
  <c r="S10" i="27"/>
  <c r="R10" i="27"/>
  <c r="L10" i="27"/>
  <c r="AA10" i="27"/>
  <c r="AB9" i="27"/>
  <c r="W9" i="27"/>
  <c r="V9" i="27"/>
  <c r="U9" i="27"/>
  <c r="T9" i="27"/>
  <c r="S9" i="27"/>
  <c r="R9" i="27"/>
  <c r="L9" i="27"/>
  <c r="AA9" i="27"/>
  <c r="AB8" i="27"/>
  <c r="W8" i="27"/>
  <c r="V8" i="27"/>
  <c r="U8" i="27"/>
  <c r="T8" i="27"/>
  <c r="S8" i="27"/>
  <c r="R8" i="27"/>
  <c r="L8" i="27"/>
  <c r="AA8" i="27"/>
  <c r="B8" i="27"/>
  <c r="AB7" i="27"/>
  <c r="W7" i="27"/>
  <c r="V7" i="27"/>
  <c r="U7" i="27"/>
  <c r="T7" i="27"/>
  <c r="S7" i="27"/>
  <c r="R7" i="27"/>
  <c r="L7" i="27"/>
  <c r="AA7" i="27"/>
  <c r="O6" i="27"/>
  <c r="L1" i="27"/>
  <c r="B23" i="26"/>
  <c r="B20" i="26"/>
  <c r="E31" i="38" s="1"/>
  <c r="F9" i="26"/>
  <c r="K8" i="26"/>
  <c r="H8" i="26"/>
  <c r="K7" i="26"/>
  <c r="B7" i="26"/>
  <c r="K6" i="26"/>
  <c r="F1" i="26"/>
  <c r="B27" i="25"/>
  <c r="E30" i="38" s="1"/>
  <c r="N16" i="25"/>
  <c r="N15" i="25"/>
  <c r="I13" i="25"/>
  <c r="I7" i="25"/>
  <c r="H13" i="25"/>
  <c r="H7" i="25"/>
  <c r="G13" i="25"/>
  <c r="F13" i="25"/>
  <c r="N12" i="25"/>
  <c r="N11" i="25"/>
  <c r="N10" i="25"/>
  <c r="I1" i="25"/>
  <c r="B31" i="24"/>
  <c r="E29" i="38" s="1"/>
  <c r="N20" i="24"/>
  <c r="K20" i="24"/>
  <c r="N19" i="24"/>
  <c r="N18" i="24"/>
  <c r="O13" i="24"/>
  <c r="N13" i="24"/>
  <c r="O12" i="24"/>
  <c r="N12" i="24"/>
  <c r="I11" i="24"/>
  <c r="H11" i="24"/>
  <c r="G11" i="24"/>
  <c r="F11" i="24"/>
  <c r="O8" i="24"/>
  <c r="N8" i="24"/>
  <c r="I1" i="24"/>
  <c r="B75" i="22"/>
  <c r="B70" i="22"/>
  <c r="AQ59" i="22"/>
  <c r="AP59" i="22"/>
  <c r="AM59" i="22"/>
  <c r="AL59" i="22"/>
  <c r="AI59" i="22"/>
  <c r="AH59" i="22"/>
  <c r="AQ58" i="22"/>
  <c r="AP58" i="22"/>
  <c r="AM58" i="22"/>
  <c r="AL58" i="22"/>
  <c r="AI58" i="22"/>
  <c r="AH58" i="22"/>
  <c r="AQ57" i="22"/>
  <c r="AP57" i="22"/>
  <c r="AM57" i="22"/>
  <c r="AL57" i="22"/>
  <c r="AI57" i="22"/>
  <c r="AH57" i="22"/>
  <c r="AQ56" i="22"/>
  <c r="AP56" i="22"/>
  <c r="AM56" i="22"/>
  <c r="AL56" i="22"/>
  <c r="AI56" i="22"/>
  <c r="AH56" i="22"/>
  <c r="AQ55" i="22"/>
  <c r="AP55" i="22"/>
  <c r="AM55" i="22"/>
  <c r="AL55" i="22"/>
  <c r="AI55" i="22"/>
  <c r="AH55" i="22"/>
  <c r="AQ54" i="22"/>
  <c r="AP54" i="22"/>
  <c r="AM54" i="22"/>
  <c r="AL54" i="22"/>
  <c r="AI54" i="22"/>
  <c r="AH54" i="22"/>
  <c r="AQ53" i="22"/>
  <c r="AP53" i="22"/>
  <c r="AM53" i="22"/>
  <c r="AL53" i="22"/>
  <c r="AI53" i="22"/>
  <c r="AH53" i="22"/>
  <c r="AQ52" i="22"/>
  <c r="AP52" i="22"/>
  <c r="AM52" i="22"/>
  <c r="AL52" i="22"/>
  <c r="AI52" i="22"/>
  <c r="AH52" i="22"/>
  <c r="AQ51" i="22"/>
  <c r="AP51" i="22"/>
  <c r="AM51" i="22"/>
  <c r="AL51" i="22"/>
  <c r="AI51" i="22"/>
  <c r="AH51" i="22"/>
  <c r="AQ50" i="22"/>
  <c r="AP50" i="22"/>
  <c r="AM50" i="22"/>
  <c r="AL50" i="22"/>
  <c r="AI50" i="22"/>
  <c r="AH50" i="22"/>
  <c r="AQ49" i="22"/>
  <c r="AP49" i="22"/>
  <c r="AM49" i="22"/>
  <c r="AL49" i="22"/>
  <c r="AI49" i="22"/>
  <c r="AH49" i="22"/>
  <c r="AQ48" i="22"/>
  <c r="AP48" i="22"/>
  <c r="AM48" i="22"/>
  <c r="AL48" i="22"/>
  <c r="AI48" i="22"/>
  <c r="AH48" i="22"/>
  <c r="AQ47" i="22"/>
  <c r="AP47" i="22"/>
  <c r="AM47" i="22"/>
  <c r="AL47" i="22"/>
  <c r="AI47" i="22"/>
  <c r="AH47" i="22"/>
  <c r="AQ46" i="22"/>
  <c r="AP46" i="22"/>
  <c r="AM46" i="22"/>
  <c r="AL46" i="22"/>
  <c r="AI46" i="22"/>
  <c r="AH46" i="22"/>
  <c r="AQ45" i="22"/>
  <c r="AP45" i="22"/>
  <c r="AM45" i="22"/>
  <c r="AL45" i="22"/>
  <c r="AI45" i="22"/>
  <c r="AH45" i="22"/>
  <c r="AQ44" i="22"/>
  <c r="AP44" i="22"/>
  <c r="AM44" i="22"/>
  <c r="AL44" i="22"/>
  <c r="AI44" i="22"/>
  <c r="AH44" i="22"/>
  <c r="AQ43" i="22"/>
  <c r="AP43" i="22"/>
  <c r="AM43" i="22"/>
  <c r="AL43" i="22"/>
  <c r="AI43" i="22"/>
  <c r="AH43" i="22"/>
  <c r="AQ42" i="22"/>
  <c r="AP42" i="22"/>
  <c r="AM42" i="22"/>
  <c r="AL42" i="22"/>
  <c r="AI42" i="22"/>
  <c r="AH42" i="22"/>
  <c r="AQ41" i="22"/>
  <c r="AP41" i="22"/>
  <c r="AM41" i="22"/>
  <c r="AL41" i="22"/>
  <c r="AI41" i="22"/>
  <c r="AH41" i="22"/>
  <c r="AQ40" i="22"/>
  <c r="AP40" i="22"/>
  <c r="AM40" i="22"/>
  <c r="AL40" i="22"/>
  <c r="AI40" i="22"/>
  <c r="AH40" i="22"/>
  <c r="AQ39" i="22"/>
  <c r="AP39" i="22"/>
  <c r="AM39" i="22"/>
  <c r="AL39" i="22"/>
  <c r="AI39" i="22"/>
  <c r="AH39" i="22"/>
  <c r="AQ38" i="22"/>
  <c r="AP38" i="22"/>
  <c r="AM38" i="22"/>
  <c r="AL38" i="22"/>
  <c r="AI38" i="22"/>
  <c r="AH38" i="22"/>
  <c r="AQ37" i="22"/>
  <c r="AP37" i="22"/>
  <c r="AM37" i="22"/>
  <c r="AL37" i="22"/>
  <c r="AI37" i="22"/>
  <c r="AH37" i="22"/>
  <c r="AQ36" i="22"/>
  <c r="AP36" i="22"/>
  <c r="AM36" i="22"/>
  <c r="AL36" i="22"/>
  <c r="AI36" i="22"/>
  <c r="AH36" i="22"/>
  <c r="AQ35" i="22"/>
  <c r="AP35" i="22"/>
  <c r="AM35" i="22"/>
  <c r="AL35" i="22"/>
  <c r="AI35" i="22"/>
  <c r="AH35" i="22"/>
  <c r="AQ34" i="22"/>
  <c r="AP34" i="22"/>
  <c r="AM34" i="22"/>
  <c r="AL34" i="22"/>
  <c r="AI34" i="22"/>
  <c r="AH34" i="22"/>
  <c r="AQ33" i="22"/>
  <c r="AP33" i="22"/>
  <c r="AM33" i="22"/>
  <c r="AL33" i="22"/>
  <c r="AI33" i="22"/>
  <c r="AH33" i="22"/>
  <c r="AQ32" i="22"/>
  <c r="AP32" i="22"/>
  <c r="AM32" i="22"/>
  <c r="AL32" i="22"/>
  <c r="AI32" i="22"/>
  <c r="AH32" i="22"/>
  <c r="AQ31" i="22"/>
  <c r="AP31" i="22"/>
  <c r="AM31" i="22"/>
  <c r="AL31" i="22"/>
  <c r="AI31" i="22"/>
  <c r="AH31" i="22"/>
  <c r="AQ30" i="22"/>
  <c r="AP30" i="22"/>
  <c r="AM30" i="22"/>
  <c r="AL30" i="22"/>
  <c r="AI30" i="22"/>
  <c r="AH30" i="22"/>
  <c r="AQ29" i="22"/>
  <c r="AP29" i="22"/>
  <c r="AM29" i="22"/>
  <c r="AL29" i="22"/>
  <c r="AI29" i="22"/>
  <c r="AH29" i="22"/>
  <c r="AQ28" i="22"/>
  <c r="AP28" i="22"/>
  <c r="AM28" i="22"/>
  <c r="AL28" i="22"/>
  <c r="AI28" i="22"/>
  <c r="AH28" i="22"/>
  <c r="AQ27" i="22"/>
  <c r="AP27" i="22"/>
  <c r="AM27" i="22"/>
  <c r="AL27" i="22"/>
  <c r="AI27" i="22"/>
  <c r="AH27" i="22"/>
  <c r="AQ26" i="22"/>
  <c r="AP26" i="22"/>
  <c r="AM26" i="22"/>
  <c r="AL26" i="22"/>
  <c r="AI26" i="22"/>
  <c r="AH26" i="22"/>
  <c r="AQ25" i="22"/>
  <c r="AP25" i="22"/>
  <c r="AM25" i="22"/>
  <c r="AL25" i="22"/>
  <c r="AI25" i="22"/>
  <c r="AH25" i="22"/>
  <c r="AQ24" i="22"/>
  <c r="AP24" i="22"/>
  <c r="AM24" i="22"/>
  <c r="AL24" i="22"/>
  <c r="AI24" i="22"/>
  <c r="AH24" i="22"/>
  <c r="AQ23" i="22"/>
  <c r="AP23" i="22"/>
  <c r="AM23" i="22"/>
  <c r="AL23" i="22"/>
  <c r="AI23" i="22"/>
  <c r="AH23" i="22"/>
  <c r="AQ22" i="22"/>
  <c r="AP22" i="22"/>
  <c r="AM22" i="22"/>
  <c r="AL22" i="22"/>
  <c r="AI22" i="22"/>
  <c r="AH22" i="22"/>
  <c r="AQ21" i="22"/>
  <c r="AP21" i="22"/>
  <c r="AM21" i="22"/>
  <c r="AL21" i="22"/>
  <c r="AI21" i="22"/>
  <c r="AH21" i="22"/>
  <c r="AQ20" i="22"/>
  <c r="AP20" i="22"/>
  <c r="AM20" i="22"/>
  <c r="AL20" i="22"/>
  <c r="AI20" i="22"/>
  <c r="AH20" i="22"/>
  <c r="AQ19" i="22"/>
  <c r="AP19" i="22"/>
  <c r="AM19" i="22"/>
  <c r="AL19" i="22"/>
  <c r="AI19" i="22"/>
  <c r="AH19" i="22"/>
  <c r="AQ18" i="22"/>
  <c r="AP18" i="22"/>
  <c r="AM18" i="22"/>
  <c r="AL18" i="22"/>
  <c r="AI18" i="22"/>
  <c r="AH18" i="22"/>
  <c r="AQ17" i="22"/>
  <c r="AP17" i="22"/>
  <c r="AM17" i="22"/>
  <c r="AL17" i="22"/>
  <c r="AI17" i="22"/>
  <c r="AH17" i="22"/>
  <c r="AQ16" i="22"/>
  <c r="AP16" i="22"/>
  <c r="AM16" i="22"/>
  <c r="AL16" i="22"/>
  <c r="AI16" i="22"/>
  <c r="AH16" i="22"/>
  <c r="AQ15" i="22"/>
  <c r="AP15" i="22"/>
  <c r="AM15" i="22"/>
  <c r="AL15" i="22"/>
  <c r="AI15" i="22"/>
  <c r="AH15" i="22"/>
  <c r="AQ14" i="22"/>
  <c r="AP14" i="22"/>
  <c r="AM14" i="22"/>
  <c r="AL14" i="22"/>
  <c r="AI14" i="22"/>
  <c r="AH14" i="22"/>
  <c r="AQ13" i="22"/>
  <c r="AP13" i="22"/>
  <c r="AM13" i="22"/>
  <c r="AL13" i="22"/>
  <c r="AI13" i="22"/>
  <c r="AH13" i="22"/>
  <c r="AQ12" i="22"/>
  <c r="AP12" i="22"/>
  <c r="AM12" i="22"/>
  <c r="AL12" i="22"/>
  <c r="AI12" i="22"/>
  <c r="AH12" i="22"/>
  <c r="AQ11" i="22"/>
  <c r="AP11" i="22"/>
  <c r="AM11" i="22"/>
  <c r="AL11" i="22"/>
  <c r="AI11" i="22"/>
  <c r="AH11" i="22"/>
  <c r="AQ10" i="22"/>
  <c r="AP10" i="22"/>
  <c r="AM10" i="22"/>
  <c r="AL10" i="22"/>
  <c r="AI10" i="22"/>
  <c r="AH10" i="22"/>
  <c r="AQ9" i="22"/>
  <c r="AP9" i="22"/>
  <c r="AM9" i="22"/>
  <c r="AL9" i="22"/>
  <c r="AI9" i="22"/>
  <c r="AH9" i="22"/>
  <c r="AQ8" i="22"/>
  <c r="AP8" i="22"/>
  <c r="AM8" i="22"/>
  <c r="AL8" i="22"/>
  <c r="AI8" i="22"/>
  <c r="AH8" i="22"/>
  <c r="AQ7" i="22"/>
  <c r="AP7" i="22"/>
  <c r="AM7" i="22"/>
  <c r="AL7" i="22"/>
  <c r="AI7" i="22"/>
  <c r="AH7" i="22"/>
  <c r="AQ6" i="22"/>
  <c r="AP6" i="22"/>
  <c r="AM6" i="22"/>
  <c r="AL6" i="22"/>
  <c r="AI6" i="22"/>
  <c r="AH6" i="22"/>
  <c r="B6" i="22"/>
  <c r="AQ5" i="22"/>
  <c r="AP5" i="22"/>
  <c r="AM5" i="22"/>
  <c r="AL5" i="22"/>
  <c r="AI5" i="22"/>
  <c r="AH5" i="22"/>
  <c r="N1" i="22"/>
  <c r="B53" i="20"/>
  <c r="B54" i="20"/>
  <c r="B55" i="20"/>
  <c r="B56" i="20"/>
  <c r="B57" i="20"/>
  <c r="B58" i="20"/>
  <c r="B59" i="20"/>
  <c r="B60" i="20"/>
  <c r="B61" i="20"/>
  <c r="B62" i="20"/>
  <c r="B63" i="20"/>
  <c r="B64" i="20"/>
  <c r="B65" i="20"/>
  <c r="B66" i="20"/>
  <c r="B67" i="20"/>
  <c r="B68" i="20"/>
  <c r="B69" i="20"/>
  <c r="B70" i="20"/>
  <c r="B71" i="20"/>
  <c r="B72" i="20"/>
  <c r="B73" i="20"/>
  <c r="B49" i="20"/>
  <c r="E23" i="38" s="1"/>
  <c r="O37" i="20"/>
  <c r="N37" i="20"/>
  <c r="H37" i="20"/>
  <c r="T28" i="20"/>
  <c r="P28" i="20"/>
  <c r="K28" i="20"/>
  <c r="P27" i="20"/>
  <c r="K27" i="20"/>
  <c r="P26" i="20"/>
  <c r="K26" i="20"/>
  <c r="G23" i="20"/>
  <c r="F23" i="20"/>
  <c r="O22" i="20"/>
  <c r="N22" i="20"/>
  <c r="H22" i="20"/>
  <c r="O21" i="20"/>
  <c r="N21" i="20"/>
  <c r="H21" i="20"/>
  <c r="O20" i="20"/>
  <c r="N20" i="20"/>
  <c r="H20" i="20"/>
  <c r="G15" i="20"/>
  <c r="F15" i="20"/>
  <c r="H14" i="20"/>
  <c r="H13" i="20"/>
  <c r="H12" i="20"/>
  <c r="G9" i="20"/>
  <c r="F9" i="20"/>
  <c r="O8" i="20"/>
  <c r="N8" i="20"/>
  <c r="H8" i="20"/>
  <c r="O7" i="20"/>
  <c r="N7" i="20"/>
  <c r="H7" i="20"/>
  <c r="O6" i="20"/>
  <c r="N6" i="20"/>
  <c r="H6" i="20"/>
  <c r="H1" i="20"/>
  <c r="B42" i="19"/>
  <c r="E22" i="38" s="1"/>
  <c r="U31" i="19"/>
  <c r="E31" i="19"/>
  <c r="D31" i="19"/>
  <c r="T31" i="19"/>
  <c r="H28" i="19"/>
  <c r="F28" i="19"/>
  <c r="H27" i="19"/>
  <c r="F27" i="19"/>
  <c r="H26" i="19"/>
  <c r="F26" i="19"/>
  <c r="H25" i="19"/>
  <c r="F25" i="19"/>
  <c r="H24" i="19"/>
  <c r="F24" i="19"/>
  <c r="H23" i="19"/>
  <c r="F23" i="19"/>
  <c r="H22" i="19"/>
  <c r="F22" i="19"/>
  <c r="H21" i="19"/>
  <c r="F21" i="19"/>
  <c r="H20" i="19"/>
  <c r="F20" i="19"/>
  <c r="H19" i="19"/>
  <c r="F19" i="19"/>
  <c r="H18" i="19"/>
  <c r="F18" i="19"/>
  <c r="H17" i="19"/>
  <c r="F17" i="19"/>
  <c r="H16" i="19"/>
  <c r="F16" i="19"/>
  <c r="H15" i="19"/>
  <c r="F15" i="19"/>
  <c r="H14" i="19"/>
  <c r="F14" i="19"/>
  <c r="F13" i="19"/>
  <c r="H12" i="19"/>
  <c r="F12" i="19"/>
  <c r="H11" i="19"/>
  <c r="F11" i="19"/>
  <c r="H10" i="19"/>
  <c r="F10" i="19"/>
  <c r="H9" i="19"/>
  <c r="F9" i="19"/>
  <c r="B9" i="19"/>
  <c r="B10" i="19"/>
  <c r="B11" i="19"/>
  <c r="B12" i="19"/>
  <c r="B13" i="19"/>
  <c r="B14" i="19"/>
  <c r="B15" i="19"/>
  <c r="B16" i="19"/>
  <c r="B17" i="19"/>
  <c r="B18" i="19"/>
  <c r="B19" i="19"/>
  <c r="B20" i="19"/>
  <c r="B21" i="19"/>
  <c r="B22" i="19"/>
  <c r="B23" i="19"/>
  <c r="B24" i="19"/>
  <c r="B25" i="19"/>
  <c r="B26" i="19"/>
  <c r="B27" i="19"/>
  <c r="B28" i="19"/>
  <c r="B29" i="19"/>
  <c r="B31" i="19"/>
  <c r="P6" i="19"/>
  <c r="O6" i="19"/>
  <c r="N6" i="19"/>
  <c r="H6" i="19"/>
  <c r="F6" i="19"/>
  <c r="H1" i="19"/>
  <c r="B40" i="18"/>
  <c r="E21" i="38" s="1"/>
  <c r="U29" i="18"/>
  <c r="E29" i="18"/>
  <c r="D29" i="18"/>
  <c r="T29" i="18"/>
  <c r="P26" i="18"/>
  <c r="O26" i="18"/>
  <c r="N26" i="18"/>
  <c r="H26" i="18"/>
  <c r="F26" i="18"/>
  <c r="H25" i="18"/>
  <c r="F25" i="18"/>
  <c r="H24" i="18"/>
  <c r="F24" i="18"/>
  <c r="H23" i="18"/>
  <c r="F23" i="18"/>
  <c r="H22" i="18"/>
  <c r="F22" i="18"/>
  <c r="H21" i="18"/>
  <c r="F21" i="18"/>
  <c r="H20" i="18"/>
  <c r="F20" i="18"/>
  <c r="H19" i="18"/>
  <c r="F19" i="18"/>
  <c r="H18" i="18"/>
  <c r="F18" i="18"/>
  <c r="H17" i="18"/>
  <c r="F17" i="18"/>
  <c r="H16" i="18"/>
  <c r="F16" i="18"/>
  <c r="H15" i="18"/>
  <c r="F15" i="18"/>
  <c r="H14" i="18"/>
  <c r="F14" i="18"/>
  <c r="F13" i="18"/>
  <c r="H12" i="18"/>
  <c r="F12" i="18"/>
  <c r="H11" i="18"/>
  <c r="F11" i="18"/>
  <c r="H10" i="18"/>
  <c r="F10" i="18"/>
  <c r="H9" i="18"/>
  <c r="F9" i="18"/>
  <c r="B9" i="18"/>
  <c r="B10" i="18"/>
  <c r="B11" i="18"/>
  <c r="B12" i="18"/>
  <c r="B13" i="18"/>
  <c r="B14" i="18"/>
  <c r="B15" i="18"/>
  <c r="B16" i="18"/>
  <c r="B17" i="18"/>
  <c r="B18" i="18"/>
  <c r="B19" i="18"/>
  <c r="B20" i="18"/>
  <c r="B21" i="18"/>
  <c r="B22" i="18"/>
  <c r="B23" i="18"/>
  <c r="B24" i="18"/>
  <c r="B25" i="18"/>
  <c r="B26" i="18"/>
  <c r="B27" i="18"/>
  <c r="B29" i="18"/>
  <c r="P6" i="18"/>
  <c r="O6" i="18"/>
  <c r="N6" i="18"/>
  <c r="F6" i="18"/>
  <c r="H1" i="18"/>
  <c r="B25" i="17"/>
  <c r="B22" i="17"/>
  <c r="E20" i="38" s="1"/>
  <c r="G11" i="17"/>
  <c r="E11" i="17"/>
  <c r="D11" i="17"/>
  <c r="F10" i="17"/>
  <c r="F9" i="17"/>
  <c r="O8" i="17"/>
  <c r="N8" i="17"/>
  <c r="M8" i="17"/>
  <c r="F8" i="17"/>
  <c r="F7" i="17"/>
  <c r="F6" i="17"/>
  <c r="B6" i="17"/>
  <c r="B26" i="17"/>
  <c r="O5" i="17"/>
  <c r="N5" i="17"/>
  <c r="M5" i="17"/>
  <c r="F5" i="17"/>
  <c r="H1" i="17"/>
  <c r="B45" i="16"/>
  <c r="B42" i="16"/>
  <c r="E19" i="38" s="1"/>
  <c r="S31" i="16"/>
  <c r="M31" i="16"/>
  <c r="I31" i="16"/>
  <c r="L28" i="16"/>
  <c r="K28" i="16"/>
  <c r="S27" i="16"/>
  <c r="M27" i="16"/>
  <c r="I27" i="16"/>
  <c r="M26" i="16"/>
  <c r="S25" i="16"/>
  <c r="M25" i="16"/>
  <c r="I25" i="16"/>
  <c r="K22" i="16"/>
  <c r="G22" i="16"/>
  <c r="L19" i="16"/>
  <c r="K19" i="16"/>
  <c r="J19" i="16"/>
  <c r="H19" i="16"/>
  <c r="G19" i="16"/>
  <c r="H26" i="16"/>
  <c r="H28" i="16"/>
  <c r="F19" i="16"/>
  <c r="T18" i="16"/>
  <c r="S18" i="16"/>
  <c r="R18" i="16"/>
  <c r="M18" i="16"/>
  <c r="I18" i="16"/>
  <c r="T17" i="16"/>
  <c r="S17" i="16"/>
  <c r="R17" i="16"/>
  <c r="M17" i="16"/>
  <c r="I17" i="16"/>
  <c r="T16" i="16"/>
  <c r="S16" i="16"/>
  <c r="R16" i="16"/>
  <c r="M16" i="16"/>
  <c r="I16" i="16"/>
  <c r="T15" i="16"/>
  <c r="S15" i="16"/>
  <c r="R15" i="16"/>
  <c r="M15" i="16"/>
  <c r="I15" i="16"/>
  <c r="L12" i="16"/>
  <c r="K12" i="16"/>
  <c r="J12" i="16"/>
  <c r="H12" i="16"/>
  <c r="G12" i="16"/>
  <c r="G26" i="16"/>
  <c r="G28" i="16"/>
  <c r="F12" i="16"/>
  <c r="T11" i="16"/>
  <c r="S11" i="16"/>
  <c r="R11" i="16"/>
  <c r="M11" i="16"/>
  <c r="I11" i="16"/>
  <c r="T10" i="16"/>
  <c r="S10" i="16"/>
  <c r="R10" i="16"/>
  <c r="M10" i="16"/>
  <c r="I10" i="16"/>
  <c r="T9" i="16"/>
  <c r="S9" i="16"/>
  <c r="R9" i="16"/>
  <c r="M9" i="16"/>
  <c r="I9" i="16"/>
  <c r="T8" i="16"/>
  <c r="S8" i="16"/>
  <c r="R8" i="16"/>
  <c r="M8" i="16"/>
  <c r="I8" i="16"/>
  <c r="B8" i="16"/>
  <c r="B46" i="16"/>
  <c r="T7" i="16"/>
  <c r="S7" i="16"/>
  <c r="R7" i="16"/>
  <c r="M7" i="16"/>
  <c r="I7" i="16"/>
  <c r="M1" i="16"/>
  <c r="B33" i="14"/>
  <c r="B30" i="14"/>
  <c r="E18" i="38" s="1"/>
  <c r="I19" i="14"/>
  <c r="H19" i="14"/>
  <c r="G19" i="14"/>
  <c r="F19" i="14"/>
  <c r="G16" i="14"/>
  <c r="F16" i="14"/>
  <c r="O15" i="14"/>
  <c r="I16" i="14"/>
  <c r="H16" i="14"/>
  <c r="R14" i="14"/>
  <c r="Q14" i="14"/>
  <c r="O14" i="14"/>
  <c r="J14" i="14"/>
  <c r="R13" i="14"/>
  <c r="Q13" i="14"/>
  <c r="O13" i="14"/>
  <c r="J13" i="14"/>
  <c r="I10" i="14"/>
  <c r="H10" i="14"/>
  <c r="G10" i="14"/>
  <c r="F10" i="14"/>
  <c r="R9" i="14"/>
  <c r="Q9" i="14"/>
  <c r="O9" i="14"/>
  <c r="J9" i="14"/>
  <c r="R8" i="14"/>
  <c r="Q8" i="14"/>
  <c r="O8" i="14"/>
  <c r="J8" i="14"/>
  <c r="B8" i="14"/>
  <c r="B34" i="14"/>
  <c r="R7" i="14"/>
  <c r="Q7" i="14"/>
  <c r="O7" i="14"/>
  <c r="J7" i="14"/>
  <c r="J1" i="14"/>
  <c r="B32" i="13"/>
  <c r="B33" i="13"/>
  <c r="B34" i="13"/>
  <c r="B35" i="13"/>
  <c r="B36" i="13"/>
  <c r="B37" i="13"/>
  <c r="B38" i="13"/>
  <c r="B39" i="13"/>
  <c r="B40" i="13"/>
  <c r="B41" i="13"/>
  <c r="B42" i="13"/>
  <c r="B28" i="13"/>
  <c r="E17" i="38" s="1"/>
  <c r="N17" i="13"/>
  <c r="M17" i="13"/>
  <c r="H17" i="13"/>
  <c r="N15" i="13"/>
  <c r="M15" i="13"/>
  <c r="H15" i="13"/>
  <c r="N13" i="13"/>
  <c r="M13" i="13"/>
  <c r="H13" i="13"/>
  <c r="G12" i="13"/>
  <c r="G14" i="13"/>
  <c r="G16" i="13"/>
  <c r="G8" i="11"/>
  <c r="G10" i="11"/>
  <c r="G13" i="11"/>
  <c r="F12" i="13"/>
  <c r="AE12" i="29"/>
  <c r="N11" i="13"/>
  <c r="M11" i="13"/>
  <c r="H11" i="13"/>
  <c r="N10" i="13"/>
  <c r="M10" i="13"/>
  <c r="H10" i="13"/>
  <c r="N9" i="13"/>
  <c r="M9" i="13"/>
  <c r="H9" i="13"/>
  <c r="N8" i="13"/>
  <c r="M8" i="13"/>
  <c r="H8" i="13"/>
  <c r="N7" i="13"/>
  <c r="M7" i="13"/>
  <c r="H7" i="13"/>
  <c r="N6" i="13"/>
  <c r="M6" i="13"/>
  <c r="H6" i="13"/>
  <c r="H1" i="13"/>
  <c r="B44" i="12"/>
  <c r="E16" i="38" s="1"/>
  <c r="M30" i="12"/>
  <c r="H30" i="12"/>
  <c r="M29" i="12"/>
  <c r="H29" i="12"/>
  <c r="J25" i="12"/>
  <c r="M23" i="12"/>
  <c r="H23" i="12"/>
  <c r="G22" i="12"/>
  <c r="AF23" i="28"/>
  <c r="F22" i="12"/>
  <c r="AB23" i="27"/>
  <c r="M21" i="12"/>
  <c r="H21" i="12"/>
  <c r="M20" i="12"/>
  <c r="H20" i="12"/>
  <c r="M19" i="12"/>
  <c r="H19" i="12"/>
  <c r="B19" i="12"/>
  <c r="B20" i="12"/>
  <c r="B21" i="12"/>
  <c r="B22" i="12"/>
  <c r="B23" i="12"/>
  <c r="B24" i="12"/>
  <c r="B25" i="12"/>
  <c r="B26" i="12"/>
  <c r="B29" i="12"/>
  <c r="B30" i="12"/>
  <c r="B33" i="12"/>
  <c r="M18" i="12"/>
  <c r="H18" i="12"/>
  <c r="B15" i="12"/>
  <c r="M14" i="12"/>
  <c r="H14" i="12"/>
  <c r="G12" i="12"/>
  <c r="AF13" i="28"/>
  <c r="F12" i="12"/>
  <c r="AB13" i="27"/>
  <c r="M11" i="12"/>
  <c r="H11" i="12"/>
  <c r="M10" i="12"/>
  <c r="H10" i="12"/>
  <c r="M9" i="12"/>
  <c r="H9" i="12"/>
  <c r="M8" i="12"/>
  <c r="H8" i="12"/>
  <c r="M7" i="12"/>
  <c r="H7" i="12"/>
  <c r="B7" i="12"/>
  <c r="B8" i="12"/>
  <c r="B9" i="12"/>
  <c r="B10" i="12"/>
  <c r="B11" i="12"/>
  <c r="B12" i="12"/>
  <c r="M6" i="12"/>
  <c r="H6" i="12"/>
  <c r="H1" i="12"/>
  <c r="B29" i="11"/>
  <c r="B30" i="11"/>
  <c r="B31" i="11"/>
  <c r="B32" i="11"/>
  <c r="B33" i="11"/>
  <c r="B34" i="11"/>
  <c r="B35" i="11"/>
  <c r="B36" i="11"/>
  <c r="B25" i="11"/>
  <c r="E15" i="38" s="1"/>
  <c r="T14" i="11"/>
  <c r="M14" i="11"/>
  <c r="Q12" i="11"/>
  <c r="P12" i="11"/>
  <c r="J12" i="11"/>
  <c r="Q11" i="11"/>
  <c r="P11" i="11"/>
  <c r="J11" i="11"/>
  <c r="I10" i="11"/>
  <c r="I13" i="11"/>
  <c r="H10" i="11"/>
  <c r="H13" i="11"/>
  <c r="Q9" i="11"/>
  <c r="P9" i="11"/>
  <c r="J9" i="11"/>
  <c r="X9" i="11"/>
  <c r="Q7" i="11"/>
  <c r="P7" i="11"/>
  <c r="J7" i="11"/>
  <c r="U28" i="20"/>
  <c r="B7" i="11"/>
  <c r="B8" i="11"/>
  <c r="B9" i="11"/>
  <c r="B10" i="11"/>
  <c r="B11" i="11"/>
  <c r="B12" i="11"/>
  <c r="B13" i="11"/>
  <c r="B14" i="11"/>
  <c r="Q6" i="11"/>
  <c r="P6" i="11"/>
  <c r="J6" i="11"/>
  <c r="U23" i="20"/>
  <c r="J1" i="11"/>
  <c r="B32" i="9"/>
  <c r="E12" i="38" s="1"/>
  <c r="Q21" i="9"/>
  <c r="P21" i="9"/>
  <c r="O21" i="9"/>
  <c r="N21" i="9"/>
  <c r="Q20" i="9"/>
  <c r="P20" i="9"/>
  <c r="O20" i="9"/>
  <c r="N20" i="9"/>
  <c r="P17" i="9"/>
  <c r="O17" i="9"/>
  <c r="N17" i="9"/>
  <c r="I17" i="9"/>
  <c r="P16" i="9"/>
  <c r="O16" i="9"/>
  <c r="N16" i="9"/>
  <c r="I16" i="9"/>
  <c r="Q14" i="9"/>
  <c r="K14" i="9"/>
  <c r="Q10" i="9"/>
  <c r="Q9" i="9"/>
  <c r="K9" i="9"/>
  <c r="Q7" i="9"/>
  <c r="K7" i="9"/>
  <c r="B7" i="9"/>
  <c r="B8" i="9"/>
  <c r="B9" i="9"/>
  <c r="B10" i="9"/>
  <c r="B11" i="9"/>
  <c r="B13" i="9"/>
  <c r="B14" i="9"/>
  <c r="B16" i="9"/>
  <c r="B17" i="9"/>
  <c r="B20" i="9"/>
  <c r="B21" i="9"/>
  <c r="P6" i="9"/>
  <c r="O6" i="9"/>
  <c r="N6" i="9"/>
  <c r="I6" i="9"/>
  <c r="I8" i="9"/>
  <c r="F28" i="31"/>
  <c r="I1" i="9"/>
  <c r="B48" i="8"/>
  <c r="B45" i="8"/>
  <c r="E11" i="38" s="1"/>
  <c r="H33" i="8"/>
  <c r="G33" i="8"/>
  <c r="F33" i="8"/>
  <c r="Q32" i="8"/>
  <c r="P32" i="8"/>
  <c r="O32" i="8"/>
  <c r="I32" i="8"/>
  <c r="J32" i="8"/>
  <c r="Q31" i="8"/>
  <c r="P31" i="8"/>
  <c r="O31" i="8"/>
  <c r="I31" i="8"/>
  <c r="J31" i="8"/>
  <c r="Q30" i="8"/>
  <c r="P30" i="8"/>
  <c r="O30" i="8"/>
  <c r="I30" i="8"/>
  <c r="J30" i="8"/>
  <c r="H26" i="8"/>
  <c r="G26" i="8"/>
  <c r="F26" i="8"/>
  <c r="Q25" i="8"/>
  <c r="P25" i="8"/>
  <c r="O25" i="8"/>
  <c r="I25" i="8"/>
  <c r="J25" i="8"/>
  <c r="Q24" i="8"/>
  <c r="P24" i="8"/>
  <c r="O24" i="8"/>
  <c r="I24" i="8"/>
  <c r="J24" i="8"/>
  <c r="Q23" i="8"/>
  <c r="P23" i="8"/>
  <c r="O23" i="8"/>
  <c r="I23" i="8"/>
  <c r="J23" i="8"/>
  <c r="Q22" i="8"/>
  <c r="P22" i="8"/>
  <c r="O22" i="8"/>
  <c r="I22" i="8"/>
  <c r="J22" i="8"/>
  <c r="Q18" i="8"/>
  <c r="P18" i="8"/>
  <c r="O18" i="8"/>
  <c r="I18" i="8"/>
  <c r="J18" i="8"/>
  <c r="Q17" i="8"/>
  <c r="P17" i="8"/>
  <c r="O17" i="8"/>
  <c r="I17" i="8"/>
  <c r="J17" i="8"/>
  <c r="Q14" i="8"/>
  <c r="P14" i="8"/>
  <c r="O14" i="8"/>
  <c r="I14" i="8"/>
  <c r="J14" i="8"/>
  <c r="Q13" i="8"/>
  <c r="P13" i="8"/>
  <c r="O13" i="8"/>
  <c r="I13" i="8"/>
  <c r="J13" i="8"/>
  <c r="Q12" i="8"/>
  <c r="P12" i="8"/>
  <c r="O12" i="8"/>
  <c r="I12" i="8"/>
  <c r="J12" i="8"/>
  <c r="Q11" i="8"/>
  <c r="P11" i="8"/>
  <c r="O11" i="8"/>
  <c r="I11" i="8"/>
  <c r="J11" i="8"/>
  <c r="Q10" i="8"/>
  <c r="P10" i="8"/>
  <c r="O10" i="8"/>
  <c r="I10" i="8"/>
  <c r="J10" i="8"/>
  <c r="Q9" i="8"/>
  <c r="P9" i="8"/>
  <c r="O9" i="8"/>
  <c r="I9" i="8"/>
  <c r="J9" i="8"/>
  <c r="Q8" i="8"/>
  <c r="P8" i="8"/>
  <c r="O8" i="8"/>
  <c r="I8" i="8"/>
  <c r="J8" i="8"/>
  <c r="B8" i="8"/>
  <c r="J1" i="8"/>
  <c r="B61" i="7"/>
  <c r="B58" i="7"/>
  <c r="E10" i="38" s="1"/>
  <c r="H47" i="7"/>
  <c r="G47" i="7"/>
  <c r="F47" i="7"/>
  <c r="Q46" i="7"/>
  <c r="P46" i="7"/>
  <c r="O46" i="7"/>
  <c r="I46" i="7"/>
  <c r="J46" i="7"/>
  <c r="Q45" i="7"/>
  <c r="P45" i="7"/>
  <c r="O45" i="7"/>
  <c r="I45" i="7"/>
  <c r="J45" i="7"/>
  <c r="H41" i="7"/>
  <c r="G41" i="7"/>
  <c r="F41" i="7"/>
  <c r="Q40" i="7"/>
  <c r="P40" i="7"/>
  <c r="O40" i="7"/>
  <c r="I40" i="7"/>
  <c r="J40" i="7"/>
  <c r="Q39" i="7"/>
  <c r="P39" i="7"/>
  <c r="O39" i="7"/>
  <c r="I39" i="7"/>
  <c r="J39" i="7"/>
  <c r="Q38" i="7"/>
  <c r="P38" i="7"/>
  <c r="O38" i="7"/>
  <c r="I38" i="7"/>
  <c r="J38" i="7"/>
  <c r="Q37" i="7"/>
  <c r="P37" i="7"/>
  <c r="O37" i="7"/>
  <c r="I37" i="7"/>
  <c r="J37" i="7"/>
  <c r="Q36" i="7"/>
  <c r="P36" i="7"/>
  <c r="O36" i="7"/>
  <c r="I36" i="7"/>
  <c r="J36" i="7"/>
  <c r="Q35" i="7"/>
  <c r="P35" i="7"/>
  <c r="O35" i="7"/>
  <c r="I35" i="7"/>
  <c r="J35" i="7"/>
  <c r="Q34" i="7"/>
  <c r="P34" i="7"/>
  <c r="O34" i="7"/>
  <c r="I34" i="7"/>
  <c r="J34" i="7"/>
  <c r="Q33" i="7"/>
  <c r="P33" i="7"/>
  <c r="O33" i="7"/>
  <c r="I33" i="7"/>
  <c r="J33" i="7"/>
  <c r="H29" i="7"/>
  <c r="G29" i="7"/>
  <c r="F29" i="7"/>
  <c r="Q28" i="7"/>
  <c r="P28" i="7"/>
  <c r="O28" i="7"/>
  <c r="I28" i="7"/>
  <c r="J28" i="7"/>
  <c r="Q27" i="7"/>
  <c r="P27" i="7"/>
  <c r="O27" i="7"/>
  <c r="I27" i="7"/>
  <c r="J27" i="7"/>
  <c r="Q26" i="7"/>
  <c r="P26" i="7"/>
  <c r="O26" i="7"/>
  <c r="I26" i="7"/>
  <c r="J26" i="7"/>
  <c r="Q25" i="7"/>
  <c r="P25" i="7"/>
  <c r="O25" i="7"/>
  <c r="I25" i="7"/>
  <c r="J25" i="7"/>
  <c r="Q24" i="7"/>
  <c r="P24" i="7"/>
  <c r="O24" i="7"/>
  <c r="I24" i="7"/>
  <c r="J24" i="7"/>
  <c r="Q23" i="7"/>
  <c r="P23" i="7"/>
  <c r="O23" i="7"/>
  <c r="I23" i="7"/>
  <c r="J23" i="7"/>
  <c r="H20" i="7"/>
  <c r="G20" i="7"/>
  <c r="F20" i="7"/>
  <c r="Q19" i="7"/>
  <c r="P19" i="7"/>
  <c r="O19" i="7"/>
  <c r="I19" i="7"/>
  <c r="J19" i="7"/>
  <c r="Q18" i="7"/>
  <c r="P18" i="7"/>
  <c r="O18" i="7"/>
  <c r="I18" i="7"/>
  <c r="J18" i="7"/>
  <c r="Q17" i="7"/>
  <c r="P17" i="7"/>
  <c r="O17" i="7"/>
  <c r="I17" i="7"/>
  <c r="J17" i="7"/>
  <c r="Q16" i="7"/>
  <c r="P16" i="7"/>
  <c r="O16" i="7"/>
  <c r="I16" i="7"/>
  <c r="J16" i="7"/>
  <c r="H13" i="7"/>
  <c r="G13" i="7"/>
  <c r="F13" i="7"/>
  <c r="Q12" i="7"/>
  <c r="P12" i="7"/>
  <c r="O12" i="7"/>
  <c r="I12" i="7"/>
  <c r="J12" i="7"/>
  <c r="Q11" i="7"/>
  <c r="P11" i="7"/>
  <c r="O11" i="7"/>
  <c r="I11" i="7"/>
  <c r="J11" i="7"/>
  <c r="Q10" i="7"/>
  <c r="P10" i="7"/>
  <c r="O10" i="7"/>
  <c r="I10" i="7"/>
  <c r="J10" i="7"/>
  <c r="Q9" i="7"/>
  <c r="P9" i="7"/>
  <c r="O9" i="7"/>
  <c r="I9" i="7"/>
  <c r="J9" i="7"/>
  <c r="Q8" i="7"/>
  <c r="P8" i="7"/>
  <c r="O8" i="7"/>
  <c r="I8" i="7"/>
  <c r="J8" i="7"/>
  <c r="B8" i="7"/>
  <c r="B9" i="7"/>
  <c r="Q7" i="7"/>
  <c r="P7" i="7"/>
  <c r="O7" i="7"/>
  <c r="I7" i="7"/>
  <c r="J7" i="7"/>
  <c r="J1" i="7"/>
  <c r="B23" i="6"/>
  <c r="B20" i="6"/>
  <c r="E9" i="38" s="1"/>
  <c r="Q8" i="6"/>
  <c r="P8" i="6"/>
  <c r="O8" i="6"/>
  <c r="I8" i="6"/>
  <c r="J8" i="6"/>
  <c r="Q7" i="6"/>
  <c r="P7" i="6"/>
  <c r="O7" i="6"/>
  <c r="I7" i="6"/>
  <c r="J7" i="6"/>
  <c r="B7" i="6"/>
  <c r="B24" i="6"/>
  <c r="J1" i="6"/>
  <c r="B36" i="5"/>
  <c r="B33" i="5"/>
  <c r="E8" i="38" s="1"/>
  <c r="Q21" i="5"/>
  <c r="P21" i="5"/>
  <c r="O21" i="5"/>
  <c r="I21" i="5"/>
  <c r="J21" i="5"/>
  <c r="Q20" i="5"/>
  <c r="P20" i="5"/>
  <c r="O20" i="5"/>
  <c r="I20" i="5"/>
  <c r="J20" i="5"/>
  <c r="Q17" i="5"/>
  <c r="P17" i="5"/>
  <c r="O17" i="5"/>
  <c r="I17" i="5"/>
  <c r="J17" i="5"/>
  <c r="Q14" i="5"/>
  <c r="P14" i="5"/>
  <c r="O14" i="5"/>
  <c r="I14" i="5"/>
  <c r="J14" i="5"/>
  <c r="Q13" i="5"/>
  <c r="P13" i="5"/>
  <c r="O13" i="5"/>
  <c r="I13" i="5"/>
  <c r="J13" i="5"/>
  <c r="Q12" i="5"/>
  <c r="P12" i="5"/>
  <c r="O12" i="5"/>
  <c r="I12" i="5"/>
  <c r="J12" i="5"/>
  <c r="Q11" i="5"/>
  <c r="P11" i="5"/>
  <c r="O11" i="5"/>
  <c r="I11" i="5"/>
  <c r="J11" i="5"/>
  <c r="H9" i="5"/>
  <c r="H7" i="8"/>
  <c r="H15" i="8"/>
  <c r="H19" i="8"/>
  <c r="G9" i="5"/>
  <c r="G7" i="8"/>
  <c r="G15" i="8"/>
  <c r="F9" i="5"/>
  <c r="F7" i="8"/>
  <c r="Q8" i="5"/>
  <c r="P8" i="5"/>
  <c r="O8" i="5"/>
  <c r="I8" i="5"/>
  <c r="J8" i="5"/>
  <c r="Y9" i="11"/>
  <c r="Q7" i="5"/>
  <c r="P7" i="5"/>
  <c r="O7" i="5"/>
  <c r="I7" i="5"/>
  <c r="J7" i="5"/>
  <c r="Y8" i="11"/>
  <c r="B7" i="5"/>
  <c r="B37" i="5"/>
  <c r="Q6" i="5"/>
  <c r="P6" i="5"/>
  <c r="O6" i="5"/>
  <c r="I6" i="5"/>
  <c r="J6" i="5"/>
  <c r="Y6" i="11"/>
  <c r="J1" i="5"/>
  <c r="O9" i="17"/>
  <c r="H11" i="17"/>
  <c r="R29" i="18"/>
  <c r="D21" i="38"/>
  <c r="B8" i="26"/>
  <c r="B9" i="26"/>
  <c r="B26" i="26"/>
  <c r="B24" i="26"/>
  <c r="B9" i="16"/>
  <c r="B10" i="16"/>
  <c r="B48" i="16"/>
  <c r="R31" i="19"/>
  <c r="I27" i="27"/>
  <c r="I32" i="27"/>
  <c r="I41" i="27"/>
  <c r="C9" i="38"/>
  <c r="Y22" i="27"/>
  <c r="N22" i="27"/>
  <c r="N10" i="29"/>
  <c r="AD10" i="29"/>
  <c r="AB10" i="29"/>
  <c r="P10" i="29"/>
  <c r="C8" i="38"/>
  <c r="H27" i="28"/>
  <c r="H32" i="28"/>
  <c r="L27" i="28"/>
  <c r="L32" i="28"/>
  <c r="I27" i="28"/>
  <c r="I32" i="28"/>
  <c r="M27" i="28"/>
  <c r="M32" i="28"/>
  <c r="C33" i="38"/>
  <c r="N16" i="28"/>
  <c r="AE16" i="28"/>
  <c r="C32" i="38"/>
  <c r="H6" i="26"/>
  <c r="C31" i="38"/>
  <c r="F29" i="19"/>
  <c r="F27" i="18"/>
  <c r="F29" i="18"/>
  <c r="C17" i="38"/>
  <c r="Y8" i="27"/>
  <c r="N8" i="27"/>
  <c r="Y9" i="27"/>
  <c r="N9" i="27"/>
  <c r="C11" i="38"/>
  <c r="C10" i="38"/>
  <c r="L24" i="7"/>
  <c r="I13" i="7"/>
  <c r="K10" i="9"/>
  <c r="C12" i="38"/>
  <c r="L16" i="27"/>
  <c r="C36" i="38"/>
  <c r="I9" i="31"/>
  <c r="J29" i="18"/>
  <c r="J31" i="19"/>
  <c r="D22" i="38"/>
  <c r="C37" i="38"/>
  <c r="C22" i="18"/>
  <c r="C18" i="18"/>
  <c r="C14" i="18"/>
  <c r="C10" i="18"/>
  <c r="C15" i="18"/>
  <c r="C25" i="18"/>
  <c r="C21" i="18"/>
  <c r="C17" i="18"/>
  <c r="C13" i="18"/>
  <c r="C9" i="18"/>
  <c r="C19" i="18"/>
  <c r="C24" i="18"/>
  <c r="C20" i="18"/>
  <c r="C16" i="18"/>
  <c r="C12" i="18"/>
  <c r="C23" i="18"/>
  <c r="C11" i="18"/>
  <c r="C25" i="19"/>
  <c r="C21" i="19"/>
  <c r="C17" i="19"/>
  <c r="C13" i="19"/>
  <c r="C9" i="19"/>
  <c r="C22" i="19"/>
  <c r="C10" i="19"/>
  <c r="C28" i="19"/>
  <c r="C24" i="19"/>
  <c r="C20" i="19"/>
  <c r="C16" i="19"/>
  <c r="C12" i="19"/>
  <c r="C26" i="19"/>
  <c r="C14" i="19"/>
  <c r="C27" i="19"/>
  <c r="C23" i="19"/>
  <c r="C19" i="19"/>
  <c r="C15" i="19"/>
  <c r="C11" i="19"/>
  <c r="C18" i="19"/>
  <c r="D6" i="22"/>
  <c r="C5" i="22"/>
  <c r="Z5" i="22"/>
  <c r="E6" i="22"/>
  <c r="C6" i="22"/>
  <c r="T6" i="22"/>
  <c r="E5" i="22"/>
  <c r="D5" i="22"/>
  <c r="Q23" i="32"/>
  <c r="H35" i="32"/>
  <c r="K20" i="20"/>
  <c r="N7" i="29"/>
  <c r="AD7" i="29"/>
  <c r="AB7" i="29"/>
  <c r="J8" i="13"/>
  <c r="F25" i="12"/>
  <c r="AB26" i="27"/>
  <c r="Y26" i="27"/>
  <c r="N26" i="27"/>
  <c r="AC12" i="28"/>
  <c r="P12" i="28"/>
  <c r="AC22" i="28"/>
  <c r="P22" i="28"/>
  <c r="L21" i="5"/>
  <c r="L12" i="7"/>
  <c r="L16" i="7"/>
  <c r="L13" i="8"/>
  <c r="L40" i="7"/>
  <c r="K17" i="9"/>
  <c r="G18" i="14"/>
  <c r="F17" i="20"/>
  <c r="H23" i="20"/>
  <c r="O9" i="27"/>
  <c r="Y24" i="27"/>
  <c r="N24" i="27"/>
  <c r="AC7" i="28"/>
  <c r="P7" i="28"/>
  <c r="AC19" i="28"/>
  <c r="P19" i="28"/>
  <c r="Q22" i="28"/>
  <c r="H5" i="30"/>
  <c r="Q15" i="32"/>
  <c r="H15" i="5"/>
  <c r="H18" i="5"/>
  <c r="H22" i="5"/>
  <c r="H6" i="6"/>
  <c r="H9" i="6"/>
  <c r="L38" i="7"/>
  <c r="L46" i="7"/>
  <c r="I47" i="7"/>
  <c r="J47" i="7"/>
  <c r="B62" i="7"/>
  <c r="L12" i="8"/>
  <c r="I33" i="8"/>
  <c r="H22" i="12"/>
  <c r="H24" i="12"/>
  <c r="M19" i="16"/>
  <c r="K22" i="20"/>
  <c r="AC21" i="28"/>
  <c r="P21" i="28"/>
  <c r="AC30" i="28"/>
  <c r="P30" i="28"/>
  <c r="J6" i="13"/>
  <c r="J10" i="13"/>
  <c r="J19" i="14"/>
  <c r="F18" i="14"/>
  <c r="O7" i="16"/>
  <c r="O9" i="16"/>
  <c r="M12" i="16"/>
  <c r="K7" i="20"/>
  <c r="K21" i="20"/>
  <c r="Y12" i="27"/>
  <c r="N12" i="27"/>
  <c r="O21" i="27"/>
  <c r="O31" i="27"/>
  <c r="B58" i="28"/>
  <c r="L20" i="5"/>
  <c r="L8" i="7"/>
  <c r="L39" i="7"/>
  <c r="L11" i="8"/>
  <c r="L32" i="8"/>
  <c r="K16" i="9"/>
  <c r="J13" i="13"/>
  <c r="B7" i="17"/>
  <c r="K6" i="18"/>
  <c r="K6" i="20"/>
  <c r="U29" i="20"/>
  <c r="Y10" i="27"/>
  <c r="N10" i="27"/>
  <c r="Y11" i="27"/>
  <c r="N11" i="27"/>
  <c r="J27" i="27"/>
  <c r="J32" i="27"/>
  <c r="Y30" i="27"/>
  <c r="N30" i="27"/>
  <c r="Y31" i="27"/>
  <c r="N31" i="27"/>
  <c r="AC10" i="28"/>
  <c r="P10" i="28"/>
  <c r="AC11" i="28"/>
  <c r="P11" i="28"/>
  <c r="J27" i="28"/>
  <c r="J32" i="28"/>
  <c r="Q19" i="28"/>
  <c r="Q24" i="28"/>
  <c r="B10" i="29"/>
  <c r="B11" i="29"/>
  <c r="B12" i="29"/>
  <c r="Q10" i="32"/>
  <c r="Q31" i="32"/>
  <c r="L7" i="6"/>
  <c r="L11" i="7"/>
  <c r="I20" i="7"/>
  <c r="J20" i="7"/>
  <c r="L27" i="7"/>
  <c r="L18" i="8"/>
  <c r="L25" i="8"/>
  <c r="I26" i="8"/>
  <c r="J26" i="8"/>
  <c r="L30" i="8"/>
  <c r="O18" i="16"/>
  <c r="I19" i="16"/>
  <c r="Q28" i="32"/>
  <c r="L11" i="5"/>
  <c r="L26" i="7"/>
  <c r="L36" i="7"/>
  <c r="L24" i="8"/>
  <c r="H12" i="13"/>
  <c r="H14" i="13"/>
  <c r="H16" i="13"/>
  <c r="J7" i="13"/>
  <c r="J11" i="13"/>
  <c r="J17" i="13"/>
  <c r="H18" i="14"/>
  <c r="O10" i="16"/>
  <c r="O16" i="16"/>
  <c r="K26" i="18"/>
  <c r="H9" i="20"/>
  <c r="F34" i="20"/>
  <c r="K8" i="20"/>
  <c r="G17" i="20"/>
  <c r="F13" i="31"/>
  <c r="K37" i="20"/>
  <c r="Y19" i="27"/>
  <c r="N19" i="27"/>
  <c r="Y21" i="27"/>
  <c r="N21" i="27"/>
  <c r="AC9" i="28"/>
  <c r="P9" i="28"/>
  <c r="Q12" i="28"/>
  <c r="Q31" i="28"/>
  <c r="AC31" i="28"/>
  <c r="P31" i="28"/>
  <c r="N8" i="29"/>
  <c r="AD8" i="29"/>
  <c r="AB8" i="29"/>
  <c r="P8" i="29"/>
  <c r="H8" i="30"/>
  <c r="Q16" i="32"/>
  <c r="Q21" i="32"/>
  <c r="Q22" i="32"/>
  <c r="I25" i="32"/>
  <c r="B7" i="22"/>
  <c r="L10" i="7"/>
  <c r="O15" i="27"/>
  <c r="Y20" i="27"/>
  <c r="N20" i="27"/>
  <c r="Q29" i="32"/>
  <c r="L7" i="7"/>
  <c r="F24" i="12"/>
  <c r="AB25" i="27"/>
  <c r="I18" i="14"/>
  <c r="I12" i="16"/>
  <c r="O15" i="16"/>
  <c r="B47" i="16"/>
  <c r="J5" i="17"/>
  <c r="J8" i="17"/>
  <c r="F31" i="19"/>
  <c r="H15" i="20"/>
  <c r="G34" i="20"/>
  <c r="K12" i="24"/>
  <c r="O7" i="27"/>
  <c r="O10" i="27"/>
  <c r="O12" i="27"/>
  <c r="O20" i="27"/>
  <c r="O26" i="27"/>
  <c r="Q8" i="28"/>
  <c r="Q11" i="28"/>
  <c r="Q26" i="28"/>
  <c r="F30" i="7"/>
  <c r="F42" i="7"/>
  <c r="L17" i="5"/>
  <c r="B8" i="6"/>
  <c r="B9" i="6"/>
  <c r="B26" i="6"/>
  <c r="L17" i="7"/>
  <c r="I29" i="7"/>
  <c r="J29" i="7"/>
  <c r="L34" i="7"/>
  <c r="L10" i="8"/>
  <c r="L17" i="8"/>
  <c r="L7" i="5"/>
  <c r="L13" i="5"/>
  <c r="L14" i="5"/>
  <c r="L19" i="7"/>
  <c r="L25" i="7"/>
  <c r="G30" i="7"/>
  <c r="G42" i="7"/>
  <c r="L9" i="8"/>
  <c r="L22" i="8"/>
  <c r="L23" i="8"/>
  <c r="J33" i="8"/>
  <c r="K6" i="9"/>
  <c r="K20" i="9"/>
  <c r="K21" i="9"/>
  <c r="H7" i="26"/>
  <c r="O11" i="27"/>
  <c r="Q10" i="28"/>
  <c r="AC20" i="28"/>
  <c r="P20" i="28"/>
  <c r="Q21" i="28"/>
  <c r="J35" i="32"/>
  <c r="N13" i="28"/>
  <c r="AE13" i="28"/>
  <c r="AC13" i="28"/>
  <c r="Q30" i="28"/>
  <c r="N11" i="29"/>
  <c r="AD11" i="29"/>
  <c r="AB11" i="29"/>
  <c r="P11" i="29"/>
  <c r="Q9" i="32"/>
  <c r="F35" i="32"/>
  <c r="Q14" i="32"/>
  <c r="H27" i="8"/>
  <c r="H34" i="8"/>
  <c r="L28" i="7"/>
  <c r="L33" i="7"/>
  <c r="L37" i="7"/>
  <c r="I41" i="7"/>
  <c r="J41" i="7"/>
  <c r="L45" i="7"/>
  <c r="H12" i="12"/>
  <c r="H15" i="12"/>
  <c r="J9" i="13"/>
  <c r="J15" i="13"/>
  <c r="J15" i="14"/>
  <c r="O8" i="16"/>
  <c r="O11" i="16"/>
  <c r="M28" i="16"/>
  <c r="K8" i="24"/>
  <c r="K13" i="24"/>
  <c r="Y7" i="27"/>
  <c r="N7" i="27"/>
  <c r="H27" i="27"/>
  <c r="H32" i="27"/>
  <c r="Y15" i="27"/>
  <c r="N15" i="27"/>
  <c r="O22" i="27"/>
  <c r="AC8" i="28"/>
  <c r="P8" i="28"/>
  <c r="G27" i="28"/>
  <c r="G32" i="28"/>
  <c r="K27" i="28"/>
  <c r="K32" i="28"/>
  <c r="Q15" i="28"/>
  <c r="AC15" i="28"/>
  <c r="P15" i="28"/>
  <c r="N25" i="28"/>
  <c r="AE25" i="28"/>
  <c r="AC24" i="28"/>
  <c r="P24" i="28"/>
  <c r="I12" i="29"/>
  <c r="I14" i="29"/>
  <c r="N9" i="29"/>
  <c r="AD9" i="29"/>
  <c r="AB9" i="29"/>
  <c r="P9" i="29"/>
  <c r="N13" i="29"/>
  <c r="AD13" i="29"/>
  <c r="AB13" i="29"/>
  <c r="P13" i="29"/>
  <c r="Q8" i="32"/>
  <c r="G35" i="32"/>
  <c r="Q24" i="32"/>
  <c r="Q30" i="32"/>
  <c r="B63" i="7"/>
  <c r="B10" i="7"/>
  <c r="G31" i="19"/>
  <c r="H29" i="19"/>
  <c r="H31" i="19"/>
  <c r="R28" i="20"/>
  <c r="J28" i="20"/>
  <c r="AE35" i="32"/>
  <c r="G19" i="8"/>
  <c r="I15" i="8"/>
  <c r="R11" i="11"/>
  <c r="N14" i="12"/>
  <c r="J14" i="12"/>
  <c r="J10" i="14"/>
  <c r="B11" i="16"/>
  <c r="T25" i="16"/>
  <c r="G29" i="18"/>
  <c r="H27" i="18"/>
  <c r="H29" i="18"/>
  <c r="K6" i="19"/>
  <c r="O13" i="20"/>
  <c r="N7" i="12"/>
  <c r="J7" i="12"/>
  <c r="L6" i="5"/>
  <c r="J13" i="7"/>
  <c r="L8" i="5"/>
  <c r="G15" i="5"/>
  <c r="I9" i="5"/>
  <c r="J9" i="5"/>
  <c r="L12" i="5"/>
  <c r="L9" i="7"/>
  <c r="L18" i="7"/>
  <c r="H30" i="7"/>
  <c r="H42" i="7"/>
  <c r="I7" i="8"/>
  <c r="J7" i="8"/>
  <c r="L8" i="8"/>
  <c r="F15" i="8"/>
  <c r="L31" i="8"/>
  <c r="S6" i="11"/>
  <c r="V9" i="11"/>
  <c r="L9" i="11"/>
  <c r="R9" i="11"/>
  <c r="S12" i="11"/>
  <c r="N18" i="12"/>
  <c r="J18" i="12"/>
  <c r="N23" i="12"/>
  <c r="J23" i="12"/>
  <c r="J16" i="14"/>
  <c r="G25" i="12"/>
  <c r="AF26" i="28"/>
  <c r="AC26" i="28"/>
  <c r="P26" i="28"/>
  <c r="O17" i="16"/>
  <c r="I28" i="16"/>
  <c r="T31" i="16"/>
  <c r="O31" i="16"/>
  <c r="F11" i="17"/>
  <c r="M7" i="17"/>
  <c r="N12" i="30"/>
  <c r="J12" i="30"/>
  <c r="X13" i="29"/>
  <c r="U11" i="29"/>
  <c r="X10" i="29"/>
  <c r="Q10" i="29"/>
  <c r="X9" i="29"/>
  <c r="N14" i="30"/>
  <c r="J14" i="30"/>
  <c r="N7" i="30"/>
  <c r="U8" i="29"/>
  <c r="X7" i="29"/>
  <c r="N13" i="30"/>
  <c r="J13" i="30"/>
  <c r="U9" i="29"/>
  <c r="N17" i="30"/>
  <c r="J17" i="30"/>
  <c r="U7" i="29"/>
  <c r="O15" i="25"/>
  <c r="K15" i="25"/>
  <c r="O11" i="25"/>
  <c r="K11" i="25"/>
  <c r="X8" i="29"/>
  <c r="O19" i="24"/>
  <c r="K19" i="24"/>
  <c r="O10" i="24"/>
  <c r="N9" i="24"/>
  <c r="O12" i="25"/>
  <c r="K12" i="25"/>
  <c r="O10" i="25"/>
  <c r="X11" i="29"/>
  <c r="O18" i="24"/>
  <c r="K18" i="24"/>
  <c r="N10" i="24"/>
  <c r="U13" i="29"/>
  <c r="N11" i="30"/>
  <c r="J11" i="30"/>
  <c r="O16" i="25"/>
  <c r="K16" i="25"/>
  <c r="O9" i="24"/>
  <c r="N14" i="20"/>
  <c r="N13" i="20"/>
  <c r="N12" i="20"/>
  <c r="O10" i="17"/>
  <c r="N9" i="17"/>
  <c r="O6" i="17"/>
  <c r="T27" i="16"/>
  <c r="O27" i="16"/>
  <c r="P7" i="14"/>
  <c r="N30" i="12"/>
  <c r="J30" i="12"/>
  <c r="N21" i="12"/>
  <c r="J21" i="12"/>
  <c r="N10" i="12"/>
  <c r="J10" i="12"/>
  <c r="N6" i="12"/>
  <c r="R12" i="11"/>
  <c r="R6" i="11"/>
  <c r="N10" i="17"/>
  <c r="M9" i="17"/>
  <c r="O7" i="17"/>
  <c r="N6" i="17"/>
  <c r="P15" i="14"/>
  <c r="L15" i="14"/>
  <c r="P13" i="14"/>
  <c r="L13" i="14"/>
  <c r="P8" i="14"/>
  <c r="L8" i="14"/>
  <c r="N29" i="12"/>
  <c r="J29" i="12"/>
  <c r="N20" i="12"/>
  <c r="J20" i="12"/>
  <c r="N9" i="12"/>
  <c r="J9" i="12"/>
  <c r="S8" i="11"/>
  <c r="S7" i="11"/>
  <c r="M10" i="17"/>
  <c r="N7" i="17"/>
  <c r="M6" i="17"/>
  <c r="P14" i="14"/>
  <c r="L14" i="14"/>
  <c r="P9" i="14"/>
  <c r="L9" i="14"/>
  <c r="N19" i="12"/>
  <c r="J19" i="12"/>
  <c r="N8" i="12"/>
  <c r="J8" i="12"/>
  <c r="S11" i="11"/>
  <c r="S9" i="11"/>
  <c r="R8" i="11"/>
  <c r="R7" i="11"/>
  <c r="B8" i="5"/>
  <c r="F15" i="5"/>
  <c r="L8" i="6"/>
  <c r="L23" i="7"/>
  <c r="L35" i="7"/>
  <c r="B9" i="8"/>
  <c r="B49" i="8"/>
  <c r="L14" i="8"/>
  <c r="N11" i="12"/>
  <c r="J11" i="12"/>
  <c r="I26" i="16"/>
  <c r="B8" i="17"/>
  <c r="B27" i="17"/>
  <c r="O12" i="20"/>
  <c r="O14" i="20"/>
  <c r="F35" i="20"/>
  <c r="F14" i="13"/>
  <c r="F16" i="13"/>
  <c r="F8" i="11"/>
  <c r="B9" i="14"/>
  <c r="G35" i="20"/>
  <c r="F29" i="31"/>
  <c r="F30" i="31"/>
  <c r="I11" i="9"/>
  <c r="I13" i="9"/>
  <c r="F8" i="31"/>
  <c r="F25" i="31"/>
  <c r="X6" i="11"/>
  <c r="V6" i="11"/>
  <c r="F15" i="12"/>
  <c r="F6" i="30"/>
  <c r="G15" i="12"/>
  <c r="G6" i="30"/>
  <c r="G24" i="12"/>
  <c r="AF25" i="28"/>
  <c r="L25" i="27"/>
  <c r="AA25" i="27"/>
  <c r="B56" i="27"/>
  <c r="B9" i="27"/>
  <c r="K27" i="27"/>
  <c r="K32" i="27"/>
  <c r="G27" i="27"/>
  <c r="G32" i="27"/>
  <c r="O19" i="27"/>
  <c r="O30" i="27"/>
  <c r="B25" i="26"/>
  <c r="O8" i="27"/>
  <c r="F27" i="27"/>
  <c r="AA16" i="27"/>
  <c r="Q7" i="28"/>
  <c r="Q9" i="28"/>
  <c r="L13" i="27"/>
  <c r="AA13" i="27"/>
  <c r="Y13" i="27"/>
  <c r="N23" i="28"/>
  <c r="AE23" i="28"/>
  <c r="AC23" i="28"/>
  <c r="P23" i="28"/>
  <c r="L23" i="27"/>
  <c r="AA23" i="27"/>
  <c r="Y23" i="27"/>
  <c r="N23" i="27"/>
  <c r="O24" i="27"/>
  <c r="B59" i="28"/>
  <c r="B10" i="28"/>
  <c r="F27" i="28"/>
  <c r="K35" i="32"/>
  <c r="Q17" i="32"/>
  <c r="Q20" i="28"/>
  <c r="M12" i="29"/>
  <c r="J14" i="29"/>
  <c r="M14" i="29"/>
  <c r="B37" i="29"/>
  <c r="I11" i="32"/>
  <c r="B7" i="30"/>
  <c r="C7" i="22"/>
  <c r="E7" i="22"/>
  <c r="D7" i="22"/>
  <c r="F12" i="31"/>
  <c r="W6" i="22"/>
  <c r="B25" i="6"/>
  <c r="I35" i="32"/>
  <c r="AD35" i="32"/>
  <c r="AB35" i="32"/>
  <c r="Y25" i="27"/>
  <c r="N25" i="27"/>
  <c r="I42" i="7"/>
  <c r="J42" i="7"/>
  <c r="W5" i="22"/>
  <c r="N12" i="29"/>
  <c r="AD12" i="29"/>
  <c r="AB12" i="29"/>
  <c r="D34" i="38"/>
  <c r="AJ5" i="22"/>
  <c r="AK5" i="22"/>
  <c r="AD5" i="22"/>
  <c r="P7" i="29"/>
  <c r="T5" i="22"/>
  <c r="AN5" i="22"/>
  <c r="AO5" i="22"/>
  <c r="AE5" i="22"/>
  <c r="Y5" i="22"/>
  <c r="AA5" i="22"/>
  <c r="U5" i="22"/>
  <c r="C20" i="38"/>
  <c r="C30" i="38"/>
  <c r="C34" i="38"/>
  <c r="C15" i="38"/>
  <c r="C16" i="38"/>
  <c r="C18" i="38"/>
  <c r="C23" i="38"/>
  <c r="C29" i="38"/>
  <c r="C35" i="38"/>
  <c r="C19" i="38"/>
  <c r="M7" i="11"/>
  <c r="M12" i="11"/>
  <c r="L7" i="14"/>
  <c r="J7" i="30"/>
  <c r="X5" i="22"/>
  <c r="V5" i="22"/>
  <c r="AR5" i="22"/>
  <c r="AS5" i="22"/>
  <c r="AF5" i="22"/>
  <c r="AB5" i="22"/>
  <c r="M11" i="11"/>
  <c r="AC25" i="28"/>
  <c r="P25" i="28"/>
  <c r="M8" i="11"/>
  <c r="J9" i="17"/>
  <c r="F36" i="20"/>
  <c r="F38" i="20"/>
  <c r="N14" i="29"/>
  <c r="B40" i="29"/>
  <c r="X6" i="22"/>
  <c r="AA6" i="22"/>
  <c r="Q9" i="29"/>
  <c r="I30" i="7"/>
  <c r="J30" i="7"/>
  <c r="H17" i="20"/>
  <c r="U6" i="22"/>
  <c r="AB6" i="22"/>
  <c r="P30" i="31"/>
  <c r="N30" i="31"/>
  <c r="B39" i="29"/>
  <c r="K12" i="20"/>
  <c r="Q11" i="29"/>
  <c r="Y6" i="22"/>
  <c r="AR6" i="22"/>
  <c r="AS6" i="22"/>
  <c r="AF6" i="22"/>
  <c r="Z6" i="22"/>
  <c r="AJ6" i="22"/>
  <c r="AK6" i="22"/>
  <c r="AD6" i="22"/>
  <c r="V6" i="22"/>
  <c r="AN6" i="22"/>
  <c r="AO6" i="22"/>
  <c r="AE6" i="22"/>
  <c r="H25" i="12"/>
  <c r="K10" i="24"/>
  <c r="Q8" i="29"/>
  <c r="M9" i="11"/>
  <c r="B8" i="22"/>
  <c r="O20" i="18"/>
  <c r="N20" i="18"/>
  <c r="P20" i="18"/>
  <c r="O16" i="18"/>
  <c r="N16" i="18"/>
  <c r="P16" i="18"/>
  <c r="AB16" i="27"/>
  <c r="Y16" i="27"/>
  <c r="F26" i="12"/>
  <c r="B50" i="8"/>
  <c r="B10" i="8"/>
  <c r="P11" i="19"/>
  <c r="O11" i="19"/>
  <c r="N11" i="19"/>
  <c r="P19" i="19"/>
  <c r="O19" i="19"/>
  <c r="N19" i="19"/>
  <c r="P23" i="19"/>
  <c r="O23" i="19"/>
  <c r="N23" i="19"/>
  <c r="O25" i="18"/>
  <c r="N25" i="18"/>
  <c r="P25" i="18"/>
  <c r="G18" i="5"/>
  <c r="I15" i="5"/>
  <c r="J15" i="5"/>
  <c r="F21" i="31"/>
  <c r="J6" i="12"/>
  <c r="O23" i="18"/>
  <c r="N23" i="18"/>
  <c r="P23" i="18"/>
  <c r="O15" i="18"/>
  <c r="N15" i="18"/>
  <c r="P15" i="18"/>
  <c r="F7" i="31"/>
  <c r="F6" i="31"/>
  <c r="J10" i="17"/>
  <c r="P16" i="19"/>
  <c r="O16" i="19"/>
  <c r="N16" i="19"/>
  <c r="P28" i="19"/>
  <c r="O28" i="19"/>
  <c r="N28" i="19"/>
  <c r="J15" i="8"/>
  <c r="F19" i="8"/>
  <c r="B12" i="16"/>
  <c r="B49" i="16"/>
  <c r="G27" i="8"/>
  <c r="I19" i="8"/>
  <c r="B13" i="29"/>
  <c r="B41" i="29"/>
  <c r="N13" i="27"/>
  <c r="L27" i="27"/>
  <c r="AA27" i="27"/>
  <c r="F32" i="27"/>
  <c r="L32" i="27"/>
  <c r="AA32" i="27"/>
  <c r="B57" i="27"/>
  <c r="B10" i="27"/>
  <c r="O22" i="18"/>
  <c r="N22" i="18"/>
  <c r="P22" i="18"/>
  <c r="O18" i="18"/>
  <c r="N18" i="18"/>
  <c r="P18" i="18"/>
  <c r="O14" i="18"/>
  <c r="N14" i="18"/>
  <c r="P14" i="18"/>
  <c r="O10" i="18"/>
  <c r="N10" i="18"/>
  <c r="P10" i="18"/>
  <c r="L6" i="11"/>
  <c r="B35" i="14"/>
  <c r="B10" i="14"/>
  <c r="B38" i="5"/>
  <c r="B9" i="5"/>
  <c r="P9" i="19"/>
  <c r="O9" i="19"/>
  <c r="N9" i="19"/>
  <c r="P13" i="19"/>
  <c r="O13" i="19"/>
  <c r="N13" i="19"/>
  <c r="P17" i="19"/>
  <c r="O17" i="19"/>
  <c r="N17" i="19"/>
  <c r="P21" i="19"/>
  <c r="O21" i="19"/>
  <c r="N21" i="19"/>
  <c r="P25" i="19"/>
  <c r="O25" i="19"/>
  <c r="N25" i="19"/>
  <c r="M6" i="11"/>
  <c r="K13" i="20"/>
  <c r="J18" i="14"/>
  <c r="B60" i="28"/>
  <c r="B11" i="28"/>
  <c r="AB7" i="22"/>
  <c r="X7" i="22"/>
  <c r="T7" i="22"/>
  <c r="AA7" i="22"/>
  <c r="W7" i="22"/>
  <c r="AR7" i="22"/>
  <c r="AS7" i="22"/>
  <c r="AF7" i="22"/>
  <c r="AN7" i="22"/>
  <c r="AO7" i="22"/>
  <c r="AE7" i="22"/>
  <c r="AJ7" i="22"/>
  <c r="AK7" i="22"/>
  <c r="AD7" i="22"/>
  <c r="Z7" i="22"/>
  <c r="V7" i="22"/>
  <c r="Y7" i="22"/>
  <c r="U7" i="22"/>
  <c r="G9" i="30"/>
  <c r="G15" i="30"/>
  <c r="G18" i="30"/>
  <c r="AF16" i="28"/>
  <c r="AC16" i="28"/>
  <c r="G26" i="12"/>
  <c r="O24" i="18"/>
  <c r="N24" i="18"/>
  <c r="P24" i="18"/>
  <c r="O12" i="18"/>
  <c r="N12" i="18"/>
  <c r="P12" i="18"/>
  <c r="P13" i="28"/>
  <c r="P15" i="19"/>
  <c r="O15" i="19"/>
  <c r="N15" i="19"/>
  <c r="P27" i="19"/>
  <c r="O27" i="19"/>
  <c r="N27" i="19"/>
  <c r="O25" i="16"/>
  <c r="F32" i="28"/>
  <c r="N32" i="28"/>
  <c r="AE32" i="28"/>
  <c r="N27" i="28"/>
  <c r="AE27" i="28"/>
  <c r="O19" i="18"/>
  <c r="N19" i="18"/>
  <c r="P19" i="18"/>
  <c r="O11" i="18"/>
  <c r="N11" i="18"/>
  <c r="P11" i="18"/>
  <c r="H35" i="20"/>
  <c r="G36" i="20"/>
  <c r="G38" i="20"/>
  <c r="B28" i="17"/>
  <c r="B9" i="17"/>
  <c r="F18" i="5"/>
  <c r="P12" i="19"/>
  <c r="O12" i="19"/>
  <c r="N12" i="19"/>
  <c r="P20" i="19"/>
  <c r="O20" i="19"/>
  <c r="N20" i="19"/>
  <c r="P24" i="19"/>
  <c r="O24" i="19"/>
  <c r="N24" i="19"/>
  <c r="K9" i="24"/>
  <c r="J7" i="17"/>
  <c r="B8" i="30"/>
  <c r="B34" i="30"/>
  <c r="O21" i="18"/>
  <c r="N21" i="18"/>
  <c r="P21" i="18"/>
  <c r="O17" i="18"/>
  <c r="N17" i="18"/>
  <c r="P17" i="18"/>
  <c r="O13" i="18"/>
  <c r="N13" i="18"/>
  <c r="P13" i="18"/>
  <c r="O9" i="18"/>
  <c r="N9" i="18"/>
  <c r="P9" i="18"/>
  <c r="F10" i="11"/>
  <c r="F13" i="11"/>
  <c r="J8" i="11"/>
  <c r="J6" i="17"/>
  <c r="P10" i="19"/>
  <c r="O10" i="19"/>
  <c r="N10" i="19"/>
  <c r="P14" i="19"/>
  <c r="O14" i="19"/>
  <c r="N14" i="19"/>
  <c r="P18" i="19"/>
  <c r="O18" i="19"/>
  <c r="N18" i="19"/>
  <c r="P22" i="19"/>
  <c r="O22" i="19"/>
  <c r="N22" i="19"/>
  <c r="P26" i="19"/>
  <c r="O26" i="19"/>
  <c r="N26" i="19"/>
  <c r="K14" i="20"/>
  <c r="Q13" i="29"/>
  <c r="K10" i="25"/>
  <c r="Q7" i="29"/>
  <c r="B11" i="7"/>
  <c r="B64" i="7"/>
  <c r="E8" i="22"/>
  <c r="D8" i="22"/>
  <c r="C8" i="22"/>
  <c r="D37" i="38"/>
  <c r="Q35" i="32"/>
  <c r="P12" i="29"/>
  <c r="P5" i="22"/>
  <c r="P16" i="28"/>
  <c r="H30" i="31"/>
  <c r="D36" i="38"/>
  <c r="C22" i="38"/>
  <c r="Q5" i="22"/>
  <c r="C21" i="38"/>
  <c r="Q6" i="22"/>
  <c r="K15" i="18"/>
  <c r="K18" i="19"/>
  <c r="K17" i="18"/>
  <c r="K21" i="19"/>
  <c r="H34" i="20"/>
  <c r="H36" i="20"/>
  <c r="H38" i="20"/>
  <c r="H29" i="20"/>
  <c r="T29" i="20"/>
  <c r="R29" i="20"/>
  <c r="J29" i="20"/>
  <c r="T23" i="20"/>
  <c r="R23" i="20"/>
  <c r="K20" i="19"/>
  <c r="K22" i="19"/>
  <c r="K25" i="19"/>
  <c r="K15" i="19"/>
  <c r="K23" i="19"/>
  <c r="K12" i="19"/>
  <c r="K27" i="19"/>
  <c r="K22" i="18"/>
  <c r="K16" i="19"/>
  <c r="B9" i="22"/>
  <c r="N16" i="27"/>
  <c r="F22" i="5"/>
  <c r="B61" i="28"/>
  <c r="B12" i="28"/>
  <c r="B11" i="5"/>
  <c r="B39" i="5"/>
  <c r="B29" i="17"/>
  <c r="B10" i="17"/>
  <c r="K19" i="18"/>
  <c r="K24" i="18"/>
  <c r="K9" i="19"/>
  <c r="B42" i="29"/>
  <c r="B14" i="29"/>
  <c r="B50" i="16"/>
  <c r="B15" i="16"/>
  <c r="F27" i="8"/>
  <c r="J19" i="8"/>
  <c r="F17" i="31"/>
  <c r="F22" i="31"/>
  <c r="F23" i="31"/>
  <c r="K25" i="18"/>
  <c r="B11" i="8"/>
  <c r="B51" i="8"/>
  <c r="H6" i="30"/>
  <c r="F9" i="30"/>
  <c r="K26" i="19"/>
  <c r="K10" i="19"/>
  <c r="K9" i="18"/>
  <c r="K24" i="19"/>
  <c r="K11" i="18"/>
  <c r="K12" i="18"/>
  <c r="K13" i="19"/>
  <c r="B13" i="14"/>
  <c r="B36" i="14"/>
  <c r="K14" i="18"/>
  <c r="B58" i="27"/>
  <c r="B11" i="27"/>
  <c r="K28" i="19"/>
  <c r="K11" i="19"/>
  <c r="K20" i="18"/>
  <c r="B35" i="30"/>
  <c r="B9" i="30"/>
  <c r="K13" i="18"/>
  <c r="K18" i="18"/>
  <c r="B65" i="7"/>
  <c r="B12" i="7"/>
  <c r="K14" i="19"/>
  <c r="X8" i="11"/>
  <c r="V8" i="11"/>
  <c r="D15" i="38"/>
  <c r="J10" i="11"/>
  <c r="J13" i="11"/>
  <c r="F26" i="31"/>
  <c r="K21" i="18"/>
  <c r="AF27" i="28"/>
  <c r="AC27" i="28"/>
  <c r="P27" i="28"/>
  <c r="G33" i="12"/>
  <c r="Q7" i="22"/>
  <c r="K17" i="19"/>
  <c r="K10" i="18"/>
  <c r="I27" i="8"/>
  <c r="G34" i="8"/>
  <c r="I34" i="8"/>
  <c r="K23" i="18"/>
  <c r="G22" i="5"/>
  <c r="I18" i="5"/>
  <c r="J18" i="5"/>
  <c r="K19" i="19"/>
  <c r="AB27" i="27"/>
  <c r="Y27" i="27"/>
  <c r="F33" i="12"/>
  <c r="H26" i="12"/>
  <c r="H33" i="12"/>
  <c r="K16" i="18"/>
  <c r="C9" i="22"/>
  <c r="E9" i="22"/>
  <c r="D9" i="22"/>
  <c r="F20" i="31"/>
  <c r="H9" i="30"/>
  <c r="F15" i="30"/>
  <c r="D23" i="38"/>
  <c r="J23" i="20"/>
  <c r="AR8" i="22"/>
  <c r="AS8" i="22"/>
  <c r="AF8" i="22"/>
  <c r="V8" i="22"/>
  <c r="X8" i="22"/>
  <c r="W8" i="22"/>
  <c r="AN8" i="22"/>
  <c r="AO8" i="22"/>
  <c r="AE8" i="22"/>
  <c r="Y8" i="22"/>
  <c r="T8" i="22"/>
  <c r="AB8" i="22"/>
  <c r="AA8" i="22"/>
  <c r="AJ8" i="22"/>
  <c r="AK8" i="22"/>
  <c r="AD8" i="22"/>
  <c r="U8" i="22"/>
  <c r="Z8" i="22"/>
  <c r="B10" i="22"/>
  <c r="N27" i="27"/>
  <c r="B17" i="29"/>
  <c r="B43" i="29"/>
  <c r="B37" i="14"/>
  <c r="B14" i="14"/>
  <c r="AF32" i="28"/>
  <c r="AC32" i="28"/>
  <c r="D33" i="38"/>
  <c r="G14" i="25"/>
  <c r="G7" i="25"/>
  <c r="B66" i="7"/>
  <c r="B13" i="7"/>
  <c r="B52" i="8"/>
  <c r="B12" i="8"/>
  <c r="B16" i="16"/>
  <c r="B51" i="16"/>
  <c r="B12" i="5"/>
  <c r="B40" i="5"/>
  <c r="L8" i="11"/>
  <c r="B36" i="30"/>
  <c r="B11" i="30"/>
  <c r="B59" i="27"/>
  <c r="B12" i="27"/>
  <c r="F34" i="8"/>
  <c r="J34" i="8"/>
  <c r="J27" i="8"/>
  <c r="AB32" i="27"/>
  <c r="Y32" i="27"/>
  <c r="N32" i="27"/>
  <c r="F14" i="25"/>
  <c r="F7" i="25"/>
  <c r="G6" i="6"/>
  <c r="I22" i="5"/>
  <c r="J22" i="5"/>
  <c r="B11" i="17"/>
  <c r="B31" i="17"/>
  <c r="B30" i="17"/>
  <c r="B13" i="28"/>
  <c r="B62" i="28"/>
  <c r="F6" i="6"/>
  <c r="E10" i="22"/>
  <c r="D10" i="22"/>
  <c r="C10" i="22"/>
  <c r="H15" i="30"/>
  <c r="F18" i="30"/>
  <c r="H18" i="30"/>
  <c r="D32" i="38"/>
  <c r="B11" i="22"/>
  <c r="AA9" i="22"/>
  <c r="AR9" i="22"/>
  <c r="AS9" i="22"/>
  <c r="AF9" i="22"/>
  <c r="T9" i="22"/>
  <c r="X9" i="22"/>
  <c r="V9" i="22"/>
  <c r="AN9" i="22"/>
  <c r="AO9" i="22"/>
  <c r="AE9" i="22"/>
  <c r="W9" i="22"/>
  <c r="Z9" i="22"/>
  <c r="Y9" i="22"/>
  <c r="AB9" i="22"/>
  <c r="AJ9" i="22"/>
  <c r="AK9" i="22"/>
  <c r="AD9" i="22"/>
  <c r="U9" i="22"/>
  <c r="Q8" i="22"/>
  <c r="B17" i="16"/>
  <c r="B52" i="16"/>
  <c r="B67" i="7"/>
  <c r="B16" i="7"/>
  <c r="B38" i="14"/>
  <c r="B15" i="14"/>
  <c r="B12" i="30"/>
  <c r="B37" i="30"/>
  <c r="B13" i="8"/>
  <c r="B53" i="8"/>
  <c r="B63" i="28"/>
  <c r="B15" i="28"/>
  <c r="I6" i="6"/>
  <c r="J6" i="6"/>
  <c r="G9" i="6"/>
  <c r="I9" i="6"/>
  <c r="B13" i="5"/>
  <c r="B41" i="5"/>
  <c r="F9" i="6"/>
  <c r="B60" i="27"/>
  <c r="B13" i="27"/>
  <c r="P32" i="28"/>
  <c r="B46" i="29"/>
  <c r="B18" i="29"/>
  <c r="C11" i="22"/>
  <c r="E11" i="22"/>
  <c r="D11" i="22"/>
  <c r="J9" i="6"/>
  <c r="W10" i="22"/>
  <c r="Y10" i="22"/>
  <c r="AN10" i="22"/>
  <c r="AO10" i="22"/>
  <c r="AE10" i="22"/>
  <c r="AA10" i="22"/>
  <c r="U10" i="22"/>
  <c r="X10" i="22"/>
  <c r="AR10" i="22"/>
  <c r="AS10" i="22"/>
  <c r="AF10" i="22"/>
  <c r="T10" i="22"/>
  <c r="AB10" i="22"/>
  <c r="Z10" i="22"/>
  <c r="AJ10" i="22"/>
  <c r="AK10" i="22"/>
  <c r="AD10" i="22"/>
  <c r="V10" i="22"/>
  <c r="Q9" i="22"/>
  <c r="B12" i="22"/>
  <c r="B42" i="5"/>
  <c r="B14" i="5"/>
  <c r="B64" i="28"/>
  <c r="B16" i="28"/>
  <c r="B68" i="7"/>
  <c r="B17" i="7"/>
  <c r="B13" i="30"/>
  <c r="B38" i="30"/>
  <c r="B16" i="14"/>
  <c r="B39" i="14"/>
  <c r="B47" i="29"/>
  <c r="B19" i="29"/>
  <c r="B15" i="27"/>
  <c r="B61" i="27"/>
  <c r="B54" i="8"/>
  <c r="B14" i="8"/>
  <c r="B53" i="16"/>
  <c r="B18" i="16"/>
  <c r="D12" i="22"/>
  <c r="E12" i="22"/>
  <c r="C12" i="22"/>
  <c r="B13" i="22"/>
  <c r="Q10" i="22"/>
  <c r="X11" i="22"/>
  <c r="AJ11" i="22"/>
  <c r="AK11" i="22"/>
  <c r="AD11" i="22"/>
  <c r="AA11" i="22"/>
  <c r="T11" i="22"/>
  <c r="Z11" i="22"/>
  <c r="Y11" i="22"/>
  <c r="AN11" i="22"/>
  <c r="AO11" i="22"/>
  <c r="AE11" i="22"/>
  <c r="AB11" i="22"/>
  <c r="U11" i="22"/>
  <c r="AR11" i="22"/>
  <c r="AS11" i="22"/>
  <c r="AF11" i="22"/>
  <c r="V11" i="22"/>
  <c r="W11" i="22"/>
  <c r="B54" i="16"/>
  <c r="B19" i="16"/>
  <c r="B39" i="30"/>
  <c r="B14" i="30"/>
  <c r="B69" i="7"/>
  <c r="B18" i="7"/>
  <c r="B43" i="5"/>
  <c r="B15" i="5"/>
  <c r="B48" i="29"/>
  <c r="B20" i="29"/>
  <c r="B65" i="28"/>
  <c r="B19" i="28"/>
  <c r="B15" i="8"/>
  <c r="B55" i="8"/>
  <c r="B62" i="27"/>
  <c r="B16" i="27"/>
  <c r="B40" i="14"/>
  <c r="B18" i="14"/>
  <c r="D13" i="22"/>
  <c r="C13" i="22"/>
  <c r="E13" i="22"/>
  <c r="W12" i="22"/>
  <c r="Z12" i="22"/>
  <c r="AB12" i="22"/>
  <c r="Y12" i="22"/>
  <c r="AR12" i="22"/>
  <c r="AS12" i="22"/>
  <c r="AF12" i="22"/>
  <c r="AJ12" i="22"/>
  <c r="AK12" i="22"/>
  <c r="AD12" i="22"/>
  <c r="U12" i="22"/>
  <c r="X12" i="22"/>
  <c r="T12" i="22"/>
  <c r="AA12" i="22"/>
  <c r="AN12" i="22"/>
  <c r="AO12" i="22"/>
  <c r="AE12" i="22"/>
  <c r="V12" i="22"/>
  <c r="Q11" i="22"/>
  <c r="B14" i="22"/>
  <c r="B19" i="14"/>
  <c r="B42" i="14"/>
  <c r="B41" i="14"/>
  <c r="B21" i="29"/>
  <c r="B49" i="29"/>
  <c r="B19" i="7"/>
  <c r="B70" i="7"/>
  <c r="B25" i="16"/>
  <c r="B55" i="16"/>
  <c r="B17" i="8"/>
  <c r="B56" i="8"/>
  <c r="B63" i="27"/>
  <c r="B19" i="27"/>
  <c r="B66" i="28"/>
  <c r="B20" i="28"/>
  <c r="B17" i="5"/>
  <c r="B44" i="5"/>
  <c r="B40" i="30"/>
  <c r="B15" i="30"/>
  <c r="D14" i="22"/>
  <c r="C14" i="22"/>
  <c r="E14" i="22"/>
  <c r="B15" i="22"/>
  <c r="AR13" i="22"/>
  <c r="AS13" i="22"/>
  <c r="AF13" i="22"/>
  <c r="V13" i="22"/>
  <c r="X13" i="22"/>
  <c r="AN13" i="22"/>
  <c r="AO13" i="22"/>
  <c r="AE13" i="22"/>
  <c r="Y13" i="22"/>
  <c r="T13" i="22"/>
  <c r="AJ13" i="22"/>
  <c r="AK13" i="22"/>
  <c r="AD13" i="22"/>
  <c r="U13" i="22"/>
  <c r="AA13" i="22"/>
  <c r="Z13" i="22"/>
  <c r="AB13" i="22"/>
  <c r="W13" i="22"/>
  <c r="Q12" i="22"/>
  <c r="B41" i="30"/>
  <c r="B17" i="30"/>
  <c r="B18" i="5"/>
  <c r="B45" i="5"/>
  <c r="B56" i="16"/>
  <c r="B26" i="16"/>
  <c r="B50" i="29"/>
  <c r="B22" i="29"/>
  <c r="B51" i="29"/>
  <c r="B64" i="27"/>
  <c r="B20" i="27"/>
  <c r="B67" i="28"/>
  <c r="B21" i="28"/>
  <c r="B57" i="8"/>
  <c r="B18" i="8"/>
  <c r="B71" i="7"/>
  <c r="B20" i="7"/>
  <c r="C15" i="22"/>
  <c r="E15" i="22"/>
  <c r="D15" i="22"/>
  <c r="B16" i="22"/>
  <c r="Q13" i="22"/>
  <c r="AB14" i="22"/>
  <c r="W14" i="22"/>
  <c r="Z14" i="22"/>
  <c r="X14" i="22"/>
  <c r="AN14" i="22"/>
  <c r="AO14" i="22"/>
  <c r="AE14" i="22"/>
  <c r="AJ14" i="22"/>
  <c r="AK14" i="22"/>
  <c r="AD14" i="22"/>
  <c r="V14" i="22"/>
  <c r="AA14" i="22"/>
  <c r="Y14" i="22"/>
  <c r="T14" i="22"/>
  <c r="U14" i="22"/>
  <c r="AR14" i="22"/>
  <c r="AS14" i="22"/>
  <c r="AF14" i="22"/>
  <c r="B58" i="8"/>
  <c r="B19" i="8"/>
  <c r="B46" i="5"/>
  <c r="B20" i="5"/>
  <c r="B21" i="27"/>
  <c r="B65" i="27"/>
  <c r="B57" i="16"/>
  <c r="B27" i="16"/>
  <c r="B18" i="30"/>
  <c r="B43" i="30"/>
  <c r="B42" i="30"/>
  <c r="B72" i="7"/>
  <c r="B23" i="7"/>
  <c r="B22" i="28"/>
  <c r="B68" i="28"/>
  <c r="D16" i="22"/>
  <c r="C16" i="22"/>
  <c r="E16" i="22"/>
  <c r="T15" i="22"/>
  <c r="AN15" i="22"/>
  <c r="AO15" i="22"/>
  <c r="AE15" i="22"/>
  <c r="Y15" i="22"/>
  <c r="AB15" i="22"/>
  <c r="W15" i="22"/>
  <c r="Z15" i="22"/>
  <c r="X15" i="22"/>
  <c r="AR15" i="22"/>
  <c r="AS15" i="22"/>
  <c r="AF15" i="22"/>
  <c r="V15" i="22"/>
  <c r="AA15" i="22"/>
  <c r="AJ15" i="22"/>
  <c r="AK15" i="22"/>
  <c r="AD15" i="22"/>
  <c r="U15" i="22"/>
  <c r="B17" i="22"/>
  <c r="Q14" i="22"/>
  <c r="B21" i="5"/>
  <c r="B47" i="5"/>
  <c r="B69" i="28"/>
  <c r="B23" i="28"/>
  <c r="B22" i="27"/>
  <c r="B66" i="27"/>
  <c r="B22" i="8"/>
  <c r="B59" i="8"/>
  <c r="B73" i="7"/>
  <c r="B24" i="7"/>
  <c r="B58" i="16"/>
  <c r="B28" i="16"/>
  <c r="D17" i="22"/>
  <c r="C17" i="22"/>
  <c r="E17" i="22"/>
  <c r="B18" i="22"/>
  <c r="AA16" i="22"/>
  <c r="AJ16" i="22"/>
  <c r="AK16" i="22"/>
  <c r="AD16" i="22"/>
  <c r="U16" i="22"/>
  <c r="W16" i="22"/>
  <c r="Z16" i="22"/>
  <c r="X16" i="22"/>
  <c r="AR16" i="22"/>
  <c r="AS16" i="22"/>
  <c r="AF16" i="22"/>
  <c r="V16" i="22"/>
  <c r="T16" i="22"/>
  <c r="AN16" i="22"/>
  <c r="AO16" i="22"/>
  <c r="AE16" i="22"/>
  <c r="Y16" i="22"/>
  <c r="AB16" i="22"/>
  <c r="Q15" i="22"/>
  <c r="B74" i="7"/>
  <c r="B25" i="7"/>
  <c r="B23" i="8"/>
  <c r="B60" i="8"/>
  <c r="B67" i="27"/>
  <c r="B23" i="27"/>
  <c r="B48" i="5"/>
  <c r="B22" i="5"/>
  <c r="B49" i="5"/>
  <c r="B31" i="16"/>
  <c r="B60" i="16"/>
  <c r="B59" i="16"/>
  <c r="B24" i="28"/>
  <c r="B70" i="28"/>
  <c r="C18" i="22"/>
  <c r="D18" i="22"/>
  <c r="E18" i="22"/>
  <c r="Q16" i="22"/>
  <c r="B19" i="22"/>
  <c r="AR17" i="22"/>
  <c r="AS17" i="22"/>
  <c r="AF17" i="22"/>
  <c r="V17" i="22"/>
  <c r="X17" i="22"/>
  <c r="Z17" i="22"/>
  <c r="AN17" i="22"/>
  <c r="AO17" i="22"/>
  <c r="AE17" i="22"/>
  <c r="Y17" i="22"/>
  <c r="T17" i="22"/>
  <c r="AJ17" i="22"/>
  <c r="AK17" i="22"/>
  <c r="AD17" i="22"/>
  <c r="U17" i="22"/>
  <c r="AA17" i="22"/>
  <c r="AB17" i="22"/>
  <c r="W17" i="22"/>
  <c r="B61" i="8"/>
  <c r="B24" i="8"/>
  <c r="B71" i="28"/>
  <c r="B25" i="28"/>
  <c r="B68" i="27"/>
  <c r="B24" i="27"/>
  <c r="B75" i="7"/>
  <c r="B26" i="7"/>
  <c r="E19" i="22"/>
  <c r="D19" i="22"/>
  <c r="C19" i="22"/>
  <c r="Q17" i="22"/>
  <c r="B20" i="22"/>
  <c r="Y18" i="22"/>
  <c r="T18" i="22"/>
  <c r="Z18" i="22"/>
  <c r="U18" i="22"/>
  <c r="AA18" i="22"/>
  <c r="AN18" i="22"/>
  <c r="AO18" i="22"/>
  <c r="AE18" i="22"/>
  <c r="AB18" i="22"/>
  <c r="W18" i="22"/>
  <c r="V18" i="22"/>
  <c r="X18" i="22"/>
  <c r="AJ18" i="22"/>
  <c r="AK18" i="22"/>
  <c r="AD18" i="22"/>
  <c r="AR18" i="22"/>
  <c r="AS18" i="22"/>
  <c r="AF18" i="22"/>
  <c r="B72" i="28"/>
  <c r="B26" i="28"/>
  <c r="B76" i="7"/>
  <c r="B27" i="7"/>
  <c r="B25" i="27"/>
  <c r="B69" i="27"/>
  <c r="B62" i="8"/>
  <c r="B25" i="8"/>
  <c r="C20" i="22"/>
  <c r="D20" i="22"/>
  <c r="E20" i="22"/>
  <c r="B21" i="22"/>
  <c r="AB19" i="22"/>
  <c r="W19" i="22"/>
  <c r="Z19" i="22"/>
  <c r="AN19" i="22"/>
  <c r="AO19" i="22"/>
  <c r="AE19" i="22"/>
  <c r="AA19" i="22"/>
  <c r="AJ19" i="22"/>
  <c r="AK19" i="22"/>
  <c r="AD19" i="22"/>
  <c r="Y19" i="22"/>
  <c r="X19" i="22"/>
  <c r="AR19" i="22"/>
  <c r="AS19" i="22"/>
  <c r="AF19" i="22"/>
  <c r="V19" i="22"/>
  <c r="T19" i="22"/>
  <c r="U19" i="22"/>
  <c r="Q18" i="22"/>
  <c r="B70" i="27"/>
  <c r="B26" i="27"/>
  <c r="B73" i="28"/>
  <c r="B27" i="28"/>
  <c r="B26" i="8"/>
  <c r="B63" i="8"/>
  <c r="B77" i="7"/>
  <c r="B28" i="7"/>
  <c r="E21" i="22"/>
  <c r="D21" i="22"/>
  <c r="C21" i="22"/>
  <c r="AA20" i="22"/>
  <c r="AJ20" i="22"/>
  <c r="AK20" i="22"/>
  <c r="AD20" i="22"/>
  <c r="U20" i="22"/>
  <c r="AN20" i="22"/>
  <c r="AO20" i="22"/>
  <c r="AE20" i="22"/>
  <c r="Y20" i="22"/>
  <c r="T20" i="22"/>
  <c r="W20" i="22"/>
  <c r="Z20" i="22"/>
  <c r="AB20" i="22"/>
  <c r="AR20" i="22"/>
  <c r="AS20" i="22"/>
  <c r="AF20" i="22"/>
  <c r="V20" i="22"/>
  <c r="X20" i="22"/>
  <c r="Q19" i="22"/>
  <c r="B22" i="22"/>
  <c r="B29" i="7"/>
  <c r="B78" i="7"/>
  <c r="B30" i="28"/>
  <c r="B74" i="28"/>
  <c r="B71" i="27"/>
  <c r="B27" i="27"/>
  <c r="B64" i="8"/>
  <c r="B27" i="8"/>
  <c r="D22" i="22"/>
  <c r="C22" i="22"/>
  <c r="E22" i="22"/>
  <c r="Z21" i="22"/>
  <c r="AB21" i="22"/>
  <c r="W21" i="22"/>
  <c r="X21" i="22"/>
  <c r="AN21" i="22"/>
  <c r="AO21" i="22"/>
  <c r="AE21" i="22"/>
  <c r="Y21" i="22"/>
  <c r="T21" i="22"/>
  <c r="AR21" i="22"/>
  <c r="AS21" i="22"/>
  <c r="AF21" i="22"/>
  <c r="V21" i="22"/>
  <c r="AJ21" i="22"/>
  <c r="AK21" i="22"/>
  <c r="AD21" i="22"/>
  <c r="U21" i="22"/>
  <c r="AA21" i="22"/>
  <c r="Q20" i="22"/>
  <c r="B23" i="22"/>
  <c r="B75" i="28"/>
  <c r="B31" i="28"/>
  <c r="B72" i="27"/>
  <c r="B30" i="27"/>
  <c r="B30" i="8"/>
  <c r="B65" i="8"/>
  <c r="B79" i="7"/>
  <c r="B30" i="7"/>
  <c r="C23" i="22"/>
  <c r="E23" i="22"/>
  <c r="D23" i="22"/>
  <c r="B24" i="22"/>
  <c r="Q21" i="22"/>
  <c r="X22" i="22"/>
  <c r="AJ22" i="22"/>
  <c r="AK22" i="22"/>
  <c r="AD22" i="22"/>
  <c r="AR22" i="22"/>
  <c r="AS22" i="22"/>
  <c r="AF22" i="22"/>
  <c r="Z22" i="22"/>
  <c r="U22" i="22"/>
  <c r="AA22" i="22"/>
  <c r="AN22" i="22"/>
  <c r="AO22" i="22"/>
  <c r="AE22" i="22"/>
  <c r="Y22" i="22"/>
  <c r="T22" i="22"/>
  <c r="AB22" i="22"/>
  <c r="W22" i="22"/>
  <c r="V22" i="22"/>
  <c r="B31" i="27"/>
  <c r="B73" i="27"/>
  <c r="B33" i="7"/>
  <c r="B80" i="7"/>
  <c r="B32" i="28"/>
  <c r="B76" i="28"/>
  <c r="B66" i="8"/>
  <c r="B31" i="8"/>
  <c r="C24" i="22"/>
  <c r="E24" i="22"/>
  <c r="D24" i="22"/>
  <c r="B25" i="22"/>
  <c r="Q22" i="22"/>
  <c r="T23" i="22"/>
  <c r="AN23" i="22"/>
  <c r="AO23" i="22"/>
  <c r="AE23" i="22"/>
  <c r="Y23" i="22"/>
  <c r="AA23" i="22"/>
  <c r="AJ23" i="22"/>
  <c r="AK23" i="22"/>
  <c r="AD23" i="22"/>
  <c r="U23" i="22"/>
  <c r="AB23" i="22"/>
  <c r="W23" i="22"/>
  <c r="Z23" i="22"/>
  <c r="X23" i="22"/>
  <c r="AR23" i="22"/>
  <c r="AS23" i="22"/>
  <c r="AF23" i="22"/>
  <c r="V23" i="22"/>
  <c r="B81" i="7"/>
  <c r="B34" i="7"/>
  <c r="B32" i="8"/>
  <c r="B67" i="8"/>
  <c r="B35" i="28"/>
  <c r="B36" i="28"/>
  <c r="B37" i="28"/>
  <c r="B38" i="28"/>
  <c r="B39" i="28"/>
  <c r="B40" i="28"/>
  <c r="B41" i="28"/>
  <c r="B42" i="28"/>
  <c r="B43" i="28"/>
  <c r="B77" i="28"/>
  <c r="B74" i="27"/>
  <c r="B32" i="27"/>
  <c r="E25" i="22"/>
  <c r="C25" i="22"/>
  <c r="D25" i="22"/>
  <c r="Q23" i="22"/>
  <c r="B26" i="22"/>
  <c r="W24" i="22"/>
  <c r="Z24" i="22"/>
  <c r="AB24" i="22"/>
  <c r="AN24" i="22"/>
  <c r="AO24" i="22"/>
  <c r="AE24" i="22"/>
  <c r="Y24" i="22"/>
  <c r="T24" i="22"/>
  <c r="AA24" i="22"/>
  <c r="AR24" i="22"/>
  <c r="AS24" i="22"/>
  <c r="AF24" i="22"/>
  <c r="V24" i="22"/>
  <c r="X24" i="22"/>
  <c r="AJ24" i="22"/>
  <c r="AK24" i="22"/>
  <c r="AD24" i="22"/>
  <c r="U24" i="22"/>
  <c r="B68" i="8"/>
  <c r="B33" i="8"/>
  <c r="B82" i="7"/>
  <c r="B35" i="7"/>
  <c r="B75" i="27"/>
  <c r="B35" i="27"/>
  <c r="B36" i="27"/>
  <c r="B37" i="27"/>
  <c r="B38" i="27"/>
  <c r="B39" i="27"/>
  <c r="B40" i="27"/>
  <c r="B41" i="27"/>
  <c r="E26" i="22"/>
  <c r="D26" i="22"/>
  <c r="C26" i="22"/>
  <c r="Q24" i="22"/>
  <c r="Z25" i="22"/>
  <c r="AB25" i="22"/>
  <c r="AA25" i="22"/>
  <c r="T25" i="22"/>
  <c r="AR25" i="22"/>
  <c r="AS25" i="22"/>
  <c r="AF25" i="22"/>
  <c r="V25" i="22"/>
  <c r="X25" i="22"/>
  <c r="AN25" i="22"/>
  <c r="AO25" i="22"/>
  <c r="AE25" i="22"/>
  <c r="Y25" i="22"/>
  <c r="AJ25" i="22"/>
  <c r="AK25" i="22"/>
  <c r="AD25" i="22"/>
  <c r="U25" i="22"/>
  <c r="W25" i="22"/>
  <c r="B27" i="22"/>
  <c r="B83" i="7"/>
  <c r="B36" i="7"/>
  <c r="B69" i="8"/>
  <c r="B34" i="8"/>
  <c r="B70" i="8"/>
  <c r="C27" i="22"/>
  <c r="E27" i="22"/>
  <c r="D27" i="22"/>
  <c r="X26" i="22"/>
  <c r="AR26" i="22"/>
  <c r="AS26" i="22"/>
  <c r="AF26" i="22"/>
  <c r="AN26" i="22"/>
  <c r="AO26" i="22"/>
  <c r="AE26" i="22"/>
  <c r="Y26" i="22"/>
  <c r="T26" i="22"/>
  <c r="AJ26" i="22"/>
  <c r="AK26" i="22"/>
  <c r="AD26" i="22"/>
  <c r="U26" i="22"/>
  <c r="AA26" i="22"/>
  <c r="Z26" i="22"/>
  <c r="AB26" i="22"/>
  <c r="W26" i="22"/>
  <c r="V26" i="22"/>
  <c r="B28" i="22"/>
  <c r="Q25" i="22"/>
  <c r="B84" i="7"/>
  <c r="B37" i="7"/>
  <c r="E28" i="22"/>
  <c r="C28" i="22"/>
  <c r="D28" i="22"/>
  <c r="X27" i="22"/>
  <c r="AR27" i="22"/>
  <c r="AS27" i="22"/>
  <c r="AF27" i="22"/>
  <c r="V27" i="22"/>
  <c r="AB27" i="22"/>
  <c r="W27" i="22"/>
  <c r="Z27" i="22"/>
  <c r="T27" i="22"/>
  <c r="AN27" i="22"/>
  <c r="AO27" i="22"/>
  <c r="AE27" i="22"/>
  <c r="Y27" i="22"/>
  <c r="AA27" i="22"/>
  <c r="AJ27" i="22"/>
  <c r="AK27" i="22"/>
  <c r="AD27" i="22"/>
  <c r="U27" i="22"/>
  <c r="B29" i="22"/>
  <c r="Q26" i="22"/>
  <c r="B85" i="7"/>
  <c r="B38" i="7"/>
  <c r="D29" i="22"/>
  <c r="C29" i="22"/>
  <c r="E29" i="22"/>
  <c r="B30" i="22"/>
  <c r="Q27" i="22"/>
  <c r="AA28" i="22"/>
  <c r="AN28" i="22"/>
  <c r="AO28" i="22"/>
  <c r="AE28" i="22"/>
  <c r="AJ28" i="22"/>
  <c r="AK28" i="22"/>
  <c r="AD28" i="22"/>
  <c r="U28" i="22"/>
  <c r="Y28" i="22"/>
  <c r="V28" i="22"/>
  <c r="T28" i="22"/>
  <c r="AB28" i="22"/>
  <c r="Z28" i="22"/>
  <c r="AR28" i="22"/>
  <c r="AS28" i="22"/>
  <c r="AF28" i="22"/>
  <c r="W28" i="22"/>
  <c r="X28" i="22"/>
  <c r="B86" i="7"/>
  <c r="B39" i="7"/>
  <c r="D30" i="22"/>
  <c r="C30" i="22"/>
  <c r="E30" i="22"/>
  <c r="Q28" i="22"/>
  <c r="B31" i="22"/>
  <c r="AA29" i="22"/>
  <c r="AR29" i="22"/>
  <c r="AS29" i="22"/>
  <c r="AF29" i="22"/>
  <c r="W29" i="22"/>
  <c r="AB29" i="22"/>
  <c r="V29" i="22"/>
  <c r="AN29" i="22"/>
  <c r="AO29" i="22"/>
  <c r="AE29" i="22"/>
  <c r="T29" i="22"/>
  <c r="U29" i="22"/>
  <c r="Y29" i="22"/>
  <c r="X29" i="22"/>
  <c r="Z29" i="22"/>
  <c r="AJ29" i="22"/>
  <c r="AK29" i="22"/>
  <c r="AD29" i="22"/>
  <c r="B87" i="7"/>
  <c r="B40" i="7"/>
  <c r="C31" i="22"/>
  <c r="E31" i="22"/>
  <c r="D31" i="22"/>
  <c r="Q29" i="22"/>
  <c r="B32" i="22"/>
  <c r="AA30" i="22"/>
  <c r="U30" i="22"/>
  <c r="X30" i="22"/>
  <c r="AN30" i="22"/>
  <c r="AO30" i="22"/>
  <c r="AE30" i="22"/>
  <c r="W30" i="22"/>
  <c r="AR30" i="22"/>
  <c r="AS30" i="22"/>
  <c r="AF30" i="22"/>
  <c r="T30" i="22"/>
  <c r="AB30" i="22"/>
  <c r="Z30" i="22"/>
  <c r="AJ30" i="22"/>
  <c r="AK30" i="22"/>
  <c r="AD30" i="22"/>
  <c r="V30" i="22"/>
  <c r="Y30" i="22"/>
  <c r="B88" i="7"/>
  <c r="B41" i="7"/>
  <c r="D32" i="22"/>
  <c r="C32" i="22"/>
  <c r="E32" i="22"/>
  <c r="Q30" i="22"/>
  <c r="B33" i="22"/>
  <c r="AN31" i="22"/>
  <c r="AO31" i="22"/>
  <c r="AE31" i="22"/>
  <c r="X31" i="22"/>
  <c r="U31" i="22"/>
  <c r="AB31" i="22"/>
  <c r="Z31" i="22"/>
  <c r="W31" i="22"/>
  <c r="Y31" i="22"/>
  <c r="AR31" i="22"/>
  <c r="AS31" i="22"/>
  <c r="AF31" i="22"/>
  <c r="V31" i="22"/>
  <c r="AA31" i="22"/>
  <c r="AJ31" i="22"/>
  <c r="AK31" i="22"/>
  <c r="AD31" i="22"/>
  <c r="T31" i="22"/>
  <c r="B89" i="7"/>
  <c r="B42" i="7"/>
  <c r="E33" i="22"/>
  <c r="C33" i="22"/>
  <c r="D33" i="22"/>
  <c r="V32" i="22"/>
  <c r="AN32" i="22"/>
  <c r="AO32" i="22"/>
  <c r="AE32" i="22"/>
  <c r="W32" i="22"/>
  <c r="Z32" i="22"/>
  <c r="AJ32" i="22"/>
  <c r="AK32" i="22"/>
  <c r="AD32" i="22"/>
  <c r="U32" i="22"/>
  <c r="X32" i="22"/>
  <c r="AA32" i="22"/>
  <c r="AR32" i="22"/>
  <c r="AS32" i="22"/>
  <c r="AF32" i="22"/>
  <c r="Y32" i="22"/>
  <c r="T32" i="22"/>
  <c r="AB32" i="22"/>
  <c r="B34" i="22"/>
  <c r="Q31" i="22"/>
  <c r="B90" i="7"/>
  <c r="B45" i="7"/>
  <c r="E34" i="22"/>
  <c r="D34" i="22"/>
  <c r="C34" i="22"/>
  <c r="Q32" i="22"/>
  <c r="B35" i="22"/>
  <c r="AB33" i="22"/>
  <c r="U33" i="22"/>
  <c r="Y33" i="22"/>
  <c r="X33" i="22"/>
  <c r="AR33" i="22"/>
  <c r="AS33" i="22"/>
  <c r="AF33" i="22"/>
  <c r="W33" i="22"/>
  <c r="AJ33" i="22"/>
  <c r="AK33" i="22"/>
  <c r="AD33" i="22"/>
  <c r="T33" i="22"/>
  <c r="AN33" i="22"/>
  <c r="AO33" i="22"/>
  <c r="AE33" i="22"/>
  <c r="AA33" i="22"/>
  <c r="Z33" i="22"/>
  <c r="V33" i="22"/>
  <c r="B91" i="7"/>
  <c r="B46" i="7"/>
  <c r="E35" i="22"/>
  <c r="D35" i="22"/>
  <c r="C35" i="22"/>
  <c r="AA34" i="22"/>
  <c r="AJ34" i="22"/>
  <c r="AK34" i="22"/>
  <c r="AD34" i="22"/>
  <c r="V34" i="22"/>
  <c r="Y34" i="22"/>
  <c r="AN34" i="22"/>
  <c r="AO34" i="22"/>
  <c r="AE34" i="22"/>
  <c r="U34" i="22"/>
  <c r="W34" i="22"/>
  <c r="X34" i="22"/>
  <c r="AR34" i="22"/>
  <c r="AS34" i="22"/>
  <c r="AF34" i="22"/>
  <c r="T34" i="22"/>
  <c r="AB34" i="22"/>
  <c r="Z34" i="22"/>
  <c r="B36" i="22"/>
  <c r="Q33" i="22"/>
  <c r="B92" i="7"/>
  <c r="B47" i="7"/>
  <c r="B93" i="7"/>
  <c r="C36" i="22"/>
  <c r="E36" i="22"/>
  <c r="D36" i="22"/>
  <c r="Q34" i="22"/>
  <c r="AJ35" i="22"/>
  <c r="AK35" i="22"/>
  <c r="AD35" i="22"/>
  <c r="W35" i="22"/>
  <c r="T35" i="22"/>
  <c r="AR35" i="22"/>
  <c r="AS35" i="22"/>
  <c r="AF35" i="22"/>
  <c r="V35" i="22"/>
  <c r="U35" i="22"/>
  <c r="Z35" i="22"/>
  <c r="AA35" i="22"/>
  <c r="X35" i="22"/>
  <c r="AN35" i="22"/>
  <c r="AO35" i="22"/>
  <c r="AE35" i="22"/>
  <c r="AB35" i="22"/>
  <c r="Y35" i="22"/>
  <c r="B37" i="22"/>
  <c r="E37" i="22"/>
  <c r="C37" i="22"/>
  <c r="D37" i="22"/>
  <c r="B38" i="22"/>
  <c r="Q35" i="22"/>
  <c r="V36" i="22"/>
  <c r="AJ36" i="22"/>
  <c r="AK36" i="22"/>
  <c r="AD36" i="22"/>
  <c r="Z36" i="22"/>
  <c r="Y36" i="22"/>
  <c r="X36" i="22"/>
  <c r="W36" i="22"/>
  <c r="U36" i="22"/>
  <c r="AR36" i="22"/>
  <c r="AS36" i="22"/>
  <c r="AF36" i="22"/>
  <c r="AB36" i="22"/>
  <c r="AA36" i="22"/>
  <c r="AN36" i="22"/>
  <c r="AO36" i="22"/>
  <c r="AE36" i="22"/>
  <c r="T36" i="22"/>
  <c r="C38" i="22"/>
  <c r="E38" i="22"/>
  <c r="D38" i="22"/>
  <c r="B39" i="22"/>
  <c r="T37" i="22"/>
  <c r="V37" i="22"/>
  <c r="Y37" i="22"/>
  <c r="AN37" i="22"/>
  <c r="AO37" i="22"/>
  <c r="AE37" i="22"/>
  <c r="W37" i="22"/>
  <c r="AB37" i="22"/>
  <c r="U37" i="22"/>
  <c r="AA37" i="22"/>
  <c r="X37" i="22"/>
  <c r="AR37" i="22"/>
  <c r="AS37" i="22"/>
  <c r="AF37" i="22"/>
  <c r="Z37" i="22"/>
  <c r="AJ37" i="22"/>
  <c r="AK37" i="22"/>
  <c r="AD37" i="22"/>
  <c r="Q36" i="22"/>
  <c r="E39" i="22"/>
  <c r="D39" i="22"/>
  <c r="C39" i="22"/>
  <c r="T38" i="22"/>
  <c r="AJ38" i="22"/>
  <c r="AK38" i="22"/>
  <c r="AD38" i="22"/>
  <c r="AN38" i="22"/>
  <c r="AO38" i="22"/>
  <c r="AE38" i="22"/>
  <c r="AA38" i="22"/>
  <c r="AR38" i="22"/>
  <c r="AS38" i="22"/>
  <c r="AF38" i="22"/>
  <c r="AB38" i="22"/>
  <c r="W38" i="22"/>
  <c r="X38" i="22"/>
  <c r="U38" i="22"/>
  <c r="Y38" i="22"/>
  <c r="V38" i="22"/>
  <c r="Z38" i="22"/>
  <c r="B40" i="22"/>
  <c r="Q37" i="22"/>
  <c r="E40" i="22"/>
  <c r="D40" i="22"/>
  <c r="C40" i="22"/>
  <c r="B41" i="22"/>
  <c r="Z39" i="22"/>
  <c r="AA39" i="22"/>
  <c r="U39" i="22"/>
  <c r="AR39" i="22"/>
  <c r="AS39" i="22"/>
  <c r="AF39" i="22"/>
  <c r="V39" i="22"/>
  <c r="T39" i="22"/>
  <c r="AN39" i="22"/>
  <c r="AO39" i="22"/>
  <c r="AE39" i="22"/>
  <c r="AB39" i="22"/>
  <c r="Y39" i="22"/>
  <c r="AJ39" i="22"/>
  <c r="AK39" i="22"/>
  <c r="AD39" i="22"/>
  <c r="W39" i="22"/>
  <c r="X39" i="22"/>
  <c r="Q38" i="22"/>
  <c r="C41" i="22"/>
  <c r="D41" i="22"/>
  <c r="E41" i="22"/>
  <c r="B42" i="22"/>
  <c r="Q39" i="22"/>
  <c r="U40" i="22"/>
  <c r="W40" i="22"/>
  <c r="AA40" i="22"/>
  <c r="AR40" i="22"/>
  <c r="AS40" i="22"/>
  <c r="AF40" i="22"/>
  <c r="Z40" i="22"/>
  <c r="AJ40" i="22"/>
  <c r="AK40" i="22"/>
  <c r="AD40" i="22"/>
  <c r="AN40" i="22"/>
  <c r="AO40" i="22"/>
  <c r="AE40" i="22"/>
  <c r="T40" i="22"/>
  <c r="AB40" i="22"/>
  <c r="Y40" i="22"/>
  <c r="X40" i="22"/>
  <c r="V40" i="22"/>
  <c r="E42" i="22"/>
  <c r="D42" i="22"/>
  <c r="C42" i="22"/>
  <c r="Y41" i="22"/>
  <c r="AJ41" i="22"/>
  <c r="AK41" i="22"/>
  <c r="AD41" i="22"/>
  <c r="V41" i="22"/>
  <c r="U41" i="22"/>
  <c r="X41" i="22"/>
  <c r="AB41" i="22"/>
  <c r="AR41" i="22"/>
  <c r="AS41" i="22"/>
  <c r="AF41" i="22"/>
  <c r="Z41" i="22"/>
  <c r="T41" i="22"/>
  <c r="AN41" i="22"/>
  <c r="AO41" i="22"/>
  <c r="AE41" i="22"/>
  <c r="W41" i="22"/>
  <c r="AA41" i="22"/>
  <c r="Q40" i="22"/>
  <c r="B43" i="22"/>
  <c r="C43" i="22"/>
  <c r="E43" i="22"/>
  <c r="D43" i="22"/>
  <c r="B44" i="22"/>
  <c r="AB42" i="22"/>
  <c r="AR42" i="22"/>
  <c r="AS42" i="22"/>
  <c r="AF42" i="22"/>
  <c r="Y42" i="22"/>
  <c r="X42" i="22"/>
  <c r="AA42" i="22"/>
  <c r="V42" i="22"/>
  <c r="U42" i="22"/>
  <c r="AJ42" i="22"/>
  <c r="AK42" i="22"/>
  <c r="AD42" i="22"/>
  <c r="W42" i="22"/>
  <c r="Z42" i="22"/>
  <c r="AN42" i="22"/>
  <c r="AO42" i="22"/>
  <c r="AE42" i="22"/>
  <c r="T42" i="22"/>
  <c r="Q41" i="22"/>
  <c r="D44" i="22"/>
  <c r="E44" i="22"/>
  <c r="C44" i="22"/>
  <c r="Q42" i="22"/>
  <c r="AB43" i="22"/>
  <c r="X43" i="22"/>
  <c r="Z43" i="22"/>
  <c r="V43" i="22"/>
  <c r="W43" i="22"/>
  <c r="Y43" i="22"/>
  <c r="AR43" i="22"/>
  <c r="AS43" i="22"/>
  <c r="AF43" i="22"/>
  <c r="AN43" i="22"/>
  <c r="AO43" i="22"/>
  <c r="AE43" i="22"/>
  <c r="T43" i="22"/>
  <c r="AJ43" i="22"/>
  <c r="AK43" i="22"/>
  <c r="AD43" i="22"/>
  <c r="AA43" i="22"/>
  <c r="U43" i="22"/>
  <c r="B45" i="22"/>
  <c r="C45" i="22"/>
  <c r="E45" i="22"/>
  <c r="D45" i="22"/>
  <c r="Z44" i="22"/>
  <c r="AB44" i="22"/>
  <c r="X44" i="22"/>
  <c r="AR44" i="22"/>
  <c r="AS44" i="22"/>
  <c r="AF44" i="22"/>
  <c r="V44" i="22"/>
  <c r="W44" i="22"/>
  <c r="AN44" i="22"/>
  <c r="AO44" i="22"/>
  <c r="AE44" i="22"/>
  <c r="Y44" i="22"/>
  <c r="AA44" i="22"/>
  <c r="AJ44" i="22"/>
  <c r="AK44" i="22"/>
  <c r="AD44" i="22"/>
  <c r="T44" i="22"/>
  <c r="U44" i="22"/>
  <c r="B46" i="22"/>
  <c r="Q43" i="22"/>
  <c r="D46" i="22"/>
  <c r="C46" i="22"/>
  <c r="E46" i="22"/>
  <c r="AB45" i="22"/>
  <c r="AN45" i="22"/>
  <c r="AO45" i="22"/>
  <c r="AE45" i="22"/>
  <c r="AJ45" i="22"/>
  <c r="AK45" i="22"/>
  <c r="AD45" i="22"/>
  <c r="T45" i="22"/>
  <c r="W45" i="22"/>
  <c r="X45" i="22"/>
  <c r="AA45" i="22"/>
  <c r="Z45" i="22"/>
  <c r="AR45" i="22"/>
  <c r="AS45" i="22"/>
  <c r="AF45" i="22"/>
  <c r="Y45" i="22"/>
  <c r="U45" i="22"/>
  <c r="V45" i="22"/>
  <c r="Q44" i="22"/>
  <c r="B47" i="22"/>
  <c r="C47" i="22"/>
  <c r="E47" i="22"/>
  <c r="D47" i="22"/>
  <c r="T46" i="22"/>
  <c r="AN46" i="22"/>
  <c r="AO46" i="22"/>
  <c r="AE46" i="22"/>
  <c r="W46" i="22"/>
  <c r="AJ46" i="22"/>
  <c r="AK46" i="22"/>
  <c r="AD46" i="22"/>
  <c r="U46" i="22"/>
  <c r="AA46" i="22"/>
  <c r="X46" i="22"/>
  <c r="AR46" i="22"/>
  <c r="AS46" i="22"/>
  <c r="AF46" i="22"/>
  <c r="Z46" i="22"/>
  <c r="AB46" i="22"/>
  <c r="V46" i="22"/>
  <c r="Y46" i="22"/>
  <c r="Q45" i="22"/>
  <c r="B48" i="22"/>
  <c r="D48" i="22"/>
  <c r="C48" i="22"/>
  <c r="E48" i="22"/>
  <c r="AR47" i="22"/>
  <c r="AS47" i="22"/>
  <c r="AF47" i="22"/>
  <c r="X47" i="22"/>
  <c r="T47" i="22"/>
  <c r="Z47" i="22"/>
  <c r="AB47" i="22"/>
  <c r="AA47" i="22"/>
  <c r="U47" i="22"/>
  <c r="Y47" i="22"/>
  <c r="W47" i="22"/>
  <c r="AJ47" i="22"/>
  <c r="AK47" i="22"/>
  <c r="AD47" i="22"/>
  <c r="V47" i="22"/>
  <c r="AN47" i="22"/>
  <c r="AO47" i="22"/>
  <c r="AE47" i="22"/>
  <c r="B49" i="22"/>
  <c r="Q46" i="22"/>
  <c r="C49" i="22"/>
  <c r="D49" i="22"/>
  <c r="E49" i="22"/>
  <c r="B50" i="22"/>
  <c r="Q47" i="22"/>
  <c r="Z48" i="22"/>
  <c r="U48" i="22"/>
  <c r="Y48" i="22"/>
  <c r="T48" i="22"/>
  <c r="AR48" i="22"/>
  <c r="AS48" i="22"/>
  <c r="AF48" i="22"/>
  <c r="V48" i="22"/>
  <c r="W48" i="22"/>
  <c r="AN48" i="22"/>
  <c r="AO48" i="22"/>
  <c r="AE48" i="22"/>
  <c r="X48" i="22"/>
  <c r="AJ48" i="22"/>
  <c r="AK48" i="22"/>
  <c r="AD48" i="22"/>
  <c r="AA48" i="22"/>
  <c r="AB48" i="22"/>
  <c r="E50" i="22"/>
  <c r="C50" i="22"/>
  <c r="D50" i="22"/>
  <c r="B51" i="22"/>
  <c r="Q48" i="22"/>
  <c r="V49" i="22"/>
  <c r="X49" i="22"/>
  <c r="T49" i="22"/>
  <c r="Y49" i="22"/>
  <c r="AR49" i="22"/>
  <c r="AS49" i="22"/>
  <c r="AF49" i="22"/>
  <c r="AB49" i="22"/>
  <c r="AA49" i="22"/>
  <c r="AJ49" i="22"/>
  <c r="AK49" i="22"/>
  <c r="AD49" i="22"/>
  <c r="W49" i="22"/>
  <c r="U49" i="22"/>
  <c r="AN49" i="22"/>
  <c r="AO49" i="22"/>
  <c r="AE49" i="22"/>
  <c r="Z49" i="22"/>
  <c r="E51" i="22"/>
  <c r="D51" i="22"/>
  <c r="C51" i="22"/>
  <c r="Q49" i="22"/>
  <c r="B52" i="22"/>
  <c r="Z50" i="22"/>
  <c r="AA50" i="22"/>
  <c r="AR50" i="22"/>
  <c r="AS50" i="22"/>
  <c r="AF50" i="22"/>
  <c r="AB50" i="22"/>
  <c r="U50" i="22"/>
  <c r="V50" i="22"/>
  <c r="AN50" i="22"/>
  <c r="AO50" i="22"/>
  <c r="AE50" i="22"/>
  <c r="X50" i="22"/>
  <c r="W50" i="22"/>
  <c r="T50" i="22"/>
  <c r="AJ50" i="22"/>
  <c r="AK50" i="22"/>
  <c r="AD50" i="22"/>
  <c r="Y50" i="22"/>
  <c r="C52" i="22"/>
  <c r="D52" i="22"/>
  <c r="E52" i="22"/>
  <c r="Y51" i="22"/>
  <c r="V51" i="22"/>
  <c r="AJ51" i="22"/>
  <c r="AK51" i="22"/>
  <c r="AD51" i="22"/>
  <c r="T51" i="22"/>
  <c r="U51" i="22"/>
  <c r="X51" i="22"/>
  <c r="AA51" i="22"/>
  <c r="AN51" i="22"/>
  <c r="AO51" i="22"/>
  <c r="AE51" i="22"/>
  <c r="AR51" i="22"/>
  <c r="AS51" i="22"/>
  <c r="AF51" i="22"/>
  <c r="W51" i="22"/>
  <c r="AB51" i="22"/>
  <c r="Z51" i="22"/>
  <c r="Q50" i="22"/>
  <c r="B53" i="22"/>
  <c r="E53" i="22"/>
  <c r="D53" i="22"/>
  <c r="C53" i="22"/>
  <c r="Z52" i="22"/>
  <c r="Y52" i="22"/>
  <c r="U52" i="22"/>
  <c r="AR52" i="22"/>
  <c r="AS52" i="22"/>
  <c r="AF52" i="22"/>
  <c r="V52" i="22"/>
  <c r="T52" i="22"/>
  <c r="AJ52" i="22"/>
  <c r="AK52" i="22"/>
  <c r="AD52" i="22"/>
  <c r="W52" i="22"/>
  <c r="X52" i="22"/>
  <c r="AN52" i="22"/>
  <c r="AO52" i="22"/>
  <c r="AE52" i="22"/>
  <c r="AB52" i="22"/>
  <c r="AA52" i="22"/>
  <c r="Q51" i="22"/>
  <c r="B54" i="22"/>
  <c r="E54" i="22"/>
  <c r="D54" i="22"/>
  <c r="C54" i="22"/>
  <c r="B55" i="22"/>
  <c r="T53" i="22"/>
  <c r="V53" i="22"/>
  <c r="X53" i="22"/>
  <c r="Y53" i="22"/>
  <c r="AN53" i="22"/>
  <c r="AO53" i="22"/>
  <c r="AE53" i="22"/>
  <c r="AR53" i="22"/>
  <c r="AS53" i="22"/>
  <c r="AF53" i="22"/>
  <c r="Z53" i="22"/>
  <c r="W53" i="22"/>
  <c r="AJ53" i="22"/>
  <c r="AK53" i="22"/>
  <c r="AD53" i="22"/>
  <c r="U53" i="22"/>
  <c r="AB53" i="22"/>
  <c r="AA53" i="22"/>
  <c r="Q52" i="22"/>
  <c r="C55" i="22"/>
  <c r="E55" i="22"/>
  <c r="D55" i="22"/>
  <c r="B56" i="22"/>
  <c r="AJ54" i="22"/>
  <c r="AK54" i="22"/>
  <c r="AD54" i="22"/>
  <c r="X54" i="22"/>
  <c r="U54" i="22"/>
  <c r="T54" i="22"/>
  <c r="Z54" i="22"/>
  <c r="Y54" i="22"/>
  <c r="AN54" i="22"/>
  <c r="AO54" i="22"/>
  <c r="AE54" i="22"/>
  <c r="AB54" i="22"/>
  <c r="W54" i="22"/>
  <c r="AR54" i="22"/>
  <c r="AS54" i="22"/>
  <c r="AF54" i="22"/>
  <c r="V54" i="22"/>
  <c r="AA54" i="22"/>
  <c r="Q53" i="22"/>
  <c r="C56" i="22"/>
  <c r="E56" i="22"/>
  <c r="D56" i="22"/>
  <c r="Q54" i="22"/>
  <c r="B57" i="22"/>
  <c r="W55" i="22"/>
  <c r="AB55" i="22"/>
  <c r="V55" i="22"/>
  <c r="Y55" i="22"/>
  <c r="AR55" i="22"/>
  <c r="AS55" i="22"/>
  <c r="AF55" i="22"/>
  <c r="T55" i="22"/>
  <c r="U55" i="22"/>
  <c r="X55" i="22"/>
  <c r="AN55" i="22"/>
  <c r="AO55" i="22"/>
  <c r="AE55" i="22"/>
  <c r="AA55" i="22"/>
  <c r="AJ55" i="22"/>
  <c r="AK55" i="22"/>
  <c r="AD55" i="22"/>
  <c r="Z55" i="22"/>
  <c r="E57" i="22"/>
  <c r="C57" i="22"/>
  <c r="D57" i="22"/>
  <c r="Q55" i="22"/>
  <c r="B58" i="22"/>
  <c r="AR56" i="22"/>
  <c r="AS56" i="22"/>
  <c r="AF56" i="22"/>
  <c r="V56" i="22"/>
  <c r="W56" i="22"/>
  <c r="X56" i="22"/>
  <c r="AJ56" i="22"/>
  <c r="AK56" i="22"/>
  <c r="AD56" i="22"/>
  <c r="Y56" i="22"/>
  <c r="T56" i="22"/>
  <c r="Z56" i="22"/>
  <c r="AA56" i="22"/>
  <c r="AB56" i="22"/>
  <c r="AN56" i="22"/>
  <c r="AO56" i="22"/>
  <c r="AE56" i="22"/>
  <c r="U56" i="22"/>
  <c r="D58" i="22"/>
  <c r="C58" i="22"/>
  <c r="E58" i="22"/>
  <c r="Q56" i="22"/>
  <c r="U57" i="22"/>
  <c r="T57" i="22"/>
  <c r="AJ57" i="22"/>
  <c r="AK57" i="22"/>
  <c r="AD57" i="22"/>
  <c r="AA57" i="22"/>
  <c r="AN57" i="22"/>
  <c r="AO57" i="22"/>
  <c r="AE57" i="22"/>
  <c r="AR57" i="22"/>
  <c r="AS57" i="22"/>
  <c r="AF57" i="22"/>
  <c r="W57" i="22"/>
  <c r="Z57" i="22"/>
  <c r="AB57" i="22"/>
  <c r="V57" i="22"/>
  <c r="Y57" i="22"/>
  <c r="X57" i="22"/>
  <c r="B59" i="22"/>
  <c r="C59" i="22"/>
  <c r="E59" i="22"/>
  <c r="D59" i="22"/>
  <c r="Q57" i="22"/>
  <c r="AR58" i="22"/>
  <c r="AS58" i="22"/>
  <c r="AF58" i="22"/>
  <c r="V58" i="22"/>
  <c r="W58" i="22"/>
  <c r="T58" i="22"/>
  <c r="AN58" i="22"/>
  <c r="AO58" i="22"/>
  <c r="AE58" i="22"/>
  <c r="AB58" i="22"/>
  <c r="AA58" i="22"/>
  <c r="U58" i="22"/>
  <c r="Z58" i="22"/>
  <c r="Y58" i="22"/>
  <c r="AJ58" i="22"/>
  <c r="AK58" i="22"/>
  <c r="AD58" i="22"/>
  <c r="X58" i="22"/>
  <c r="Q58" i="22"/>
  <c r="Y59" i="22"/>
  <c r="AJ59" i="22"/>
  <c r="AK59" i="22"/>
  <c r="AD59" i="22"/>
  <c r="X59" i="22"/>
  <c r="AA59" i="22"/>
  <c r="T59" i="22"/>
  <c r="AN59" i="22"/>
  <c r="AO59" i="22"/>
  <c r="AE59" i="22"/>
  <c r="W59" i="22"/>
  <c r="AR59" i="22"/>
  <c r="AS59" i="22"/>
  <c r="AF59" i="22"/>
  <c r="Z59" i="22"/>
  <c r="U59" i="22"/>
  <c r="AB59" i="22"/>
  <c r="V59" i="22"/>
  <c r="D26" i="38"/>
  <c r="C26" i="38"/>
  <c r="Q59" i="22"/>
</calcChain>
</file>

<file path=xl/sharedStrings.xml><?xml version="1.0" encoding="utf-8"?>
<sst xmlns="http://schemas.openxmlformats.org/spreadsheetml/2006/main" count="14474" uniqueCount="3839">
  <si>
    <t>Change history</t>
  </si>
  <si>
    <t>On 15 December 2015 we published IN 15/18 Expectations for company annual performance reporting 2015-16. Since then a number of companies have reported issues with opening and using the file ‘2016 annual performance report tables’ from our website. This has been due to compatibility and/or size issues. </t>
  </si>
  <si>
    <t>We have investigated these issues and have updated the file to ‘2016 annual performance report tables (version January 2016)’.   This updated file should resolve the compatibility and/or size issues that some companies have experienced.  We have also updated the file to correct for some cell referencing and typo errors.  These changes are detailed below.</t>
  </si>
  <si>
    <t>Version</t>
  </si>
  <si>
    <t>Description of change</t>
  </si>
  <si>
    <t>January 2016</t>
  </si>
  <si>
    <t>Validation sheet - corrupted rows and columns removed to resolve compatibility issues.</t>
  </si>
  <si>
    <t>Table 2F - Deleted contents of cells I6: I10.  Text should have been deleted prior to publication.</t>
  </si>
  <si>
    <t>Validation sheet - Corrected formulae error in cell D36 ('other val' column for 4H)</t>
  </si>
  <si>
    <t>Validation sheet - Added formulae to cells D21, D22 and D37 ('other val' column for 2G, 2H, and 4I) because they were omitted in error.</t>
  </si>
  <si>
    <t>Table 4H - Deleted formulae in cells I12 and I13 as included in error.</t>
  </si>
  <si>
    <t xml:space="preserve">Table 2I - The formula in line 18 (row 34) for each of water and wastewater was picking up the totals for Household (W&amp;WW – cell F17) for Water, and Non-household (W&amp;WW – cell G17) for Wastewater, instead of cells H9 for Water and H15 for Wastewater. </t>
  </si>
  <si>
    <t>Tab 4I - cell C8 should say “Floating to/from fixed rate” instead of “Floating to/from floating rate”, and cell C31 should say “Forward currency contracts Other" not “CrosForward currency contracts Other”.</t>
  </si>
  <si>
    <t>Validation sheet, Table 2G and Table 2H - amended formulae to reflect choice of company from drop down list in validation sheet.</t>
  </si>
  <si>
    <t>Table 2G and Table 2H - corrected default tariffs list for NES.</t>
  </si>
  <si>
    <t>Table 2G and Table 2H  - corrected default tariffs list for TMS.</t>
  </si>
  <si>
    <t>Company added to company list.</t>
  </si>
  <si>
    <t>Table 1E - corrected row 8 'Adjusted Gearing' - changed from £m to % (to 2dp).</t>
  </si>
  <si>
    <t xml:space="preserve">Table 2D - line 7 amended from a calc cell to an input cell.  This is because it may be different from Table 2C line 10 because depreciation for intangibles could be included in Table 2C. </t>
  </si>
  <si>
    <t>Table 2F - column H corrected to reflect 'Average household retail revenue per customer' (as per RAG 3.08).  Formula amended to refer to column E instead of column F as the numerator.</t>
  </si>
  <si>
    <t xml:space="preserve">Table 2G - amended total calc formula in row 27 to include up to row 26. </t>
  </si>
  <si>
    <t xml:space="preserve">Table 2H - amended total calc formula in row 29 to include up to row 28. </t>
  </si>
  <si>
    <t>Table 4A - corrected pcc units l/h/d to 2dp.</t>
  </si>
  <si>
    <t>Table 4D - corrected units to ML, corrected formula in cell L16 [should be sum(F16:K16), not F16+H16].</t>
  </si>
  <si>
    <t>Table 4D - corrected unit cost units to £/Ml (as per RAG 3.08), unit cost formulae corrected - out by a factor of a million.</t>
  </si>
  <si>
    <t>Table 4E - corrected formula in cell N16 [should be sum(F16:M16), not F16+I16]</t>
  </si>
  <si>
    <t>Table 4E - corrected unit cost units to £/unit (as per RAG 3.08), unit cost formulae corrected - out by a factor of a million.</t>
  </si>
  <si>
    <t>Table 4F - corrected validation check for WOCs (removed the completion flag that requested Water only companies to enter zeros in Wastewater columns).</t>
  </si>
  <si>
    <t>Table 4G - corrected calcs in lines 2 and 10</t>
  </si>
  <si>
    <t xml:space="preserve">Table 4H - additional clarification in the line definition section for line 5.  New text added: “in real terms” should be calculated using actual RPI for 2015-16 and not the RPI assumption per the PR14 FD. </t>
  </si>
  <si>
    <t>2016 Annual performance report tables</t>
  </si>
  <si>
    <t>Introduction</t>
  </si>
  <si>
    <t>Companies have to publish an annual performance report for which we have set out the minimum requirement in the Regulatory Accounting Guidelines. The purpose of this spreadsheet is to help Ofwat process the actual data for 2015-16 data from all companies. Companies should complete these tables and return them to us at the same time as they publish their annual performance report on their own websites, and no later than 15 July 2016.</t>
  </si>
  <si>
    <t>Further detail is included in  IN 15/18 ‘Expectations for company annual performance reporting 2015-16’.</t>
  </si>
  <si>
    <t>Tables</t>
  </si>
  <si>
    <t>Companies should have particular regard to the regulatory accounting guidelines set out for each table when preparing their submission.</t>
  </si>
  <si>
    <t>We expect companies to complete the tables with actual data for 2015-16.</t>
  </si>
  <si>
    <t>The content of three tables (tables 2G, 2H and 3A) is tailored to each company. These tables will display the content for the company that is selected on the validation sheet.</t>
  </si>
  <si>
    <t>The calculations are locked in the table template to prevent editing.</t>
  </si>
  <si>
    <t>Queries and submissions</t>
  </si>
  <si>
    <t>Select the company name from the drop down list on the validation sheet.</t>
  </si>
  <si>
    <t>The validation sheet within the file will highlight where there are outstanding issues with the data you are submitting.  Please review this prior to submission and address any outstanding issues prior to submission.</t>
  </si>
  <si>
    <t>Companies should return their completed tables at the same time as they publish their annual performance report on their own websites, and no later than 15 July 2016.</t>
  </si>
  <si>
    <t>Submissions and all queries should be sent to:</t>
  </si>
  <si>
    <t>FinanceAndGovernance@ofwat.gsi.gov.uk</t>
  </si>
  <si>
    <t>Links to additional information / guidance</t>
  </si>
  <si>
    <t>Regulatory accounting guidelines (RAGs)</t>
  </si>
  <si>
    <t>Data validation checks</t>
  </si>
  <si>
    <t>For the 12 months ended 31 March 2016</t>
  </si>
  <si>
    <t>Yorkshire Water</t>
  </si>
  <si>
    <t>Select company from drop down list</t>
  </si>
  <si>
    <t>The data tables should only be submitted once all data checks pass the table below identifies where there are outstanding issues, these are shown as red cells below.</t>
  </si>
  <si>
    <t>Section 1</t>
  </si>
  <si>
    <t>All expected cells completed?</t>
  </si>
  <si>
    <t>Other validations</t>
  </si>
  <si>
    <t>Line definitions</t>
  </si>
  <si>
    <t>Section 2</t>
  </si>
  <si>
    <t>Section 3</t>
  </si>
  <si>
    <t>3A - Line definitions</t>
  </si>
  <si>
    <t>Section 4</t>
  </si>
  <si>
    <t>Completed</t>
  </si>
  <si>
    <t>1A - Income statement</t>
  </si>
  <si>
    <t>Data validation</t>
  </si>
  <si>
    <t>Line description</t>
  </si>
  <si>
    <t>Units</t>
  </si>
  <si>
    <t>DPs</t>
  </si>
  <si>
    <t>Statutory</t>
  </si>
  <si>
    <t>Adjustments</t>
  </si>
  <si>
    <t>Total appointed activities</t>
  </si>
  <si>
    <t>Completion</t>
  </si>
  <si>
    <t>Differences between statutory and RAG definitions</t>
  </si>
  <si>
    <t>Non-appointed</t>
  </si>
  <si>
    <t>Total adjustments</t>
  </si>
  <si>
    <t>Completion checks</t>
  </si>
  <si>
    <t>Please complete all cells in row</t>
  </si>
  <si>
    <t>Revenue</t>
  </si>
  <si>
    <t>£m</t>
  </si>
  <si>
    <t>Operating costs</t>
  </si>
  <si>
    <t>Other operating income</t>
  </si>
  <si>
    <t>Operating profit</t>
  </si>
  <si>
    <t>Other income</t>
  </si>
  <si>
    <t>Interest income</t>
  </si>
  <si>
    <t>Interest expense</t>
  </si>
  <si>
    <t xml:space="preserve">Other interest expense </t>
  </si>
  <si>
    <t>Profit before tax and fair value movements</t>
  </si>
  <si>
    <t>Fair value gains/(losses) on financial instruments</t>
  </si>
  <si>
    <t>Profit before tax</t>
  </si>
  <si>
    <t>UK Corporation tax</t>
  </si>
  <si>
    <t>Deferred tax</t>
  </si>
  <si>
    <t>Profit for the year</t>
  </si>
  <si>
    <t xml:space="preserve">Key to cells: </t>
  </si>
  <si>
    <t>Input cell</t>
  </si>
  <si>
    <t>Calculation cell</t>
  </si>
  <si>
    <t>Copied cell</t>
  </si>
  <si>
    <t>Line</t>
  </si>
  <si>
    <t>Definitions</t>
  </si>
  <si>
    <t>line spacing for definitions</t>
  </si>
  <si>
    <t>Appointed – Total business revenue that is within the scope of the price control, together with revenue that is outside of the price control but still forms part of regulated activities. 
Non-appointed – Total business revenue from non-appointed activities as defined by the licence. See RAG 4.05 appendix 1 for further examples.</t>
  </si>
  <si>
    <t>1
2
3</t>
  </si>
  <si>
    <t xml:space="preserve">Historical cost operating costs. </t>
  </si>
  <si>
    <t>Historical cost operating income includes profits or loss on disposal of fixed assets; income arising from exceptional items should also be included. Normally a positive number, but a loss should be negative.</t>
  </si>
  <si>
    <t>1
2</t>
  </si>
  <si>
    <t>Historical cost operating profit. Equal to the sum of table 1A lines 1 to 3.</t>
  </si>
  <si>
    <t>Includes rental income and income from investments (eg, share income); excludes net interest and profit on disposals on fixed assets.</t>
  </si>
  <si>
    <t>Interest income includes interest received on cash deposits, loans to group companies, etc.</t>
  </si>
  <si>
    <t>Interest expense includes interest paid on loans, leases, debenture, floating rate debt, overdrafts, preference shares and all other borrowings.</t>
  </si>
  <si>
    <t>Total net interest expenses which are not directly related to deposits and borrowings as defined in lines 6 &amp; 7 of table 1A.
This will include (but is not limited to):
• Net interest cost of defined benefit pension schemes,
• Dividend income</t>
  </si>
  <si>
    <t>1
2
3
4</t>
  </si>
  <si>
    <t>Equal to the sum of lines table 1A lines 4 to 8.</t>
  </si>
  <si>
    <t>Any fair value gains/(losses) arising on financial instruments which must be accounted for at fair value on the balance sheet with changes recognised in the income statement.</t>
  </si>
  <si>
    <t>Historical cost profit on ordinary activities before taxation. Equal to the sum of table 1A lines 9 to 10.</t>
  </si>
  <si>
    <t>The current tax charge on profits from ordinary activities. This will include mainstream corporation tax, income and other taxes. It should exclude any deferred tax charge which is to be reported separately. A positive number for tax credit, negative number for tax charge.</t>
  </si>
  <si>
    <t>The movement in the deferred tax provision. A positive number for tax credit, negative number for tax charge.</t>
  </si>
  <si>
    <t xml:space="preserve">Historical cost profit for the year. To be shown after taxation, but before deduction of dividends. Equal to the sum of table 1A lines 11 to 13. </t>
  </si>
  <si>
    <t>1B - Statement of comprehensive income</t>
  </si>
  <si>
    <t>Actuarial gains/(losses) on post employment plans</t>
  </si>
  <si>
    <t>Other comprehensive income</t>
  </si>
  <si>
    <t>Total Comprehensive income for the year</t>
  </si>
  <si>
    <t xml:space="preserve">Historical cost profit for the year. Equal to table 1A line 14. </t>
  </si>
  <si>
    <t xml:space="preserve">Actuarial gains/(losses) on post-employment plans.  </t>
  </si>
  <si>
    <t xml:space="preserve">Other gains and losses.  </t>
  </si>
  <si>
    <t>Total comprehensive income for the year. Equal to the sum of table 1B lines 1 to 3.</t>
  </si>
  <si>
    <t xml:space="preserve"> </t>
  </si>
  <si>
    <t>1C - Statement of financial position</t>
  </si>
  <si>
    <t>A</t>
  </si>
  <si>
    <t>Non-current assets</t>
  </si>
  <si>
    <t>Fixed assets</t>
  </si>
  <si>
    <t>Intangible assets</t>
  </si>
  <si>
    <t>Investments - loans to group companies</t>
  </si>
  <si>
    <t>Investments - other</t>
  </si>
  <si>
    <t>Financial instruments</t>
  </si>
  <si>
    <t>Retirement benefit assets</t>
  </si>
  <si>
    <t>Total non-current assets</t>
  </si>
  <si>
    <t>B</t>
  </si>
  <si>
    <t>Current assets</t>
  </si>
  <si>
    <t>Inventories</t>
  </si>
  <si>
    <t>Trade &amp; other receivables</t>
  </si>
  <si>
    <t>Cash &amp; cash equivalents</t>
  </si>
  <si>
    <t>Total current assets</t>
  </si>
  <si>
    <t>C</t>
  </si>
  <si>
    <t>Current liabilities</t>
  </si>
  <si>
    <t>Trade &amp; other payables</t>
  </si>
  <si>
    <t>Capex creditor</t>
  </si>
  <si>
    <t>Borrowings</t>
  </si>
  <si>
    <t>Current tax liabilities</t>
  </si>
  <si>
    <t>Provisions</t>
  </si>
  <si>
    <t>Total current liabilities</t>
  </si>
  <si>
    <t>Net current assets / (liabilities)</t>
  </si>
  <si>
    <t>D</t>
  </si>
  <si>
    <t>Non-Current liabilities</t>
  </si>
  <si>
    <t>Retirement benefit obligations</t>
  </si>
  <si>
    <t>Deferred income - G&amp;C's</t>
  </si>
  <si>
    <t>Preference share capital</t>
  </si>
  <si>
    <t>Total non-current liabilities</t>
  </si>
  <si>
    <t>Net assets</t>
  </si>
  <si>
    <t>E</t>
  </si>
  <si>
    <t>Equity</t>
  </si>
  <si>
    <t>Called up share capital</t>
  </si>
  <si>
    <t>Retained earnings &amp; other reserves</t>
  </si>
  <si>
    <t>Total Equity</t>
  </si>
  <si>
    <t>Historical cost net book value of tangible fixed assets at the end of the financial year. This is stated before deducting grants and contributions received relating to infrastructure assets.</t>
  </si>
  <si>
    <t>Total value of any intangible assets (not physical in nature) at the end of the financial year.</t>
  </si>
  <si>
    <t>Loans made to other group companies repayable in more than one year.</t>
  </si>
  <si>
    <t>All investments, excluding those in table 1C line 3, eg, shares in other group companies.</t>
  </si>
  <si>
    <t>Difference between book value and fair value of any non-current assets relating to financial instruments, including options, futures, forwards and swaps, which are presented at fair value in the statutory accounts.</t>
  </si>
  <si>
    <t xml:space="preserve">The total amount due to employees in the pension scheme for all of the past service completed up to the balance sheet date, less scheme assets.
Where this calculation results in a net asset it should be shown in this line.
</t>
  </si>
  <si>
    <t>Historical cost total fixed assets. Equal to the sum of table 1C lines 1 to 6.</t>
  </si>
  <si>
    <t>Stocks held at the year end. Stocks consist of consumable stores and work in progress, including chemicals, stationery, petrol, backfill materials, etc.</t>
  </si>
  <si>
    <t>Debtors consist of all amounts owing to the company at the financial year end including trade debtors, prepayments and accrued income. This includes amounts falling due after more than one year. Any assets held for sale should also be included here.</t>
  </si>
  <si>
    <t>Difference between book value and fair value of any current assets relating to financial instruments, including options, futures, forwards and swaps, which are presented at fair value in the statutory accounts.</t>
  </si>
  <si>
    <t>Cash consists of cash in hand and at bank. Overdraft balances should not be netted off as it should be included separately in ‘Trade &amp; other payables’.</t>
  </si>
  <si>
    <t>Equal to the sum of table 1C lines 8 to 11.</t>
  </si>
  <si>
    <t>Trade creditors and any other accruals or creditors due within one year that are not borrowings, tax creditors, capex creditor or  liabilities arising from derivative financial instruments.</t>
  </si>
  <si>
    <t>Capital expenditure creditors due within one year.</t>
  </si>
  <si>
    <t xml:space="preserve">Balances due within one year which comprise:
• obligations under finance leases;
• loans due to other group companies;
• redeemable debentures;
• bonds;
• commercial paper;
• bills of exchange;
• bank loans; and
• any other borrowings.
Accrued interest on borrowings should not be included.
</t>
  </si>
  <si>
    <t>1
2
3
4
5
6
7
8
9
10</t>
  </si>
  <si>
    <t>Difference between book value and fair value of any current liabilities relating to financial instruments, including options, futures, forwards and swaps, which are presented at fair value in the statutory accounts.</t>
  </si>
  <si>
    <t>Corporation tax payable consists of any balances of corporation tax due to HMRC.</t>
  </si>
  <si>
    <t>Total provisions for liabilities and charges due within one year. Includes deferred income – grants and contributions and all other provisions including restructuring or reorganisation provisions.</t>
  </si>
  <si>
    <t>All creditors due to be paid within one year.  Equal to the sum of table 1C lines 13 to 18.</t>
  </si>
  <si>
    <t>Historical cost net current assets. Equal to the sum of table 1C lines 12 and 19.</t>
  </si>
  <si>
    <t>Trade creditors and any other accruals or creditors due after more than one year that are not borrowings, tax creditors, capex creditor or liabilities arising from derivative financial instruments.</t>
  </si>
  <si>
    <t xml:space="preserve">Balances due after more than one year which comprise:
• obligations under finance leases;
• loans due to other group companies;
• redeemable debentures;
• bonds;
• commercial paper;
• bills of exchange;
• bank loans; and
• any other borrowings.
Accrued interest on borrowings should not be included.
</t>
  </si>
  <si>
    <t>Difference between book value and fair value of any non-current liabilities relating to financial instruments, including options, futures, forwards and swaps, which are presented at fair value in the statutory accounts.</t>
  </si>
  <si>
    <t xml:space="preserve">The total amount due to employees in the pension scheme for all of the past service completed up to the balance sheet date, less scheme assets.
Where this calculation results in a net liability it should be shown in this line.
</t>
  </si>
  <si>
    <t>Total provisions for liabilities and charges due after one year not included elsewhere in the table. Includes restructuring or reorganisation provisions.</t>
  </si>
  <si>
    <t>Balance of deferred income relating to capitalised grants and contributions received. This should reconcile to the carried forward balance in table 2E line 15.</t>
  </si>
  <si>
    <t>Nominal value of the preference share capital.</t>
  </si>
  <si>
    <t>Provision for tax liabilities arising from timing differences between the recognition of gains and losses in the financial statements and their recognition in a tax computation. (A deferred tax asset should be entered as a positive number.)</t>
  </si>
  <si>
    <t>Total creditors due after one year. Equal to the sum of table 1C lines 21 and 28.</t>
  </si>
  <si>
    <t>Total assets employed by the business under the historical cost accounting convention. Equal to the sum of table 1C lines 7, 20 and 29.</t>
  </si>
  <si>
    <t>Nominal value of the ordinary shares of the company which are issued and fully paid.</t>
  </si>
  <si>
    <t>Cumulative balance of historical cost profits retained and any other reserves, other than called up share capital.</t>
  </si>
  <si>
    <t>Total of shareholders' funds. The sum of called up share capital, share premium, profit and loss account, and other reserves. This equals table 1C line 30.</t>
  </si>
  <si>
    <t>1D - Statement of cash flows</t>
  </si>
  <si>
    <t>Statement of cashflows</t>
  </si>
  <si>
    <t>Depreciation</t>
  </si>
  <si>
    <t>Amortisation - G&amp;C's</t>
  </si>
  <si>
    <t>Changes in working capital</t>
  </si>
  <si>
    <t>Pension contributions</t>
  </si>
  <si>
    <t>Movement in provisions</t>
  </si>
  <si>
    <t>Profit on sale of fixed assets</t>
  </si>
  <si>
    <t>Cash generated from operations</t>
  </si>
  <si>
    <t>Net interest paid</t>
  </si>
  <si>
    <t>Tax paid</t>
  </si>
  <si>
    <t>Net cash generated from operating activities</t>
  </si>
  <si>
    <t>Investing activities</t>
  </si>
  <si>
    <t>Capital expenditure</t>
  </si>
  <si>
    <t>Grants &amp; Contributions</t>
  </si>
  <si>
    <t>Disposal of fixed assets</t>
  </si>
  <si>
    <t>Other</t>
  </si>
  <si>
    <t>Net cash used in investing activities</t>
  </si>
  <si>
    <t>Net cash generated before financing activities</t>
  </si>
  <si>
    <t>Cashflows from financing activities</t>
  </si>
  <si>
    <t>Equity dividends paid</t>
  </si>
  <si>
    <t>Net loans received</t>
  </si>
  <si>
    <t>Cash inflow from equity financing</t>
  </si>
  <si>
    <t>Net cash generated from financing activities</t>
  </si>
  <si>
    <t>Increase (decrease) in net cash</t>
  </si>
  <si>
    <t>Operating profit before tax and interest. This is equal to table 1A line 4.</t>
  </si>
  <si>
    <t>The negative value of depreciation.</t>
  </si>
  <si>
    <t>The negative value of amortisation relating to grants and contributions.</t>
  </si>
  <si>
    <t>The total movement in working capital.</t>
  </si>
  <si>
    <t>Total pension contributions paid in the year.</t>
  </si>
  <si>
    <t>The negative value of any other non-cash profit and loss items which affect operating profit. This will include, but is not restricted to:
• movements in provisions; and
• the difference between pension contributions and the charge (to operating profit).</t>
  </si>
  <si>
    <t xml:space="preserve">The negative value of net current cost profit/loss on disposal of fixed assets. </t>
  </si>
  <si>
    <t>Net cash flow movement from the operating activities of the company. The sum of table 1D lines 1 to 8.</t>
  </si>
  <si>
    <t>Net of interest received, interest paid, interest on finance lease rentals and non-equity dividends paid.</t>
  </si>
  <si>
    <t>All cash flows to or from taxation authorities (or other group companies) in respect of the company's revenue and capital profits including corporation tax paid/received and group taxation payments/receipts by the company in the year.</t>
  </si>
  <si>
    <t>The sum of table 1D lines 9 to 11.</t>
  </si>
  <si>
    <t>Gross purchase price of fixed assets paid before the deduction of any grants and contributions.</t>
  </si>
  <si>
    <t>The total amount of grants and other contributions received for fixed asset purchases in the year.</t>
  </si>
  <si>
    <t>Cash proceeds received in the year on the sale of fixed assets</t>
  </si>
  <si>
    <t>Other movements not already included in table 1D lines 13 to 15.</t>
  </si>
  <si>
    <t>The net cash flow of the company relating to the acquisition or disposal of any asset held as a fixed asset. 
The sum of table 1D lines 13 to 16.</t>
  </si>
  <si>
    <t>The sum of table 1D lines 12 and 17.</t>
  </si>
  <si>
    <t>The total equity dividend paid by the company in the year. This includes any special dividends paid in the year.</t>
  </si>
  <si>
    <t>The receipts from any loans taken out in the year. These include the proceeds of any loans taken out from other group companies.</t>
  </si>
  <si>
    <t>The net proceeds of any share issues received in the year, less the cost of any share buy backs.</t>
  </si>
  <si>
    <t>The net effect on cash flow after repaying the capital element of finance leases, raising/repaying loans and share issues. The sum of table 1D lines 19 to 21.</t>
  </si>
  <si>
    <t>The net cash flow of the company in the year measured by the change in the level of cash. The sum of table 1D lines 18 and 22.</t>
  </si>
  <si>
    <t>1E - Net debt analysis at 31 March</t>
  </si>
  <si>
    <t>Interest rate risk profile</t>
  </si>
  <si>
    <t>Fixed rate</t>
  </si>
  <si>
    <t>Floating rate</t>
  </si>
  <si>
    <t>Index linked</t>
  </si>
  <si>
    <t>Total</t>
  </si>
  <si>
    <t>Borrowings (excluding preference shares)</t>
  </si>
  <si>
    <t>Total borrowings</t>
  </si>
  <si>
    <t>Cash</t>
  </si>
  <si>
    <t>Short term deposits</t>
  </si>
  <si>
    <t>Net Debt</t>
  </si>
  <si>
    <t>Gearing</t>
  </si>
  <si>
    <t>%</t>
  </si>
  <si>
    <t>Adjusted gearing</t>
  </si>
  <si>
    <t>Full year equivalent nominal interest cost</t>
  </si>
  <si>
    <t>Full year equivalent cash interest payment</t>
  </si>
  <si>
    <t>Indicative interest rates</t>
  </si>
  <si>
    <t>Indicative weighted average nominal interest rate</t>
  </si>
  <si>
    <t>Indicative weighted average cash interest rate</t>
  </si>
  <si>
    <t>Borrowings such as:
  • obligations under finance leases;
  • loans due to other group companies;
  • redeemable debentures;
  • bonds;
  • commercial paper;
  • bills of exchange;
  • bank loans; and
  • any other borrowings.  
The following should not be included:
  • accrued interest on borrowings;
  • mains deposits; 
  • fair value accounting adjustments which do not impact on the principal sum outstanding on the debt or the total interest paid. 
    For example when financial instruments, such as interest rate swap agreements are presented at fair value.</t>
  </si>
  <si>
    <t>1
2
3
4
5
6
7
8
9
10
11
12
13</t>
  </si>
  <si>
    <t>The sum of table 1E lines 1 and 2.</t>
  </si>
  <si>
    <t xml:space="preserve">Cash in hand and at bank at the year-end. </t>
  </si>
  <si>
    <t>Investments which are readily convertible into known amounts of cash. This may include deposits made with group companies.</t>
  </si>
  <si>
    <t>The sum of table 1E lines 3 to 5.</t>
  </si>
  <si>
    <t>Regulatory gearing calculated as net debt in table 1E line 6 divided by RCV in table 4C line 1.</t>
  </si>
  <si>
    <t>Some companies may use a different measure of net debt to calculate gearing for the purposes of financial covenants which are of use to the financial community. If a different measure of debt is commonly used by a company, then the restated gearing level should be inserted in this line together with an accompanying commentary.</t>
  </si>
  <si>
    <t>Full year equivalent nominal interest cost as at 31 March. Calculated as the ‘Nominal interest rate’ multiplied by the ‘Principal sum as at 31 March’.
Nominal interest rate is defined as the coupon associated with nominal debt or equivalent implied by the coupon of index linked debt. 
Rates entered for borrowings in hedging relationships should be stated at the post hedge interest rate. 
Processing rule:
Fixed rate instruments
The coupon rate as an input.
Floating rate instruments
The nominal coupon rate at the last pricing of the instrument.
Index-linked instruments
Nominal interest rate = ((1 + real coupon) x (1 + RPI)) – 1.
The principal sum outstanding should not be adjusted for accounting adjustments such as unamortised issuance costs.
Processing rule:
Fixed rate and floating rate instruments
In most instances this will be the principal sum at initial recognition of the instrument. For instruments with stepped principal repayments, the principal sum is the sum outstanding as at 31 March.
Index-linked instruments 
The principal sum outstanding at 31 March, ie the principal sum at initial recognition plus indexation of the principal.
Foreign currency instruments
The Sterling equivalent upon which interest is calculated.
Swaps that are not in designated hedging arrangements
The paid and received legs should be reported separately in the appropriate categories within the table. The notional value of the swap should be reported as the principal sum, with the received leg reported as a negative principal sum.</t>
  </si>
  <si>
    <t>1
2
3
4
5
6
7
8
9
10
11
12
13
14 
15
16
17
18
19
20
21
22
23</t>
  </si>
  <si>
    <t>Full year equivalent cash interest payment at 31 March. 
Processing rule:
Fixed rate instruments and floating rate instruments
Copied from ‘Full year equivalent nominal interest cost’.
Index linked instruments
Calculated as the ‘Real coupon’ multiplied by the ‘principal sum as at 31 March’.</t>
  </si>
  <si>
    <t>1
2
3
4
5
6</t>
  </si>
  <si>
    <t>Table 1E line 9 divided by the principal sum outstanding as at 31 March for fixed, floating and index linked instruments on which interest payments are calculated.</t>
  </si>
  <si>
    <t>Table 1E line 10 divided by the principal sum outstanding as at 31 March for fixed, floating and index linked instruments on which interest payments are calculated.</t>
  </si>
  <si>
    <t>2A - Segmental income statement</t>
  </si>
  <si>
    <t>Retail</t>
  </si>
  <si>
    <t>Wholesale</t>
  </si>
  <si>
    <t>Consistency validations</t>
  </si>
  <si>
    <t>Other validations calcs</t>
  </si>
  <si>
    <t>Household</t>
  </si>
  <si>
    <t>Non-Household</t>
  </si>
  <si>
    <t>Water</t>
  </si>
  <si>
    <t>Wastewater</t>
  </si>
  <si>
    <t>Revenue - price control</t>
  </si>
  <si>
    <t>The total of table 2A line 1 &amp; line 2 should equal table 1A line 1.</t>
  </si>
  <si>
    <t>Revenue - non price control</t>
  </si>
  <si>
    <t>The total of table 2A line 3 should equal table 1A line 2.</t>
  </si>
  <si>
    <t>The total of table 2A line 4 should equal table 1A line 3.</t>
  </si>
  <si>
    <t>Operating profit before recharges</t>
  </si>
  <si>
    <t>Recharges from other segments</t>
  </si>
  <si>
    <t>Recharges to other segments</t>
  </si>
  <si>
    <t>Surface water drainage rebates</t>
  </si>
  <si>
    <t>Total revenue covered by the price control split over the four price controls. Retail household column should be equal to table 2I line 13 (household column). Retail non-household column should be equal to table 2I line 13 (non-household column). Wholesale Water column should be equal to table 2I line 4. Wholesale Wastewater column should be equal to table 2I line 8.</t>
  </si>
  <si>
    <t xml:space="preserve">Other revenue from appointed activities, not covered by the price control recorded under each segment (see RAG 4.05 appendix 1). </t>
  </si>
  <si>
    <t xml:space="preserve">Operating costs split over the four price controls. </t>
  </si>
  <si>
    <t xml:space="preserve">Other operating income split over the four price controls. </t>
  </si>
  <si>
    <t>The sum of table 2A lines 1 to 4</t>
  </si>
  <si>
    <t>Total amount of recharges made from other segments for use of fixed assets, input as a negative number.</t>
  </si>
  <si>
    <t>Total amount of recharges made to other segments for use of fixed assets, input as a positive number.</t>
  </si>
  <si>
    <t>Sum of table 2A lines 5 to 7.</t>
  </si>
  <si>
    <t>Total value of surface water drainage rebates paid or credited to customers’ accounts in the year.</t>
  </si>
  <si>
    <t>2B - Totex analysis - wholesale</t>
  </si>
  <si>
    <t>Operating expenditure</t>
  </si>
  <si>
    <t>Power</t>
  </si>
  <si>
    <t>Income treated as negative expenditure</t>
  </si>
  <si>
    <t>Service charges/ discharge consents</t>
  </si>
  <si>
    <t>Bulk supply/ Bulk discharge</t>
  </si>
  <si>
    <t>Other operating expenditure</t>
  </si>
  <si>
    <t>Local authority rates</t>
  </si>
  <si>
    <t>Total operating expenditure excluding third party services</t>
  </si>
  <si>
    <t>Third party services</t>
  </si>
  <si>
    <t>Total operating expenditure</t>
  </si>
  <si>
    <t>Capital Expenditure</t>
  </si>
  <si>
    <t>Maintaining the long term capability of the assets - infra</t>
  </si>
  <si>
    <t>Maintaining the long term capability of the assets - non- infra</t>
  </si>
  <si>
    <t>Other capital expenditure - infra</t>
  </si>
  <si>
    <t>Other capital expenditure - non-infra</t>
  </si>
  <si>
    <t>Total gross capital expenditure excluding third party services</t>
  </si>
  <si>
    <t>Total gross capital expenditure</t>
  </si>
  <si>
    <t>Grants and contributions (price control)</t>
  </si>
  <si>
    <t>Totex</t>
  </si>
  <si>
    <t>Cash Expenditure</t>
  </si>
  <si>
    <t>Pension deficit recovery payments</t>
  </si>
  <si>
    <t>Other cash items</t>
  </si>
  <si>
    <t>Totex including cash items</t>
  </si>
  <si>
    <t>All energy costs, including the climate change levy and the carbon reduction commitment.</t>
  </si>
  <si>
    <t>Income received from energy generation, input as a negative number.</t>
  </si>
  <si>
    <t>Total cost of service charges by the environment agency or canal and river trust for discharge consents.</t>
  </si>
  <si>
    <t>Total payments for bulk imports/exports. Where a company jointly owns a supply, the costs associated with it should not be reported here but in the appropriate cost line.</t>
  </si>
  <si>
    <t>Any other operating costs (ie. excluding interest, taxation and local authority rates).</t>
  </si>
  <si>
    <t>The cost of local authority rates. This should include both the local authority rates, cumulo rates and sewerage site rates (where appropriate).</t>
  </si>
  <si>
    <t>Total operating costs excluding third party services.   The sum of table 2B lines 1 to 6.</t>
  </si>
  <si>
    <t>Operating expenditure for providing third party services. E.g. Bulk supplies, supplies of non-potable water and rechargeable works where the appointee is a monopoly supplier.</t>
  </si>
  <si>
    <t>Total operating expenditure for the wholesale business only within each business category. The sum of table 2B lines 7 and 8. This should reconcile to wholesale operating costs in table 2A net of depreciation.</t>
  </si>
  <si>
    <t>Capital expenditure on infrastructure assets excluding third party capex to maintain the long term capability of assets and to deliver base levels of service.</t>
  </si>
  <si>
    <t>Capital expenditure on non-infrastructure assets excluding third party capex to maintain the long term capability of assets and to deliver base levels of service.</t>
  </si>
  <si>
    <t>Any capital expenditure on infrastructure assets other than defined in table 2B line 10 excluding third party capex.</t>
  </si>
  <si>
    <t>Any capital expenditure on non-infrastructure assets other than defined in table 2B line 11 excluding third party capex.</t>
  </si>
  <si>
    <t>Total gross capital expenditure excluding third party services.  The sum of table 2B lines 10 to 13.</t>
  </si>
  <si>
    <t>Capital expenditure for providing third party services. E.g. Bulk supplies, supplies of non-potable water and rechargeable works where the appointee is a monopoly supplier.</t>
  </si>
  <si>
    <t>The sum of table 2B lines 14 and 15.</t>
  </si>
  <si>
    <t>Relevant capital contributions as covered by the price control - see RAG 4.05 Appendix 1. Equal to the sum of table 2E lines 1, 2 and 3 for water and 7 and 8 for wastewater.</t>
  </si>
  <si>
    <t>The sum of table 2B lines 9 and 16 minus 17.</t>
  </si>
  <si>
    <t>Actual pension deficit recovery payments including costs capitalised and any group recharges for pension deficit costs.</t>
  </si>
  <si>
    <t>Other cash items not including in the accounting charge.</t>
  </si>
  <si>
    <t>The sum of table 2B lines 18 to 20.</t>
  </si>
  <si>
    <t>2C - Operating cost analysis - retail</t>
  </si>
  <si>
    <t>Non-household</t>
  </si>
  <si>
    <t>Customer services</t>
  </si>
  <si>
    <t>Debt management</t>
  </si>
  <si>
    <t>Doubtful debts</t>
  </si>
  <si>
    <t>Meter reading</t>
  </si>
  <si>
    <t>Services to developers</t>
  </si>
  <si>
    <t>Third party services operating expenditure</t>
  </si>
  <si>
    <t xml:space="preserve">Depreciation </t>
  </si>
  <si>
    <t>Total operating costs</t>
  </si>
  <si>
    <t>Debt written off</t>
  </si>
  <si>
    <t>The costs associated with providing the following services for the appointee’s household customers (as defined in paragraph 2.5 of RAG 2).
• Billing.
• Payment handling, remittance and cash handling.
• Charitable trust donations.
• Vulnerable customer schemes.
• Non-network customer enquiries and complaints.
• Network customer enquiries and complaints
• Investigatory visits (where the cause of the investigation is not a network issue)
Excludes customer services costs incurred in providing services to a third party’s customers (eg. where a WoC bills and collect payment on behalf of a WaSC).</t>
  </si>
  <si>
    <t xml:space="preserve">The costs associated with providing the following services for non-household customers (as defined in paragraph 2.5 of RAG 2).
• Billing.
• Payment handling, remittance and cash handling.
• Non-network customer enquiries and complaints.
• Network customer enquiries and complaints.
• Investigatory visits (where the cause of the investigation is not a network issue)
Excludes customer services costs incurred in providing services to a third party’s customers (eg. where a WoC bills and collect payment on behalf of a WaSC).
</t>
  </si>
  <si>
    <t xml:space="preserve">1
2
3
4
5
6
7
8
9
10
11
12
13
14 </t>
  </si>
  <si>
    <t>All costs relating to the management of debt recovery for the appointee’s household customers (as defined in paragraph 2.5 of RAG 2) – monitoring of outstanding debt, including issue of reminders and follow up telephone calls, managing and monitoring field recovery of debt, includes costs of customer visits, managing and monitoring external debt collection routes including debt collection agencies and legal.
Excludes costs incurred relating to the management of debt recovery for a third party’s customers (eg. where a WoC manages debt on behalf of a WaSC).</t>
  </si>
  <si>
    <t xml:space="preserve">All costs relating to the management of debt recovery for non-household customers (as defined in paragraph 2.5 of RAG 2) – monitoring of outstanding debt, including issue of reminders and follow up telephone calls, managing and monitoring field recovery of debt, includes costs of customer visits, managing and monitoring external debt collection routes including debt collection agencies and legal, including notification of disconnections to non-household customers.
Excludes costs incurred relating to the management of debt recovery for a third party’s customers (eg. where a WoC manages debt on behalf of a WaSC).
</t>
  </si>
  <si>
    <t>1
2
3
4
5
6
7
8
9
10
11</t>
  </si>
  <si>
    <t xml:space="preserve">The charge for bad and doubtful debts for household customers (as defined in paragraph 2.5 of RAG 2).
This should include only the appointee’s doubtful debts and not doubtful debts relating to a third party. </t>
  </si>
  <si>
    <t xml:space="preserve">The charge for bad and doubtful debts for non-household customers (as defined in paragraph 2.5 of RAG 2).
This should include only the appointee’s doubtful debts and not doubtful debts relating to a third party.
</t>
  </si>
  <si>
    <t>Costs associated with meter reading  for household customers (as defined in paragraph 2.5 of RAG 2) – including ad hoc read requests, cyclical reading, scheduling, transport, physical reading, reading queries and read processing costs, managing meter data plus supervision and management of meter readers.
Excludes costs associated with meter reading for third parties.</t>
  </si>
  <si>
    <t xml:space="preserve">Costs associated with meter reading  for non-household customers (as defined in paragraph 2.5 of RAG 2) – including ad hoc read requests, cyclical reading, scheduling, transport, physical reading, reading queries and read processing costs, managing meter data plus supervision and management of meter readers.
Excludes costs associated with meter reading for third parties.
</t>
  </si>
  <si>
    <t>1
2
3
4
5</t>
  </si>
  <si>
    <t>Not applicable for household.</t>
  </si>
  <si>
    <t>The operating costs of providing services to developers, to include:
• provide developer information – deal with questions from developers where physical aspects of infrastructure are required to change, investigate and advise on implications;
• provide connections for developers –including project management, contracting with third parties; and
• administration for new connections.</t>
  </si>
  <si>
    <t>Any other operating costs (ie, excluding interest and taxation) incurred serving household customers (as defined in paragraph 2.5 of RAG 2), on an aggregated basis.
Include the costs of (among other costs):
• provision of offices;
• insurance premiums;
• net retail expenditure on demand-side water efficiency initiatives;
• net retail expenditure on customer side leaks;
• other direct costs;
• general and support expenditure;
• local authority rates; and
• other business activities.</t>
  </si>
  <si>
    <t xml:space="preserve">Any other operating costs (ie, excluding interest and taxation) incurred serving non-household customers (as defined in paragraph 2.5 of RAG 2), on an aggregated basis.
Include the costs of (among other costs):
• provision of offices;
• insurance premiums;
• disconnections;
• demand-side water efficiency initiatives;
• customer side leaks;
• other direct costs;
• general and support expenditure;
• local authority rates; and
• other business activities.
</t>
  </si>
  <si>
    <t>1
2
3
4
5
6
7
8
9
10
11
12
13
14</t>
  </si>
  <si>
    <t>The sum of table 2C lines 1 to 6.</t>
  </si>
  <si>
    <t>The operating costs of providing appointed household retail services to third parties.</t>
  </si>
  <si>
    <t>The operating costs of providing appointed non-household retail services to third parties.</t>
  </si>
  <si>
    <t>Total operating expenditure for households within the retail business only.
The sum of table 2C lines 7 and 8.</t>
  </si>
  <si>
    <t xml:space="preserve">Total operating expenditure for non-households within the retail business only.
The sum of table 2C lines 7 and 8.
</t>
  </si>
  <si>
    <t>Depreciation on assets used wholly or principally for the household retail business (as defined in paragraph 2.3 of RAG 2).</t>
  </si>
  <si>
    <t xml:space="preserve">Depreciation on assets used wholly or principally for the non-household retail business (as defined in paragraph 2.3 of RAG 2). </t>
  </si>
  <si>
    <t>Total operating costs in respect of the household retail business. 
The sum of table 2C lines 9 and 10.</t>
  </si>
  <si>
    <t xml:space="preserve">Total operating expenditure in respect of the non-household retail business. 
The sum of table 2C lines 9 and 10.
</t>
  </si>
  <si>
    <t>Water and/ or sewerage outstanding debts that have been written off for the appointee’s household customers in the report year, net of collections of previously written off debt.  
Write-offs in relation to court or other debt recovery costs should not be included.</t>
  </si>
  <si>
    <t xml:space="preserve">Water and/ or sewerage outstanding debts that have been written off for non-household customers in the report year, net of collections of previously written off debt.  
Write-offs in relation to court or other debt recovery costs should not be included.
</t>
  </si>
  <si>
    <t>2D - Historic cost analysis of fixed assets - wholesale &amp; retail</t>
  </si>
  <si>
    <t>Cost</t>
  </si>
  <si>
    <t>At 1 April 2015</t>
  </si>
  <si>
    <t>Disposals</t>
  </si>
  <si>
    <t>Additions</t>
  </si>
  <si>
    <t>At 31 March 2016</t>
  </si>
  <si>
    <t>Charge for the year</t>
  </si>
  <si>
    <t>Net book amount at 31 March 2016</t>
  </si>
  <si>
    <t>Net book amount at 1 April 2015</t>
  </si>
  <si>
    <t>The historical cost value of the assets brought forward from the previous year.</t>
  </si>
  <si>
    <t>The reduction in value of assets caused by disposal of assets, by type.</t>
  </si>
  <si>
    <t>Increase in value of assets by type caused by purchase.</t>
  </si>
  <si>
    <t>This is the historical cost value at the end of the year. The sum of table 2D lines 1 to 3.</t>
  </si>
  <si>
    <t>Accumulated depreciation brought forward on assets by type at the beginning of the year.  Enter as a negative.</t>
  </si>
  <si>
    <t>A reduction in depreciation caused by disposal of assets by type.</t>
  </si>
  <si>
    <t>Depreciation charge on assets by type.</t>
  </si>
  <si>
    <t>Accumulated depreciation carried forward by asset type at the end of the charging year. The sum of table 2D lines 5 to 7.</t>
  </si>
  <si>
    <t>Net book value by asset type at the year end. The sum of table 2D lines 4 and 8.</t>
  </si>
  <si>
    <t>Net book value by asset type at the beginning of the year. The sum of table 2D lines 1 and 5.</t>
  </si>
  <si>
    <t>2E - Analysis of capital contributions and land sales - wholesale</t>
  </si>
  <si>
    <t>Current year</t>
  </si>
  <si>
    <t>Prior year</t>
  </si>
  <si>
    <t>Fully recognised in income statement</t>
  </si>
  <si>
    <t>Capitalised and amortised against depreciation</t>
  </si>
  <si>
    <t>Fully netted off capex</t>
  </si>
  <si>
    <t>Grants and contributions - water</t>
  </si>
  <si>
    <t>Connection charges (s45)</t>
  </si>
  <si>
    <t>Infrastructure charge receipts (s146)</t>
  </si>
  <si>
    <t>Requisitioned mains (s43, s55 &amp; s56)</t>
  </si>
  <si>
    <t>Diversions (s185)</t>
  </si>
  <si>
    <t>Other Contributions</t>
  </si>
  <si>
    <t>Grants and contributions - wastewater</t>
  </si>
  <si>
    <t>Requisitioned sewers (s100)</t>
  </si>
  <si>
    <t>Balance sheet</t>
  </si>
  <si>
    <t>Brought forward</t>
  </si>
  <si>
    <t>Capitalised in year</t>
  </si>
  <si>
    <t>Amortisation (in income statement)</t>
  </si>
  <si>
    <t>Carried forward</t>
  </si>
  <si>
    <t>Land sales</t>
  </si>
  <si>
    <t>Proceeds from disposals of protected land</t>
  </si>
  <si>
    <t>Contributions received from developer for service connection charges for installing a new service pipe and meter.  (Water Industry Act s45)</t>
  </si>
  <si>
    <t>Infrastructure charges received in the year for new connections. This reflects a contribution to the costs of enhancing the local water network. (Water Industry Act s146)</t>
  </si>
  <si>
    <t>Contributions received from developers to requisition a new water main. (Water Industry Act s43,55 and 56)</t>
  </si>
  <si>
    <t>Contributions received from local authorities, highway authorities and private companies to divert water mains. (Water Industry Act s185)</t>
  </si>
  <si>
    <t>Other contributions received from organisations towards the construction of specific capital projects, e.g. health authorities for fluoridation or government departments for environmental schemes.</t>
  </si>
  <si>
    <t>The sum of table 2E lines 1 to 5.</t>
  </si>
  <si>
    <t>Infrastructure charges received in the year for new connections. This reflects a contribution to the costs of enhancing the local sewerage network. (Water Industry Act s146)</t>
  </si>
  <si>
    <t>Contributions received from developers to requisition a new sewer. (Water Industry Act s100)</t>
  </si>
  <si>
    <t>Contributions received from local authorities, highway authorities and private companies to divert sewers. (Water Industry Act s185)</t>
  </si>
  <si>
    <t>Other contributions received from organisations towards the construction of specific capital projects, e.g. government departments for environmental schemes. Also should include Inspection and supervision fees (2.5% of construction cost based on WRC ‘Sewers for adoption’). This line should also include the fair value of any adopted assets.</t>
  </si>
  <si>
    <t>The sum of table 2E lines 7 to 10.</t>
  </si>
  <si>
    <t>Total value of capitalised grants and contributions brought forward as at 1 April.</t>
  </si>
  <si>
    <t>Total value of grants and contributions capitalised in the year.</t>
  </si>
  <si>
    <t>Total value of amortisation released to the income statement in the year. Input as a negative number.</t>
  </si>
  <si>
    <t>Total value of capitalised grants and contributions carried forward as at 31 March. The sum of table 2E lines 12 to 14.</t>
  </si>
  <si>
    <t>The net proceeds, after the deduction of all offsetting costs from disposals of protected land, including those already subject to regulation through Condition K of the licence.</t>
  </si>
  <si>
    <t>2F - Household - revenues by customer type</t>
  </si>
  <si>
    <t>Wholesale charges revenue £m</t>
  </si>
  <si>
    <t>Retail revenue £m</t>
  </si>
  <si>
    <t>Total revenue £m</t>
  </si>
  <si>
    <t>Number of customers 000s</t>
  </si>
  <si>
    <t>Average household retail revenue per customer £</t>
  </si>
  <si>
    <t>Unmeasured water only customer</t>
  </si>
  <si>
    <t>Unmeasured wastewater only customer</t>
  </si>
  <si>
    <t>Unmeasured water and wastewater customer</t>
  </si>
  <si>
    <t>Measured water only customer</t>
  </si>
  <si>
    <t>Measured wastewater only customer</t>
  </si>
  <si>
    <t>Measured water and wastewater customer</t>
  </si>
  <si>
    <t xml:space="preserve">Revenue from all household unmeasured water only customers. </t>
  </si>
  <si>
    <t xml:space="preserve">Revenue from all household unmeasured wastewater only customers. </t>
  </si>
  <si>
    <t>Revenue from all household unmeasured water &amp; wastewater customers only. This line should not include any revenue from WoC’s billing on behalf of WaSC’s.</t>
  </si>
  <si>
    <t xml:space="preserve">Revenue from all household measured water only customers. </t>
  </si>
  <si>
    <t>Revenue from all household measured wastewater only customers</t>
  </si>
  <si>
    <t>Revenue from all household measured water &amp; wastewater customer only This line should not include any revenue from WoC’s billing on behalf of WaSC’s.</t>
  </si>
  <si>
    <t>The sum of table 2F lines 1 to 6.</t>
  </si>
  <si>
    <t>2G - Non-household water - revenues by customer type</t>
  </si>
  <si>
    <t>Wholesale charges revenue 
£m</t>
  </si>
  <si>
    <t>Number of customers (nr)</t>
  </si>
  <si>
    <t>Average non-household retail revenue per customer  £</t>
  </si>
  <si>
    <t>Non-Default tariffs</t>
  </si>
  <si>
    <t>Total non-default tariffs</t>
  </si>
  <si>
    <t>Default tariffs</t>
  </si>
  <si>
    <t>Total default tariffs</t>
  </si>
  <si>
    <t>The total of column 1 should be equal to the sum of table 2I lines 1 and 2.</t>
  </si>
  <si>
    <t>Total revenue received from all customers on a non-default tariff.</t>
  </si>
  <si>
    <t>2 to 19</t>
  </si>
  <si>
    <t>Total revenue received from each non-household customer type listed separately.</t>
  </si>
  <si>
    <t>Total revenue received from all non-household customers on a default tariff.</t>
  </si>
  <si>
    <t>Total revenue received from all default and non-default tariffs.</t>
  </si>
  <si>
    <t>2H - Non-household wastewater - revenues by customer type</t>
  </si>
  <si>
    <t>The total of column 1 should be equal to the sum of table 2I lines 5 and 6.</t>
  </si>
  <si>
    <t>2I - Revenue analysis &amp; wholesale control reconciliation</t>
  </si>
  <si>
    <t>Wholesale charge - water</t>
  </si>
  <si>
    <t>Unmeasured</t>
  </si>
  <si>
    <t>Measured</t>
  </si>
  <si>
    <t>Third party revenue</t>
  </si>
  <si>
    <t>Wholesale charge - wastewater</t>
  </si>
  <si>
    <t>Wholesale Total</t>
  </si>
  <si>
    <t>Retail revenue</t>
  </si>
  <si>
    <t>Retail third party revenue</t>
  </si>
  <si>
    <t>Retail total</t>
  </si>
  <si>
    <t xml:space="preserve">The total of table 2I lines 9 and 13 should equal table 2A line 1 </t>
  </si>
  <si>
    <t>Third party revenue - non-price control</t>
  </si>
  <si>
    <t>Bulk Supplies</t>
  </si>
  <si>
    <t>Other third party revenue</t>
  </si>
  <si>
    <t>Other appointed revenue</t>
  </si>
  <si>
    <t xml:space="preserve">The total of table 2I line 14 to 16 should equal table 2A line 2 </t>
  </si>
  <si>
    <t>Total appointed revenue</t>
  </si>
  <si>
    <t xml:space="preserve">Table 2I line 17 should equal the sum of table 2A lines 1 and 2 </t>
  </si>
  <si>
    <t>Wholesale revenue governed by price control</t>
  </si>
  <si>
    <t>Grants &amp; contributions</t>
  </si>
  <si>
    <t>Total revenue governed by wholesale price control</t>
  </si>
  <si>
    <t>Amount assumed in wholesale determination</t>
  </si>
  <si>
    <t>Difference</t>
  </si>
  <si>
    <t>Total revenue from wholesale water charges, other than on a measured basis. This should be split between household and non-household connections. This should include revenue from large users and special agreements.</t>
  </si>
  <si>
    <t>Total revenue from wholesale water charges, where all or some of the charges are based on measured quantities of volume. This should be split between household and non-household connections. This should include revenue from large users and special agreements.</t>
  </si>
  <si>
    <t>Third party revenue covered by the wholesale water price control, e.g. supplies of non-potable water to customers.</t>
  </si>
  <si>
    <t>Total revenue from wholesale water charges. The sum of table 2I lines 1 to 3.</t>
  </si>
  <si>
    <t>Total revenue from wholesale wastewater charges, other than on a measured basis. This should be split between household and non-household connections. This should include revenue from large users and special agreements.</t>
  </si>
  <si>
    <t>Total revenue from wholesale wastewater charges, where all or some of the charges are based on measured quantities of volume. This should be split between household and non-household connections. This should include revenue from trade effluent, large users and special agreements.</t>
  </si>
  <si>
    <t>Third party revenue covered by the wholesale wastewater price control.</t>
  </si>
  <si>
    <t>Total revenue from wholesale wastewater charges. The sum of table 2I lines 5 to 7.</t>
  </si>
  <si>
    <t>The sum of table 2I lines 4 and 8.</t>
  </si>
  <si>
    <t>Total revenue from retail charges, other than on a measured basis. This should be split between household and non-household connections.</t>
  </si>
  <si>
    <t>Total revenue from retail charges, where all or some of the charges are based on measured quantities of volume. This should be split between household and non-household connections.</t>
  </si>
  <si>
    <t>Any third party revenue relating to retail activities.</t>
  </si>
  <si>
    <t>Total revenue from retail charges. The sum of table 2I lines 10 to 12.</t>
  </si>
  <si>
    <t>All income received for providing a bulk supply (for potable or non-potable supplies) to another water undertaker and from wastewater connection agreements with another wastewater undertaker.</t>
  </si>
  <si>
    <t>All other sources of revenue received from third parties for which costs are not covered by the wholesale price control. E.g. rechargeable works where the appointee is a monopoly supplier and Excluded charges.</t>
  </si>
  <si>
    <t>All other sources of revenue that are not reported elsewhere in the table but are classed as appointed business. E.g. recreational use of protected land.</t>
  </si>
  <si>
    <t>The sum of table 2I lines 9, 13, 14, 15 and 16. This should equal table 1A line 1 (appointed business activities column).</t>
  </si>
  <si>
    <t>Wholesale revenue governed by price control. Equal to table 2I line 9.</t>
  </si>
  <si>
    <t>Relevant capital contributions from connection charges and revenue from infrastructure charges, defined in the final determination as covered by the price control. Equal to the sum of table 2E lines 1, 2 and 3 (column 4) for water and 7 and 8 (column 4) for wastewater. Column 4 of table 2E indicates the total of grants and contributions received (as governed by the price control) and so are indifferent to the accounting treatment.</t>
  </si>
  <si>
    <t>Total revenue governed by wholesale price control. Sum of table 2I lines 18 and 19.</t>
  </si>
  <si>
    <t>Amount assumed in wholesale determination for the year.</t>
  </si>
  <si>
    <t>The sum of table 2I line 20 minus line 21. Cross reference to a narrative explanation.</t>
  </si>
  <si>
    <t>3A - Outcome performance table</t>
  </si>
  <si>
    <t>Row</t>
  </si>
  <si>
    <t>Unique ID</t>
  </si>
  <si>
    <t>Performance commitment</t>
  </si>
  <si>
    <t>2014-15 performance level - actual</t>
  </si>
  <si>
    <t>2015-16 performance level - actual</t>
  </si>
  <si>
    <t>2015-16 CPL met?</t>
  </si>
  <si>
    <t>2015-16 reward or penalty
(in-period ODIs)</t>
  </si>
  <si>
    <r>
      <t xml:space="preserve">2015-16 reward or penalty
(in-period ODIs)
</t>
    </r>
    <r>
      <rPr>
        <sz val="9"/>
        <color rgb="FF0078C9"/>
        <rFont val="Arial"/>
        <family val="2"/>
      </rPr>
      <t xml:space="preserve">
£m absolute value</t>
    </r>
  </si>
  <si>
    <t>Notional reward or penalty accrued at
31 March 2016</t>
  </si>
  <si>
    <r>
      <t xml:space="preserve">Notional reward or penalty accrued at 31 March 2016
</t>
    </r>
    <r>
      <rPr>
        <sz val="9"/>
        <color rgb="FF0078C9"/>
        <rFont val="Arial"/>
        <family val="2"/>
      </rPr>
      <t xml:space="preserve">
£m absolute value</t>
    </r>
  </si>
  <si>
    <t>Total AMP6 reward or penalty 31 March 2020 forecast</t>
  </si>
  <si>
    <r>
      <t xml:space="preserve">Total AMP6 reward or penalty 31 March 2020 forecast
</t>
    </r>
    <r>
      <rPr>
        <sz val="9"/>
        <color rgb="FF0078C9"/>
        <rFont val="Arial"/>
        <family val="2"/>
      </rPr>
      <t xml:space="preserve">
£m absoloute value</t>
    </r>
  </si>
  <si>
    <t>Number signage</t>
  </si>
  <si>
    <t>F</t>
  </si>
  <si>
    <t>G</t>
  </si>
  <si>
    <t>H</t>
  </si>
  <si>
    <t>I</t>
  </si>
  <si>
    <t>J</t>
  </si>
  <si>
    <t>K</t>
  </si>
  <si>
    <t>L</t>
  </si>
  <si>
    <t>M</t>
  </si>
  <si>
    <t>N</t>
  </si>
  <si>
    <t>No</t>
  </si>
  <si>
    <t>Not applicable</t>
  </si>
  <si>
    <t>Penalty deadband</t>
  </si>
  <si>
    <t>blank</t>
  </si>
  <si>
    <t>Column J, L &amp; N should only contain positive numbers</t>
  </si>
  <si>
    <t>Yes</t>
  </si>
  <si>
    <t>Reward deadband</t>
  </si>
  <si>
    <t xml:space="preserve">Stable </t>
  </si>
  <si>
    <t>n/a</t>
  </si>
  <si>
    <t>Reward</t>
  </si>
  <si>
    <t xml:space="preserve">Published </t>
  </si>
  <si>
    <t>94% (water)
89% (waste)</t>
  </si>
  <si>
    <t xml:space="preserve">95% (Water)
92% (Waste) </t>
  </si>
  <si>
    <t>76% (water)
77 (waste)</t>
  </si>
  <si>
    <t xml:space="preserve">82% (Water)
83% (Waste) </t>
  </si>
  <si>
    <t>2014-15 actual performance in the units the PC is measured in, for example, 50 Ml/day. This line applies to all PCs, including those with non-financial incentives, where the data is available.</t>
  </si>
  <si>
    <t>2015-16 actual performance in the units the PC is measured in, for example, 50 Ml/day. This line applies to all PCs, including those with non-financial incentives and those where a committed performance level has not been set for 2015-16.</t>
  </si>
  <si>
    <t>If the committed performance level for 2015-16 has been met select ‘Yes’
If the committed performance level for 2015-16 has not been met select ‘No’
If a committed performance level has not been set for 2015-16 select blank.</t>
  </si>
  <si>
    <t>This column applies only to PCs which have ODIs that are payable within AMP6 rather than at the end of AMP6 (that is, some of the Anglian Water, Severn Trent Water and South West Water PCs)
If a reward has been earned at 31 March 2016 select ‘Reward’
If a penalty has been earned at 31 March 2016 select ‘Penalty’
If the actual performance level is within the reward deadband select ‘Reward deadband’
If the actual performance level is within the penalty deadband select ‘Penalty deadband’
Otherwise select blank.</t>
  </si>
  <si>
    <t>This column applies only to PCs which have ODIs that are payable within AMP6 rather than at the end of AMP6 (that is, some of the Anglian Water, Severn Trent Water and South West Water PCs)
The reward or penalty earned at 31 March 2016 (£million absolute value, 6 decimal places)</t>
  </si>
  <si>
    <t>This column applies only to PCs which have ODIs that are payable at the end of AMP6
If a reward has accrued at 31 March 2016 select ‘Reward’
If a penalty has accrued at 31 March 2016 select ‘Penalty’
If the actual performance level is within the reward deadband select ‘Reward deadband’
If the actual performance level is within the penalty deadband select ‘Penalty deadband’
Otherwise select blank.</t>
  </si>
  <si>
    <t>This column applies only to PCs which have ODIs that are payable at the end of AMP6
The notional accrued reward or penalty at 31 March 2016 based on performance up to that date (£million absolute value, 6 decimal places)
Where no reward or penalty has accrued, select blank.</t>
  </si>
  <si>
    <t>This column applies to all financial ODIs (that is, ODIs that are payable within AMP6 and ODIs that are payable at the end of AMP6)
A forecast of the overall reward or penalty payed/ accrued by the end of AMP6 (31 March 2020) based on your current performance and your current expectation of your future performance.
If an overall reward is forecast select ‘Reward’
If an overall penalty is forecast select ‘Penalty’
If forecast to be within the reward deadband select ‘Reward deadband’
If forecast to be within the penalty deadband select ‘Penalty deadband’
Otherwise select blank.
A forecast for the total AMP6 reward or penalty, as at 31 March 2020, should be entered if:
• a reward or penalty is probable ('more likely than not'), and
• the amount can be estimated reliably (it should be the best estimate and, in reaching the best estimate, the company should take into account the risks and uncertainties that surround the underlying events).</t>
  </si>
  <si>
    <t>This column applies to all financial ODIs (that is, ODIs that are payable within AMP6 and ODIs that are payable at the end of AMP6)
A forecast of the overall reward or penalty payed/ accrued by the end of AMP6 (31 March 2020) based on your current performance and your current expectation of your future performance (£million absolute value, 6 decimal places).</t>
  </si>
  <si>
    <t>4A - Non-financial information</t>
  </si>
  <si>
    <t>Retail - household</t>
  </si>
  <si>
    <t>Number of households billed ('000s)</t>
  </si>
  <si>
    <t>Water only connections</t>
  </si>
  <si>
    <t>'000s</t>
  </si>
  <si>
    <t>Wastewater only connections</t>
  </si>
  <si>
    <t>Water and wastewater connections</t>
  </si>
  <si>
    <t>Number of void households</t>
  </si>
  <si>
    <t>Per capita consumption (excluding supply pipe leakage) l/h/d</t>
  </si>
  <si>
    <t>l/h/d</t>
  </si>
  <si>
    <t>Wholesale volume (Ml/d)</t>
  </si>
  <si>
    <t>Bulk supply export</t>
  </si>
  <si>
    <t>Ml/d</t>
  </si>
  <si>
    <t>Bulk supply import</t>
  </si>
  <si>
    <t>Distribution input</t>
  </si>
  <si>
    <t>Total number of household connections billed for a water service only within the supply area. Exclude void properties.</t>
  </si>
  <si>
    <t>Total number of household connections billed for a wastewater service only within the supply area. Exclude void properties.</t>
  </si>
  <si>
    <t>Total number of household connections billed for both a water and wastewater service only within the supply area. Exclude void properties.</t>
  </si>
  <si>
    <t>Sum of table 4A lines 1 to 3.</t>
  </si>
  <si>
    <t>Average total number of household properties, within the supply area, which are connected for either a water service only, a wastewater service only or both services but do not receive a charge, as there are no occupants. This should not include properties that do not receive a bill because it would be uneconomical to do so. Note that a property connected for both services that is not occupied, only counts as one void property.</t>
  </si>
  <si>
    <t xml:space="preserve">Estimated per capita consumption of households that are supplied with unmeasured water. This figure applies to billed unmeasured households and excludes underground supply pipe leakage. Underground supply pipe leakage is any loss of water from the underground supply pipe. This definition is the same as that in JR11 T10 L9.
We note that the Water Act 2014 will allow businesses and other non-household customers of providers based mainly or wholly in England to choose their supplier of water and wastewater retail services from April 2017. Our guidance identifies two distinct classes of household property under the retail household price control:
1) mainstream household properties, such as houses, bungalows, and flats; and 
2) other types of property which are ineligible to choose their supplier from April 2017. These would be mixed-use premises where the principal use is as a home.
Most companies will be reporting on per capita consumption relating to an outcome defined for the period 2015-20. This will be measured using the narrower household definition under 1) above and will not include 2). Companies therefore should restrict the definition of households to the narrower property types under 1) for reporting this measure in the APR. 
</t>
  </si>
  <si>
    <t>1
2
3
4
5
6
7
8
9
10
11
12</t>
  </si>
  <si>
    <t>Estimated per capita consumption of measured households. This figure applies to billed measured households and excludes underground supply pipe leakage. This definition is the same as that in JR11 T10 L8.
We note that the Water Act 2014 will allow businesses and other non-household customers of providers based mainly or wholly in England to choose their supplier of water and wastewater retail services from April 2017. Our guidance identifies two distinct classes of household property under the retail household price control:
1) mainstream household properties, such as houses, bungalows, and flats; and 
2) other types of property which are ineligible to choose their supplier from April 2017. These would be mixed-use premises where the principal use is as a home.
Most companies will be reporting on per capita consumption relating to an outcome defined for the period 2015-20. This will be measured using the narrower household definition under 1) above and will not include 2). Companies therefore should restrict the definition of households to the narrower property types under 1) for reporting this measure in the APR.</t>
  </si>
  <si>
    <t>Volume of water (treated and untreated) exported to other companies in bulk supplies by the appointed business.</t>
  </si>
  <si>
    <t>Volume of water (treated and untreated) imported from other companies in bulk supplies by the appointed business.</t>
  </si>
  <si>
    <t>Distribution input is the average amount of potable water entering the distribution network and supplied to customers within the company’s area of supply.</t>
  </si>
  <si>
    <t xml:space="preserve">4B - Wholesale totex analysis </t>
  </si>
  <si>
    <t>Cumulative 2015-20</t>
  </si>
  <si>
    <t>Actual totex</t>
  </si>
  <si>
    <t>Menu totex</t>
  </si>
  <si>
    <t>Items excluded from the menu</t>
  </si>
  <si>
    <t>Third party costs</t>
  </si>
  <si>
    <t>Other adjustments</t>
  </si>
  <si>
    <t xml:space="preserve">Total costs excluded from the menu </t>
  </si>
  <si>
    <t>Actual totex base year prices</t>
  </si>
  <si>
    <t>Allowed totex base year prices</t>
  </si>
  <si>
    <t>The sum of table 4B line 6 minus line 5.</t>
  </si>
  <si>
    <t>Actual costs relating to third party services</t>
  </si>
  <si>
    <t>Other adjustments to the menu for example transition costs or household legacy depreciation</t>
  </si>
  <si>
    <t>The sum of table 4B lines 2 to 4.</t>
  </si>
  <si>
    <t>Reported total wholesale operating expenditure and capital expenditure including cash items as reported in table 2B line 21.</t>
  </si>
  <si>
    <t>Actual totex per table 4B line 6 deflated to base year  (ie 2012-13 average year) prices using actual RPI.</t>
  </si>
  <si>
    <t>The baseline totex allowance from the 2014 price determination in base year prices. Narrative on difference between table 4B line 7 and line 8.</t>
  </si>
  <si>
    <t>4C - Forecast impact of performance on RCV</t>
  </si>
  <si>
    <t>RCV determined at FD</t>
  </si>
  <si>
    <t>RCV element of Totex over/underspend</t>
  </si>
  <si>
    <t>Allowance (Rewards/penalties - ODI)</t>
  </si>
  <si>
    <t>Projected 'shadow' RCV</t>
  </si>
  <si>
    <t>RCV at 31 March per the 2014 price determination inflated using the March RPI – as published on the OFWAT website annually in April.</t>
  </si>
  <si>
    <t>The difference between the actual totex and the baseline totex (inflated to current year prices using the actual RPI used in the calculation of table 4C line 1), multiplied by (1-determined PAYG) %.</t>
  </si>
  <si>
    <t>RCV reward from the ODI.</t>
  </si>
  <si>
    <t>The sum of table 4C lines 1 to 3.</t>
  </si>
  <si>
    <t>4D - Wholesale totex analysis - water</t>
  </si>
  <si>
    <t>Water resources</t>
  </si>
  <si>
    <t>Raw water distribution</t>
  </si>
  <si>
    <t>Water treatment</t>
  </si>
  <si>
    <t>Treated water distribution</t>
  </si>
  <si>
    <t>Abstraction licences</t>
  </si>
  <si>
    <t>Raw water abstraction</t>
  </si>
  <si>
    <t>Raw water transport</t>
  </si>
  <si>
    <t>Raw water storage</t>
  </si>
  <si>
    <t xml:space="preserve">The water total of table 4D line 1 should equal the water total of table 2B line 1 </t>
  </si>
  <si>
    <t>The water total of table 4D line 2 should equal the water total of table 2B line 2</t>
  </si>
  <si>
    <t>The water total of table 4D line 3 should equal the water total of table 2B line 3</t>
  </si>
  <si>
    <t>The water total of table 4D line 4 should equal the water total of table 2B line 4</t>
  </si>
  <si>
    <t>The water total of table 4D line 5 should equal the water total of table 2B line 5</t>
  </si>
  <si>
    <t>The water total of table 4D line 6 should equal the water total of table 2B line 6</t>
  </si>
  <si>
    <t>The water total of table 4D line 7 should equal the water total of table 2B line 7</t>
  </si>
  <si>
    <t>The water total of table 4D line 8 should equal the water total of table 2B line 8</t>
  </si>
  <si>
    <t>The water total of table 4D line 9 should equal the water total of table 2B line 9</t>
  </si>
  <si>
    <t>The water total of table 4D line 10 should equal the water total of table 2B line 10</t>
  </si>
  <si>
    <t>Maintaining the long term capability of the assets - non-infra</t>
  </si>
  <si>
    <t>The water total of table 4D line 11 should equal the water total of table 2B line 11</t>
  </si>
  <si>
    <t>The water total of table 4D line 12 should equal the water total of table 2B line 12</t>
  </si>
  <si>
    <t>The water total of table 4D line 13 should equal the water total of table 2B line 13</t>
  </si>
  <si>
    <t>The water total of table 4D line 14 should equal the water total of table 2B line 14</t>
  </si>
  <si>
    <t>The water total of table 4D line 15 should equal the water total of table 2B line 15</t>
  </si>
  <si>
    <t>The water total of table 4D line 16 should equal the water total of table 2B line 16</t>
  </si>
  <si>
    <t>The water total of table 4D line 17 should equal the water total of table 2B line 17</t>
  </si>
  <si>
    <t>The water total of table 4D line 18 should equal the water total of table 2B line 18</t>
  </si>
  <si>
    <t>The water total of table 4D line 19 should equal the water total of table 2B line 19</t>
  </si>
  <si>
    <t>The water total of table 4D line 20 should equal the water total of table 2B line 20</t>
  </si>
  <si>
    <t>The water total of table 4D line 21 should equal the water total of table 2B line 21</t>
  </si>
  <si>
    <t>Unit cost information (operating expenditure)</t>
  </si>
  <si>
    <t>Licenced volume available</t>
  </si>
  <si>
    <t>Ml</t>
  </si>
  <si>
    <t>Volume abstracted</t>
  </si>
  <si>
    <t>Volume transported</t>
  </si>
  <si>
    <t>Average volume stored</t>
  </si>
  <si>
    <t>Distribution input from water treatment</t>
  </si>
  <si>
    <t>Distribution input treated water</t>
  </si>
  <si>
    <t>Unit cost</t>
  </si>
  <si>
    <t>£/Ml</t>
  </si>
  <si>
    <t>Income received from energy generation, input as a negative number. For sludge disposal, this should include income from the sale of sludge and sludge products.</t>
  </si>
  <si>
    <t>Total payments for bulk imports/exports. If a supply is a shared supply and is jointly owned, the costs associated with it should not be reported here but in the appropriate cost line.</t>
  </si>
  <si>
    <t>Any other operating costs (ie. excluding interest, taxation and LA rates).</t>
  </si>
  <si>
    <t>Total operating costs excluding third party services.   The sum of table 4D lines 1 to 6.</t>
  </si>
  <si>
    <t>Total operating expenditure for the wholesale business only within each business category. The sum of table 4D lines 7 and 8. This should reconcile to wholesale operating costs in table 2A net of depreciation.</t>
  </si>
  <si>
    <t>Any capital expenditure on infrastructure assets other than defined in table 4D line 10 excluding third party capex.</t>
  </si>
  <si>
    <t>Any capital expenditure on non-infrastructure assets other than defined in table 4D line 11 excluding third party capex.</t>
  </si>
  <si>
    <t>Total gross capital expenditure excluding third party services -  the sum of table 4D lines 10 to 13.</t>
  </si>
  <si>
    <t>The sum of table 4D lines 14 and 15.</t>
  </si>
  <si>
    <t>Grants and contributions received by the company relating to capital expenditure. Input as a positive number.</t>
  </si>
  <si>
    <t>The sum of table 4D lines 9 and 16 minus 17.</t>
  </si>
  <si>
    <t>The sum of table 4D lines 18 to 20.</t>
  </si>
  <si>
    <t>22-29</t>
  </si>
  <si>
    <t>Units. See service level guidance in part 2 RAG 4.05 – ‘Disaggregation of wholesale activities – upstream services’</t>
  </si>
  <si>
    <t>Unit cost. This is equal to total operating expenditure (table 4D line 9) divided by the unit for the column (table 4D line 22 to 29).</t>
  </si>
  <si>
    <t>4E - Wholesale totex analysis - wastewater</t>
  </si>
  <si>
    <t>Sewage collection</t>
  </si>
  <si>
    <t>Sewage treatment</t>
  </si>
  <si>
    <t>Sludge</t>
  </si>
  <si>
    <t>Foul</t>
  </si>
  <si>
    <t>Surface water drainage</t>
  </si>
  <si>
    <t>Highway drainage</t>
  </si>
  <si>
    <t>Sewage treatment and disposal</t>
  </si>
  <si>
    <t>Imported sludge liquor treatment</t>
  </si>
  <si>
    <t>Sludge transport</t>
  </si>
  <si>
    <t>Sludge treatment</t>
  </si>
  <si>
    <t>Sludge disposal</t>
  </si>
  <si>
    <t xml:space="preserve">The wastewater total of table 4E line 1 should equal the wastewater total of table 2B line 1 </t>
  </si>
  <si>
    <t>The wastewater total of table 4E line 2 should equal the wastewater total of table 2B line 2</t>
  </si>
  <si>
    <t>The wastewater total of table 4E line 3 should equal the wastewater total of table 2B line 3</t>
  </si>
  <si>
    <t>The wastewater total of table 4E line 4 should equal the wastewater total of table 2B line 4</t>
  </si>
  <si>
    <t>The wastewater total of table 4E line 5 should equal the wastewater total of table 2B line 5</t>
  </si>
  <si>
    <t>The wastewater total of table 4E line 6 should equal the wastewater total of table 2B line 6</t>
  </si>
  <si>
    <t>The wastewater total of table 4E line 7 should equal the wastewater total of table 2B line 7</t>
  </si>
  <si>
    <t>The wastewater total of table 4E line 8 should equal the wastewater total of table 2B line 8</t>
  </si>
  <si>
    <t>The wastewater total of table 4E line 9 should equal the wastewater total of table 2B line 9</t>
  </si>
  <si>
    <t>The wastewater total of table 4E line 10 should equal the wastewater total of table 2B line 10</t>
  </si>
  <si>
    <t>The wastewater total of table 4E line 11 should equal the wastewater total of table 2B line 11</t>
  </si>
  <si>
    <t>The wastewater total of table 4E line 12 should equal the wastewater total of table 2B line 12</t>
  </si>
  <si>
    <t>The wastewater total of table 4E line 13 should equal the wastewater total of table 2B line 13</t>
  </si>
  <si>
    <t>The wastewater total of table 4E line 14 should equal the wastewater total of table 2B line 14</t>
  </si>
  <si>
    <t>The wastewater total of table 4E line 15 should equal the wastewater total of table 2B line 15</t>
  </si>
  <si>
    <t>The wastewater total of table 4E line 16 should equal the wastewater total of table 2B line 16</t>
  </si>
  <si>
    <t>The wastewater total of table 4E line 17 should equal the wastewater total of table 2B line 17</t>
  </si>
  <si>
    <t>The wastewater total of table 4E line 18 should equal the wastewater total of table 2B line 18</t>
  </si>
  <si>
    <t>The wastewater total of table 4E line 19 should equal the wastewater total of table 2B line 19</t>
  </si>
  <si>
    <t>The wastewater total of table 4E line 20 should equal the wastewater total of table 2B line 20</t>
  </si>
  <si>
    <t>The wastewater total of table 4E line 21 should equal the wastewater total of table 2B line 21</t>
  </si>
  <si>
    <t>Volume collected foul</t>
  </si>
  <si>
    <t>Volume collected surface water drainage</t>
  </si>
  <si>
    <t>Volume collected highway drainage</t>
  </si>
  <si>
    <t>Biochemical Oxygen Demand (BOD) sewage</t>
  </si>
  <si>
    <t>Tonnes</t>
  </si>
  <si>
    <t>Biochemical Oxygen Demand (BOD) imported sludge liquor</t>
  </si>
  <si>
    <t>Sludge volume transported</t>
  </si>
  <si>
    <t>m3</t>
  </si>
  <si>
    <t>Sludge treatment dried solid mass treated</t>
  </si>
  <si>
    <t>ttds</t>
  </si>
  <si>
    <t>Sludge disposal dried solid mass disposed</t>
  </si>
  <si>
    <t>£/unit</t>
  </si>
  <si>
    <t>Total operating costs excluding third party services.   The sum of table 4E lines 1 to 6.</t>
  </si>
  <si>
    <t>Total operating expenditure for the wholesale business only within each business category. The sum of table 4E lines 7 and 8. This should reconcile to wholesale operating costs in table 2A net of depreciation.</t>
  </si>
  <si>
    <t>Any capital expenditure on infrastructure assets other than defined in table 4E line 10 excluding third party capex.</t>
  </si>
  <si>
    <t>Any capital expenditure on non-infrastructure assets other than defined in table 4E line 11 excluding third party capex.</t>
  </si>
  <si>
    <t>Total gross capital expenditure excluding third party services -  the sum of table 4E lines 10 to 13.</t>
  </si>
  <si>
    <t>The sum of table 4E lines 14 and 15.</t>
  </si>
  <si>
    <t>The sum of table 4E lines 9 and 16 minus line 17.</t>
  </si>
  <si>
    <t>The sum of table 4E lines 18 to 20.</t>
  </si>
  <si>
    <t>Unit cost. This is equal to total operating expenditure (table 4E line 9) divided by the unit for the column (table 4E line 22 to 29).</t>
  </si>
  <si>
    <t>4F - Operating cost analysis - household retail</t>
  </si>
  <si>
    <t>Household unmeasured</t>
  </si>
  <si>
    <t>Household measured</t>
  </si>
  <si>
    <t>Water only</t>
  </si>
  <si>
    <t>Wastewater only</t>
  </si>
  <si>
    <t>Water and wastewater</t>
  </si>
  <si>
    <t xml:space="preserve">The total of table 4F line 1 should equal the household total of table 2C line 1 </t>
  </si>
  <si>
    <t>The total of table 4F line 2 should equal the household total of table 2C line 2</t>
  </si>
  <si>
    <t>The total of table 4F line 3 should equal the household total of table 2C line 3</t>
  </si>
  <si>
    <t>The total of table 4F line 4 should equal the household total of table 2C line 4</t>
  </si>
  <si>
    <t>The total of table 4F line 5 should equal the household totals of table 2C line 5 and 6</t>
  </si>
  <si>
    <t>The total of table 4F line 6 should equal the household total of table 2C line 7</t>
  </si>
  <si>
    <t>The total of table 4F line 7 should equal the household total of table 2C line 10</t>
  </si>
  <si>
    <t>Total operating costs excluding third party services</t>
  </si>
  <si>
    <t>Other operating expenditure - breakdown</t>
  </si>
  <si>
    <t>Demand-side water efficiency - gross expenditure</t>
  </si>
  <si>
    <t>Demand-side water efficiency - expenditure funded by wholesale</t>
  </si>
  <si>
    <t>Demand-side water efficiency - net retail expenditure</t>
  </si>
  <si>
    <t>Customer-side leak repairs - gross expenditure</t>
  </si>
  <si>
    <t>Customer-side leak repairs - expenditure funded by wholesale</t>
  </si>
  <si>
    <t>Customer-side leak repairs - net retail expenditure</t>
  </si>
  <si>
    <t>Households unmeasured</t>
  </si>
  <si>
    <t>Households measured</t>
  </si>
  <si>
    <t xml:space="preserve">The costs associated with providing:
• activities / services as defined in table 2C line 1;
• to household unmeasured customers (as defined in paragraph 3.1 of RAG 2);
• in receipt of water only, sewerage only and combined water and sewerage services respectively from the company </t>
  </si>
  <si>
    <t>The costs associated with providing:
• activities / services as defined in table 2C line 1;
• to household measured customers (as defined in paragraph 3.1 of RAG 2);
in receipt of water only, sewerage only and combined water and sewerage services respectively from the company</t>
  </si>
  <si>
    <t>The costs associated with providing:
• debt management activities / services as defined in table 2C line 2;
• to household unmeasured customers (as defined in paragraph 3.1 of RAG 2);
• in receipt of water only, sewerage only and combined water and sewerage services respectively from the company</t>
  </si>
  <si>
    <t>The costs associated with providing:
• debt management activities / services as defined in table 2C line 2;
• to household measured customers (as defined in paragraph 3.1 of RAG 2);
in receipt of water only, sewerage only and combined water and sewerage services respectively from the company</t>
  </si>
  <si>
    <t>The charge for bad and doubtful debts for household unmeasured customers (as defined in paragraph 3.1 of RAG 2) in receipt of water only, sewerage only and combined water and sewerage services respectively from the company</t>
  </si>
  <si>
    <t>The charge for bad and doubtful debts for household measured customers (as defined in paragraph 3.1 of RAG 2)  in receipt of water only, sewerage only and combined water and sewerage services respectively from the company</t>
  </si>
  <si>
    <t>Not applicable for unmeasured</t>
  </si>
  <si>
    <t>The costs associated with providing meter reading services (as defined in table 2C line 4) for household measured customers (as defined in paragraph 3.1 of RAG 2)  in receipt of water only, sewerage only and combined water and sewerage services respectively from the company</t>
  </si>
  <si>
    <t>Any other operating expenditure (as defined in 2C.6) incurred in serving household unmeasured customers (as defined in  paragraph 3.1 of RAG 2) in receipt of  water only, sewerage only and combined water and sewerage services respectively from the company</t>
  </si>
  <si>
    <t>Any other operating costs (as defined in 2C.6) incurred in serving household measured customers (as defined in  paragraph 3.1 of RAG 2)  in receipt of water only, sewerage only and combined water and sewerage services respectively from the company</t>
  </si>
  <si>
    <t>Total retail operating expenditure (excluding third party services) for unmeasured households (as defined in paragraph 3.1 of RAG 2) in receipt of  water only, sewerage only and combined water and sewerage services respectively from the company
The sum of table 4F lines 1 to 5.</t>
  </si>
  <si>
    <t>Total retail operating expenditure (excluding third party services) for measured households (as defined in paragraph 3.1 of RAG 2) in receipt of  water only, sewerage only and combined water and sewerage services respectively from the company
The sum of table 4F lines 1 to 5.</t>
  </si>
  <si>
    <t xml:space="preserve">Depreciation on assets used wholly or principally for the household retail business (as defined in paragraph 2.3 of RAG 2) split between household unmeasured customers (as defined in paragraph 3.1 of RAG 2)  in receipt of water only, sewerage only and combined water and sewerage services respectively from the company. </t>
  </si>
  <si>
    <t>Depreciation on assets used wholly or principally for the household retail business (as defined in paragraph 2.3 of RAG 2) split between household measured customers (as defined in paragraph 3.1 of RAG 2)  in receipt of water only, sewerage only and combined water and sewerage services respectively from the company.</t>
  </si>
  <si>
    <t>Total operating costs excluding third party costs in respect of the household retail business for unmeasured water only, sewerage only and water and sewerage customers. 
The sum of table 4F lines 6 and 7.</t>
  </si>
  <si>
    <t>Total operating costs excluding third party expenditure in respect of the household retail business for measured water only, sewerage only and water and sewerage customers. 
The sum of table 4F lines 6 and 7.</t>
  </si>
  <si>
    <t>The total retail operating costs of providing water efficiency services to household customers, including:
• Promotion of water saving initiatives - Production of customer literature and customer awareness campaigns;
• Retro-fitting of water saving devices – Provision of advice and devices to customers;
• Water efficiency audits – water and energy conservation, optimisation of systems, advice and investigations into usage;
• Data logging</t>
  </si>
  <si>
    <t>The retail operating costs of providing water efficiency services (as defined in table 4F line 9) to household customers that are funded by the wholesale business</t>
  </si>
  <si>
    <t>The retail operating costs of providing water efficiency services (as defined in table 4F line 9) to household customers net of any operating costs that are funded by the wholesale business
Table 4F line 9 less line 10</t>
  </si>
  <si>
    <t>The total retail operating costs associated with household customer side leaks, to include:
• Investigations - Activities from enquiries relating to customer-side leaks, including site visits, the use of pipe locating equipment and any attendance on sites during excavations; 
• Resolution – Activities comprising pipe repairs and replacement;
• Free leak repairs</t>
  </si>
  <si>
    <t>The retail operating costs associated with household customer side leaks (as defined in table 4F line 12) that are funded by the wholesale business</t>
  </si>
  <si>
    <t>The retail operating costs associated with household customer side leaks (as defined in table 4F line 12) net of any operating costs that are funded by the wholesale business 
Line 4F.12 less line 4F.13</t>
  </si>
  <si>
    <t>4G - Wholesale current cost financial performance</t>
  </si>
  <si>
    <t>Capital maintenance charges</t>
  </si>
  <si>
    <t>Current cost operating profit</t>
  </si>
  <si>
    <t>Interest expense related to the unwinding of discounted liabilities</t>
  </si>
  <si>
    <t>Appointed – Total business revenue that is within the scope of the price control, together with revenue that is outside of the price control. 
The totals for water and wastewater will agree to the respective totals of table 2A lines 1 and 2 for each control.</t>
  </si>
  <si>
    <t>Total operating expenditure. This should reconcile to wholesale operating costs in table 2B for each control.
The totals for water and wastewater will agree to the respective totals of table 2B line 9.</t>
  </si>
  <si>
    <t>Capital maintenance charge of a similar magnitude to that previously reported for current cost depreciation for above ground assets and infrastructure renewals charges for below ground assets. Please see RAG1 paragraph 2.2 for more information on how to calculate this.</t>
  </si>
  <si>
    <t>Other operating income split between water and wastewaster. This should agree to the respective totals amounts in table 2A line 4.</t>
  </si>
  <si>
    <t>The sum of table 4G lines 1 to 4.</t>
  </si>
  <si>
    <t>Equal to table 1A line 5 On the assumption that there is no material debt in retail business.</t>
  </si>
  <si>
    <t>Equal to table 1A line 6 On the assumption that there is no material debt in retail business.</t>
  </si>
  <si>
    <t>Equal to table 1A line 7 On the assumption that there is no material debt in retail business.</t>
  </si>
  <si>
    <t>Equal to table 1A line 8 On the assumption that there is no material debt in retail business.</t>
  </si>
  <si>
    <t>The sum of table 4G lines 5 to 9</t>
  </si>
  <si>
    <t>Equal to table 1A line 10 On the assumption that there is no material debt in retail business.</t>
  </si>
  <si>
    <t>The sum of table 4G lines 10 to 11</t>
  </si>
  <si>
    <t>4H - Financial metrics</t>
  </si>
  <si>
    <t>Metric</t>
  </si>
  <si>
    <t>Net debt</t>
  </si>
  <si>
    <t>Regulated equity</t>
  </si>
  <si>
    <t>Regulated gearing</t>
  </si>
  <si>
    <t>Post tax return on regulated equity</t>
  </si>
  <si>
    <t>RORE (return on regulated equity)</t>
  </si>
  <si>
    <t>Dividend yield</t>
  </si>
  <si>
    <t>Retail profit margin - Household</t>
  </si>
  <si>
    <t>(The sum of table 2I lines 9 and 13 less table 2C line 9 less table 2I line 4 less table 2I line 9) / (The sum of table 2I lines 9 and 13), expressed as a percentage</t>
  </si>
  <si>
    <t>Retail profit margin - Non household</t>
  </si>
  <si>
    <t>Credit rating</t>
  </si>
  <si>
    <t>Baa2</t>
  </si>
  <si>
    <t>Return on RCV</t>
  </si>
  <si>
    <t>Dividend cover</t>
  </si>
  <si>
    <t>dec</t>
  </si>
  <si>
    <t>Funds from operations (FFO)</t>
  </si>
  <si>
    <t>Interest cover (cash)</t>
  </si>
  <si>
    <t>Adjusted interest cover (cash)</t>
  </si>
  <si>
    <t>FFO/Debt</t>
  </si>
  <si>
    <t>Effective tax rate</t>
  </si>
  <si>
    <t>Free cash flow (RCF)</t>
  </si>
  <si>
    <t>RCF/capex</t>
  </si>
  <si>
    <t>Revenue (actual)</t>
  </si>
  <si>
    <t>EBITDA (actual)</t>
  </si>
  <si>
    <t>Proportion of borrowings which are fixed rate</t>
  </si>
  <si>
    <t>Proportion of borrowings which are floating rate</t>
  </si>
  <si>
    <t>Proportion of borrowings which are index linked</t>
  </si>
  <si>
    <t>The total of table 4H lines 21 to 23 should equal 100%</t>
  </si>
  <si>
    <t>Proportion of borrowings due within 1 year or less</t>
  </si>
  <si>
    <t>Proportion of borrowings due in more than 1 year but no more than 2 years</t>
  </si>
  <si>
    <t>Proportion of borrowings due in more than 2 years but but no more than 5 years</t>
  </si>
  <si>
    <t>Proportion of borrowings due in more than 5 years but no more than 20 years</t>
  </si>
  <si>
    <t>Proportion of borrowings due in more than 20 years</t>
  </si>
  <si>
    <t>The total of table 4H lines 24 to 28 should equal 100%</t>
  </si>
  <si>
    <t xml:space="preserve">Net debt. The sum of table 1E lines 3 to 5. Equal to table 1E line 6. </t>
  </si>
  <si>
    <t>Regulated equity is calculated as year end regulated capital value (RCV)  less net debt at the period end. Equal to table 4C line 1 less table 1E line 6.</t>
  </si>
  <si>
    <t xml:space="preserve">Regulatory gearing calculated as net debt in table 1E line 6 divided by RCV in table 4C line 1. Equal to table 1E line 7. </t>
  </si>
  <si>
    <t>Profit after current  tax for the appointed business for the year as a % of average regulated equity. Profit after current tax should exclude any fair value gains losses on financial derivatives (table 1A  line 9 less line 12). For this metric average regulated equity is a simple average of the regulated equity at the start and end of the year. Regulated equity at each year end is calculated in table 4H line 2. The opening regulated equity at 31 March 2015 should be calculated after the impact of any midnight adjustment to RCV.</t>
  </si>
  <si>
    <t xml:space="preserve">RORE calculates the returns on a regulatory basis by reference to the notional gearing level of 62.5% and average RCV for the year. The base RORE set at the final determination should be adjusted for the following factors net of any tax impact. 1) the company share of  totex out or under performance. 2) The company share of any out or underperformance on retail costs. 3) the impact on the RCV run off of the out or under performance of totex 4) The impact of any ODI or SIM penalties or rewards earned in the year, even if they are not payable/receivable until the following AMP. 5) The difference between the actual interest charge (in real terms) and the allowed interest (real) on notional debt. The “in real terms” should be calculated using actual RPI for 2015-16 and not the RPI assumption per the PR14 FD. </t>
  </si>
  <si>
    <t>1
2
3
4
5
6
7</t>
  </si>
  <si>
    <t>Dividend yield. Calculated as the total appointee dividend for the year (as would be included in the statement of changes in equity) less any  dividends paid to a holding company solely to enable that company to pay interest on an intergroup loan from the appointee/ divided by actual year end regulated equity (table 4H line 2)</t>
  </si>
  <si>
    <t>7 &amp; 8</t>
  </si>
  <si>
    <t>The retail profit margins should be calculated as earnings before interest and tax (after deducting wholesale charges) divided by total revenue charged to household or non household customers  respectively.</t>
  </si>
  <si>
    <t>Credit rating (corporate family where available)  issued by a recognised  credit rating agency. This should be the credit rating that is linked to each company's licence where applicable. If companies are rated by more than one credit rating agency then only the lowest rating needs to be included</t>
  </si>
  <si>
    <t>Return on RCV. Calculated as profit before interest less current tax (table 1A line 4 plus table 1A line 5 less table 1A line 12) divided by the average RCV for the year. This can be sourced from the annual OFWAT RCV publication. It should be used in the year average price base for the year as it appears on the website. This is after the impact of any midnight adjustment to RCV from the previous price control period.</t>
  </si>
  <si>
    <t>Dividend cover. Profits of the appointed business for the year before dividends (table 1A line 14) divided by total appointee dividend for the year ((as would be included in the statement of changes in equity) less any  dividends paid to a holding company solely to enable that company to pay interest on an intergroup loan from the appointee).</t>
  </si>
  <si>
    <t>Funds from operations (FFO)  is net cash generated from operating activities adjusted to remove the changes in working capital. We acknowledge that our approach to calculating this differs from some of the methodologies applied by the credit rating agencies.</t>
  </si>
  <si>
    <t>Interest cover (cash) equal to (FFO as calculated above plus interest paid on borrowings)/ interest paid on borrowings. Interest paid on borrowings excludes any accretion of interest linked debt which is a non cash item.</t>
  </si>
  <si>
    <t>Adjusted interest cover (cash) equal to (FFO as calculated above plus interest paid on borrowings less regulatory depreciation)/ interest paid on borrowings. Interest paid on borrowings excludes any accretion of interest linked debt which is a non cash item. Regulatory deprecation is defined in the final determinations and should be adjusted to the year end price base. The regulatory depreciation figures are published by Ofwat each year.</t>
  </si>
  <si>
    <t>Ratio of FFO to net debt.  We acknowledge that our approach to calculating this differs from some of the methodologies applied by the credit rating agencies.</t>
  </si>
  <si>
    <t>Effective tax rate is the current tax charge for the appointed business as a % of the profit before taxation for the appointed business.</t>
  </si>
  <si>
    <t>Free cash flow (RCF) is FFO less dividends paid. Equal to table 4H line 12 less table 1D line 19.</t>
  </si>
  <si>
    <t>Ratio of RCF to Capex. Equal to table 4H line 17 divided by table 1D line 13.</t>
  </si>
  <si>
    <t>Revenue (actual). Equal to table 2A line 1.</t>
  </si>
  <si>
    <t>EBITDA (earnings before interest  tax depreciation and amortisation) should be calculated using the price control revenue as set out in table 4H line 19 and the associated costs. It should include only amounts which are relevant to the price control.</t>
  </si>
  <si>
    <t>Proportion of borrowings which are fixed rate. Equal to table 1E line 1 (fixed rate) plus table 1E line 2 divided by table 1E line 3.</t>
  </si>
  <si>
    <t>Proportion of borrowings which are floating rate. Equal to table 1E line 1 (floating rate) divided by table 1E line 3.</t>
  </si>
  <si>
    <t>Proportion of borrowings which are index linked. Equal to table 1E line 1 (index linked) divided by table 1E line 3.</t>
  </si>
  <si>
    <t>24-28</t>
  </si>
  <si>
    <t>In these lines please provide details of the % of borrowings (table 1E line 3) which fall into each category.</t>
  </si>
  <si>
    <t>4I - Financial derivatives</t>
  </si>
  <si>
    <t>Nominal value by maturity (net)</t>
  </si>
  <si>
    <t>Total value</t>
  </si>
  <si>
    <t>Total accretion
£m</t>
  </si>
  <si>
    <t>Interest rate
(weighted average)</t>
  </si>
  <si>
    <t>Completion &amp; consistency</t>
  </si>
  <si>
    <t>1 to 2 years</t>
  </si>
  <si>
    <t>2 to 5 years</t>
  </si>
  <si>
    <t>Over 5 years</t>
  </si>
  <si>
    <t>Nominal value (net)</t>
  </si>
  <si>
    <t>Mark to Market</t>
  </si>
  <si>
    <t>Payable</t>
  </si>
  <si>
    <t>Receivable</t>
  </si>
  <si>
    <t>Derivative type</t>
  </si>
  <si>
    <t>Interest rate swap (sterling)</t>
  </si>
  <si>
    <t>Floating to/from fixed rate</t>
  </si>
  <si>
    <t>Floating to/from index linked</t>
  </si>
  <si>
    <t>Fixed to/from index-linked</t>
  </si>
  <si>
    <t>Foreign Exchange</t>
  </si>
  <si>
    <t>Cross currency swap USD</t>
  </si>
  <si>
    <t xml:space="preserve">£m </t>
  </si>
  <si>
    <t>Cross currency swap EUR</t>
  </si>
  <si>
    <t>Cross currency swap YEN</t>
  </si>
  <si>
    <t>Cross currency swap Other</t>
  </si>
  <si>
    <t xml:space="preserve">Currency interest rate </t>
  </si>
  <si>
    <t>Currency interest rate swaps USD</t>
  </si>
  <si>
    <t>Currency interest rate swaps EUR</t>
  </si>
  <si>
    <t>Currency interest rate swaps YEN</t>
  </si>
  <si>
    <t>Currency interest rate swaps Other</t>
  </si>
  <si>
    <t>Forward currency contracts</t>
  </si>
  <si>
    <t>Forward currency contracts USD</t>
  </si>
  <si>
    <t>Forward currency contracts EUR</t>
  </si>
  <si>
    <t>Forward currency contracts YEN</t>
  </si>
  <si>
    <t>Forward currency contracts Other</t>
  </si>
  <si>
    <t>Please provide explanation why 'Nominal value net' does not equal the 'Financial instruments' totals from table 1C.</t>
  </si>
  <si>
    <t>Financial instruments through which floating interest rate liabilities are converted into fixed rate interest rate liabilities or vice versa</t>
  </si>
  <si>
    <t>Financial instruments through which floating interest rate liabilities are converted into inflation linked interest rate liabilities or vice versa</t>
  </si>
  <si>
    <t>Financial instruments through which fixed interest rate liabilities are converted into inflation linked interest rate liabilities or vice versa</t>
  </si>
  <si>
    <t>The total of the interest rate swaps. The sum of table 4I lines 1 to 3.</t>
  </si>
  <si>
    <t>Financial instruments which convert debt liabilities from US Dollars into Pounds Sterling</t>
  </si>
  <si>
    <t>Financial instruments which convert debt liabilities from Euro into Pounds Sterling</t>
  </si>
  <si>
    <t>Financial instruments which convert debt liabilities from Yen into Pounds Sterling</t>
  </si>
  <si>
    <t>Financial instruments which convert debt liabilities from currencies other than US Dollars, Euro or Yen into Pounds Sterling</t>
  </si>
  <si>
    <t>Total of currency swap financial instruments. The sum of table 4I lines 5 to 8.</t>
  </si>
  <si>
    <t>Financial instruments which convert currency in which interest is paid or payable from US Dollars into Pounds Sterling</t>
  </si>
  <si>
    <t>Financial instruments which convert currency in which interest is paid or payable from Euro into Pounds Sterling</t>
  </si>
  <si>
    <t>Financial instruments which convert currency in which interest is paid or payable from Yen into Pounds Sterling</t>
  </si>
  <si>
    <t>Financial instruments which convert currency in which interest is paid or payable from currencies other than US Dollars, Euro or Yen into Pounds Sterling</t>
  </si>
  <si>
    <t>Total of instruments which convert the currency in which interest is paid between sterling and another currency. The sum of table 4I lines 10 to 13.</t>
  </si>
  <si>
    <t>Forward contracts which convert future debt obligations from US Dollars into Pounds Sterling</t>
  </si>
  <si>
    <t>Forward contracts which convert future debt obligations from Euro into Pounds Sterling</t>
  </si>
  <si>
    <t>Forward contracts which convert future debt obligations from Yen into Pounds Sterling</t>
  </si>
  <si>
    <t>Forward contracts which convert future debt obligations from currencies other than US Dollars, Euro or Yen into Pounds Sterling</t>
  </si>
  <si>
    <t>Total of forward contracts which convert debt between currencies. The sum of table 4I lines 14 to 18.</t>
  </si>
  <si>
    <t>Total value of financial derivatives. The sum of table 4I lines 4, 9, 14 and 19.</t>
  </si>
  <si>
    <t>Lists etc</t>
  </si>
  <si>
    <t>Fountain name</t>
  </si>
  <si>
    <t>Name</t>
  </si>
  <si>
    <t>Acronym</t>
  </si>
  <si>
    <t>WaSC or Woc</t>
  </si>
  <si>
    <t>Table 3A drop down lists</t>
  </si>
  <si>
    <t>Select company</t>
  </si>
  <si>
    <t>WaSC</t>
  </si>
  <si>
    <t>Anglian Water Services</t>
  </si>
  <si>
    <t>Anglian Water</t>
  </si>
  <si>
    <t>ANH</t>
  </si>
  <si>
    <t>Column H</t>
  </si>
  <si>
    <t>Dwr Cymru Cyfyngedig (Welsh)</t>
  </si>
  <si>
    <t>Dŵr Cymru</t>
  </si>
  <si>
    <t>WSH</t>
  </si>
  <si>
    <t>Northumbrian Water Ltd</t>
  </si>
  <si>
    <t>Northumbrian Water</t>
  </si>
  <si>
    <t>NES</t>
  </si>
  <si>
    <t>Severn Trent Water Ltd</t>
  </si>
  <si>
    <t>Severn Trent Water</t>
  </si>
  <si>
    <t>SVT</t>
  </si>
  <si>
    <t>South West Water Ltd</t>
  </si>
  <si>
    <t>South West Water</t>
  </si>
  <si>
    <t>SWT</t>
  </si>
  <si>
    <t>Southern Water Services Ltd</t>
  </si>
  <si>
    <t>Southern Water</t>
  </si>
  <si>
    <t>SRN</t>
  </si>
  <si>
    <t>Column I &amp; K</t>
  </si>
  <si>
    <t>Thames Water Utilities Ltd</t>
  </si>
  <si>
    <t>Thames Water</t>
  </si>
  <si>
    <t>TMS</t>
  </si>
  <si>
    <t>United Utilities Water Plc</t>
  </si>
  <si>
    <t>United Utilities</t>
  </si>
  <si>
    <t>NWT</t>
  </si>
  <si>
    <t>Wessex Water Services Ltd</t>
  </si>
  <si>
    <t>Wessex Water</t>
  </si>
  <si>
    <t>WSX</t>
  </si>
  <si>
    <t>Penalty</t>
  </si>
  <si>
    <t>Yorkshire Water Services Ltd</t>
  </si>
  <si>
    <t>YKY</t>
  </si>
  <si>
    <t>Affinity Water</t>
  </si>
  <si>
    <t>afw</t>
  </si>
  <si>
    <t>WoC</t>
  </si>
  <si>
    <t>Bristol Water plc</t>
  </si>
  <si>
    <t>Bristol Water</t>
  </si>
  <si>
    <t>brl</t>
  </si>
  <si>
    <t>Dee Valley Water Plc</t>
  </si>
  <si>
    <t>Dee Valley Water</t>
  </si>
  <si>
    <t>dvw</t>
  </si>
  <si>
    <t>Portsmouth Water Ltd</t>
  </si>
  <si>
    <t>Portsmouth Water</t>
  </si>
  <si>
    <t>prt</t>
  </si>
  <si>
    <t>Sembcorp Bournemouth Water</t>
  </si>
  <si>
    <t>Bournemouth Water</t>
  </si>
  <si>
    <t>sbw</t>
  </si>
  <si>
    <t>South East Water Ltd</t>
  </si>
  <si>
    <t>South East Water</t>
  </si>
  <si>
    <t>sew</t>
  </si>
  <si>
    <t>South Staffordshire Cambridge</t>
  </si>
  <si>
    <t>South Staffordshire / Cambridge Water</t>
  </si>
  <si>
    <t>ssc</t>
  </si>
  <si>
    <t>Sutton &amp; East Surrey Water Ltd</t>
  </si>
  <si>
    <t>Sutton &amp; East Surrey Water</t>
  </si>
  <si>
    <t>ses</t>
  </si>
  <si>
    <t>Thames Tideway Tunnel</t>
  </si>
  <si>
    <t>Bazalgette Tunnel Ltd (Tideway)</t>
  </si>
  <si>
    <t>TTT</t>
  </si>
  <si>
    <t>See the 'PC category count'
worksheet for totals by company</t>
  </si>
  <si>
    <t>&lt;---------------   AMP6 committed performance levels   -----------------&gt;</t>
  </si>
  <si>
    <t>&lt;-------------  PR14 comparative assessments  -------------&gt;</t>
  </si>
  <si>
    <t>Financial ODI/milestone may accrue or apply</t>
  </si>
  <si>
    <t>Penalty collar</t>
  </si>
  <si>
    <t>Reward cap</t>
  </si>
  <si>
    <t>Penalty 1</t>
  </si>
  <si>
    <t>Penalty 2</t>
  </si>
  <si>
    <t>Penalty 3</t>
  </si>
  <si>
    <t>Penalty 4</t>
  </si>
  <si>
    <t>Reward 1</t>
  </si>
  <si>
    <t>Reward 2</t>
  </si>
  <si>
    <t>2016 annual submission data (draft)</t>
  </si>
  <si>
    <t>Company</t>
  </si>
  <si>
    <t>Company type</t>
  </si>
  <si>
    <t>Element</t>
  </si>
  <si>
    <t>Element acronym</t>
  </si>
  <si>
    <t>Outcome</t>
  </si>
  <si>
    <t>PC ref.
(company)</t>
  </si>
  <si>
    <t>Annex 4 order</t>
  </si>
  <si>
    <t>ODI type</t>
  </si>
  <si>
    <t>Form of
reward/ penalty</t>
  </si>
  <si>
    <t>In-period ODI</t>
  </si>
  <si>
    <t>Standard ('vanilla') financial ODI</t>
  </si>
  <si>
    <t>Primary category</t>
  </si>
  <si>
    <t>PC unit</t>
  </si>
  <si>
    <t>PC unit description</t>
  </si>
  <si>
    <t>Decimal places</t>
  </si>
  <si>
    <t>2014-15
starting level
(PR14 FD)</t>
  </si>
  <si>
    <t>2015-16
CPL</t>
  </si>
  <si>
    <t>2016-17
CPL</t>
  </si>
  <si>
    <t>2017-18
CPL</t>
  </si>
  <si>
    <t>2018-19
CPL</t>
  </si>
  <si>
    <t>2019-20
CPL</t>
  </si>
  <si>
    <t>Drinking water quality compliance</t>
  </si>
  <si>
    <t>Water quality contacts</t>
  </si>
  <si>
    <t>Supply interruptions (&gt;3 hours)</t>
  </si>
  <si>
    <t>Pollution incidents (cat 3)</t>
  </si>
  <si>
    <t>Internal sewer flooding</t>
  </si>
  <si>
    <t>Scheme specific factors</t>
  </si>
  <si>
    <t>AIM</t>
  </si>
  <si>
    <t>2015-16</t>
  </si>
  <si>
    <t>2016-17</t>
  </si>
  <si>
    <t>2017-18</t>
  </si>
  <si>
    <t>2018-19</t>
  </si>
  <si>
    <t>2019-20</t>
  </si>
  <si>
    <t>incentive rate
(£m)</t>
  </si>
  <si>
    <t>Standard ODI operand</t>
  </si>
  <si>
    <t>Standard ODI operand note</t>
  </si>
  <si>
    <t>2015-16
reward or penalty
(in-period ODIs)</t>
  </si>
  <si>
    <t>2015-16
reward or penalty
(in-period ODIs)
£m absolute value</t>
  </si>
  <si>
    <t>Notional reward or penalty accrued at
31 March 2016
£m absolute value</t>
  </si>
  <si>
    <t>Total AMP6
reward or penalty
31 March 2020 forecast</t>
  </si>
  <si>
    <t>Total AMP6
reward or penalty
31 March 2020 forecast
£m absolute value</t>
  </si>
  <si>
    <t>For temporary use
(this column will not be loaded onto the Fountain database)</t>
  </si>
  <si>
    <t>Comparative assessment
(this column will not be loaded onto the Fountain database)</t>
  </si>
  <si>
    <t>AFW</t>
  </si>
  <si>
    <t>PR14AFWWSW_W-A1</t>
  </si>
  <si>
    <t>WSW</t>
  </si>
  <si>
    <t>Making sure our customers have enough water, whilst leaving more water in the environment</t>
  </si>
  <si>
    <t>W-A1</t>
  </si>
  <si>
    <t>AFW-01</t>
  </si>
  <si>
    <t>W-A1 Leakage</t>
  </si>
  <si>
    <t>R&amp;P</t>
  </si>
  <si>
    <t xml:space="preserve">Revenue </t>
  </si>
  <si>
    <t>Leakage</t>
  </si>
  <si>
    <t>nr</t>
  </si>
  <si>
    <t>Megalitres per day (Ml/d)</t>
  </si>
  <si>
    <t>na</t>
  </si>
  <si>
    <t/>
  </si>
  <si>
    <t>PR14AFWWSW_W-A2</t>
  </si>
  <si>
    <t>W-A2</t>
  </si>
  <si>
    <t>AFW-02</t>
  </si>
  <si>
    <t>W-A2 Average water use</t>
  </si>
  <si>
    <t>PO</t>
  </si>
  <si>
    <t>Water consumption</t>
  </si>
  <si>
    <t>Litres per person per day (l/p/d)</t>
  </si>
  <si>
    <t>Penalties will be applied based upon a pass/fail assessment in year 3 (2017-18) and year 5 (2019-20) against PC for that year</t>
  </si>
  <si>
    <t>PR14AFWWSW_W-A3</t>
  </si>
  <si>
    <t>W-A3</t>
  </si>
  <si>
    <t>AFW-03</t>
  </si>
  <si>
    <t>W-A3 Water available for use</t>
  </si>
  <si>
    <t>Security of supply</t>
  </si>
  <si>
    <t>Penalties will be applied based upon a pass/fail assessment in year 3 (2017-18) and year 5 (2019-20) against the PC for that year</t>
  </si>
  <si>
    <t>PR14AFWWSW_W-A4</t>
  </si>
  <si>
    <t>W-A4</t>
  </si>
  <si>
    <t>AFW-04</t>
  </si>
  <si>
    <t>W-A4 Sustainable abstraction reductions</t>
  </si>
  <si>
    <t>Water resources/ abstraction</t>
  </si>
  <si>
    <t>PR14AFWWSW_W-A5</t>
  </si>
  <si>
    <t>W-A5</t>
  </si>
  <si>
    <t>AFW-05</t>
  </si>
  <si>
    <t>W-A5 Abstraction incentive mechanism (AIM)</t>
  </si>
  <si>
    <t>NFI</t>
  </si>
  <si>
    <t>TBC</t>
  </si>
  <si>
    <t>PR14AFWWSW_W-B1</t>
  </si>
  <si>
    <t>Supplying high quality water you can trust</t>
  </si>
  <si>
    <t>W-B1</t>
  </si>
  <si>
    <t>AFW-06</t>
  </si>
  <si>
    <t>W-B1 Compliance with water quality standards (mean zonal compliance)</t>
  </si>
  <si>
    <t>Water quality compliance</t>
  </si>
  <si>
    <t>Mean zonal compliance (%)</t>
  </si>
  <si>
    <t>This will be a pass/fail annual assessment against the PC</t>
  </si>
  <si>
    <t>PR14AFWWSW_W-B2</t>
  </si>
  <si>
    <t>W-B2</t>
  </si>
  <si>
    <t>AFW-07</t>
  </si>
  <si>
    <t>W-B2 Customer contacts for discolouration</t>
  </si>
  <si>
    <t>No. per 1,000 population</t>
  </si>
  <si>
    <t>PR14AFWWSW_W-C1</t>
  </si>
  <si>
    <t>Minimising disruption to you and your community</t>
  </si>
  <si>
    <t>W-C1</t>
  </si>
  <si>
    <t>AFW-08</t>
  </si>
  <si>
    <t>W-C1 Unplanned interruptions to supply over 12 hours</t>
  </si>
  <si>
    <t>Supply interruptions</t>
  </si>
  <si>
    <t>No. of properties</t>
  </si>
  <si>
    <t>0</t>
  </si>
  <si>
    <t>PR14AFWWSW_W-C2</t>
  </si>
  <si>
    <t>W-C2</t>
  </si>
  <si>
    <t>AFW-09</t>
  </si>
  <si>
    <t>W-C2 Number of burst mains</t>
  </si>
  <si>
    <t>Asset health - water</t>
  </si>
  <si>
    <t>No. of burst mains per year</t>
  </si>
  <si>
    <t>PR14AFWWSW_W-C3</t>
  </si>
  <si>
    <t>W-C3</t>
  </si>
  <si>
    <t>AFW-10</t>
  </si>
  <si>
    <t>W-C3 Affected customers not notified of planned interruptions</t>
  </si>
  <si>
    <t>No. of GSS events</t>
  </si>
  <si>
    <t>While there is no financial ODI, every domestic property affected will receive an enhanced GSS compensation payment of £50. Entitlement to payment will be assessed in accordance with the regulations and subject to the same limitations and exclusions.</t>
  </si>
  <si>
    <t>PR14AFWWSW_W-C4</t>
  </si>
  <si>
    <t>W-C4</t>
  </si>
  <si>
    <t>AFW-11</t>
  </si>
  <si>
    <t>W-C4 Planned work taking longer to complete than notified</t>
  </si>
  <si>
    <t>PR14AFWHHR_R-A1</t>
  </si>
  <si>
    <t>Retail (HH)</t>
  </si>
  <si>
    <t>HHR</t>
  </si>
  <si>
    <t>Providing a value for money service</t>
  </si>
  <si>
    <t>R-A1</t>
  </si>
  <si>
    <t>AFW-12</t>
  </si>
  <si>
    <t>R-A1 SIM service score</t>
  </si>
  <si>
    <t>SIM</t>
  </si>
  <si>
    <t>score</t>
  </si>
  <si>
    <t>Service incentive mechanism (SIM) score</t>
  </si>
  <si>
    <t>OM</t>
  </si>
  <si>
    <t>OM = Ofwat methodology (SIM)</t>
  </si>
  <si>
    <t>PR14AFWHHR_R-A2</t>
  </si>
  <si>
    <t>R-A2</t>
  </si>
  <si>
    <t>AFW-13</t>
  </si>
  <si>
    <t>R-A2 Value for money survey</t>
  </si>
  <si>
    <t>Billing, debt, vfm, affordability</t>
  </si>
  <si>
    <t>PR14ANHWSW_W-A2</t>
  </si>
  <si>
    <t>Satisfied customers</t>
  </si>
  <si>
    <t>ANH-01</t>
  </si>
  <si>
    <t>W-A2: Water supply interruptions averaged over three years (reduction)</t>
  </si>
  <si>
    <t>time</t>
  </si>
  <si>
    <t>Minutes / property / year</t>
  </si>
  <si>
    <t>PR14ANHWSW_W-A3</t>
  </si>
  <si>
    <t>ANH-02</t>
  </si>
  <si>
    <t>W-A3: Properties at risk of persistent low pressure</t>
  </si>
  <si>
    <t>Water pressure</t>
  </si>
  <si>
    <t>PR14ANHWSW_W-A4</t>
  </si>
  <si>
    <t>ANH-03</t>
  </si>
  <si>
    <t>W-A4: Water quality contacts</t>
  </si>
  <si>
    <t>PR14ANHWSW_W-B1</t>
  </si>
  <si>
    <t>Fair charges</t>
  </si>
  <si>
    <t>ANH-04</t>
  </si>
  <si>
    <t>W-B1: Value for money perception - variation from baseline against WaSCs (water)</t>
  </si>
  <si>
    <t>% variation from WaSC baseline</t>
  </si>
  <si>
    <t>PR14ANHWSW_W-C1</t>
  </si>
  <si>
    <t>Resilient supplies</t>
  </si>
  <si>
    <t>ANH-05</t>
  </si>
  <si>
    <t>W-C1: Percentage of population supplied by single supply system</t>
  </si>
  <si>
    <t>Resilience</t>
  </si>
  <si>
    <t>% population with single supply system</t>
  </si>
  <si>
    <t>x 5 years</t>
  </si>
  <si>
    <t>PR14ANHWSW_W-C2</t>
  </si>
  <si>
    <t>ANH-06</t>
  </si>
  <si>
    <t>W-C2: Frequency of service level restrictions (hosepipe bans)</t>
  </si>
  <si>
    <t>Supply restrictions</t>
  </si>
  <si>
    <t>No. (frequency) per 10 years</t>
  </si>
  <si>
    <t>PR14ANHWSW_W-D1</t>
  </si>
  <si>
    <t>Supply meets demand</t>
  </si>
  <si>
    <t>W-D1</t>
  </si>
  <si>
    <t>ANH-07</t>
  </si>
  <si>
    <t>W-D1: Security of Supply Index (SoSI) - dry year annual average</t>
  </si>
  <si>
    <t>Security of Supply Index (SOSI)</t>
  </si>
  <si>
    <t>PR14ANHWSW_W-D2</t>
  </si>
  <si>
    <t>W-D2</t>
  </si>
  <si>
    <t>ANH-08</t>
  </si>
  <si>
    <t>W-D2: Security of Supply Index (SoSI) - critical period (peak) demand</t>
  </si>
  <si>
    <t>PR14ANHWSW_W-D3</t>
  </si>
  <si>
    <t>W-D3</t>
  </si>
  <si>
    <t>ANH-09</t>
  </si>
  <si>
    <t>W-D3: Per property consumption (PPC) (litres/household/day reduction)</t>
  </si>
  <si>
    <t>Litres per household per day (l/hh/d)</t>
  </si>
  <si>
    <t>PR14ANHWSW_W-D4</t>
  </si>
  <si>
    <t>W-D4</t>
  </si>
  <si>
    <t>ANH-10</t>
  </si>
  <si>
    <t>W-D4: Leakage - three-year average</t>
  </si>
  <si>
    <t>In-period ODI (adjustment to in-period revenue). Assessment of penalties or rewards made annually at time t+1 (t, t-1, t-2 averaged), with in period revenue adjustment at t+2.
If there is a significant change to how this is measured in 2015-20, the absolute targets may need adjusting.
Reward 1 and reward 2 have the same incentive rate. Reward 1 applies for leakage reductions up to the glide-path proposed in Anglian Water’s December 2013 plan. Reward 2 applies if the glide-path can be delivered one year earlier than planned.</t>
  </si>
  <si>
    <t>PR14ANHWSW_W-E1</t>
  </si>
  <si>
    <t>Flourishing environment</t>
  </si>
  <si>
    <t>W-E1</t>
  </si>
  <si>
    <t>ANH-11</t>
  </si>
  <si>
    <t>W-E1: Percentage of SSSIs (by area) with favourable status</t>
  </si>
  <si>
    <t>Biodiversity/SSSIs</t>
  </si>
  <si>
    <t>% SSSIs with favourable status</t>
  </si>
  <si>
    <t>PR14ANHWSW_W-E2</t>
  </si>
  <si>
    <t>W-E2</t>
  </si>
  <si>
    <t>ANH-12</t>
  </si>
  <si>
    <t>W-E2: Environmental compliance (water)</t>
  </si>
  <si>
    <t>Environmental</t>
  </si>
  <si>
    <t>No. of obligations delivered</t>
  </si>
  <si>
    <t>The 16 obligations are defined in Anglian Water’s business case 300.06 for Eel Regulations (13 obligations) and business case 200.04 for RSA sustainability reductions (3 obligations)</t>
  </si>
  <si>
    <t>PR14ANHWSW_W-F1</t>
  </si>
  <si>
    <t>A smaller footprint</t>
  </si>
  <si>
    <t>W-F1</t>
  </si>
  <si>
    <t>ANH-13</t>
  </si>
  <si>
    <t>W-F1: Operational carbon (% reduction from 2015 baseline)</t>
  </si>
  <si>
    <t>Energy/emissions</t>
  </si>
  <si>
    <t>% carbon reduction from 2015 baseline</t>
  </si>
  <si>
    <t>PR14ANHWSW_W-F2</t>
  </si>
  <si>
    <t>W-F2</t>
  </si>
  <si>
    <t>ANH-14</t>
  </si>
  <si>
    <t>W-F2: Embodied carbon (% reduction from 2010 baseline)</t>
  </si>
  <si>
    <t>% carbon reduction from 2010 baseline</t>
  </si>
  <si>
    <t>PR14ANHWSW_W-G1</t>
  </si>
  <si>
    <t>Caring for communities</t>
  </si>
  <si>
    <t>W-G1</t>
  </si>
  <si>
    <t>ANH-15</t>
  </si>
  <si>
    <t>W-G1: Survey of community perception</t>
  </si>
  <si>
    <t>Customer satisfaction (exc. bills)</t>
  </si>
  <si>
    <t>% customer satisfaction</t>
  </si>
  <si>
    <t>Improved</t>
  </si>
  <si>
    <t>PR14ANHWSW_W-H1</t>
  </si>
  <si>
    <t>Investing for tomorrow</t>
  </si>
  <si>
    <t>W-H1</t>
  </si>
  <si>
    <t>ANH-16</t>
  </si>
  <si>
    <t>W-H1: Water infrastructure</t>
  </si>
  <si>
    <t>category</t>
  </si>
  <si>
    <t>Asset health indicator (RAG)</t>
  </si>
  <si>
    <t>Stable</t>
  </si>
  <si>
    <t>Green</t>
  </si>
  <si>
    <t>An automatic mechanism for calculating penalties has been designed by the company based on sub-measures, reference levels and upper control limits.
The four sub-services for this performance commitment are:
1. Unplanned interruptions &gt; 12 hours
2. Reactive mains bursts
3. Customer contacts - discolouration
4. Distribution Maintenance Index</t>
  </si>
  <si>
    <t>PR14ANHWSW_W-H2</t>
  </si>
  <si>
    <t>W-H2</t>
  </si>
  <si>
    <t>ANH-17</t>
  </si>
  <si>
    <t>W-H2: Water non-infrastructure</t>
  </si>
  <si>
    <t>An automatic mechanism for calculating penalties has been designed by the company based on sub-measures, reference levels and upper control limits.
The three sub-services for this performance commitment are:
1. Water treatment works with coliforms detected
2. Service reservoirs with &gt;5% coliforms
3. Water treatment works turbidity</t>
  </si>
  <si>
    <t>PR14ANHWSW_W-I1</t>
  </si>
  <si>
    <t>Safe, clean water</t>
  </si>
  <si>
    <t>W-I1</t>
  </si>
  <si>
    <t>ANH-18</t>
  </si>
  <si>
    <t>W-I1: Mean zonal compliance (MZC)</t>
  </si>
  <si>
    <t>PR14ANHWSWW_S-A2</t>
  </si>
  <si>
    <t>WSWW</t>
  </si>
  <si>
    <t>S-A2</t>
  </si>
  <si>
    <t>ANH-19</t>
  </si>
  <si>
    <t>S-A2: Properties flooded internally from sewers - three-year average (reduction)</t>
  </si>
  <si>
    <t>Sewer flooding/collapses etc</t>
  </si>
  <si>
    <t>No. of properties flooded internally (reduction)</t>
  </si>
  <si>
    <t>PR14ANHWSWW_S-A3</t>
  </si>
  <si>
    <t>S-A3</t>
  </si>
  <si>
    <t>ANH-20</t>
  </si>
  <si>
    <t>S-A3: Properties flooded externally from sewers - three-year average (reduction)</t>
  </si>
  <si>
    <t>No. of properties flooded externally (reduction)</t>
  </si>
  <si>
    <t>PR14ANHWSWW_S-A4</t>
  </si>
  <si>
    <t>S-A4</t>
  </si>
  <si>
    <t>ANH-21</t>
  </si>
  <si>
    <t>S-A4: Percentage of sewerage capacity schemes incorporating sustainable solutions</t>
  </si>
  <si>
    <t>Sustainability/innovation</t>
  </si>
  <si>
    <t>% sustainable sewerage capacity schemes</t>
  </si>
  <si>
    <t>PR14ANHWSWW_S-B1</t>
  </si>
  <si>
    <t>S-B1</t>
  </si>
  <si>
    <t>ANH-22</t>
  </si>
  <si>
    <t>S-B1: Value for money perception variation from baseline against WaSCs (wastewater)</t>
  </si>
  <si>
    <t>PR14ANHWSWW_S-C1</t>
  </si>
  <si>
    <t>S-C1</t>
  </si>
  <si>
    <t>ANH-23</t>
  </si>
  <si>
    <t>S-C1: Percentage of bathing waters attaining excellent status</t>
  </si>
  <si>
    <t>% bathing waters - excellent status</t>
  </si>
  <si>
    <t>PR14ANHWSWW_S-C2</t>
  </si>
  <si>
    <t>S-C2</t>
  </si>
  <si>
    <t>ANH-24</t>
  </si>
  <si>
    <t>S-C2: Percentage of SSSIs (by area) with favourable status</t>
  </si>
  <si>
    <t>PR14ANHWSWW_S-C3</t>
  </si>
  <si>
    <t>S-C3</t>
  </si>
  <si>
    <t>ANH-25</t>
  </si>
  <si>
    <t>S-C3: Pollution incidents (category 3)</t>
  </si>
  <si>
    <t>Pollution incidents</t>
  </si>
  <si>
    <t>No. of pollution incidents (cat 3)</t>
  </si>
  <si>
    <t>PR14ANHWSWW_S-C4</t>
  </si>
  <si>
    <t>S-C4</t>
  </si>
  <si>
    <t>ANH-26</t>
  </si>
  <si>
    <t>S-C4: Environmental compliance (wastewater)</t>
  </si>
  <si>
    <t>PR14ANHWSWW_S-D1</t>
  </si>
  <si>
    <t>S-D1</t>
  </si>
  <si>
    <t>ANH-27</t>
  </si>
  <si>
    <t>S-D1: Operational carbon (% reduction from 2015 baseline)</t>
  </si>
  <si>
    <t>% reduction from 2015 baseline</t>
  </si>
  <si>
    <t>PR14ANHWSWW_S-D2</t>
  </si>
  <si>
    <t>S-D2</t>
  </si>
  <si>
    <t>ANH-28</t>
  </si>
  <si>
    <t>S-D2: Embodied carbon (% reduction from 2010 baseline)</t>
  </si>
  <si>
    <t>% reduction from 2010 baseline</t>
  </si>
  <si>
    <t>PR14ANHWSWW_S-E1</t>
  </si>
  <si>
    <t>S-E1</t>
  </si>
  <si>
    <t>ANH-29</t>
  </si>
  <si>
    <t>S-E1: Survey of community perception</t>
  </si>
  <si>
    <t>PR14ANHWSWW_S-F1</t>
  </si>
  <si>
    <t>S-F1</t>
  </si>
  <si>
    <t>ANH-30</t>
  </si>
  <si>
    <t>S-F1: Sewerage infrastructure</t>
  </si>
  <si>
    <t>Asset health - wastewater</t>
  </si>
  <si>
    <t>An automatic mechanism for calculating penalties has been designed by the company based on sub-measures, reference levels and upper control limits. The four sub-services for this performance commitment are:
1. Pollution incidents
2. Sewer collapses
3. Internal flooding (overloaded and other causes)
4. Sewer blockages.</t>
  </si>
  <si>
    <t>PR14ANHWSWW_S-F2</t>
  </si>
  <si>
    <t>S-F2</t>
  </si>
  <si>
    <t>ANH-31</t>
  </si>
  <si>
    <t>S-F2: Sewerage non-infrastructure</t>
  </si>
  <si>
    <t>An automatic mechanism for calculating penalties has been designed by the company based on sub-measures, reference levels and upper control limits. The two sub-services for this performance commitment are:
1. Population equivalent (PE) sewerage treatment works (STW) in breach of consent
2. Sewerage treatment works (STW) failing numeric standards.</t>
  </si>
  <si>
    <t>PR14ANHHHR_R-A1</t>
  </si>
  <si>
    <t>ANH-32</t>
  </si>
  <si>
    <t>R-A1: Qualitative service incentive mechanism (SIM) score</t>
  </si>
  <si>
    <t>text</t>
  </si>
  <si>
    <t>Service incentive mechanism (SIM) score ranking (WaSCs)</t>
  </si>
  <si>
    <t>3rd+</t>
  </si>
  <si>
    <t>PR14ANHHHR_R-A2</t>
  </si>
  <si>
    <t>ANH-33</t>
  </si>
  <si>
    <t>R-A2: Service incentive mechanism (SIM)</t>
  </si>
  <si>
    <t>PR14ANHHHR_R-A3</t>
  </si>
  <si>
    <t>R-A3</t>
  </si>
  <si>
    <t>ANH-34</t>
  </si>
  <si>
    <t>R-A3: Customer Satisfaction Index prepared by UK Institute of Customer Service</t>
  </si>
  <si>
    <t>UQ utility</t>
  </si>
  <si>
    <t>PR14ANHHHR_R-B1</t>
  </si>
  <si>
    <t>R-B1</t>
  </si>
  <si>
    <t>ANH-35</t>
  </si>
  <si>
    <t>R-B1: Fairness of bills perception - variation from baseline against WaSCs</t>
  </si>
  <si>
    <t>PR14ANHHHR_R-B2</t>
  </si>
  <si>
    <t>R-B2</t>
  </si>
  <si>
    <t>ANH-36</t>
  </si>
  <si>
    <t>R-B2: Affordability perception - variation from baseline against WaSCs</t>
  </si>
  <si>
    <t>PR14ANHHHR_R-C1</t>
  </si>
  <si>
    <t>R-C1</t>
  </si>
  <si>
    <t>ANH-37</t>
  </si>
  <si>
    <t>R-C1: Operational carbon (% reduction from 2015 baseline)</t>
  </si>
  <si>
    <t>PR14ANHHHR_R-C2</t>
  </si>
  <si>
    <t>R-C2</t>
  </si>
  <si>
    <t>ANH-38</t>
  </si>
  <si>
    <t>R-C2: Embodied carbon (% reduction from 2010 baseline)</t>
  </si>
  <si>
    <t>PR14ANHHHR_R-D1</t>
  </si>
  <si>
    <t>R-D1</t>
  </si>
  <si>
    <t>ANH-39</t>
  </si>
  <si>
    <t>R-D1: Survey of community perception</t>
  </si>
  <si>
    <t>TBC?</t>
  </si>
  <si>
    <t>BRL</t>
  </si>
  <si>
    <t>PR14BRLWSW_A1</t>
  </si>
  <si>
    <t>Reliable supply</t>
  </si>
  <si>
    <t>A1</t>
  </si>
  <si>
    <t>BRL-01</t>
  </si>
  <si>
    <t>A1: Unplanned customer minutes lost</t>
  </si>
  <si>
    <t>CMA Bristol Water price determination
The measure is calculated by dividing the total duration of all unplanned water supply interruptions by the number of properties the company supply to give an average interruption time in minutes per year.</t>
  </si>
  <si>
    <t>PR14BRLWSW_A2</t>
  </si>
  <si>
    <t>A2</t>
  </si>
  <si>
    <t>BRL-02</t>
  </si>
  <si>
    <t>A2: Asset reliability - infrastructure</t>
  </si>
  <si>
    <t>RCV</t>
  </si>
  <si>
    <t>Asset health indicator</t>
  </si>
  <si>
    <t>Deteriorating</t>
  </si>
  <si>
    <t>Marginal</t>
  </si>
  <si>
    <t>PR14BRLWSW_A3</t>
  </si>
  <si>
    <t>A3</t>
  </si>
  <si>
    <t>BRL-03</t>
  </si>
  <si>
    <t>A3: Asset reliability - non-infrastructure</t>
  </si>
  <si>
    <t>PR14BRLWSW_B1</t>
  </si>
  <si>
    <t>Resilient supply</t>
  </si>
  <si>
    <t>B1</t>
  </si>
  <si>
    <t>BRL-04</t>
  </si>
  <si>
    <t>B1: Population in centres &gt;25,000 at risk from asset failure</t>
  </si>
  <si>
    <t>No. of people (population)</t>
  </si>
  <si>
    <t>PR14BRLWSW_C1</t>
  </si>
  <si>
    <t>Sufficient supply</t>
  </si>
  <si>
    <t>C1</t>
  </si>
  <si>
    <t>BRL-05</t>
  </si>
  <si>
    <t>C1: Security of supply index (SOSI)</t>
  </si>
  <si>
    <t>PR14BRLWSW_C2</t>
  </si>
  <si>
    <t>C2</t>
  </si>
  <si>
    <t>BRL-06</t>
  </si>
  <si>
    <t>C2: Hosepipe ban frequency</t>
  </si>
  <si>
    <t>No. of expected days that water restrictions are placed</t>
  </si>
  <si>
    <t>The number of expected days in the report year that water restrictions are placed based on the likelihood in any one year that restrictions on the use of hosepipes will be implemented. This is usually expressed as 1 in X years.</t>
  </si>
  <si>
    <t>PR14BRLWSW_D1</t>
  </si>
  <si>
    <t>Safe drinking water</t>
  </si>
  <si>
    <t>D1</t>
  </si>
  <si>
    <t>BRL-07</t>
  </si>
  <si>
    <t>D1: Mean zonal compliance (MZC)</t>
  </si>
  <si>
    <t>0.01%</t>
  </si>
  <si>
    <t>CMA Bristol Water price determination</t>
  </si>
  <si>
    <t>PR14BRLWSW_E1</t>
  </si>
  <si>
    <t>Water is good to drink</t>
  </si>
  <si>
    <t>E1</t>
  </si>
  <si>
    <t>BRL-09</t>
  </si>
  <si>
    <t>E1: Negative water quality contacts</t>
  </si>
  <si>
    <t>No. of contacts per year</t>
  </si>
  <si>
    <t>PR14BRLWSW_F1</t>
  </si>
  <si>
    <t>Efficient use of resources by company</t>
  </si>
  <si>
    <t>F1</t>
  </si>
  <si>
    <t>BRL-10</t>
  </si>
  <si>
    <t>F1: Leakage</t>
  </si>
  <si>
    <t>PR14BRLWSW_G1</t>
  </si>
  <si>
    <t>Efficient use of resources by customers</t>
  </si>
  <si>
    <t>G1</t>
  </si>
  <si>
    <t>BRL-11</t>
  </si>
  <si>
    <t>G1: Meter penetration</t>
  </si>
  <si>
    <t>Metering</t>
  </si>
  <si>
    <t xml:space="preserve">% metered supplies </t>
  </si>
  <si>
    <t>PR14BRLWSW_H1</t>
  </si>
  <si>
    <t>Sustainable environmental impact</t>
  </si>
  <si>
    <t>H1</t>
  </si>
  <si>
    <t>BRL-12</t>
  </si>
  <si>
    <t>H1: Total carbon emissions</t>
  </si>
  <si>
    <t>kgCO2e per person</t>
  </si>
  <si>
    <t>PR14BRLWSW_H2</t>
  </si>
  <si>
    <t>H2</t>
  </si>
  <si>
    <t>BRL-13</t>
  </si>
  <si>
    <t>H2: Raw water quality of sources</t>
  </si>
  <si>
    <t>Raw water quality indicator</t>
  </si>
  <si>
    <t>PR14BRLWSW_H3</t>
  </si>
  <si>
    <t>H3</t>
  </si>
  <si>
    <t>BRL-14</t>
  </si>
  <si>
    <t>H3: Biodiversity index</t>
  </si>
  <si>
    <t>Biodiversity index</t>
  </si>
  <si>
    <t>TBC (under development)</t>
  </si>
  <si>
    <t>TBC (improving)</t>
  </si>
  <si>
    <t>PR14BRLWSW_H4</t>
  </si>
  <si>
    <t>H4</t>
  </si>
  <si>
    <t>BRL-15</t>
  </si>
  <si>
    <t>H4: Waste disposal compliance</t>
  </si>
  <si>
    <t>Waste disposal</t>
  </si>
  <si>
    <t>% waste disposal compliance</t>
  </si>
  <si>
    <t>PR14BRLHHR_G2</t>
  </si>
  <si>
    <t>G2</t>
  </si>
  <si>
    <t>BRL-16</t>
  </si>
  <si>
    <t>G2: Per capita consumption (PCC), measured as litres per head per day (l/h/d)</t>
  </si>
  <si>
    <t>Litres per head per day (l/h/d)</t>
  </si>
  <si>
    <t>PR14BRLHHR_I1</t>
  </si>
  <si>
    <t>Affordable bills</t>
  </si>
  <si>
    <t>I1</t>
  </si>
  <si>
    <t>BRL-17</t>
  </si>
  <si>
    <t>I1: Percentage of customers in water poverty</t>
  </si>
  <si>
    <t>% customers in water poverty</t>
  </si>
  <si>
    <t>PR14BRLHHR_J1</t>
  </si>
  <si>
    <t>J1</t>
  </si>
  <si>
    <t>BRL-18</t>
  </si>
  <si>
    <t>J1: Service incentive mechanism (SIM)</t>
  </si>
  <si>
    <t>Service incentive mechanism (SIM) score ranking</t>
  </si>
  <si>
    <t>Top 5</t>
  </si>
  <si>
    <t>PR14BRLHHR_J2</t>
  </si>
  <si>
    <t>J2</t>
  </si>
  <si>
    <t>BRL-19</t>
  </si>
  <si>
    <t>J2: General satisfaction from surveys</t>
  </si>
  <si>
    <t>&gt;93</t>
  </si>
  <si>
    <t>PR14BRLHHR_J3</t>
  </si>
  <si>
    <t>J3</t>
  </si>
  <si>
    <t>BRL-20</t>
  </si>
  <si>
    <t>J3: Value for money</t>
  </si>
  <si>
    <t>PR14BRLHHR_K1</t>
  </si>
  <si>
    <t>Easy to contact</t>
  </si>
  <si>
    <t>K1</t>
  </si>
  <si>
    <t>BRL-21</t>
  </si>
  <si>
    <t>K1: Ease of contact from surveys</t>
  </si>
  <si>
    <t>&gt;96.5</t>
  </si>
  <si>
    <t>PR14BRLHHR_L1</t>
  </si>
  <si>
    <t>Bills are accurate and easy to understand</t>
  </si>
  <si>
    <t>L1</t>
  </si>
  <si>
    <t>BRL-22</t>
  </si>
  <si>
    <t>L1: Negative billing contacts</t>
  </si>
  <si>
    <t>DVW</t>
  </si>
  <si>
    <t>PR14DVWWSW_A1</t>
  </si>
  <si>
    <t>Provide excellent water quality</t>
  </si>
  <si>
    <t>DVW-01</t>
  </si>
  <si>
    <t>A1: Discoloured water contacts</t>
  </si>
  <si>
    <t>PR14DVWWSW_A2</t>
  </si>
  <si>
    <t>DVW-02</t>
  </si>
  <si>
    <t>A2: Mean zonal compliance (MZC)</t>
  </si>
  <si>
    <t>PR14DVWWSW_A3</t>
  </si>
  <si>
    <t>DVW-03</t>
  </si>
  <si>
    <t>A3: Delivery of the outcomes of the Legacy water treatment works (south west Wrexham) major scheme</t>
  </si>
  <si>
    <t>Pass/fail (until completion)</t>
  </si>
  <si>
    <t>Complete</t>
  </si>
  <si>
    <t>Performance to be measured as pass/fail in each year until completion. Progress to be reported annually with project completion to be assessed annually from the end of 2017-18. Incentives to be determined at PR19 based on the extent of completion and, if relevant, expected date of completion. If improvements not delivered at this point timing delay penalties will apply for each year’s delay until expected completion. If substantive progress towards delivery cannot be demonstrated at this point the full non-delivery penalty will apply. Any incentives incurred through performance commitment A1 (discoloured water contacts) due to delay in the delivery of Legacy treatment works should be netted off this incentive.
Penalty 1: timing delays
Penalty 2: non-delivery</t>
  </si>
  <si>
    <t>PR14DVWWSW_A4</t>
  </si>
  <si>
    <t>A4</t>
  </si>
  <si>
    <t>DVW-04</t>
  </si>
  <si>
    <t>A4: Delivery of the outcomes of the service reservoir water quality risk management schemes</t>
  </si>
  <si>
    <t>Pass/fail (for each scheme)</t>
  </si>
  <si>
    <t>Milestone</t>
  </si>
  <si>
    <t>4 schemes complete</t>
  </si>
  <si>
    <t>Performance to be measured as pass/fail for each scheme. Progress to be reported annually with project completion to be assessed at PR19 and where relevant at the end of 2019-20. Incentives to be determined at the PR19 milestone based on the extent of completion of each scheme and, if relevant, expected date of completion of each. If substantive progress towards delivery cannot be demonstrated at this point, such that any scheme is not expected to be completed by the end of 2019-20 the full non-delivery penalty will apply for each relevant scheme. This is a pass/fail incentive type. If any scheme is not complete by the end of 2019-20 the full incentive will apply for that scheme.
Penalty 1: Membranes
Penalty 2: Berwyn
Penalty 3: Llwyn Onn
Penalty 4: Sugn-y-Pwll</t>
  </si>
  <si>
    <t>PR14DVWWSW_B1</t>
  </si>
  <si>
    <t>Provide reliable and high quality customer service</t>
  </si>
  <si>
    <t>DVW-05</t>
  </si>
  <si>
    <t>B1: Average duration of interruptions - 3 hours or longer (planned and unplanned interruptions)</t>
  </si>
  <si>
    <t>Hours / property / year</t>
  </si>
  <si>
    <t>0.01 hours</t>
  </si>
  <si>
    <t>PR14DVWWSW_B2</t>
  </si>
  <si>
    <t>B2</t>
  </si>
  <si>
    <t>DVW-06</t>
  </si>
  <si>
    <t>B2: Sustainable economic level of leakage target</t>
  </si>
  <si>
    <t>Litres per property per day (l/prop/day)</t>
  </si>
  <si>
    <t>PR14DVWWSW_B3</t>
  </si>
  <si>
    <t>B3</t>
  </si>
  <si>
    <t>DVW-07</t>
  </si>
  <si>
    <t>B3: Security of supply index (SOSI)</t>
  </si>
  <si>
    <t>PR14DVWWSW_B4</t>
  </si>
  <si>
    <t>B4</t>
  </si>
  <si>
    <t>DVW-08</t>
  </si>
  <si>
    <t>B4: Number of bursts</t>
  </si>
  <si>
    <t>PR14DVWWSW_C1</t>
  </si>
  <si>
    <t>Minimise the environmental impact</t>
  </si>
  <si>
    <t>DVW-09</t>
  </si>
  <si>
    <t>C1: Gross operational greenhouse gas emissions</t>
  </si>
  <si>
    <t>tCO2e</t>
  </si>
  <si>
    <t>PR14DVWWSW_D1</t>
  </si>
  <si>
    <t>Provide a value for money service</t>
  </si>
  <si>
    <t>DVW-10</t>
  </si>
  <si>
    <t>D1: Customers’ perception based on market research</t>
  </si>
  <si>
    <t>Set target</t>
  </si>
  <si>
    <t>PR14DVWNHHR_F1</t>
  </si>
  <si>
    <t>Retail (NH)</t>
  </si>
  <si>
    <t>NHHR</t>
  </si>
  <si>
    <t>Provide reliable and high quality customer service (non-household customers)</t>
  </si>
  <si>
    <t>DVW-13</t>
  </si>
  <si>
    <t>F1: Non-household Service incentive mechanism (SIM)</t>
  </si>
  <si>
    <t>PR14DVWHHR_E1</t>
  </si>
  <si>
    <t>Provide reliable and high quality customer service (household customers)</t>
  </si>
  <si>
    <t>DVW-11</t>
  </si>
  <si>
    <t>E1: Per capita consumption and water efficiency</t>
  </si>
  <si>
    <t>Litres per capita per day</t>
  </si>
  <si>
    <t>PR14DVWHHR_E2</t>
  </si>
  <si>
    <t>E2</t>
  </si>
  <si>
    <t>DVW-12</t>
  </si>
  <si>
    <t>E2: Service incentive mechanism (SIM)</t>
  </si>
  <si>
    <t>PR14NESWSW_W-A1</t>
  </si>
  <si>
    <t>We deliver water and sewerage services that meet the needs of current and future generations in a changing world</t>
  </si>
  <si>
    <t>NES-01</t>
  </si>
  <si>
    <t>W-A1: Asset health measures - water</t>
  </si>
  <si>
    <t>N/A</t>
  </si>
  <si>
    <t>N/A (measured in separate PCs)</t>
  </si>
  <si>
    <t>The company’s asset health approach replaces the serviceability approach. The asset health measures enable the company to monitor, protect and provide incentives for the long-term sustainable stewardship of its assets. The company’s asset health measures of success (MoS) for the water service are:
• drinking water compliance (W-B2)
• discoloured water complaints (W-B3)
• poor water pressure (W-C2)
• mains bursts (W-C3)
The asset health MoS (W-A1) does not attract any financial penalty/reward in its own right, but sets out the rules of the approach as they apply to the four water asset health MoS.
All four measures in asset health are separately subject to penalties. Two measures are subject to reward (discoloured water complaints and poor water pressure), but only if a penalty has not been triggered in another water asset health measure when the assessment is being made.</t>
  </si>
  <si>
    <t>PR14NESWSW_W-B1</t>
  </si>
  <si>
    <t>We supply clean, clear drinking water that tastes good</t>
  </si>
  <si>
    <t>NES-02</t>
  </si>
  <si>
    <t>W-B1: Satisfaction with taste and odour of tap water</t>
  </si>
  <si>
    <t>No. of complaints per year</t>
  </si>
  <si>
    <t>&gt;1534</t>
  </si>
  <si>
    <t>&gt;1032</t>
  </si>
  <si>
    <t>&gt;1405</t>
  </si>
  <si>
    <t>&gt;903</t>
  </si>
  <si>
    <t>&lt;903</t>
  </si>
  <si>
    <t>&lt;645</t>
  </si>
  <si>
    <t xml:space="preserve"> &lt;645</t>
  </si>
  <si>
    <t>PR14NESWSW_W-B2</t>
  </si>
  <si>
    <t>NES-03</t>
  </si>
  <si>
    <t>W-B2: Overall drinking water compliance</t>
  </si>
  <si>
    <t>&gt;99.94</t>
  </si>
  <si>
    <t>&lt;99.910</t>
  </si>
  <si>
    <t>&lt;99.913</t>
  </si>
  <si>
    <t>&lt;99.917</t>
  </si>
  <si>
    <t>&lt;99.920</t>
  </si>
  <si>
    <t>&lt;99.940</t>
  </si>
  <si>
    <t>&lt;99.943</t>
  </si>
  <si>
    <t>&lt;99.947</t>
  </si>
  <si>
    <t>&lt;99.950</t>
  </si>
  <si>
    <t>The company’s asset health approach replaces the serviceability approach. The asset health measures enable the company to monitor, protect and provide incentives for the long-term sustainable stewardship of its assets. The company’s asset health measures of success (MoS) for the water service are:
• drinking water compliance (W-B2)
• discoloured water complaints (W-B3)
• poor water pressure (W-C2)
• mains bursts (W-C3)
The asset health MoS (W-A1) does not attract any financial penalty/reward in its own right, but sets out the rules of the approach as they apply to the four water asset health MoS.
All four measures in asset health are separately subject to penalties. Two measures are subject to reward (discoloured water complaints and poor water pressure), but only if a penalty has not been triggered in another water asset health measure when the assessment is being made.
Penalty 1: £3,984,750 lump sum at each assessment point
Penalty 2: an additional £3,984,750 lump sum over and above penalty 1 at each assessment point.</t>
  </si>
  <si>
    <t>PR14NESWSW_W-B3</t>
  </si>
  <si>
    <t>W-B3</t>
  </si>
  <si>
    <t>NES-04</t>
  </si>
  <si>
    <t>W-B3: Discoloured water complaints</t>
  </si>
  <si>
    <t>&gt;5544</t>
  </si>
  <si>
    <t>&gt;4998</t>
  </si>
  <si>
    <t>&gt;4452</t>
  </si>
  <si>
    <t>&gt;3906</t>
  </si>
  <si>
    <t>&gt;4600</t>
  </si>
  <si>
    <t>&gt;4054</t>
  </si>
  <si>
    <t>&gt;3508</t>
  </si>
  <si>
    <t>&gt;2962</t>
  </si>
  <si>
    <t>&lt;2962</t>
  </si>
  <si>
    <t>&lt;2759</t>
  </si>
  <si>
    <t>PR14NESWSW_W-C1</t>
  </si>
  <si>
    <t>We provide a reliable and sufficient supply of water</t>
  </si>
  <si>
    <t>NES-05</t>
  </si>
  <si>
    <t>W-C1: Interruptions to water supply for more than 3 hours (average time per property per year)</t>
  </si>
  <si>
    <t>Mins:secs per property per year</t>
  </si>
  <si>
    <t>mins:secs</t>
  </si>
  <si>
    <t>&gt;12:17</t>
  </si>
  <si>
    <t>&gt;11:45</t>
  </si>
  <si>
    <t>&gt;11:14</t>
  </si>
  <si>
    <t>&gt;10:42</t>
  </si>
  <si>
    <t>&gt;10:08</t>
  </si>
  <si>
    <t>&gt;11:38</t>
  </si>
  <si>
    <t>&gt;11:11</t>
  </si>
  <si>
    <t>&gt;10:44</t>
  </si>
  <si>
    <t>&gt;10:17</t>
  </si>
  <si>
    <t>&gt;09:48</t>
  </si>
  <si>
    <t>&lt;06:50</t>
  </si>
  <si>
    <t>&lt;06:23</t>
  </si>
  <si>
    <t>&lt;05:56</t>
  </si>
  <si>
    <t>&lt;05:29</t>
  </si>
  <si>
    <t>&lt;05:00</t>
  </si>
  <si>
    <t>&lt;03:05</t>
  </si>
  <si>
    <t>PR14NESWSW_W-C2</t>
  </si>
  <si>
    <t>NES-06</t>
  </si>
  <si>
    <t>W-C2: Properties experiencing poor water pressure</t>
  </si>
  <si>
    <t>&gt;257</t>
  </si>
  <si>
    <t>&gt;236</t>
  </si>
  <si>
    <t>&lt;175</t>
  </si>
  <si>
    <t>PR14NESWSW_W-C3</t>
  </si>
  <si>
    <t>NES-07</t>
  </si>
  <si>
    <t>W-C3: Water mains bursts</t>
  </si>
  <si>
    <t>&gt;5366</t>
  </si>
  <si>
    <t>&gt;4976</t>
  </si>
  <si>
    <t>PR14NESWSW_W-C4</t>
  </si>
  <si>
    <t>NES-08</t>
  </si>
  <si>
    <t>W-C4: Leakage (Ml/d) Northumbrian area</t>
  </si>
  <si>
    <t>&gt;162</t>
  </si>
  <si>
    <t>&gt;160</t>
  </si>
  <si>
    <t>&gt;142</t>
  </si>
  <si>
    <t>&gt;140</t>
  </si>
  <si>
    <t>&lt;131</t>
  </si>
  <si>
    <t>&lt;111</t>
  </si>
  <si>
    <t>PR14NESWSW_W-C5</t>
  </si>
  <si>
    <t>W-C5</t>
  </si>
  <si>
    <t>NES-09</t>
  </si>
  <si>
    <t>W-C5: Leakage (Ml/d) Essex &amp; Suffolk area</t>
  </si>
  <si>
    <t>&gt;77</t>
  </si>
  <si>
    <t>&gt;67</t>
  </si>
  <si>
    <t>&lt;56</t>
  </si>
  <si>
    <t>&lt;46</t>
  </si>
  <si>
    <t>PR14NESWSW_W-D1</t>
  </si>
  <si>
    <t>We provide excellent service and impress our customers</t>
  </si>
  <si>
    <t>NES-10</t>
  </si>
  <si>
    <t>W-D1: NWL independent overall customer satisfaction score</t>
  </si>
  <si>
    <t>Score between 0 and 10</t>
  </si>
  <si>
    <t>PR14NESWSW_W-D2</t>
  </si>
  <si>
    <t>NES-11</t>
  </si>
  <si>
    <t>W-D2: Service incentive mechanism (SIM)</t>
  </si>
  <si>
    <t>PR14NESWSW_W-D3</t>
  </si>
  <si>
    <t>NES-12</t>
  </si>
  <si>
    <t>W-D3: Domestic customer satisfaction, net promoter score</t>
  </si>
  <si>
    <t>PR14NESWSW_W-E1</t>
  </si>
  <si>
    <t>Our customers are well informed about the services they receive and the value of water</t>
  </si>
  <si>
    <t>NES-13</t>
  </si>
  <si>
    <t>W-E1: NWL independent survey on keeping customers informed</t>
  </si>
  <si>
    <t>New measure</t>
  </si>
  <si>
    <t>PR14NESWSW_W-F1</t>
  </si>
  <si>
    <t>We protect and enhance the environment in delivering services, leading by example</t>
  </si>
  <si>
    <t>NES-14</t>
  </si>
  <si>
    <t>W-F1: Greenhouse gas emissions</t>
  </si>
  <si>
    <t>ktCO2e</t>
  </si>
  <si>
    <t>PR14NESWSW_W-F2</t>
  </si>
  <si>
    <t>NES-15</t>
  </si>
  <si>
    <t>W-F2: Annual environmental performance report</t>
  </si>
  <si>
    <t>PR14NESWSWW_S-A1</t>
  </si>
  <si>
    <t>S-A1</t>
  </si>
  <si>
    <t>NES-16</t>
  </si>
  <si>
    <t>S-A1: Asset health measures - wastewater</t>
  </si>
  <si>
    <t>The asset health MoS (S-A1) does not attract any financial penalty/reward in its own right, but sets out the rules of the approach as they apply to the four wastewater asset health MoS.
The company’s asset health approach replaces the serviceability approach. The asset health measures enable the company to monitor, protect and provide incentives for the long-term sustainable stewardship of its assets. The company’s asset health measures of success (MoS) for the wastewater service are:
• repeat sewer flooding (S-B3)
• sewer collapses (S-B4)
• sewage treatment works discharge compliance (S-C1)
• pollution incidents (S-C2)
All four measures in asset health are separately subject to penalties. Two measures are subject to reward (repeat sewer flooding and pollution incidents), but only if a penalty has not been triggered in another wastewater asset health measure when the assessment is being made.
Penalty 1: £2,228,625 lump sum at each assessment point
Penalty 2: an additional £2,228,625 lump sum over and above penalty 1 at each assessment point.</t>
  </si>
  <si>
    <t>PR14NESWSWW_S-B1</t>
  </si>
  <si>
    <t>We provide a sewerage service that deals effectively with sewage and heavy rainfall</t>
  </si>
  <si>
    <t>NES-17</t>
  </si>
  <si>
    <t>S-B1: Properties flooded externally</t>
  </si>
  <si>
    <t>No. of properties per year</t>
  </si>
  <si>
    <t>&gt;1,664</t>
  </si>
  <si>
    <t>&gt;1,497</t>
  </si>
  <si>
    <t>&lt;1,139</t>
  </si>
  <si>
    <t>&lt;639</t>
  </si>
  <si>
    <t>PR14NESWSWW_S-B2</t>
  </si>
  <si>
    <t>S-B2</t>
  </si>
  <si>
    <t>NES-18</t>
  </si>
  <si>
    <t>S-B2: Properties flooded internally</t>
  </si>
  <si>
    <t>No. of properties flooded internally per year</t>
  </si>
  <si>
    <t>PR14NESWSWW_S-B3</t>
  </si>
  <si>
    <t>S-B3</t>
  </si>
  <si>
    <t>NES-19</t>
  </si>
  <si>
    <t>S-B3: Repeat sewer flooding</t>
  </si>
  <si>
    <t>&gt;761</t>
  </si>
  <si>
    <t>&gt;620</t>
  </si>
  <si>
    <t>&lt;237</t>
  </si>
  <si>
    <t>&lt;140</t>
  </si>
  <si>
    <t>The company’s asset health approach replaces the serviceability approach. The asset health measures enable the company to monitor, protect and provide incentives for the long-term sustainable stewardship of its assets. The company’s asset health measures of success (MoS) for the wastewater service are:
• repeat sewer flooding (S-B3)
• sewer collapses (S-B4)
• sewage treatment works discharge compliance (S-C1)
• pollution incidents (S-C2)
All four measures in asset health are separately subject to penalties. Two measures are subject to reward (repeat sewer flooding and pollution incidents), but only if a penalty has not been triggered in another wastewater asset health measure when the assessment is being made.
Penalty 1: £2,228,625 lump sum at each assessment point
Penalty 2: an additional £2,228,625 lump sum over and above penalty 1 at each assessment point.</t>
  </si>
  <si>
    <t>PR14NESWSWW_S-B4</t>
  </si>
  <si>
    <t>S-B4</t>
  </si>
  <si>
    <t>NES-20</t>
  </si>
  <si>
    <t>S-B4: Sewer collapses</t>
  </si>
  <si>
    <t>No. of sewer collapses per year - excluding TDSs</t>
  </si>
  <si>
    <t>&gt;80</t>
  </si>
  <si>
    <t>&gt;70</t>
  </si>
  <si>
    <t>PR14NESWSWW_S-B5</t>
  </si>
  <si>
    <t>S-B5</t>
  </si>
  <si>
    <t>NES-21</t>
  </si>
  <si>
    <t>S-B5: Transferred drains and sewers - internal sewer flooding</t>
  </si>
  <si>
    <t>&gt;381</t>
  </si>
  <si>
    <t>&gt;298</t>
  </si>
  <si>
    <t>&lt;158</t>
  </si>
  <si>
    <t>&lt;61</t>
  </si>
  <si>
    <t>PR14NESWSWW_S-B6</t>
  </si>
  <si>
    <t>S-B6</t>
  </si>
  <si>
    <t>NES-22</t>
  </si>
  <si>
    <t>S-B6: Transferred drains and sewers - external sewer flooding</t>
  </si>
  <si>
    <t>&gt;3548</t>
  </si>
  <si>
    <t>&gt;3381</t>
  </si>
  <si>
    <t>&lt;2481</t>
  </si>
  <si>
    <t>&lt;1981</t>
  </si>
  <si>
    <t>PR14NESWSWW_S-B7</t>
  </si>
  <si>
    <t>S-B7</t>
  </si>
  <si>
    <t>NES-23</t>
  </si>
  <si>
    <t>S-B7: Transferred drains and sewers - sewer collapses</t>
  </si>
  <si>
    <t>No. of sewer collapses per year - TDSs</t>
  </si>
  <si>
    <t>PR14NESWSWW_S-C1</t>
  </si>
  <si>
    <t>We help to improve the quality of rivers and coastal waters for the benefit of people, the environment and wildlife</t>
  </si>
  <si>
    <t>NES-24</t>
  </si>
  <si>
    <t>S-C1: Sewage treatment works discharge compliance</t>
  </si>
  <si>
    <t>No. discharge permit condition failures per year</t>
  </si>
  <si>
    <t>&gt;2</t>
  </si>
  <si>
    <t>&gt;1</t>
  </si>
  <si>
    <t>PR14NESWSWW_S-C2</t>
  </si>
  <si>
    <t>NES-25</t>
  </si>
  <si>
    <t>S-C2: Pollution incidents (category 3)</t>
  </si>
  <si>
    <t>&gt;191</t>
  </si>
  <si>
    <t>&gt;181</t>
  </si>
  <si>
    <t>&gt;170</t>
  </si>
  <si>
    <t>&gt;153</t>
  </si>
  <si>
    <t>&gt;143</t>
  </si>
  <si>
    <t>&gt;132</t>
  </si>
  <si>
    <t>&gt;122</t>
  </si>
  <si>
    <t>&lt;77</t>
  </si>
  <si>
    <t>&lt;57</t>
  </si>
  <si>
    <t>PR14NESWSWW_S-C3</t>
  </si>
  <si>
    <t>NES-26</t>
  </si>
  <si>
    <t>S-C3: Bathing water compliance</t>
  </si>
  <si>
    <t>No. of bathing waters per year</t>
  </si>
  <si>
    <t>&lt;31</t>
  </si>
  <si>
    <t>&lt;32</t>
  </si>
  <si>
    <t>&lt;33</t>
  </si>
  <si>
    <t>PR14NESWSWW_S-C4</t>
  </si>
  <si>
    <t>NES-27</t>
  </si>
  <si>
    <t>S-C4: Whitburn combined sewer overflow (CSO) scheme</t>
  </si>
  <si>
    <t>Delivery / non-delivery</t>
  </si>
  <si>
    <t>Non-delivery</t>
  </si>
  <si>
    <t>Delivery</t>
  </si>
  <si>
    <t>Delivery is measured by whether Northumbrian Water has delivered the scheme it has been funded for through price limits and that the completed scheme is operating. 
Penalties to be determined at PR19 milestone based on the extent of completion of the scheme and, if relevant, the expected date of completion of the scheme. If substantive progress toward delivery cannot be demonstrated at PR19, such that the scheme is not expected to be completed by the end of 2019-20 the full non-delivery penalty will apply.
This is a pass/fail incentive type. If the scheme is not expected to complete by the end of 2019-20 the full penalty will apply (but not the late delivery penalties).
The late delivery penalty applies to 2018-19 and 2019-20 and pro rata to delivery which is a fraction of a year late. It also applies pro-rata to January to March 2018 (that is, a £0.05m penalty for non-delivery for those 3 months).
Penalty 1 - late delivery (per year from 2018-19): £0.2m 
Penalty 2 - non-delivery: £4m</t>
  </si>
  <si>
    <t>PR14NESWSWW_S-D1</t>
  </si>
  <si>
    <t>NES-28</t>
  </si>
  <si>
    <t>S-D1: NWL independent overall customer satisfaction score</t>
  </si>
  <si>
    <t>Customer satisfaction score out of 10</t>
  </si>
  <si>
    <t>PR14NESWSWW_S-D2</t>
  </si>
  <si>
    <t>NES-29</t>
  </si>
  <si>
    <t>S-D2: SIM</t>
  </si>
  <si>
    <t>PR14NESWSWW_S-D3</t>
  </si>
  <si>
    <t>S-D3</t>
  </si>
  <si>
    <t>NES-30</t>
  </si>
  <si>
    <t>S-D3: Domestic customer satisfaction, net promoter score</t>
  </si>
  <si>
    <t>To calculate the NPS, the company will take the % of customers who are promoters and subtract the % who are detractors. The range of scores will be between -100% and +100%.</t>
  </si>
  <si>
    <t>PR14NESWSWW_S-E1</t>
  </si>
  <si>
    <t>NES-31</t>
  </si>
  <si>
    <t>S-E1: NWL independent survey on keeping customers informed</t>
  </si>
  <si>
    <t>PR14NESWSWW_S-F1</t>
  </si>
  <si>
    <t>We protect and enhance the environment in delivering our services, leading by example</t>
  </si>
  <si>
    <t>NES-32</t>
  </si>
  <si>
    <t>S-F1: Greenhouse gas emissions</t>
  </si>
  <si>
    <t>PR14NESWSWW_S-F2</t>
  </si>
  <si>
    <t>NES-33</t>
  </si>
  <si>
    <t>S-F2: Annual environmental performance report</t>
  </si>
  <si>
    <t>TBC (CRAG report publication)</t>
  </si>
  <si>
    <t>PR14NESHHR_R-B1</t>
  </si>
  <si>
    <t>NES-34</t>
  </si>
  <si>
    <t>R-B1: NWL independent overall customer satisfaction score</t>
  </si>
  <si>
    <t>PR14NESHHR_R-B2</t>
  </si>
  <si>
    <t>NES-35</t>
  </si>
  <si>
    <t>R-B2: Service incentive mechanism (SIM)</t>
  </si>
  <si>
    <t>PR14NESHHR_R-B3</t>
  </si>
  <si>
    <t>R-B3</t>
  </si>
  <si>
    <t>NES-36</t>
  </si>
  <si>
    <t>R-B3: Domestic customer satisfaction, net promoter score</t>
  </si>
  <si>
    <t>PR14NESHHR_R-C1</t>
  </si>
  <si>
    <t>Our customers consider the services they receive to be value for money</t>
  </si>
  <si>
    <t>NES-37</t>
  </si>
  <si>
    <t>R-C1: NWL independent value for money survey</t>
  </si>
  <si>
    <t>PR14NESHHR_R-C2</t>
  </si>
  <si>
    <t>NES-38</t>
  </si>
  <si>
    <t>R-C2: Satisfied with value for money of water services - Northumbrian region (CCWater research)</t>
  </si>
  <si>
    <t>PR14NESHHR_R-C3</t>
  </si>
  <si>
    <t>R-C3</t>
  </si>
  <si>
    <t>NES-39</t>
  </si>
  <si>
    <t>R-C3: Satisfied with value for money of sewerage services - Northumbrian region (CCWater research)</t>
  </si>
  <si>
    <t>PR14NESHHR_R-C4</t>
  </si>
  <si>
    <t>R-C4</t>
  </si>
  <si>
    <t>NES-40</t>
  </si>
  <si>
    <t>R-C4: Satisfied with value for money of water services - Essex &amp; Suffolk region (CCWater research)</t>
  </si>
  <si>
    <t>PR14NESHHR_R-D1</t>
  </si>
  <si>
    <t>NES-41</t>
  </si>
  <si>
    <t>R-D1: NWL independent survey on keeping customers informed</t>
  </si>
  <si>
    <t>PR14NESHHR_R-E1</t>
  </si>
  <si>
    <t>R-E1</t>
  </si>
  <si>
    <t>NES-42</t>
  </si>
  <si>
    <t>R-E1: Greenhouse gas emissions</t>
  </si>
  <si>
    <t>PR14NESHHR_R-E2</t>
  </si>
  <si>
    <t>R-E2</t>
  </si>
  <si>
    <t>NES-43</t>
  </si>
  <si>
    <t>R-E2: Annual environmental performance report</t>
  </si>
  <si>
    <t>TBC (CRAG publication)</t>
  </si>
  <si>
    <t>PR14NESHHR_R-F1</t>
  </si>
  <si>
    <t>We are an efficient and innovative company</t>
  </si>
  <si>
    <t>R-F1</t>
  </si>
  <si>
    <t>NES-44</t>
  </si>
  <si>
    <t>R-F1: Delivering a consolidated Customer Information and Billing (CIB) system</t>
  </si>
  <si>
    <t>£ million cumulative depreciation</t>
  </si>
  <si>
    <t>See comment</t>
  </si>
  <si>
    <t>The calculation of the performance measure is the cumulative depreciation charge allowed for in price limits for the delivery of the new Customer Information and Billing (CIB) system.
Delivery is measured by 80% of Northumbrian Water’s directly billed customers being handled through the new consolidated CIB system. Performance will be monitored through Northumbrian Water’s standard approach for PC/ODI reporting to the CCG. Should the delivery programme fall materially behind programme, this will be disclosed in the company’s annual regulatory report.
The measure will be assessed annually on the company’s regulatory year performance.
The company’s first assessment will be made for 2015-16. Penalty 1 will only apply in 2019-20. Penalty 2 will only apply from 2017-18 onwards.
Penalty rate 1 applies at the end of 2019-20. Penalty rate 1 returns half of any funding for the CIB system (via payments for depreciation) back to customers if the outturn costs of the programme are lower than assumed in Northumbrian Water’s business plan.
Penalty rate 2 applies cumulatively that is, if the CIB system is not delivered until 1 June 2019 a penalty of £1.25m applies once for non-delivery in 2018-19 and pro rata for non-delivery between 1 April 2019 and 1 June 2019.
Both Penalty rate 1 and Penalty rate 2 can apply at the same time. For example, if Northumbrian Water did not spend anything on the new CIB system in 2015-16 to 2019-20 the company would be required to pay half of all the cumulative deprecation funded in price limits back to customers (Penalty 1) and the company would be required to pay 2 times Penalty rate 2 to customers.
Penalty 1: £0.5 per £1 of cumulative depreciation
Penalty 2: £1.25 million per year of non-delivery (calculated pro rata according to the number of days of non-delivery)</t>
  </si>
  <si>
    <t>PRT</t>
  </si>
  <si>
    <t>PR14PRTWSW_A1</t>
  </si>
  <si>
    <t>Safe, secure and reliable drinking water</t>
  </si>
  <si>
    <t>PRT-01</t>
  </si>
  <si>
    <t>A1: Bursts</t>
  </si>
  <si>
    <t>PR14PRTWSW_A2</t>
  </si>
  <si>
    <t>PRT-02</t>
  </si>
  <si>
    <t>A2: Water quality standards</t>
  </si>
  <si>
    <t>PR14PRTWSW_A3</t>
  </si>
  <si>
    <t>PRT-03</t>
  </si>
  <si>
    <t>A3: Water quality contacts</t>
  </si>
  <si>
    <t>No. contacts per 1,000 population</t>
  </si>
  <si>
    <t>0.01 contacts</t>
  </si>
  <si>
    <t>PR14PRTWSW_A4</t>
  </si>
  <si>
    <t>PRT-04</t>
  </si>
  <si>
    <t>A4: Temporary usage bans</t>
  </si>
  <si>
    <t>No. per year</t>
  </si>
  <si>
    <t>PR14PRTWSW_B1</t>
  </si>
  <si>
    <t>Less water lost through leakage</t>
  </si>
  <si>
    <t>PRT-05</t>
  </si>
  <si>
    <t>B1: Leakage</t>
  </si>
  <si>
    <t>PR14PRTWSW_C1</t>
  </si>
  <si>
    <t>High quality service</t>
  </si>
  <si>
    <t>PRT-06</t>
  </si>
  <si>
    <t>C1: Interruptions to supply</t>
  </si>
  <si>
    <t>PR14PRTWSW_D1</t>
  </si>
  <si>
    <t>An improved environment supporting biodiversity</t>
  </si>
  <si>
    <t>PRT-07</t>
  </si>
  <si>
    <t>D1: Biodiversity</t>
  </si>
  <si>
    <t>% (completion of agreed actions)</t>
  </si>
  <si>
    <t>10%</t>
  </si>
  <si>
    <t>Penalty rate is per 10%</t>
  </si>
  <si>
    <t>PR14PRTWSW_D2</t>
  </si>
  <si>
    <t>D2</t>
  </si>
  <si>
    <t>PRT-08</t>
  </si>
  <si>
    <t>D2: Water Framework Directive (WFD)</t>
  </si>
  <si>
    <t>Programme completion</t>
  </si>
  <si>
    <t>Target date</t>
  </si>
  <si>
    <t>Delivered</t>
  </si>
  <si>
    <t>Penalty £9,838 per year later than CPL, reward £7,152 per year earlier than CPL</t>
  </si>
  <si>
    <t>PR14PRTWSW_D3</t>
  </si>
  <si>
    <t>D3</t>
  </si>
  <si>
    <t>PRT-09</t>
  </si>
  <si>
    <t>D3: Carbon</t>
  </si>
  <si>
    <t>% increase from renewable sources</t>
  </si>
  <si>
    <t>PR14PRTWSW_E1</t>
  </si>
  <si>
    <t>Health and safety culture</t>
  </si>
  <si>
    <t>PRT-10</t>
  </si>
  <si>
    <t>E1: RoSPA Health and Safety accreditation</t>
  </si>
  <si>
    <t>Health &amp; safety</t>
  </si>
  <si>
    <t>RoSPA health &amp; safety assessment</t>
  </si>
  <si>
    <t>Awarded</t>
  </si>
  <si>
    <t>PR14PRTHHR_A1</t>
  </si>
  <si>
    <t>PRT-11</t>
  </si>
  <si>
    <t>A1: Service incentive mechanism (SIM)</t>
  </si>
  <si>
    <t>UQ</t>
  </si>
  <si>
    <t>PR14PRTHHR_B1</t>
  </si>
  <si>
    <t>PRT-12</t>
  </si>
  <si>
    <t>B1: Reducing per capita consumption (PCC)</t>
  </si>
  <si>
    <t>PR14PRTHHR_C1</t>
  </si>
  <si>
    <t>Supporting the community</t>
  </si>
  <si>
    <t>PRT-13</t>
  </si>
  <si>
    <t>C1: Survey of developers</t>
  </si>
  <si>
    <t>% (satisfaction survey)</t>
  </si>
  <si>
    <t>SBW</t>
  </si>
  <si>
    <t>PR14SBWWSW_A1</t>
  </si>
  <si>
    <t>Safe and wholesome water</t>
  </si>
  <si>
    <t>SBW-01</t>
  </si>
  <si>
    <t>A1: Customer contacts: taste and appearance (water quality contacts)</t>
  </si>
  <si>
    <t>PR14SBWWSW_A2</t>
  </si>
  <si>
    <t>SBW-02</t>
  </si>
  <si>
    <t>A2: WS (WQ) regulation compliance - mean zonal compliance (compliance with DWI regulations)</t>
  </si>
  <si>
    <t>PR14SBWWSW_B1</t>
  </si>
  <si>
    <t>Reliable water supply</t>
  </si>
  <si>
    <t>SBW-03</t>
  </si>
  <si>
    <t>B1: Reduce leakage (to less than or equal to 20.00 Ml/d by 2020)</t>
  </si>
  <si>
    <t>0.1Ml/d</t>
  </si>
  <si>
    <t>PR14SBWWSW_B2</t>
  </si>
  <si>
    <t>SBW-04</t>
  </si>
  <si>
    <t>B2: Large scale interruptions (minimise risk of large scale interruption to 12,000 properties)</t>
  </si>
  <si>
    <t>1,000 properties</t>
  </si>
  <si>
    <t>PR14SBWWSW_B3</t>
  </si>
  <si>
    <t>SBW-05</t>
  </si>
  <si>
    <t>B3: Decreasing average interruptions &gt;3 hours</t>
  </si>
  <si>
    <t>PR14SBWWSW_B4</t>
  </si>
  <si>
    <t>SBW-06</t>
  </si>
  <si>
    <t>B4: Maintain serviceable assets</t>
  </si>
  <si>
    <t>PR14SBWWSW_B5</t>
  </si>
  <si>
    <t>B5</t>
  </si>
  <si>
    <t>SBW-07</t>
  </si>
  <si>
    <t>B5: Metering - continue current strategy</t>
  </si>
  <si>
    <t>No. of additional meters installed</t>
  </si>
  <si>
    <t>PR14SBWWSW_B6</t>
  </si>
  <si>
    <t>B6</t>
  </si>
  <si>
    <t>SBW-08</t>
  </si>
  <si>
    <t>B6: Reduce per capita consumption (PCC) to 136 litres/head/day by March 2020</t>
  </si>
  <si>
    <t>PR14SBWWSW_C1</t>
  </si>
  <si>
    <t>Providing an excellent customer experience</t>
  </si>
  <si>
    <t>SBW-09</t>
  </si>
  <si>
    <t>C1: Repair visible leaks</t>
  </si>
  <si>
    <t>% visible leaks repaired within 7 days</t>
  </si>
  <si>
    <t>PR14SBWWSW_D1</t>
  </si>
  <si>
    <t>Environmentally sustainable operations</t>
  </si>
  <si>
    <t>SBW-10</t>
  </si>
  <si>
    <t>D1: Reduce energy used in water delivery</t>
  </si>
  <si>
    <t>kWh/Ml (kilowatt hours per megalitre)</t>
  </si>
  <si>
    <t>PR14SBWWSW_D2</t>
  </si>
  <si>
    <t>SBW-11</t>
  </si>
  <si>
    <t>D2: Help support a natural healthy water environment (in addition to NEP statutory obligation work)</t>
  </si>
  <si>
    <t>Annual review of environmental work</t>
  </si>
  <si>
    <t>Annual review</t>
  </si>
  <si>
    <t>Ann review</t>
  </si>
  <si>
    <t>PR14SBWWSW_E1</t>
  </si>
  <si>
    <t>Engage well with our community and customers</t>
  </si>
  <si>
    <t>SBW-12</t>
  </si>
  <si>
    <t>E1: Contribute to our community (increase educational visits to schools, and working days for volunteer and charity work)</t>
  </si>
  <si>
    <t>Community/partnerships</t>
  </si>
  <si>
    <t>No. of working days</t>
  </si>
  <si>
    <t>PR14SBWHHR_A1</t>
  </si>
  <si>
    <t>SBW-13</t>
  </si>
  <si>
    <t>Service incentive mechanism (SIM) score (average)</t>
  </si>
  <si>
    <t>PR14SBWHHR_A2</t>
  </si>
  <si>
    <t>SBW-14</t>
  </si>
  <si>
    <t>A2: New customer relationship management (CRM) system</t>
  </si>
  <si>
    <t>Penalty 1: new customer relationship management (CRM) system - cost differences
Incentive rate = £0.50 per £1 of cumulative depreciation
Assessment of penalty 1 made on 2019-20 performance
Penalty 2: new customer relationship management (CRM) system - late or non-delivery differences
Incentive rate = £0.17 per year of non-delivery
Assessment of penalty 2 will be made annually from 2015-16 onwards</t>
  </si>
  <si>
    <t>PR14SBWHHR_B1</t>
  </si>
  <si>
    <t>A financially stable business</t>
  </si>
  <si>
    <t>SBW-15</t>
  </si>
  <si>
    <t>B1: Fair customer bills (efficient debt management: % of average bill)</t>
  </si>
  <si>
    <t>% of average bill</t>
  </si>
  <si>
    <t>3.00 - 3.75</t>
  </si>
  <si>
    <t>SES</t>
  </si>
  <si>
    <t>PR14SESWSW_A1</t>
  </si>
  <si>
    <t>Provide a reliable and sufficient supply of safe, high quality drinking water</t>
  </si>
  <si>
    <t>SES-01</t>
  </si>
  <si>
    <t>A1: Security of supply index (SoSI) dry year average</t>
  </si>
  <si>
    <t>1 breach/AMP</t>
  </si>
  <si>
    <t>The penalty is capped at one failure over the deadband for the five-year period.
The incentive rate is based on the capital expenditure for enhancements to the supply demand balance (dry year average annual conditions) for the period, calibrated for the totex incentive.
The company operates within the levels of service set out in its Water Resources Management Plan (WRMP). These are:
• a ban on the use of hosepipes and unattended watering devices (temporary use restrictions) occurs no more than once every ten years on average;
• the company will implement a drought order to restrict the non-essential use of water no more than once every 20 years on average; and
• Emergency Drought Order measures (for example, rota cuts, use of standpipes and phased pressure management) will only be required in the most extreme droughts or emergency situations.</t>
  </si>
  <si>
    <t>PR14SESWSW_A2</t>
  </si>
  <si>
    <t>SES-02</t>
  </si>
  <si>
    <t>A2: Security of supply index (SoSI) critical period</t>
  </si>
  <si>
    <t>PR14SESWSW_A3</t>
  </si>
  <si>
    <t>SES-03</t>
  </si>
  <si>
    <t>A3: Supply interruptions &gt;3 hours</t>
  </si>
  <si>
    <t>PR14SESWSW_A4</t>
  </si>
  <si>
    <t>SES-04</t>
  </si>
  <si>
    <t>A4: Condition and reliability of the mains network - number of burst pipes a year</t>
  </si>
  <si>
    <t>PR14SESWSW_A5</t>
  </si>
  <si>
    <t>A5</t>
  </si>
  <si>
    <t>SES-05</t>
  </si>
  <si>
    <t>A5: Drinking Water Inspectorate’s (DWI) index of water quality</t>
  </si>
  <si>
    <t>PR14SESWSW_A6</t>
  </si>
  <si>
    <t>A6</t>
  </si>
  <si>
    <t>SES-06</t>
  </si>
  <si>
    <t>A6: Taste, odour and discolouration (number of contacts received)</t>
  </si>
  <si>
    <t>PR14SESWSW_A7</t>
  </si>
  <si>
    <t>A7</t>
  </si>
  <si>
    <t>SES-07</t>
  </si>
  <si>
    <t>A7: Water softening programme</t>
  </si>
  <si>
    <t>Programme delivery</t>
  </si>
  <si>
    <t>Sutton &amp; East Surrey Water has a statutory obligation to soften the majority of water it delivers to customers.
In the event that, through the annual reporting process, Sutton &amp; East Surrey Water confirm that it has failed to meet its statutory obligation to soften its water, the annual penalty will apply.</t>
  </si>
  <si>
    <t>PR14SESWSW_C1</t>
  </si>
  <si>
    <t>Increasing the resilience of our network to drought, flooding and equipment failure</t>
  </si>
  <si>
    <t>SES-08</t>
  </si>
  <si>
    <t>C1: The number of times on average the Company has to impose restrictions on the use of water</t>
  </si>
  <si>
    <t>No. of restrictions in last 10 years</t>
  </si>
  <si>
    <t>PR14SESWSW_C2</t>
  </si>
  <si>
    <t>SES-09</t>
  </si>
  <si>
    <t>C2: Percentage of properties that are connected to more than one treatment works (resilience measure)</t>
  </si>
  <si>
    <t>% props can be supplied from &gt;1 WTW</t>
  </si>
  <si>
    <t>PR14SESWSW_E1</t>
  </si>
  <si>
    <t>Reducing our impact on the environment while seeking to make a positive contribution to its quality</t>
  </si>
  <si>
    <t>SES-10</t>
  </si>
  <si>
    <t>E1: Level of leakage measured in megalitres per day (including customer supply pipe leakage)</t>
  </si>
  <si>
    <t>PR14SESWSW_E2</t>
  </si>
  <si>
    <t>SES-11</t>
  </si>
  <si>
    <t>E2: Per capita consumption (PCC), measured in litres per head per day (l/h/d)</t>
  </si>
  <si>
    <t>PR14SESWSW_E3</t>
  </si>
  <si>
    <t>E3</t>
  </si>
  <si>
    <t>SES-12</t>
  </si>
  <si>
    <t>E3: The number of children and adults engaged in environmental education activities</t>
  </si>
  <si>
    <t>Customer education/awareness</t>
  </si>
  <si>
    <t>No. people the company engages with</t>
  </si>
  <si>
    <t>&gt;10,000</t>
  </si>
  <si>
    <t>PR14SESWSW_E4</t>
  </si>
  <si>
    <t>E4</t>
  </si>
  <si>
    <t>SES-13</t>
  </si>
  <si>
    <t>E4: Greenhouse gas emissions per million litres of water supplied</t>
  </si>
  <si>
    <t>kgCO2e/Ml</t>
  </si>
  <si>
    <t>PR14SESWSW_E5</t>
  </si>
  <si>
    <t>E5</t>
  </si>
  <si>
    <t>SES-14</t>
  </si>
  <si>
    <t>E5: Number of severe pollution incidents (category 3 or worse, as reported by the Environment Agency)</t>
  </si>
  <si>
    <t>No. of pollution incidents (cats 1, 2 and 3)</t>
  </si>
  <si>
    <t>PR14SESWSW_E6</t>
  </si>
  <si>
    <t>E6</t>
  </si>
  <si>
    <t>SES-15</t>
  </si>
  <si>
    <t>E6: Environmental investigations or catchment management schemes carried out as part of the NEP</t>
  </si>
  <si>
    <t>No. of NEP schemes</t>
  </si>
  <si>
    <t>PR14SESHHR_B1</t>
  </si>
  <si>
    <t>Offering good value for money and keeping bills at a fair and reasonable level</t>
  </si>
  <si>
    <t>SES-16</t>
  </si>
  <si>
    <t>B1: Number of customers that are in water poverty and receiving assistance</t>
  </si>
  <si>
    <t>No. of customers</t>
  </si>
  <si>
    <t>PR14SESHHR_B2</t>
  </si>
  <si>
    <t>SES-17</t>
  </si>
  <si>
    <t>B2: Effectiveness of bad debt recovery (bad debt expressed as a percentage of turnover)</t>
  </si>
  <si>
    <t>Bad debt as % of total turnover</t>
  </si>
  <si>
    <t>&lt;1.00</t>
  </si>
  <si>
    <t>PR14SESHHR_B3</t>
  </si>
  <si>
    <t>SES-18</t>
  </si>
  <si>
    <t>B3: Customer perception of value for money</t>
  </si>
  <si>
    <t>&lt;15</t>
  </si>
  <si>
    <t>The PC unit is the % who consider bills unaffordable</t>
  </si>
  <si>
    <t>PR14SESHHR_D1</t>
  </si>
  <si>
    <t>Delivering consistently high levels of service</t>
  </si>
  <si>
    <t>SES-19</t>
  </si>
  <si>
    <t>D1: Customer satisfaction (level of satisfaction in response to the tracker survey (overall quality score))</t>
  </si>
  <si>
    <t>PR14SESHHR_D2</t>
  </si>
  <si>
    <t>SES-20</t>
  </si>
  <si>
    <t>D2: Service incentive mechanism (SIM)</t>
  </si>
  <si>
    <t>PR14SESHHR_D3</t>
  </si>
  <si>
    <t>SES-21</t>
  </si>
  <si>
    <t>D3: Total number of complaints</t>
  </si>
  <si>
    <t>No. per 1,000 billed properties</t>
  </si>
  <si>
    <t>SEW</t>
  </si>
  <si>
    <t>PR14SEWWSW_A1</t>
  </si>
  <si>
    <t>Customers consider the appearance of their water to be acceptable</t>
  </si>
  <si>
    <t>SEW-01</t>
  </si>
  <si>
    <t>A1: Customer satisfaction - appearance of water</t>
  </si>
  <si>
    <t>Customer satisfaction score out of 5</t>
  </si>
  <si>
    <t>0.1 index point</t>
  </si>
  <si>
    <t>PR14SEWWSW_B1</t>
  </si>
  <si>
    <t>Customers consider the taste and odour of their water to be acceptable</t>
  </si>
  <si>
    <t>SEW-02</t>
  </si>
  <si>
    <t>B1: Customer satisfaction - taste and odour of water</t>
  </si>
  <si>
    <t>PR14SEWWSW_C1</t>
  </si>
  <si>
    <t>Customers consider the level of leakage to be acceptable</t>
  </si>
  <si>
    <t>SEW-03</t>
  </si>
  <si>
    <t>C1: Customer satisfaction - level of leakage</t>
  </si>
  <si>
    <t>PR14SEWWSW_C2</t>
  </si>
  <si>
    <t>SEW-04</t>
  </si>
  <si>
    <t>C2: Leakage (actual reported leakage per Ml/d per year)</t>
  </si>
  <si>
    <t>PR14SEWWSW_D1</t>
  </si>
  <si>
    <t>Customers consider their direct interaction experience to be positive</t>
  </si>
  <si>
    <t>SEW-05</t>
  </si>
  <si>
    <t>D1: Customer satisfaction - direct interaction experience</t>
  </si>
  <si>
    <t>PR14SEWWSW_D2</t>
  </si>
  <si>
    <t>SEW-06</t>
  </si>
  <si>
    <t>D2: Service Incentive Mechanism (SIM)</t>
  </si>
  <si>
    <t>PR14SEWWSW_E1</t>
  </si>
  <si>
    <t>Customers consider their bills to be value for money and affordable</t>
  </si>
  <si>
    <t>SEW-07</t>
  </si>
  <si>
    <t>E1: Customer satisfaction - bills are value for money and affordable</t>
  </si>
  <si>
    <t>PR14SEWWSW_F1</t>
  </si>
  <si>
    <t>Customers consider the water supply is of sufficient pressure</t>
  </si>
  <si>
    <t>SEW-08</t>
  </si>
  <si>
    <t>F1: Customer satisfaction - water supply is of sufficient pressure</t>
  </si>
  <si>
    <t>PR14SEWWSW_F2</t>
  </si>
  <si>
    <t>F2</t>
  </si>
  <si>
    <t>SEW-09</t>
  </si>
  <si>
    <t>F2: Number of properties at risk of low pressure, as recorded on the DG2 register</t>
  </si>
  <si>
    <t>No. of properties on DG2 register</t>
  </si>
  <si>
    <t>PR14SEWWSW_G1</t>
  </si>
  <si>
    <t>Customers consider the frequency and duration of supply interruptions is acceptable</t>
  </si>
  <si>
    <t>SEW-10</t>
  </si>
  <si>
    <t>G1: Customer satisfaction - frequency and duration of supply interruptions</t>
  </si>
  <si>
    <t>PR14SEWWSW_G2</t>
  </si>
  <si>
    <t>SEW-11</t>
  </si>
  <si>
    <t>G2: Average time lost per property (measured in minutes, per property served)</t>
  </si>
  <si>
    <t>PR14SEWWSW_H1</t>
  </si>
  <si>
    <t>Customers consider the frequency of water use restrictions to be acceptable</t>
  </si>
  <si>
    <t>SEW-12</t>
  </si>
  <si>
    <t>H1: Customer satisfaction - frequency of water use restrictions</t>
  </si>
  <si>
    <t>PR14SEWWSW_H2</t>
  </si>
  <si>
    <t>SEW-13</t>
  </si>
  <si>
    <t>H2: Meeting the water resource deficit</t>
  </si>
  <si>
    <t>Pass/fail</t>
  </si>
  <si>
    <t>Zero company level deficit measured by the security of supply assessment calculation.
Incentive calculated annually and accrued to the end of the period and applied in the 2019 price setting process.
Calculation and accrual of incentive reviewed by the Customer Panel.
Measured as a pass or fail.</t>
  </si>
  <si>
    <t>PR14SEWWSW_I1</t>
  </si>
  <si>
    <t>We are compliant with water quality regulations</t>
  </si>
  <si>
    <t>SEW-14</t>
  </si>
  <si>
    <t>I1: Mean zonal compliance (MZC)</t>
  </si>
  <si>
    <t>PR14SEWWSW_J1</t>
  </si>
  <si>
    <t>We are compliant with environmental obligations</t>
  </si>
  <si>
    <t>SEW-15</t>
  </si>
  <si>
    <t>J1: Number of breaches of abstraction licences, discharge consents and environmental permits</t>
  </si>
  <si>
    <t>No. of breaches</t>
  </si>
  <si>
    <t>PR14SEWWSW_J2</t>
  </si>
  <si>
    <t>SEW-16</t>
  </si>
  <si>
    <t>J2: Number of pollution incidents (category 1-2)</t>
  </si>
  <si>
    <t>No. of pollution incidents (cat 1 and 2)</t>
  </si>
  <si>
    <t>PR14SEWWSW_K1</t>
  </si>
  <si>
    <t>We are compliant with health and safety regulations</t>
  </si>
  <si>
    <t>SEW-17</t>
  </si>
  <si>
    <t>K1: Number of breaches of health and safety regulations, as defined by the Health and Safety Executive</t>
  </si>
  <si>
    <t>No. of H&amp;S regulation breaches</t>
  </si>
  <si>
    <t>PR14SEWWSW_L1</t>
  </si>
  <si>
    <t>We are compliant with National Security obligations</t>
  </si>
  <si>
    <t>SEW-18</t>
  </si>
  <si>
    <t>L1: Number of breaches of National Security obligations (Security and Emergency Measures Direction)</t>
  </si>
  <si>
    <t>SEMD</t>
  </si>
  <si>
    <t>No. of SEMD compliance breaches</t>
  </si>
  <si>
    <t>PR14SEWWSW_M1</t>
  </si>
  <si>
    <t>We are compliant with other statutory obligations and licence conditions</t>
  </si>
  <si>
    <t>M1</t>
  </si>
  <si>
    <t>SEW-19</t>
  </si>
  <si>
    <t>M1: Number of compliance breaches with statutory obligations and licence conditions, not already reported in performance on outcomes I through to K</t>
  </si>
  <si>
    <t>No. of other compliance breaches</t>
  </si>
  <si>
    <t>PR14SEWWSW_N1</t>
  </si>
  <si>
    <t>Our assets are capable of delivering outcomes in the future</t>
  </si>
  <si>
    <t>N1</t>
  </si>
  <si>
    <t>SEW-20</t>
  </si>
  <si>
    <t>N1: Discolouration contacts</t>
  </si>
  <si>
    <t>PR14SEWWSW_N2</t>
  </si>
  <si>
    <t>N2</t>
  </si>
  <si>
    <t>SEW-21</t>
  </si>
  <si>
    <t>N2: Above ground asset performance assessment</t>
  </si>
  <si>
    <t>See FD appendix</t>
  </si>
  <si>
    <t>See South East Water PR14 FD company-specific appendix for detail (pages 141 to 143).
The penalty applies when marginal is reported in three consecutive years, and each consecutive marginal year thereafter, until at least two consecutive stable years.
The first stable year following 3 or more marginal years will attract a penalty of 50% of the total penalty.
Only after two consecutive stable years would the cumulative marginal assessment be re-set.
Reporting frequency to Customer Panel increased to quarterly when one indicator is above the upper limit for two consecutive years or when two indicators are above the upper limit in any year.
Reporting frequency to Ofwat increased to every six months when two indicators are above the upper limit and quarterly when more than two are above the upper limit in any year.</t>
  </si>
  <si>
    <t>PR14SEWWSW_N3</t>
  </si>
  <si>
    <t>N3</t>
  </si>
  <si>
    <t>SEW-22</t>
  </si>
  <si>
    <t>N3: Number of company sites at risk of flooding</t>
  </si>
  <si>
    <t>No. of SEW sites at risk of flooding</t>
  </si>
  <si>
    <t>PR14SEWWSW_N4</t>
  </si>
  <si>
    <t>N4</t>
  </si>
  <si>
    <t>SEW-23</t>
  </si>
  <si>
    <t>N4: Water mains bursts</t>
  </si>
  <si>
    <t>PR14SEWWSW_O1</t>
  </si>
  <si>
    <t>We will reduce our impact on the environment</t>
  </si>
  <si>
    <t>O1</t>
  </si>
  <si>
    <t>SEW-24</t>
  </si>
  <si>
    <t>O1: Kg of carbon emissions per customer per year</t>
  </si>
  <si>
    <t>Kg of carbon emissions per customer per year</t>
  </si>
  <si>
    <t>PR14SEWWSW_O2</t>
  </si>
  <si>
    <t>O2</t>
  </si>
  <si>
    <t>SEW-25</t>
  </si>
  <si>
    <t>O2: We will monitor our abstractions at low flows at environmentally sensitive sites (in line with AIM)</t>
  </si>
  <si>
    <t>TBC (in line with AIM)</t>
  </si>
  <si>
    <t>PR14SEWHHR_A1</t>
  </si>
  <si>
    <t>SEW-26</t>
  </si>
  <si>
    <t>PR14SEWHHR_B1</t>
  </si>
  <si>
    <t>SEW-27</t>
  </si>
  <si>
    <t>PR14SEWHHR_C1</t>
  </si>
  <si>
    <t>SEW-28</t>
  </si>
  <si>
    <t>PR14SEWHHR_D1</t>
  </si>
  <si>
    <t>SEW-29</t>
  </si>
  <si>
    <t>PR14SEWHHR_D2</t>
  </si>
  <si>
    <t>SEW-30</t>
  </si>
  <si>
    <t>PR14SEWHHR_E1</t>
  </si>
  <si>
    <t>SEW-31</t>
  </si>
  <si>
    <t>PR14SEWHHR_F1</t>
  </si>
  <si>
    <t>SEW-32</t>
  </si>
  <si>
    <t>PR14SEWHHR_G1</t>
  </si>
  <si>
    <t>SEW-33</t>
  </si>
  <si>
    <t>PR14SEWHHR_H1</t>
  </si>
  <si>
    <t>SEW-34</t>
  </si>
  <si>
    <t>PR14SRNWSW_1</t>
  </si>
  <si>
    <t>A constant supply of high quality drinking water</t>
  </si>
  <si>
    <t>SRN-01</t>
  </si>
  <si>
    <t>1: Water asset health (mains bursts, TIM, WSW &amp; WSR coliform compliance, turbidity compliance)</t>
  </si>
  <si>
    <t>Composite measure consisting of the following components:
• Number of mains bursts per year (incentive rate: £4,066 per burst per year)
• TIM distribution index (incentive rate: £112,978 per 0.01% per year)
• Coliform compliance at water supply works (WSW) (incentive rate: £95,063 per 0.01% per year)
• Coliform compliance at water supply reservoir (WSR) (incentive rate: £243,750 per % per year)
• Turbidity compliance (incentive rate: £190,125 per site per year)
The components of this performance measure will be assessed individually. An overall penalty will then be imposed against the water asset health measure based on the combined performance against these individual commitments.</t>
  </si>
  <si>
    <t>PR14SRNWSW_2</t>
  </si>
  <si>
    <t>SRN-02</t>
  </si>
  <si>
    <t>2: Water use restrictions</t>
  </si>
  <si>
    <t>No. of properties affected per ban</t>
  </si>
  <si>
    <t>ODI penalty is per restriction rather than per year; any restrictions will only be recorded in the year they are imposed, even if they are in place for more than one reporting year</t>
  </si>
  <si>
    <t>PR14SRNWSW_3</t>
  </si>
  <si>
    <t>SRN-03</t>
  </si>
  <si>
    <t>3: Leakage (including customer supply-pipe leakage) - five-year average target</t>
  </si>
  <si>
    <t>PR14SRNWSW_4</t>
  </si>
  <si>
    <t>SRN-04</t>
  </si>
  <si>
    <t>4: Interruptions to supply</t>
  </si>
  <si>
    <t>PR14SRNWSW_5</t>
  </si>
  <si>
    <t>SRN-05</t>
  </si>
  <si>
    <t>5: Mean Zonal Compliance (MZC)</t>
  </si>
  <si>
    <t>PR14SRNWSW_5a</t>
  </si>
  <si>
    <t>5a</t>
  </si>
  <si>
    <t>SRN-06</t>
  </si>
  <si>
    <t>5a: Drinking water quality - discolouration contacts</t>
  </si>
  <si>
    <t>PR14SRNWSW_6</t>
  </si>
  <si>
    <t>SRN-07</t>
  </si>
  <si>
    <t>6: Water pressure (number of properties on the DG2 low water pressure register)</t>
  </si>
  <si>
    <t>PR14SRNWSW_7</t>
  </si>
  <si>
    <t>Looking after the environment</t>
  </si>
  <si>
    <t>SRN-08</t>
  </si>
  <si>
    <t>7: Distribution input</t>
  </si>
  <si>
    <t>PR14SRNWSW_8</t>
  </si>
  <si>
    <t>Better information and advice</t>
  </si>
  <si>
    <t>SRN-09</t>
  </si>
  <si>
    <t>8: Per capita consumption (PCC) - five-year average target</t>
  </si>
  <si>
    <t>PR14SRNWSWW_1</t>
  </si>
  <si>
    <t>A reliable wastewater service</t>
  </si>
  <si>
    <t>SRN-10</t>
  </si>
  <si>
    <t>1: Wastewater asset health (sewer collapses, WwTW PE compliance, external flooding - other causes)</t>
  </si>
  <si>
    <t>Composite measure, consisting of the following components:
• Sewer collapses (incentive rate: £56,250 per collapse)
• Wastewater treatment works population equivalent (WwTW PE) compliance (incentive rate: £14.95m per 0.1%)
• External flooding - other causes (incentive rate: £296 per incident)
The components of this performance measure will be assessed individually. An overall penalty will then be imposed against the wastewater asset health measure based on the combined performance against these individual commitments.</t>
  </si>
  <si>
    <t>PR14SRNWSWW_1a</t>
  </si>
  <si>
    <t>1a</t>
  </si>
  <si>
    <t>SRN-11</t>
  </si>
  <si>
    <t>1a: Category 3 pollution incidents (including transferred assets and excluding private pumping stations)</t>
  </si>
  <si>
    <t>PR14SRNWSWW_2</t>
  </si>
  <si>
    <t>SRN-12</t>
  </si>
  <si>
    <t>2: Internal flooding incidents</t>
  </si>
  <si>
    <t>No. of internal sewer flooding incidents</t>
  </si>
  <si>
    <t>The total number of internal flooding incidents (all causes, including private sewers) between 2015-16 and 2019-20. Performance to be measured and reported annually and at the end of the AMP as a five year total.
PC (five year total) = 2,070 (446+436+414+392+382)</t>
  </si>
  <si>
    <t>PR14SRNWSWW_3</t>
  </si>
  <si>
    <t>SRN-13</t>
  </si>
  <si>
    <t>3: External flooding incidents</t>
  </si>
  <si>
    <t>No. of external sewer flooding incidents</t>
  </si>
  <si>
    <t>PR14SRNWSWW_4</t>
  </si>
  <si>
    <t>SRN-14</t>
  </si>
  <si>
    <t>4: Sewer blockages</t>
  </si>
  <si>
    <t>No. of sewer blockages per km</t>
  </si>
  <si>
    <t>The number of blockages per km of sewer length, annually, between 2015-16 and 2019-20.</t>
  </si>
  <si>
    <t>PR14SRNWSWW_5</t>
  </si>
  <si>
    <t>SRN-15</t>
  </si>
  <si>
    <t>5: Odour complaints (Portswood and Tonbridge treatment works)</t>
  </si>
  <si>
    <t>WwTW odour</t>
  </si>
  <si>
    <t>No. of odour complaints</t>
  </si>
  <si>
    <t>The number of customer complaints relating to odour from Portswood and Tonbridge treatment works, annually, between 2015-16 and 2019-20.</t>
  </si>
  <si>
    <t>PR14SRNWSWW_6</t>
  </si>
  <si>
    <t>SRN-16</t>
  </si>
  <si>
    <t>6: Wastewater treatment works numeric compliance</t>
  </si>
  <si>
    <t>% compliance with WwTW regulations</t>
  </si>
  <si>
    <t>0.1%</t>
  </si>
  <si>
    <t>PR14SRNWSWW_7</t>
  </si>
  <si>
    <t>SRN-17</t>
  </si>
  <si>
    <t>7: Proportion of energy from renewable sources</t>
  </si>
  <si>
    <t>% energy from renewable sources</t>
  </si>
  <si>
    <t>PR14SRNWSWW_8</t>
  </si>
  <si>
    <t>SRN-18</t>
  </si>
  <si>
    <t>8: Bathing waters with ‘excellent’ water quality (part 1)</t>
  </si>
  <si>
    <t>No. of bathing waters</t>
  </si>
  <si>
    <t>Ofwat to confirm PCs, deadbands, caps and collars in 2014-15 once the bathing water quality results are published by Defra</t>
  </si>
  <si>
    <t>PR14SRNWSWW_9</t>
  </si>
  <si>
    <t>SRN-19</t>
  </si>
  <si>
    <t>9: Bathing waters with ‘excellent’ water quality (part 2)</t>
  </si>
  <si>
    <t>This ODI protects customers from the non-delivery of Southern Water’s programme to improve seven bathing waters to ‘excellent’ standard in line with Southern Water’s published selection criteria by 2019-20 (see Annex 2 of the company’s business plan for details of the selection criteria).
Penalties will apply for failure to complete the seven targeted beaches to ‘excellent’ standard by 2019-20 based on the unweighted application of Southern Water’s independently assured selection criteria as described in Southern Water’s draft determination representation.
Furthermore, the planned bathing waters will be reviewed by the independent Customer Advisory Panel which will confirm whether Southern Water has appropriately applied the bathing water selection criteria.
Rewards will apply for the early delivery of the seven targeted bathing waters to ‘excellent’ standard.</t>
  </si>
  <si>
    <t>PR14SRNWSWW_10</t>
  </si>
  <si>
    <t>SRN-20</t>
  </si>
  <si>
    <t>10: Bathing waters with ‘excellent’ water quality (part 3)</t>
  </si>
  <si>
    <t>£ million estimated scheme costs</t>
  </si>
  <si>
    <t>The estimated cost of delivering the bathing water programme is £31.5m (as at PR14 FD in December 2014). Once Southern Water has carried out the full scheme investigations, these costs will be re-estimated to determine whether they are materially different from the current expected cost.
The estimated costs will be compared once the investigations have been completed during the AMP period.
Penalties will apply in 2019-20.</t>
  </si>
  <si>
    <t>PR14SRNWSWW_11</t>
  </si>
  <si>
    <t>SRN-21</t>
  </si>
  <si>
    <t>11: Serious pollution incidents (category 1 and 2 pollution incidents, as reported by the EA on MD109)</t>
  </si>
  <si>
    <t>No. of pollution incidents (cats 1 and 2)</t>
  </si>
  <si>
    <t>PR14SRNWSWW_12</t>
  </si>
  <si>
    <t>SRN-22</t>
  </si>
  <si>
    <t>12: Avoiding blocked drains</t>
  </si>
  <si>
    <t>% customers aware of avoidance measures</t>
  </si>
  <si>
    <t>PR14SRNWSWW_13</t>
  </si>
  <si>
    <t>Scheme ODIs</t>
  </si>
  <si>
    <t>SRN-23</t>
  </si>
  <si>
    <t>13: Thanet sewers</t>
  </si>
  <si>
    <t>Scheme delivery</t>
  </si>
  <si>
    <t>Not delivered</t>
  </si>
  <si>
    <t>Performance to be measured as pass/fail in each year until completion.
Performance will be measured following the expected scheme completion date on 31 March 2020 with a progress milestone at PR19.
Incentives to be determined at PR19 based on the extent of completion and, if relevant, expected date of completion. If improvements not expected to be delivered by 31 March 2020 the timing delay penalties will apply for each year’s delay until expected completion. If substantive progress towards delivery cannot be demonstrated at this point the full non-delivery penalty will apply.
Penalties to be confirmed following the expected scheme completion date on 31 March 2020.
Penalty for non-delivery: £31.208 million.
Penalty for delay: £0.95 million.</t>
  </si>
  <si>
    <t>PR14SRNWSWW_14</t>
  </si>
  <si>
    <t>SRN-24</t>
  </si>
  <si>
    <t>14: Woolston STW</t>
  </si>
  <si>
    <t>Performance to be measured as pass/fail in each year until completion.
Performance will be measured following the expected scheme completion date on 31 March 2020 with a progress milestone at PR19.
Incentives to be determined at PR19 based on the extent of completion and, if relevant, expected date of completion. If improvements not expected to be delivered by 31 March 2020 the timing delay penalties will apply for each year’s delay until expected completion. If substantive progress towards delivery cannot be demonstrated at this point the full non-delivery penalty will apply.
Penalties to be confirmed following the expected scheme completion date on 31 March 2020.
Penalty for non-delivery: £21.696 million
Penalty for delay: £0.90 million</t>
  </si>
  <si>
    <t>PR14SRNWSWW_15</t>
  </si>
  <si>
    <t>SRN-25</t>
  </si>
  <si>
    <t>15: Millbrook sludge</t>
  </si>
  <si>
    <t>Tonnes of dry solids removed</t>
  </si>
  <si>
    <t>Failure to deliver the scheme by 31 March 2020 will result in a financial penalty of £1,889 per tonne.
Penalties will apply following the expected scheme completion date on 31 March 2020, or earlier if substantive progress toward delivery cannot be demonstrated at PR19.</t>
  </si>
  <si>
    <t>PR14SRNHHR_1</t>
  </si>
  <si>
    <t>Responsive customer service</t>
  </si>
  <si>
    <t>SRN-26</t>
  </si>
  <si>
    <t>1: First time resolution of customer contacts</t>
  </si>
  <si>
    <t>% customer contacts resolved 1st time</t>
  </si>
  <si>
    <t>Improve</t>
  </si>
  <si>
    <t>PR14SRNHHR_2</t>
  </si>
  <si>
    <t>SRN-27</t>
  </si>
  <si>
    <t>2: Dealing with customers’ individual needs</t>
  </si>
  <si>
    <t>% customers agreeing with survey statement</t>
  </si>
  <si>
    <t>PR14SRNHHR_3</t>
  </si>
  <si>
    <t>SRN-28</t>
  </si>
  <si>
    <t>3: Awareness of water hardness measures</t>
  </si>
  <si>
    <t>% customers aware of water hardness measures</t>
  </si>
  <si>
    <t>PR14SRNHHR_4</t>
  </si>
  <si>
    <t>SRN-29</t>
  </si>
  <si>
    <t>4: Where your money goes</t>
  </si>
  <si>
    <t>% customers aware of where money goes</t>
  </si>
  <si>
    <t>PR14SRNHHR_5</t>
  </si>
  <si>
    <t>SRN-30</t>
  </si>
  <si>
    <t>5: Billing queries</t>
  </si>
  <si>
    <t>No. of billing queries</t>
  </si>
  <si>
    <t>Decrease</t>
  </si>
  <si>
    <t>Measurement will follow the guidelines from the June Return reporting requirements and definitions manual. Target is to decrease the number of queries from the 2013-14 level of around 49,000 to 25,000 by 2019-20.</t>
  </si>
  <si>
    <t>PR14SRNHHR_6</t>
  </si>
  <si>
    <t>SRN-31</t>
  </si>
  <si>
    <t>6: Take up of assistance schemes (number of customers who are receiving support through one of our financial assistance schemes)</t>
  </si>
  <si>
    <t>No. of assistance scheme customers</t>
  </si>
  <si>
    <t>PR14SRNHHR_7</t>
  </si>
  <si>
    <t>SRN-32</t>
  </si>
  <si>
    <t>7: Value-for-money</t>
  </si>
  <si>
    <t>% of customers who feel they get vfm</t>
  </si>
  <si>
    <t>PR14SRNHHR_8</t>
  </si>
  <si>
    <t>SRN-33</t>
  </si>
  <si>
    <t>8: Service Incentive Mechanism (SIM)</t>
  </si>
  <si>
    <t>SSC</t>
  </si>
  <si>
    <t>PR14SSCWSW_1.1</t>
  </si>
  <si>
    <t>Excellent water quality now and in the future</t>
  </si>
  <si>
    <t>SSC-01</t>
  </si>
  <si>
    <t>1.1: Mean zonal compliance (MZC, combined company)</t>
  </si>
  <si>
    <t>PR14SSCWSW_1.2</t>
  </si>
  <si>
    <t>SSC-02</t>
  </si>
  <si>
    <t>1.2: Acceptability of water to customers (combined company)</t>
  </si>
  <si>
    <t>0.1 nr</t>
  </si>
  <si>
    <t>PR14SSCWSW_2.1</t>
  </si>
  <si>
    <t>Secure and reliable supplies now and in the future</t>
  </si>
  <si>
    <t>SSC-03</t>
  </si>
  <si>
    <t>2.1: Interruptions to supply (combined company)</t>
  </si>
  <si>
    <t>PR14SSCWSW_2.2</t>
  </si>
  <si>
    <t>SSC-04</t>
  </si>
  <si>
    <t>2.2: Serviceability infrastructure (combined company)</t>
  </si>
  <si>
    <t>Categorisation (stable, marginal, deteriorating). Measurement based on serviceability indicators, reference levels, and upper and lower control limits.
South Staffordshire Water will apply the annual value in penalty rate 1 for each year that its serviceability is marginal. If however South Staffordshire Water’s serviceability becomes deteriorating at any point in the AMP then penalty rate 2 supersedes penalty rate 1 and applies once only.
The stable, marginal or deteriorating category is determined by a points system relating to the sub-measures. The total points incurred for the basket of sub-measures will be calculated as a 3 year rolling average and will generate the annual assessment.
Penalty rate 1: £0.076m per year
Penalty rate 2: £0.379 per AMP</t>
  </si>
  <si>
    <t>PR14SSCWSW_2.3</t>
  </si>
  <si>
    <t>SSC-05</t>
  </si>
  <si>
    <t>2.3: Serviceability non-infrastructure (combined company)</t>
  </si>
  <si>
    <t>Categorisation (stable, marginal, deteriorating). Measurement based on serviceability indicators, reference levels, and upper and lower control limits.
South Staffordshire Water will apply the annual value in penalty rate 1 for each year that its serviceability is marginal. If however South Staffordshire Water’s serviceability becomes deteriorating at any point in the AMP then penalty rate 2 supersedes penalty rate 1 and applies once only.
The stable, marginal or deteriorating category is determined by a points system relating to the sub-measures. The total points incurred for the basket of sub-measures will be calculated as a 3 year rolling average and will generate the annual assessment.
Penalty rate 1: £0.097m per year
Penalty rate 2: £0.487 per AMP</t>
  </si>
  <si>
    <t>PR14SSCWSW_4.1</t>
  </si>
  <si>
    <t>Operations which are environmentally sustainable</t>
  </si>
  <si>
    <t>SSC-09</t>
  </si>
  <si>
    <t>4.1: Leakage (South Staffordshire operating region)</t>
  </si>
  <si>
    <t>PR14SSCWSW_4.2</t>
  </si>
  <si>
    <t>SSC-10</t>
  </si>
  <si>
    <t>4.2: Leakage (Cambridge operating region)</t>
  </si>
  <si>
    <t>PR14SSCWSW_4.3</t>
  </si>
  <si>
    <t>SSC-11</t>
  </si>
  <si>
    <t>4.3: Water efficiency (household per capita consumption (PCC) reported annually, combined company)</t>
  </si>
  <si>
    <t>PR14SSCWSW_4.4</t>
  </si>
  <si>
    <t>SSC-12</t>
  </si>
  <si>
    <t>4.4: Biodiversity (cumulative total hectares of land under management per year, combined company)</t>
  </si>
  <si>
    <t>Cumulative total hectares of land</t>
  </si>
  <si>
    <t>PR14SSCWSW_4.5</t>
  </si>
  <si>
    <t>SSC-13</t>
  </si>
  <si>
    <t>4.5: Carbon emissions from power consumption (tonnes, combined company)</t>
  </si>
  <si>
    <t>tCO2e (tonnes CO2e) in real savings</t>
  </si>
  <si>
    <t>PR14SSCWSW_5.1</t>
  </si>
  <si>
    <t>Fair customer bills and fair investor returns</t>
  </si>
  <si>
    <t>SSC-14</t>
  </si>
  <si>
    <t>5.1: Independent customer surveys of value for money and affordability (combined company)</t>
  </si>
  <si>
    <t>% customers satisfied with vfm &amp; affordability</t>
  </si>
  <si>
    <t>PR14SSCWSW_5.2</t>
  </si>
  <si>
    <t>SSC-15</t>
  </si>
  <si>
    <t>5.2: Support for customers in debt (combined company)</t>
  </si>
  <si>
    <t>No. of customers engaged with on debt</t>
  </si>
  <si>
    <t>PR14SSCHHR_3.1</t>
  </si>
  <si>
    <t>An excellent customer experience to customers and the community</t>
  </si>
  <si>
    <t>SSC-06</t>
  </si>
  <si>
    <t>3.1: Service incentive mechanism (SIM, combined company)</t>
  </si>
  <si>
    <t>PR14SSCHHR_3.2</t>
  </si>
  <si>
    <t>SSC-07</t>
  </si>
  <si>
    <t>3.2: Customer satisfaction surveys (combined company)</t>
  </si>
  <si>
    <t>PR14SSCHHR_3.3</t>
  </si>
  <si>
    <t>SSC-08</t>
  </si>
  <si>
    <t>3.3: Community engagement (combined company)</t>
  </si>
  <si>
    <t>No. of employee days per year</t>
  </si>
  <si>
    <t>PR14SVTWSW_W-A1</t>
  </si>
  <si>
    <t>We provide water that is good to drink</t>
  </si>
  <si>
    <t>SVT-01</t>
  </si>
  <si>
    <t>W-A1: Number of complaints about drinking water quality</t>
  </si>
  <si>
    <t>No. of water quality complaints</t>
  </si>
  <si>
    <t>In-period ODI (adjustment to in-period revenue)</t>
  </si>
  <si>
    <t>PR14SVTWSW_W-A2</t>
  </si>
  <si>
    <t>SVT-02</t>
  </si>
  <si>
    <t>W-A2: Compliance with drinking water quality standards</t>
  </si>
  <si>
    <t>PR14SVTWSW_W-A3</t>
  </si>
  <si>
    <t>SVT-03</t>
  </si>
  <si>
    <t>W-A3: Asset stewardship - number of sites with coliform failures</t>
  </si>
  <si>
    <t>No. of sites with coliform failures per year</t>
  </si>
  <si>
    <t>&lt;8</t>
  </si>
  <si>
    <t>&lt;6</t>
  </si>
  <si>
    <t>PR14SVTWSW_W-A4</t>
  </si>
  <si>
    <t>SVT-04</t>
  </si>
  <si>
    <t>W-A4: Number of successful catchment management schemes</t>
  </si>
  <si>
    <t>Catchment management</t>
  </si>
  <si>
    <t>No. catchment management schemes</t>
  </si>
  <si>
    <t>Reward or penalty to be applied after assessment of performance to 2018-19. Payment may be made earlier if the total number of schemes shown to be successful is above the target at an earlier date.</t>
  </si>
  <si>
    <t>PR14SVTWSW_W-B1</t>
  </si>
  <si>
    <t>We will ensure water is always there when you need it</t>
  </si>
  <si>
    <t>SVT-05</t>
  </si>
  <si>
    <t>W-B1: Resource efficiency (distribution input per customer) - amount of water taken out of the environment</t>
  </si>
  <si>
    <t>PR14SVTWSW_W-B2</t>
  </si>
  <si>
    <t>SVT-06</t>
  </si>
  <si>
    <t>W-B2: Leakage levels</t>
  </si>
  <si>
    <t>In-period ODI (adjustment to in-period revenue)
Reward or penalty applied annually for each financial year.
The higher penalty rate (penalty 2) only applies if the average for the four years to 2018-19 exceeds 450 Ml/d.
If any methodology changes have a material impact on the calculation, outturn figures will be adjusted so that the incentive applies to the underlying change in leakage.</t>
  </si>
  <si>
    <t>PR14SVTWSW_W-B3</t>
  </si>
  <si>
    <t>SVT-07</t>
  </si>
  <si>
    <t>W-B3: Speed of response in repairing leaks (% fixed within 24 hours)</t>
  </si>
  <si>
    <t>% visible leaks fixed within 24 hours</t>
  </si>
  <si>
    <t>PR14SVTWSW_W-B4</t>
  </si>
  <si>
    <t>W-B4</t>
  </si>
  <si>
    <t>SVT-08</t>
  </si>
  <si>
    <t>W-B4: Number of minutes customers go without supply each year (interruptions to supply &gt; 3 hours)</t>
  </si>
  <si>
    <t>PR14SVTWSW_W-B5</t>
  </si>
  <si>
    <t>W-B5</t>
  </si>
  <si>
    <t>SVT-09</t>
  </si>
  <si>
    <t>W-B5: % of customers with resilient supplies (those that benefit from a second source of supply)</t>
  </si>
  <si>
    <t>% customers with 2nd supply source</t>
  </si>
  <si>
    <t>Performance delivery will be assessed against the change in this measure on a consistent basis – the effect of any methodology changes will not be included.
Five-year reward or penalty to be applied after assessment of performance to 2018-19, based on expected delivery to 2019-20. Incentive rate is a one-off figure at the end of the period.
Second supplies delivered through the Birmingham resilience scheme will not count towards this performance commitment.</t>
  </si>
  <si>
    <t>PR14SVTWSW_W-B6</t>
  </si>
  <si>
    <t>W-B6</t>
  </si>
  <si>
    <t>SVT-10</t>
  </si>
  <si>
    <t>W-B6: Asset stewardship - mains bursts</t>
  </si>
  <si>
    <t>&lt;7,758</t>
  </si>
  <si>
    <t>PR14SVTWSW_W-B7</t>
  </si>
  <si>
    <t>W-B7</t>
  </si>
  <si>
    <t>SVT-11</t>
  </si>
  <si>
    <t>W-B7: Customers at risk of low pressure</t>
  </si>
  <si>
    <t>No. customers at risk of low pressure</t>
  </si>
  <si>
    <t>PR14SVTWSW_W-B8</t>
  </si>
  <si>
    <t>W-B8</t>
  </si>
  <si>
    <t>SVT-12</t>
  </si>
  <si>
    <t>W-B8: Restrictions on water use</t>
  </si>
  <si>
    <t>No. water restrictions in five-year period</t>
  </si>
  <si>
    <t>The number of Temporary Use Bans, as defined in the Flood and Water Management Act 2010 and the Water Use (Temporary Use Ban) Order 2010, imposed in a five-year period.
Five-year penalty applied in full in the year after a water restriction is applied. Five-year reward to be applied after assessment of performance to 2018-19, based on expected delivery to 2019-20. Incentive rate is 5 year total.
If restrictions on use are imposed in a part of Severn Trent Water’s area in the five-year period:
• no reward will be earned 
• the penalty will be scaled by the population of the affected area as a proportion of the total population in the Severn Trent Water area.</t>
  </si>
  <si>
    <t>PR14SVTWSW_W-B9</t>
  </si>
  <si>
    <t>W-B9</t>
  </si>
  <si>
    <t>SVT-13</t>
  </si>
  <si>
    <t>W-B9 Timing delays on Birmingham resilience scheme</t>
  </si>
  <si>
    <t>Scheme delivery (3 components)</t>
  </si>
  <si>
    <t>3 milestones</t>
  </si>
  <si>
    <t>3 complete</t>
  </si>
  <si>
    <t>Progress will be assessed annually, with key milestones at 31 March 2019. Delivery will be assessed at 31 March 2020 and annually thereafter until completion.
Penalty 1 (pumping station): milestone = completion of project, incentive rate = £1.84m
Penalty 2 (pipeline): milestone = completion of project, incentive rate = £5.01m
Penalty 3a (treatment works - clarification units): milestone = 4 Actiflow units at 30 Ml/d per unit, incentive rate = £3.13m (£0.78m per unit)
Penalty 3b (treatment works - sludge upgrades): milestone = 8 thickeners at 15 Ml/d per unit, incentive rate = £1.04m (£0.13m per unit)
Penalty 3c (treatment works - RGF): milestone = 20 filters at 6 Ml/d per unit, incentive rate = £1.44m (£0.07m per unit)
Penalty 3d (treatment works - dual streaming/ return pumping station): milestone = completion of project, incentive rate = £3.28m</t>
  </si>
  <si>
    <t>PR14SVTWSW_W-B10</t>
  </si>
  <si>
    <t>W-B10</t>
  </si>
  <si>
    <t>SVT-14</t>
  </si>
  <si>
    <t>W-B10 Non-delivery of the outcome of the Birmingham resilience scheme</t>
  </si>
  <si>
    <t>Delivery will be assessed on completion of the scheme. Progress will be assessed at 31 March 2018.
Penalty 1 (pumping station): additional capacity (Ml/d) = 117, incentive rate = £0.35m
Penalty 2 (pipeline): additional capacity (Ml/d) = 117, incentive rate = £0.96m
Penalty 3a (treatment works - clarification units): additional capacity (Ml/d) = 120, incentive rate = £0.59m
Penalty 3b (treatment works - sludge upgrades): additional capacity (Ml/d) = 120, incentive rate = £0.20m
Penalty 3c (treatment works - RGF): additional capacity (Ml/d) = 120), incentive rate = £0.27m
Penalty 3d (treatment works - dual streaming/ return pumping station): additional capacity (Ml/d) = 237, incentive rate = £0.31m</t>
  </si>
  <si>
    <t>PR14SVTWSW_W-B11</t>
  </si>
  <si>
    <t>W-B11</t>
  </si>
  <si>
    <t>SVT-15</t>
  </si>
  <si>
    <t>W-B11 Timing delays on community risk schemes</t>
  </si>
  <si>
    <t>2 complete</t>
  </si>
  <si>
    <t>1 complete</t>
  </si>
  <si>
    <t>Delivery of the community risk schemes will be measured in terms of completion of the three projects set out in the company’s business plan. There are separate incentive rates for each scheme:
Penalty 1 (scheme 1): incentive rate = £2.63m
Penalty 2 (scheme 2): incentive rate = £0.86m
Penalty 3 (scheme 3): incentive rate = £0.34m
Penalty rates will apply for each year delivery is delayed by.</t>
  </si>
  <si>
    <t>PR14SVTWSW_W-B12</t>
  </si>
  <si>
    <t>W-B12</t>
  </si>
  <si>
    <t>SVT-16</t>
  </si>
  <si>
    <t>W-B12 Non-delivery of the community risk schemes</t>
  </si>
  <si>
    <t>The removal of risk will be assessed in terms of delivery of the community risk schemes specified in the company’s business plan against the targeted change in risk reduction that they deliver.
Penalty 1 (scheme 1): incentive rate = £0.497m
Penalty 2 (scheme 2): incentive rate = £0.163m
Penalty 3 (scheme 3): incentive rate = £0.064m
After the schemes have been completed, any proportion of substantive non-delivery will be assessed and included in either PR19 or PR24.
If under-delivery is identified as being likely before scheme completion, for example through the 2017-18 progress milestone, an earlier adjustment may be made at PR19.
For each of the scheme components, the penalty as set out in the incentive rates table above, will be based on the proportion of the output not delivered.</t>
  </si>
  <si>
    <t>PR14SVTWSW_W-B13</t>
  </si>
  <si>
    <t>W-B13</t>
  </si>
  <si>
    <t>SVT-17</t>
  </si>
  <si>
    <t xml:space="preserve">W-B13 Timing delays on Elan Valley Aqueduct (EVA) maintenance </t>
  </si>
  <si>
    <t>Delivery of the EVA maintenance will be measured in terms of completion of the project set out in the company’s business plan. 
Delivery will be assessed at April 2017 and annually thereafter until completion.
The penalty rate will apply for each year delivery is delayed by.</t>
  </si>
  <si>
    <t>PR14SVTWSW_W-B14</t>
  </si>
  <si>
    <t>W-B14</t>
  </si>
  <si>
    <t>SVT-18</t>
  </si>
  <si>
    <t>W-B14 Non-delivery of the Elan Valley Aqueduct (EVA) maintenance</t>
  </si>
  <si>
    <t>The removal of risk will be assessed in terms of completion of duplication of the section of EVA maintenance identified in the company’s business plan.
Delivery will be assessed in terms of completion of duplication of the section of EVA maintenance identified in the company’s business plan.
Delivery will be assessed on completion of the scheme. After the scheme has been completed, any proportion of substantive non-delivery will be assessed and included in either PR19 or PR24.</t>
  </si>
  <si>
    <t>PR14SVTWSW_W-C1</t>
  </si>
  <si>
    <t>We will have the lowest possible charges</t>
  </si>
  <si>
    <t>SVT-19</t>
  </si>
  <si>
    <t>W-C1: Customers rating our services as good value for money (based on tracker survey)</t>
  </si>
  <si>
    <t>PR14SVTWSW_W-D1</t>
  </si>
  <si>
    <t>We will protect our local environment</t>
  </si>
  <si>
    <t>SVT-20</t>
  </si>
  <si>
    <t>W-D1: Improvements in river water quality against WFD criteria</t>
  </si>
  <si>
    <t>No. WFD classification improvements</t>
  </si>
  <si>
    <t>PR14SVTWSW_W-D2</t>
  </si>
  <si>
    <t>SVT-21</t>
  </si>
  <si>
    <t>W-D2: Asset stewardship - environmental compliance</t>
  </si>
  <si>
    <t>% environmental compliance</t>
  </si>
  <si>
    <t>PR14SVTWSW_W-D3</t>
  </si>
  <si>
    <t>SVT-22</t>
  </si>
  <si>
    <t>W-D3: Biodiversity</t>
  </si>
  <si>
    <t>No. of hectares improved</t>
  </si>
  <si>
    <t>PR14SVTWSW_W-D4</t>
  </si>
  <si>
    <t>SVT-23</t>
  </si>
  <si>
    <t>W-D4: Sites with eel protection at intakes</t>
  </si>
  <si>
    <t>No. sites with eel protection at intakes</t>
  </si>
  <si>
    <t>PR14SVTWSW_W-E1</t>
  </si>
  <si>
    <t>We will protect the wider environment</t>
  </si>
  <si>
    <t>SVT-24</t>
  </si>
  <si>
    <t>W-E1: Size of our carbon footprint</t>
  </si>
  <si>
    <t>PR14SVTWSW_W-F1</t>
  </si>
  <si>
    <t>We will make a positive difference in the community</t>
  </si>
  <si>
    <t>SVT-25</t>
  </si>
  <si>
    <t>W-F1: Improved understanding of our services through education</t>
  </si>
  <si>
    <t>No. of people - education programme</t>
  </si>
  <si>
    <t>PR14SVTWSWW_S-A1</t>
  </si>
  <si>
    <t>We will safely take your waste away</t>
  </si>
  <si>
    <t>SVT-26</t>
  </si>
  <si>
    <t>S-A1: Number of internal sewer flooding incidents</t>
  </si>
  <si>
    <t>PR14SVTWSWW_S-A2</t>
  </si>
  <si>
    <t>SVT-27</t>
  </si>
  <si>
    <t>S-A2: Number of external sewer flooding incidents</t>
  </si>
  <si>
    <t>PR14SVTWSWW_S-A3</t>
  </si>
  <si>
    <t>SVT-28</t>
  </si>
  <si>
    <t>S-A3: Partnership working</t>
  </si>
  <si>
    <t>No. of partnership working projects</t>
  </si>
  <si>
    <t>PR14SVTWSWW_S-A4</t>
  </si>
  <si>
    <t>SVT-29</t>
  </si>
  <si>
    <t>S-A4: Asset stewardship - blockages</t>
  </si>
  <si>
    <t>No. of sewer blockages per year</t>
  </si>
  <si>
    <t>&lt;50,470</t>
  </si>
  <si>
    <t>&lt;50,078</t>
  </si>
  <si>
    <t>&lt;49,685</t>
  </si>
  <si>
    <t>&lt;49,293</t>
  </si>
  <si>
    <t>&lt;48,900</t>
  </si>
  <si>
    <t>PR14SVTWSWW_S-A5</t>
  </si>
  <si>
    <t>S-A5</t>
  </si>
  <si>
    <t>SVT-30</t>
  </si>
  <si>
    <t>S-A5: Statutory obligations (Section 101A schemes)</t>
  </si>
  <si>
    <t>No. of connectable properties polluting or likely to pollute</t>
  </si>
  <si>
    <t>PR14SVTWSWW_S-B1</t>
  </si>
  <si>
    <t>SVT-31</t>
  </si>
  <si>
    <t>S-B1: Customers rating our services as good value for money (based on tracker survey)</t>
  </si>
  <si>
    <t>PR14SVTWSWW_S-C1</t>
  </si>
  <si>
    <t>SVT-32</t>
  </si>
  <si>
    <t>S-C1: Improvements in river water quality against WFD criteria</t>
  </si>
  <si>
    <t>No. of WFD classification improvements</t>
  </si>
  <si>
    <t>PR14SVTWSWW_S-C2</t>
  </si>
  <si>
    <t>SVT-33</t>
  </si>
  <si>
    <t>S-C2: The number of category 3 pollution incidents</t>
  </si>
  <si>
    <t>PR14SVTWSWW_S-C3</t>
  </si>
  <si>
    <t>SVT-34</t>
  </si>
  <si>
    <t>S-C3: Asset stewardship - environmental compliance</t>
  </si>
  <si>
    <t>&gt;95.3</t>
  </si>
  <si>
    <t>PR14SVTWSWW_S-C4</t>
  </si>
  <si>
    <t>SVT-35</t>
  </si>
  <si>
    <t>S-C4: Biodiversity</t>
  </si>
  <si>
    <t>PR14SVTWSWW_S-C5</t>
  </si>
  <si>
    <t>S-C5</t>
  </si>
  <si>
    <t>SVT-36</t>
  </si>
  <si>
    <t>S-C5: Sustainable sewage treatment</t>
  </si>
  <si>
    <t>RO</t>
  </si>
  <si>
    <t>No. of WwTWs avoiding investment</t>
  </si>
  <si>
    <t>PR14SVTWSWW_S-C6</t>
  </si>
  <si>
    <t>S-C6</t>
  </si>
  <si>
    <t>SVT-37</t>
  </si>
  <si>
    <t>S-C6: Serious pollution incidents</t>
  </si>
  <si>
    <t>PR14SVTWSWW_S-C7</t>
  </si>
  <si>
    <t>S-C7</t>
  </si>
  <si>
    <t>SVT-38</t>
  </si>
  <si>
    <t>S-C7: Overall environmental performance (basket of environmental measures)</t>
  </si>
  <si>
    <t>No. of environmental targets met</t>
  </si>
  <si>
    <t>This is a basket of environmental measures to assess overall performance, and includes the following measures in the basket:
• improvements in river water quality against WFD criteria
• asset stewardship - environmental compliance 
• total number of category 1, 2 and 3 pollution incidents
• biodiversity improvements
Measurement is number of measures on or above target (except ‘asset stewardship - environmental compliance’ which is assessed against the penalty deadband). Pollution incidents and environmental compliance are measured on a calendar year basis in line with reporting to the Environment Agency. The pollution incidents measure is the combined performance on categories 1, 2 and 3 incidents.
Performance will be assessed in 2018-19, on average performance over the period, including expected performance in 2019-20 for biodiversity and WFD improvements. Pollution incidents and environmental compliance will be assessed to 2018.</t>
  </si>
  <si>
    <t>PR14SVTWSWW_S-C8</t>
  </si>
  <si>
    <t>S-C8</t>
  </si>
  <si>
    <t>SVT-39</t>
  </si>
  <si>
    <t>S-C8: The number of category 4 pollution incidents</t>
  </si>
  <si>
    <t>No. of pollution incidents (cat 4)</t>
  </si>
  <si>
    <t>PR14SVTWSWW_S-D1</t>
  </si>
  <si>
    <t>SVT-40</t>
  </si>
  <si>
    <t>S-D1: Size of our carbon footprint</t>
  </si>
  <si>
    <t>PR14SVTWSWW_S-E1</t>
  </si>
  <si>
    <t>SVT-41</t>
  </si>
  <si>
    <t>S-E1: Improved understanding of our services through education</t>
  </si>
  <si>
    <t>PR14SVTHHR_R-A1</t>
  </si>
  <si>
    <t>We will provide you with excellent customer service</t>
  </si>
  <si>
    <t>SVT-42</t>
  </si>
  <si>
    <t>R-A1: Customer satisfaction with their service (based on a survey)</t>
  </si>
  <si>
    <t>Customer satisfaction ranking</t>
  </si>
  <si>
    <t>Median</t>
  </si>
  <si>
    <t>PR14SVTHHR_R-A2</t>
  </si>
  <si>
    <t>SVT-43</t>
  </si>
  <si>
    <t>R-A2: Customers' experience of dealing with us (based on Ofwat's SIM)</t>
  </si>
  <si>
    <t>PR14SVTHHR_R-B1</t>
  </si>
  <si>
    <t>We will help you if you struggle</t>
  </si>
  <si>
    <t>SVT-44</t>
  </si>
  <si>
    <t>R-B1: Customers helped by a review of their tariff &amp; water usage &amp;/or supported by SVT social fund</t>
  </si>
  <si>
    <t>PR14SVTHHR_R-B2</t>
  </si>
  <si>
    <t>SVT-45</t>
  </si>
  <si>
    <t>R-B2: Percentage of customers who do not pay (household bad debt divided by total household revenue)</t>
  </si>
  <si>
    <t>% of customers who do not pay</t>
  </si>
  <si>
    <t>PR14SWTWSW_W-A1</t>
  </si>
  <si>
    <t>Clean, safe and reliable supply of drinking water</t>
  </si>
  <si>
    <t>SWT-01</t>
  </si>
  <si>
    <t>W-A1 Compliance with water quality standard</t>
  </si>
  <si>
    <t>PR14SWTWSW_W-A2</t>
  </si>
  <si>
    <t>SWT-02</t>
  </si>
  <si>
    <t>W-A2 Taste, smell and colour contacts</t>
  </si>
  <si>
    <t>No. of contacts per 1,000 population</t>
  </si>
  <si>
    <t>In-period ODI (adjustment to in-period revenue). Penalty 2 incentive rate applies from 4.5 to the penalty deadband within each year. An average value of the deadband has been used.</t>
  </si>
  <si>
    <t>PR14SWTWSW_W-A3</t>
  </si>
  <si>
    <t>SWT-03</t>
  </si>
  <si>
    <t>W-A3 Asset reliability (pipes)</t>
  </si>
  <si>
    <t>Basket of measures comprising:
• total bursts
• interruptions &gt; 12 hours
• iron non-compliance (as 100-Mean Zonal Compliance)
• DG2 pressure
• customer contacts - discolouration
• Distribution Index TIM (as 100-Mean Zonal Compliance).
South West Water defines the ‘deteriorating’ level of performance that would trigger the penalty incentive to include the third and subsequent years of marginal status until stable performance is achieved. This would include any ‘marginal’ (and ‘deteriorating’) inherited from 2013-14 and 2014-15 performance. This includes the following standard serviceability guidance, ‘deteriorating’ status serviceability would not improve to ‘stable’ in at least the subsequent year even with improved metrics. Although the third ‘marginal’ status might improve to ‘stable’, in this situation the level of penalty applied as ‘deteriorating’ in the third year would reflect an appropriate penalty.</t>
  </si>
  <si>
    <t>PR14SWTWSW_W-A4</t>
  </si>
  <si>
    <t>SWT-04</t>
  </si>
  <si>
    <t>W-A4 Asset reliability (process)</t>
  </si>
  <si>
    <t>Basket of measures comprising:
• WTW coliforms non-compliance
• service reservoir coliforms non-compliance
• turbidity non-compliance
• enforcement incidents
• unplanned maintenance.
South West Water defines the ‘deteriorating’ level of performance that would trigger the penalty incentive to include the third and subsequent years of marginal status until stable performance is achieved. This would include any ‘marginal’ (and ‘deteriorating’) inherited from 2013-14 and 2014-15 performance. This includes the following standard serviceability guidance, ‘deteriorating’ status serviceability would not improve to ‘stable’ in at least the subsequent year even with improved metrics. Although the third ‘marginal’ status might improve to ‘stable’, in this situation the level of penalty applied as ‘deteriorating’ in the third year would reflect an appropriate penalty.</t>
  </si>
  <si>
    <t>PR14SWTWSW_W-A5</t>
  </si>
  <si>
    <t>SWT-05</t>
  </si>
  <si>
    <t>W-A5 Duration of interruptions in supply (hours/property)</t>
  </si>
  <si>
    <t>Due to the phasing of the plan, average target is 0.23 hours per property. As the company is using an average, the neutral deadbands are set equal to the committed performance level (CPL) in each year.</t>
  </si>
  <si>
    <t>PR14SWTWSW_W-B1</t>
  </si>
  <si>
    <t>Available and sufficient water resources</t>
  </si>
  <si>
    <t>SWT-06</t>
  </si>
  <si>
    <t>W-B1 Water restrictions placed on customers (number)</t>
  </si>
  <si>
    <t>No. of water restrictions</t>
  </si>
  <si>
    <t>In-period ODI (adjustment to in-period revenue) - penalties only.
Reward will be accrued on an annual basis and applied at the end of period if there has been no water restriction within the price review period. Any penalty would apply annually based on the cumulative number of restrictions occurring within 2015-20.
While the reward will accrue on an annual basis if there are no water restrictions placed on customers, it will not apply if any water restriction has been imposed within the price review period. The penalty incentive is event based and will only apply to the second water restriction in 2015-20. Any reward that is accrued by performance to date would be reversed in full in the year of the first water restriction being applied.</t>
  </si>
  <si>
    <t>PR14SWTWSW_W-B2</t>
  </si>
  <si>
    <t>SWT-07</t>
  </si>
  <si>
    <t>W-B2 Ability to move water around the network</t>
  </si>
  <si>
    <t>Limited / partial / increased / substantial</t>
  </si>
  <si>
    <t>Partial</t>
  </si>
  <si>
    <t>Increased</t>
  </si>
  <si>
    <t>Future incentive post-2020. South West Water considers the definition of ability to move water around the network requires further work at an industry level in order to define potential future financial outcomes.</t>
  </si>
  <si>
    <t>PR14SWTWSW_W-B3</t>
  </si>
  <si>
    <t>SWT-08</t>
  </si>
  <si>
    <t>W-B3 Leakage levels (megalitres a day, Ml/d)</t>
  </si>
  <si>
    <t>In-period ODI (adjustment to in-period revenue). The incentive applies to performance based on leakage performance calculated from the previous calendar year. Rounding the volume of leakage to the nearest Ml/d creates an effective deadband of 1Ml/d.</t>
  </si>
  <si>
    <t>PR14SWTWSW_W-B4</t>
  </si>
  <si>
    <t>SWT-09</t>
  </si>
  <si>
    <t>W-B4 Time taken to fix significant leaks (days)</t>
  </si>
  <si>
    <t>No. of days taken to fix significant leaks</t>
  </si>
  <si>
    <t>&lt;3</t>
  </si>
  <si>
    <t>&lt;2</t>
  </si>
  <si>
    <t>PR14SWTWSW_W-B5</t>
  </si>
  <si>
    <t>SWT-10</t>
  </si>
  <si>
    <t>W-B5 Security of supply index (SoSI)</t>
  </si>
  <si>
    <t>PR14SWTWSW_W-C1</t>
  </si>
  <si>
    <t>Resilience in extreme conditions</t>
  </si>
  <si>
    <t>SWT-11</t>
  </si>
  <si>
    <t>W-C1 Supplies interrupted due to flooded South West Water sites</t>
  </si>
  <si>
    <t>No. of events over AMP6</t>
  </si>
  <si>
    <t>The committed performance level measurement unit is based on the number of incidents where supplies are interrupted for greater than 24 hours due to flooded South West Water sites, but the penalty collar, deadband and reward cap and deadband are based on the number of properties affected by the incidents of supply interruption.
The incentive will only apply if a South West Water site actually floods and will depend on the scale of the impact. A reward or penalty will be applied at the end of the period.
The reward/penalty is therefore based on a contingent event of a flooding occurring, with the number of properties subsequently interrupted determining whether any reward or penalty applies. The 38,607 penalty/reward boundary is based on the 1 in 20 year probability of sites affecting 193,035 customers being flooded, with a 20% probability modelled estimate for the probability that individual customers would be interrupted for more than 24 hours if the site floods. A reward applies if the resilience output is more successful than this design standard, and a penalty applies if flooding interrupts more customer supplies and resilience at this performance level is not achieved.</t>
  </si>
  <si>
    <t>PR14SWTWSW_W-D1</t>
  </si>
  <si>
    <t>Responsive to customers</t>
  </si>
  <si>
    <t>SWT-12</t>
  </si>
  <si>
    <t>W-D1 Operational customer contacts resolved first time (%)</t>
  </si>
  <si>
    <t>PR14SWTWSW_W-E1</t>
  </si>
  <si>
    <t>Protecting the environment</t>
  </si>
  <si>
    <t>SWT-13</t>
  </si>
  <si>
    <t>W-E1 Sustainable abstractions (EA/WFD classification)</t>
  </si>
  <si>
    <t>No. sites where improvement required</t>
  </si>
  <si>
    <t>PR14SWTWSW_W-E2</t>
  </si>
  <si>
    <t>SWT-14</t>
  </si>
  <si>
    <t>W-E2 Sustainable abstractions (Environment Agency water stress status)</t>
  </si>
  <si>
    <t>Water scarcity status (defined by EA)</t>
  </si>
  <si>
    <t>Moderate</t>
  </si>
  <si>
    <t>Severe</t>
  </si>
  <si>
    <t>Measurement unit follows the Environment Agency’s (EA) water scarcity status definition. Unsustainable abstractions are any sites where the EA has informed South West Water that abstraction reductions are required.
South West Water will adopt any new water scarcity definitions the EA introduces for this performance commitment or will provide a reconciliation between the definition used for the incentive and any subsequent definitions the EA introduces.
This incentive will apply in 2020 from the point that the company is notified by the EA. A penalty will only be applicable if the abstraction is still classified as unsustainable in 2020.</t>
  </si>
  <si>
    <t>PR14SWTWSW_W-E3a</t>
  </si>
  <si>
    <t>W-E3a</t>
  </si>
  <si>
    <t>SWT-15a</t>
  </si>
  <si>
    <t>W-E3a Catchment management (number of acres)</t>
  </si>
  <si>
    <t>No. of acres (cumulative)</t>
  </si>
  <si>
    <t>PR14SWTWSW_W-E3b</t>
  </si>
  <si>
    <t>W-E3b</t>
  </si>
  <si>
    <t>SWT-15b</t>
  </si>
  <si>
    <t>W-E3b Catchment management (number of farms)</t>
  </si>
  <si>
    <t>No. of farms (cumulative)</t>
  </si>
  <si>
    <t>PR14SWTWSW_W-E4</t>
  </si>
  <si>
    <t>W-E4</t>
  </si>
  <si>
    <t>SWT-16</t>
  </si>
  <si>
    <t>W-E4 Pollution incidents (category 1 and 2)</t>
  </si>
  <si>
    <t>PR14SWTWSW_W-E5</t>
  </si>
  <si>
    <t>W-E5</t>
  </si>
  <si>
    <t>SWT-17</t>
  </si>
  <si>
    <t>W-E5 Pollution incidents (category 3 and 4)</t>
  </si>
  <si>
    <t>No. of pollution incidents (cats 3 and 4)</t>
  </si>
  <si>
    <t>PR14SWTWSW_W-E6</t>
  </si>
  <si>
    <t>W-E6</t>
  </si>
  <si>
    <t>SWT-18</t>
  </si>
  <si>
    <t>W-E6 Operational carbon emissions (ktCO2e)</t>
  </si>
  <si>
    <t>PR14SWTWSW_W-E7</t>
  </si>
  <si>
    <t>W-E7</t>
  </si>
  <si>
    <t>SWT-19</t>
  </si>
  <si>
    <t>W-E7 Energy from renewable sources (%)</t>
  </si>
  <si>
    <t>PR14SWTWSW_W-F1</t>
  </si>
  <si>
    <t>Fair charging</t>
  </si>
  <si>
    <t>SWT-20</t>
  </si>
  <si>
    <t>W-F1 Customers paying a metered bill</t>
  </si>
  <si>
    <t>% domestic customers with metered bill</t>
  </si>
  <si>
    <t>The percentage of water service billed on a measured basis of charging as a percentage of billed customers (at the end of each financial year).
The measure will be assessed on an annual basis and increases over the period due to the phasing of new meter optants and new connections.
Penalty deadband reflects variation in timing of customer demand and installation.
The average performance level for the deadband has been used to complete the incentive rates table and reflects that the rate of increase in the percentage of customers metered is expected to be higher towards the beginning of the AMP.</t>
  </si>
  <si>
    <t>PR14SWTWSWW_S-A1</t>
  </si>
  <si>
    <t>Reliable wastewater service</t>
  </si>
  <si>
    <t>SWT-21</t>
  </si>
  <si>
    <t>S-A1 Internal sewer flooding incidents</t>
  </si>
  <si>
    <t>PR14SWTWSWW_S-A2</t>
  </si>
  <si>
    <t>SWT-22</t>
  </si>
  <si>
    <t>S-A2 External sewer flooding incidents</t>
  </si>
  <si>
    <t>PR14SWTWSWW_S-A3</t>
  </si>
  <si>
    <t>SWT-23</t>
  </si>
  <si>
    <t>S-A3 Odour contacts (wastewater treatment works)</t>
  </si>
  <si>
    <t>No. of odour contacts (WwTWs)</t>
  </si>
  <si>
    <t>PR14SWTWSWW_S-A4</t>
  </si>
  <si>
    <t>SWT-24</t>
  </si>
  <si>
    <t>S-A4 Asset reliability (pipes)</t>
  </si>
  <si>
    <t>Basket of measures comprising:
• sewer collapses
• pollution incidents (CSO+RM+FS)
• properties flooded due to other causes
• properties flooded due to overloaded sewers excluding severe weather
• sewer blockages
• equipment failures.
The company defines the ‘deteriorating’ level of performance that would trigger the penalty incentive to include the third and subsequent years of marginal status until stable performance is achieved. This would include any ‘marginal’ (and ‘deteriorating’) inherited from 2013-14 and 2014-15 performance. This includes the following standard serviceability guidance, ‘deteriorating’ status serviceability would not improve to ‘stable’ in at least the subsequent year even with improved metrics. Although the third ‘marginal’ status might improve to ‘stable’, in this situation the level of penalty applied as ‘deteriorating’ in the third year would reflect an appropriate penalty.</t>
  </si>
  <si>
    <t>PR14SWTWSWW_S-A5</t>
  </si>
  <si>
    <t>SWT-25</t>
  </si>
  <si>
    <t>S-A5 Asset reliability (process)</t>
  </si>
  <si>
    <t>Basket of measures comprising:
• % of WwTW discharges failing numeric consents
• % of total p.e. served by WwTWs in breach of WRA or UWWTD consent
• unplanned non-infrastructure maintenance.
The company defines the ‘deteriorating’ level of performance that would trigger the penalty incentive to include the third and subsequent years of marginal status until stable performance is achieved. This would include any ‘marginal’ (and ‘deteriorating’) inherited from 2013-14 and 2014-15 performance. This includes the following standard serviceability guidance, ‘deteriorating’ status serviceability would not improve to ‘stable’ in at least the subsequent year even with improved metrics. Although the third ‘marginal’ status might improve to ‘stable’, in this situation the level of penalty applied as ‘deteriorating’ in the third year would reflect an appropriate penalty.</t>
  </si>
  <si>
    <t>PR14SWTWSWW_S-A6</t>
  </si>
  <si>
    <t>S-A6</t>
  </si>
  <si>
    <t>SWT-26</t>
  </si>
  <si>
    <t>S-A6 Compliance with sludge standard (%)</t>
  </si>
  <si>
    <t>% satisfactory sludge disposal compliance</t>
  </si>
  <si>
    <t>PR14SWTWSWW_S-B1</t>
  </si>
  <si>
    <t>SWT-27</t>
  </si>
  <si>
    <t>S-B1 Operational customer contacts resolved first time (%)</t>
  </si>
  <si>
    <t>PR14SWTWSWW_S-C1</t>
  </si>
  <si>
    <t>SWT-28</t>
  </si>
  <si>
    <t>S-C1 Wastewater treatment numeric compliance (%)</t>
  </si>
  <si>
    <t>% wastewater treatment numeric compliance</t>
  </si>
  <si>
    <t>Measure applies to performance at the end of the 2019 calendar year. The incentive is applied once to performance in 2020. The interim performance commitments in 2015-16 and 2017-18 are non-financial and do not attract a financial penalty if they are not met.</t>
  </si>
  <si>
    <t>PR14SWTWSWW_S-C2</t>
  </si>
  <si>
    <t>SWT-29</t>
  </si>
  <si>
    <t>S-C2 Wastewater population equivalent sanitary compliance (%)</t>
  </si>
  <si>
    <t>% wastewater p.e. sanitary compliance</t>
  </si>
  <si>
    <t>PR14SWTWSWW_S-C3</t>
  </si>
  <si>
    <t>SWT-30</t>
  </si>
  <si>
    <t>S-C3 Wastewater descriptive works permit compliance (%)</t>
  </si>
  <si>
    <t>% wastewater desc works permit compliance</t>
  </si>
  <si>
    <t>&lt;95</t>
  </si>
  <si>
    <t>PR14SWTWSWW_S-C4</t>
  </si>
  <si>
    <t>SWT-31</t>
  </si>
  <si>
    <t>S-C4 Pollution incidents (category 1 and 2)</t>
  </si>
  <si>
    <t>PR14SWTWSWW_S-C5</t>
  </si>
  <si>
    <t>SWT-32</t>
  </si>
  <si>
    <t>S-C5 Pollution incidents (category 3 and 4)</t>
  </si>
  <si>
    <t>PR14SWTWSWW_S-C6</t>
  </si>
  <si>
    <t>SWT-33</t>
  </si>
  <si>
    <t>S-C6 Operational carbon emissions (ktCO2e)</t>
  </si>
  <si>
    <t>PR14SWTWSWW_S-C7</t>
  </si>
  <si>
    <t>SWT-34</t>
  </si>
  <si>
    <t>S-C7 Energy from renewable sources (%)</t>
  </si>
  <si>
    <t>PR14SWTWSWW_S-D1</t>
  </si>
  <si>
    <t>Benefiting the community</t>
  </si>
  <si>
    <t>SWT-35</t>
  </si>
  <si>
    <t>S-D1 Bathing water quality</t>
  </si>
  <si>
    <t>No. of bathing waters meeting or exceeding agreed standard</t>
  </si>
  <si>
    <t>PR14SWTWSWW_S-D2</t>
  </si>
  <si>
    <t>SWT-36</t>
  </si>
  <si>
    <t>S-D2 Combined sewer overflow spills (number)</t>
  </si>
  <si>
    <t>No. of combined sewer overflow (CSO) spills per year</t>
  </si>
  <si>
    <t>Post 2020 incentive</t>
  </si>
  <si>
    <t>PR14SWTWSWW_S-D3</t>
  </si>
  <si>
    <t>SWT-37</t>
  </si>
  <si>
    <t>S-D3 River water quality improved (km)</t>
  </si>
  <si>
    <t>Kilometres (km) of river water quality improved</t>
  </si>
  <si>
    <t>PR14SWTHHR_R-A1</t>
  </si>
  <si>
    <t>SWT-38</t>
  </si>
  <si>
    <t>R-A1 Customer overall satisfaction (%)</t>
  </si>
  <si>
    <t>PR14SWTHHR_R-A2</t>
  </si>
  <si>
    <t>SWT-39</t>
  </si>
  <si>
    <t>R-A2 Service incentive mechanism (SIM)</t>
  </si>
  <si>
    <t>PR14SWTHHR_R-A3</t>
  </si>
  <si>
    <t>SWT-40</t>
  </si>
  <si>
    <t>R-A3 Customer satisfaction with value for money</t>
  </si>
  <si>
    <t>PR14SWTHHR_R-B1</t>
  </si>
  <si>
    <t>SWT-41</t>
  </si>
  <si>
    <t>R-B1 Customers assisted by water poverty initiatives</t>
  </si>
  <si>
    <t>No. of customers assisted by water poverty initiatives</t>
  </si>
  <si>
    <t>PR14TMSWSW_WA1</t>
  </si>
  <si>
    <t>Demonstrate to our customers and stakeholders that they can trust us, that we are easy to do business with and that we care</t>
  </si>
  <si>
    <t>WA1</t>
  </si>
  <si>
    <t>TMS-01</t>
  </si>
  <si>
    <t>WA1: Improve handling of written complaints by increasing 1st time resolution</t>
  </si>
  <si>
    <t>% written complaints resolved 1st time</t>
  </si>
  <si>
    <t>PR14TMSWSW_WA2</t>
  </si>
  <si>
    <t>WA2</t>
  </si>
  <si>
    <t>TMS-02</t>
  </si>
  <si>
    <t>WA2: Number of written complaints per 10,000 connected properties</t>
  </si>
  <si>
    <t>No. written complaints / 10,000 properties</t>
  </si>
  <si>
    <t>PR14TMSWSW_WA3</t>
  </si>
  <si>
    <t>WA3</t>
  </si>
  <si>
    <t>TMS-03</t>
  </si>
  <si>
    <t>WA3: Customer satisfaction surveys (internal CSAT monitor)</t>
  </si>
  <si>
    <t>TW internal Customer satisfaction score (mean score out of 5)</t>
  </si>
  <si>
    <t>PR14TMSWSW_WA4</t>
  </si>
  <si>
    <t>WA4</t>
  </si>
  <si>
    <t>TMS-04</t>
  </si>
  <si>
    <t>WA4: Reduced water consumption from issuing water efficiency devices to customers</t>
  </si>
  <si>
    <t>Ml/d reduced water consumption</t>
  </si>
  <si>
    <t>The penalty applies to performance at the end of 2015-20. This will be calculated at PR19 based on actuals for years 1-4 and forecasts for year 5 of 2015-20. Performance against the commitment will be measured annually.
Penalties will be calculated at PR19, to be applied in 2020-25.</t>
  </si>
  <si>
    <t>PR14TMSWSW_WA5</t>
  </si>
  <si>
    <t>WA5</t>
  </si>
  <si>
    <t>TMS-05</t>
  </si>
  <si>
    <t>WA5: Provide a free repair service for customers with a customer side leak outside of the property</t>
  </si>
  <si>
    <t>Number against target above annual baseline no.</t>
  </si>
  <si>
    <t>10,000 baseline</t>
  </si>
  <si>
    <t>PR14TMSWSW_WB1</t>
  </si>
  <si>
    <t>We will provide a safe and reliable water service that complies with all necessary standards and is available when our customers require it</t>
  </si>
  <si>
    <t>WB1</t>
  </si>
  <si>
    <t>TMS-06</t>
  </si>
  <si>
    <t>WB1: Asset health water infrastructure</t>
  </si>
  <si>
    <t>The Asset Health status in each year of 2015-20, based on independently assessed performance against a basket of key indicators that represent the health of the infrastructure assets.
The Asset Health measure for water infrastructure is made on the basis of indicators of bursts, unplanned interruptions to supply, iron mean zonal non-compliance, inadequate pressure (DG2), planned network rehabilitation and customer complaints of discolouration and white water.</t>
  </si>
  <si>
    <t>PR14TMSWSW_WB2</t>
  </si>
  <si>
    <t>WB2</t>
  </si>
  <si>
    <t>TMS-07</t>
  </si>
  <si>
    <t>WB2: Asset health water non-infrastructure</t>
  </si>
  <si>
    <t>The Asset Health status in each year of 2015-20, based on performance against a basket of key indicators that represent the health of the non-infrastructure assets.
The Asset Health measure for water non-infrastructure is made on the basis of indicators of Disinfection Index, Reservoir Integrity Index, Drinking Water Quality Compliance Measures - Turbidity, Drinking Water Quality Compliance Measures - Enforcement actions, Process Control Index, and Water Quality Customer Complaints for chlorine and hardness.</t>
  </si>
  <si>
    <t>PR14TMSWSW_WB3</t>
  </si>
  <si>
    <t>WB3</t>
  </si>
  <si>
    <t>TMS-08</t>
  </si>
  <si>
    <t>WB3: Compliance with drinking water quality standards (MZC) - Ofwat/ DWI KPI</t>
  </si>
  <si>
    <t>PR14TMSWSW_WB4</t>
  </si>
  <si>
    <t>WB4</t>
  </si>
  <si>
    <t>TMS-09</t>
  </si>
  <si>
    <t>WB4: Properties experiencing chronic low pressure (DG2)</t>
  </si>
  <si>
    <t>No. of properties with low pressure (DG2)</t>
  </si>
  <si>
    <t>PR14TMSWSW_WB5</t>
  </si>
  <si>
    <t>WB5</t>
  </si>
  <si>
    <t>TMS-10</t>
  </si>
  <si>
    <t>WB5: Average hours lost supply per property served, due to interruptions &gt; 4 hours</t>
  </si>
  <si>
    <t>Hours lost supply per property served</t>
  </si>
  <si>
    <t>PR14TMSWSW_WB6</t>
  </si>
  <si>
    <t>WB6</t>
  </si>
  <si>
    <t>TMS-11</t>
  </si>
  <si>
    <t>WB6: Security of Supply Index - Ofwat KPI</t>
  </si>
  <si>
    <t>PR14TMSWSW_WB7</t>
  </si>
  <si>
    <t>WB7</t>
  </si>
  <si>
    <t>TMS-12</t>
  </si>
  <si>
    <t>WB7: Compliance with SEMD advice notes (with or without derogation)</t>
  </si>
  <si>
    <t>% compliance with SEMD advice notes</t>
  </si>
  <si>
    <t>Incentive rate = 40.94% of annualised costs saved through scope reduction.
The penalty applies to performance at the end of 2015-20. This will be calculated at PR19 based on actuals for years 1-4 and forecasts for year 5 of 2015-20. Performance against the commitment will be measured annually.</t>
  </si>
  <si>
    <t>PR14TMSWSW_WB8</t>
  </si>
  <si>
    <t>WB8</t>
  </si>
  <si>
    <t>TMS-13</t>
  </si>
  <si>
    <t>WB8: Ml/d of sites made resilient to future extreme rainfall events</t>
  </si>
  <si>
    <t>Ml/d of WTWs made resilient</t>
  </si>
  <si>
    <t>PR14TMSWSW_WC1</t>
  </si>
  <si>
    <t>We will limit our impact on the environment and achieve a socially responsible, sustainable business for future generations, including reducing levels of leakage</t>
  </si>
  <si>
    <t>WC1</t>
  </si>
  <si>
    <t>TMS-14</t>
  </si>
  <si>
    <t>WC1: Greenhouse gas emissions from water operations</t>
  </si>
  <si>
    <t>PR14TMSWSW_WC2</t>
  </si>
  <si>
    <t>WC2</t>
  </si>
  <si>
    <t>TMS-15</t>
  </si>
  <si>
    <t>WC2: Leakage</t>
  </si>
  <si>
    <t>PR14TMSWSW_WC3</t>
  </si>
  <si>
    <t>WC3</t>
  </si>
  <si>
    <t>TMS-16</t>
  </si>
  <si>
    <t xml:space="preserve">WC3: Abstraction Incentive Mechanism (AIM) </t>
  </si>
  <si>
    <t>AIM score</t>
  </si>
  <si>
    <t>PR14TMSWSW_WC4</t>
  </si>
  <si>
    <t>WC4</t>
  </si>
  <si>
    <t>TMS-17</t>
  </si>
  <si>
    <t>WC4: We will educate our existing and future customers</t>
  </si>
  <si>
    <t>No. of children directly engaged</t>
  </si>
  <si>
    <t>PR14TMSWSW_WC5</t>
  </si>
  <si>
    <t>WC5</t>
  </si>
  <si>
    <t>TMS-18</t>
  </si>
  <si>
    <t>WC5: Deliver 100% of agreed measures to meet new environmental regulations</t>
  </si>
  <si>
    <t>% of agreed schemes completed</t>
  </si>
  <si>
    <t>Incentive rate = 40.94% of 2015-20 costs reduced through scope reductions.
The penalty applies to performance at the end of 2015-20. This will be calculated at PR19 based on actuals for years 1-4 and forecasts for year 5 of 2015-20. Performance against the commitment will be measured annually.</t>
  </si>
  <si>
    <t>PR14TMSWSW_WD1</t>
  </si>
  <si>
    <t>We will provide the level of customer service our customers require, in the most economic and efficient manner, to ensure that bills are no more than necessary</t>
  </si>
  <si>
    <t>WD1</t>
  </si>
  <si>
    <t>TMS-19</t>
  </si>
  <si>
    <t>WD1: Energy imported less energy exported</t>
  </si>
  <si>
    <t>GWh (gigawatt-hours)</t>
  </si>
  <si>
    <t>PR14TMSWSWW_SA1</t>
  </si>
  <si>
    <t>SA1</t>
  </si>
  <si>
    <t>TMS-20</t>
  </si>
  <si>
    <t>SA1: Improve handling of written complaints by increasing first time resolution</t>
  </si>
  <si>
    <t>PR14TMSWSWW_SA2</t>
  </si>
  <si>
    <t>SA2</t>
  </si>
  <si>
    <t>TMS-21</t>
  </si>
  <si>
    <t>SA2: Number of written complaints per 10,000 connected properties</t>
  </si>
  <si>
    <t>PR14TMSWSWW_SA3</t>
  </si>
  <si>
    <t>SA3</t>
  </si>
  <si>
    <t>TMS-22</t>
  </si>
  <si>
    <t>SA3: Customer satisfaction surveys (internal CSAT monitor)</t>
  </si>
  <si>
    <t>PR14TMSWSWW_SB1</t>
  </si>
  <si>
    <t>We will provide a safe and reliable wastewater service that complies with all necessary standards and is available when our customers require it</t>
  </si>
  <si>
    <t>SB1</t>
  </si>
  <si>
    <t>TMS-23</t>
  </si>
  <si>
    <t>SB1: Asset health wastewater non-infrastructure</t>
  </si>
  <si>
    <t>The Asset Health status in each year of 2015-20, based on independently assessed performance against a basket of key indicators that represent the health of the non-infrastructure assets.
The Asset Health measure for wastewater non-infrastructure is made on the basis of indicators of unconsented pollution incidents, the percentage of sewage treatment works discharges failing numeric consents, and the total population equivalent served by sewage treatment works failing look-up table consents.</t>
  </si>
  <si>
    <t>PR14TMSWSWW_SB2</t>
  </si>
  <si>
    <t>SB2</t>
  </si>
  <si>
    <t>TMS-24</t>
  </si>
  <si>
    <t>SB2: Asset health wastewater infrastructure</t>
  </si>
  <si>
    <t>The Asset Health status in each year of 2015-20, based on independently assessed performance against a basket of key indicators that represent the health of the infrastructure assets. The Asset Health measure for wastewater infrastructure is made on the basis of indicators of number of sewer collapses, number of sewer blockages, unconsented category 1 to 3 pollution incidents and properties internally flooded due to other causes. This includes assets transferred under section 105A of the Water Industry Act.</t>
  </si>
  <si>
    <t>PR14TMSWSWW_SB3</t>
  </si>
  <si>
    <t>SB3</t>
  </si>
  <si>
    <t>TMS-25</t>
  </si>
  <si>
    <t>SB3: Properties protected from flooding due to rainfall (including Counters Creek project)</t>
  </si>
  <si>
    <t>No. properties protected from flooding due to rainfall</t>
  </si>
  <si>
    <t>The penalty and reward incentive rates are determined by reference to actual costs and benefits matrix.
The penalty and reward apply to performance at the end of 2015-20. This will be calculated as the cumulative number of properties protected based on actuals for years 1-4 and forecasts for year 5 of 2015-20. Performance against the commitment will be measured at the end of the AMP period.
See the Thames Water PR14 final determination company-specific appendix (pages 223-226) for penalty and reward calculation details. And further details on the operation of the PC and ODI (including worked examples) are provided in PCR SB3 (Thames Water, 27 June 2014).</t>
  </si>
  <si>
    <t>PR14TMSWSWW_SB4</t>
  </si>
  <si>
    <t>SB4</t>
  </si>
  <si>
    <t>TMS-26</t>
  </si>
  <si>
    <t>SB4: Number of internal flooding incidents, excluding those due to overloaded sewers (SFOC)</t>
  </si>
  <si>
    <t>No. of internal sewer flooding (other causes) incidents</t>
  </si>
  <si>
    <t>PR14TMSWSWW_SB5</t>
  </si>
  <si>
    <t>SB5</t>
  </si>
  <si>
    <t>TMS-27</t>
  </si>
  <si>
    <t>SB5: Contributing area disconnected from combined sewers by retrofitting sustainable drainage</t>
  </si>
  <si>
    <t>No. of hectares (cumulative)</t>
  </si>
  <si>
    <t>PR14TMSWSWW_SB6</t>
  </si>
  <si>
    <t>SB6</t>
  </si>
  <si>
    <t>TMS-28</t>
  </si>
  <si>
    <t>SB6: Compliance with SEMD advice notes (with or without derogation)</t>
  </si>
  <si>
    <t>PC will be calculated as the cumulative percentage compliance based on actuals for years 1-4 and forecasts for year 5 of 2015-20. Performance against the commitment will be measured at the end of the AMP period.
This incentive will return 40.4% of any 2015-20 revenue as a result of reductions in scope used to estimate the SEMD cost for Thames Water’s 27 June 2014 submission. This will be in addition to the 50% of costs returned after the totex menu reward. For the avoidance of doubt, this does not apply to cost increases or to cost reductions as a result of efficiencies. Incentives will be applied in 2020-25 on an NPV-neutral basis.</t>
  </si>
  <si>
    <t>PR14TMSWSWW_SB7</t>
  </si>
  <si>
    <t>SB7</t>
  </si>
  <si>
    <t>TMS-29</t>
  </si>
  <si>
    <t>SB7: Population equivalent of sites made resilient to future extreme rainfall events</t>
  </si>
  <si>
    <t>Population equivalent (cumulative)</t>
  </si>
  <si>
    <t>The measurement unit is the cumulative capacity (in population equivalent) of wastewater treatment works made resilient to flooding by the end of 2015-20.
This will be calculated as the cumulative population equivalent made resilient based on actuals for years 1-4 and forecasts for year 5 of 2015-20. Performance against the commitment will be measured at the end of the AMP period.</t>
  </si>
  <si>
    <t>PR14TMSWSWW_SB8</t>
  </si>
  <si>
    <t>SB8</t>
  </si>
  <si>
    <t>TMS-30</t>
  </si>
  <si>
    <t>SB8: Lee Tunnel including Shaft G</t>
  </si>
  <si>
    <t>Non delivery</t>
  </si>
  <si>
    <t>In line with the special cost claim, the Lee Tunnel is due for delivery on 31 December 2015. In the event that the scheme is not completed within the 2015-16 financial year a penalty will apply in that year, and in each subsequent year, that the scheme is not delivered.</t>
  </si>
  <si>
    <t>PR14TMSWSWW_SB9</t>
  </si>
  <si>
    <t>SB9</t>
  </si>
  <si>
    <t>TMS-31</t>
  </si>
  <si>
    <t>SB9: Deephams Wastewater Treatment Works</t>
  </si>
  <si>
    <t>In line with the special cost claim, the investment at Deephams wastewater treatment works is due for delivery during 2016-17. In the event that the scheme does not proceed, Thames Water will return, through the ODI, half of the allowed costs plus the benefits foregone. The remaining costs will be recovered through the cost incentive mechanism.</t>
  </si>
  <si>
    <t>PR14TMSWSWW_SC1</t>
  </si>
  <si>
    <t>SC1</t>
  </si>
  <si>
    <t>TMS-32</t>
  </si>
  <si>
    <t>SC1: Greenhouse gas emissions from wastewater operations</t>
  </si>
  <si>
    <t>PR14TMSWSWW_SC2</t>
  </si>
  <si>
    <t>SC2</t>
  </si>
  <si>
    <t>TMS-33</t>
  </si>
  <si>
    <t>SC2: Total category 1-3 pollution incidents from sewage related premises</t>
  </si>
  <si>
    <t>The penalty applies to annual performance in all years of 2015-20. This will be calculated at PR19 based on actuals for years 1-4 and forecast for year 5. Performance against the commitment will be measured annually.
Rewards in each year over which the ODI applies will be subject to the attainment of zero serious pollution incidents that year. If a category 1 or 2 pollution incident occurs in a given year of 2015-20, a reward may not be earned for performance in the same year. This ‘gateway’ to rewards is applicable on a year-by-year basis and the occurrence of a category 1 or 2 pollution incident in a given year of 2015-20 will not limit the ability to earn rewards in future years.</t>
  </si>
  <si>
    <t>PR14TMSWSWW_SC3</t>
  </si>
  <si>
    <t>SC3</t>
  </si>
  <si>
    <t>TMS-34</t>
  </si>
  <si>
    <t>SC3: Sewage treatment works discharge compliance</t>
  </si>
  <si>
    <t>% WwTW discharge compliance</t>
  </si>
  <si>
    <t>PR14TMSWSWW_SC4</t>
  </si>
  <si>
    <t>SC4</t>
  </si>
  <si>
    <t>TMS-35</t>
  </si>
  <si>
    <t>SC4: Water bodies improved or protected from deterioration as a result of Thames Water's activities</t>
  </si>
  <si>
    <t>No. of water bodies improved or protected by catchment management</t>
  </si>
  <si>
    <t>PR14TMSWSWW_SC5</t>
  </si>
  <si>
    <t>SC5</t>
  </si>
  <si>
    <t>TMS-36</t>
  </si>
  <si>
    <t>SC5: Satisfactory sludge disposal compliance</t>
  </si>
  <si>
    <t>PR14TMSWSWW_SC6</t>
  </si>
  <si>
    <t>SC6</t>
  </si>
  <si>
    <t>TMS-37</t>
  </si>
  <si>
    <t>SC6: We will educate our existing and future customers</t>
  </si>
  <si>
    <t>PR14TMSWSWW_SC7</t>
  </si>
  <si>
    <t>SC7</t>
  </si>
  <si>
    <t>TMS-38</t>
  </si>
  <si>
    <t>SC7: Modelled reduction in properties affected by odour</t>
  </si>
  <si>
    <t>No. of properties (modelled cumulative reduction)</t>
  </si>
  <si>
    <t>This is a new measure showing the reduction in the number of properties affected by odour. This is measured using a confirmation of point and area sources via odour dispersion modelling. The ODI is applied annually to the cumulative performance in each year. So, for example, a one year delay in reducing the incidence of odour by one modelled property would incur the annual penalty rate.
The penalty collar and reward caps represent an indicative level of performance associated with the total financial value of the penalty and reward over 2015-20. The penalty collar and reward cap are binding as a total financial magnitude of £3m and £6.66m respectively, over 2015-20 rather than as annual levels of performance. In practice, the collar and cap may be reached through a number of profiles of performance over the AMP.</t>
  </si>
  <si>
    <t>PR14TMSWSWW_SC8</t>
  </si>
  <si>
    <t>SC8</t>
  </si>
  <si>
    <t>TMS-39</t>
  </si>
  <si>
    <t>SC8: Deliver 100% of agreed measures to meet new environmental regulations</t>
  </si>
  <si>
    <t>Non delivery of NEP5</t>
  </si>
  <si>
    <t>The penalty applies to performance at the end of 2015-20. This will be calculated at PR19 based on actuals for years 1-4 and forecasts for year 5 of 2015-20. Performance against the commitment will be measured annually.
This incentive will return 40.4% of the NEP5 2015-20 cost as a result of reductions in scope used to estimate the 27 June 2014 submission. This will be in addition to the 50% of costs returned after the totex menu reward. For the avoidance of doubt, this does not apply to cost increases or to cost reductions as a result of efficiencies.
For further details see the Thames Water PR14 FD final determination company-specific appendix (pages 245-247).</t>
  </si>
  <si>
    <t>PR14TMSWSWW_SC9</t>
  </si>
  <si>
    <t>SC9</t>
  </si>
  <si>
    <t>TMS-40</t>
  </si>
  <si>
    <t>SC9: Reduce the amount of phosphorus entering rivers to help improve aquatic plant and wildlife</t>
  </si>
  <si>
    <t>Kilograms of phosphorus removed per day</t>
  </si>
  <si>
    <t>Penalty rate to be determined by reference to actual costs and benefits using reliable projections as soon as available (and to be included in annual report on outcomes performance no later than 2016-17)
Reward rate to be determined by reference to actual costs and benefits using reliable projections as soon as available (and to be included in annual report on outcomes performance no later than 2016-17)</t>
  </si>
  <si>
    <t>PR14TMSWSWW_SD1</t>
  </si>
  <si>
    <t>SD1</t>
  </si>
  <si>
    <t>TMS-41</t>
  </si>
  <si>
    <t>SD1: Energy imported less energy exported</t>
  </si>
  <si>
    <t>PR14TMSTTT_T1A</t>
  </si>
  <si>
    <t>Thames Tideway</t>
  </si>
  <si>
    <t>Thames Water is committed to improving outcomes for customers and for the environment, notably by intercepting significant sewage discharges into the tidal river Thames, working together with the IP to ensure the timely and cost efficient delivery of the TTT project</t>
  </si>
  <si>
    <t>T1A</t>
  </si>
  <si>
    <t>TMS-42</t>
  </si>
  <si>
    <t>T1A: Successful procurement of the Infrastructure Provider (IP)</t>
  </si>
  <si>
    <t>Infrastructure Provider (IP) procurement</t>
  </si>
  <si>
    <t>IP award</t>
  </si>
  <si>
    <t>PR14TMSTTT_T1B</t>
  </si>
  <si>
    <t>T1B</t>
  </si>
  <si>
    <t>TMS-43</t>
  </si>
  <si>
    <t>T1B: Thames Water will fulfil its land related commitments in line with the TTT programme requirements</t>
  </si>
  <si>
    <t>Land related commitments</t>
  </si>
  <si>
    <t>Fulfil</t>
  </si>
  <si>
    <t>PR14TMSTTT_T1C</t>
  </si>
  <si>
    <t>T1C</t>
  </si>
  <si>
    <t>TMS-44</t>
  </si>
  <si>
    <t>T1C: Completion of category 2 and 3 construction works and timely availability of sites to the IP</t>
  </si>
  <si>
    <t>No. of sites (cumulative)</t>
  </si>
  <si>
    <t>The final delivery profile to be agreed after the award of the Main Works contracts, once Thames Water has completed the process to optimise the programme.
For further details see the Thames Water PR14 FD final determination company-specific appendix (pages 252-255).</t>
  </si>
  <si>
    <t>PR14TMSTTT_T2</t>
  </si>
  <si>
    <t>T2</t>
  </si>
  <si>
    <t>TMS-45</t>
  </si>
  <si>
    <t>T2: Thames Water will engage effectively with the IP, and other stakeholders, both in terms of integration and assurance</t>
  </si>
  <si>
    <t>Effective engagement with IP and stakeholders</t>
  </si>
  <si>
    <t>Engage</t>
  </si>
  <si>
    <t>PR14TMSTTT_T3</t>
  </si>
  <si>
    <t>T3</t>
  </si>
  <si>
    <t>TMS-46</t>
  </si>
  <si>
    <t>T3: Thames Water will engage with its customers to build understanding of the TTT project. Thames Water will liaise with the IP on its surveys of local communities impacted by construction</t>
  </si>
  <si>
    <t>Engagement to build TTT understanding</t>
  </si>
  <si>
    <t>Improving</t>
  </si>
  <si>
    <t>PR14TMSHHR_RA1</t>
  </si>
  <si>
    <t>Improving customer service by doing the basics excellently and by getting things 'right first time'</t>
  </si>
  <si>
    <t>RA1</t>
  </si>
  <si>
    <t>TMS-47</t>
  </si>
  <si>
    <t>RA1: Minimise the number of written complaints received from customers (relating to charging and billing)</t>
  </si>
  <si>
    <t>PR14TMSHHR_RA2</t>
  </si>
  <si>
    <t>RA2</t>
  </si>
  <si>
    <t>TMS-48</t>
  </si>
  <si>
    <t>RA2: Improve handling of written complaints by increasing first time resolution - charging and billing</t>
  </si>
  <si>
    <t>PR14TMSHHR_RA3</t>
  </si>
  <si>
    <t>RA3</t>
  </si>
  <si>
    <t>TMS-49</t>
  </si>
  <si>
    <t>RA3: Improve customer satisfaction of retail customers - charging and billing service</t>
  </si>
  <si>
    <t>PR14TMSHHR_RA4</t>
  </si>
  <si>
    <t>RA4</t>
  </si>
  <si>
    <t>TMS-50</t>
  </si>
  <si>
    <t>RA4: Improve customer satisfaction of retail customers - operations contact centre</t>
  </si>
  <si>
    <t>PR14TMSHHR_RA5</t>
  </si>
  <si>
    <t>RA5</t>
  </si>
  <si>
    <t>TMS-51</t>
  </si>
  <si>
    <t>RA5: Increase the number of bills based on actual meter reads (in cycle)</t>
  </si>
  <si>
    <t>% bills based on actual meter reads</t>
  </si>
  <si>
    <t>PR14TMSHHR_RA6</t>
  </si>
  <si>
    <t>RA6</t>
  </si>
  <si>
    <t>TMS-52</t>
  </si>
  <si>
    <t>RA6: Service incentive mechanism (SIM)</t>
  </si>
  <si>
    <t>PR14TMSHHR_RB1</t>
  </si>
  <si>
    <t>Offer a choice of easy to use contact options</t>
  </si>
  <si>
    <t>RB1</t>
  </si>
  <si>
    <t>TMS-53</t>
  </si>
  <si>
    <t>RB1: Implement new online account management for customers supported by web-chat</t>
  </si>
  <si>
    <t>Delivery status</t>
  </si>
  <si>
    <t>Limited online</t>
  </si>
  <si>
    <t>Not live</t>
  </si>
  <si>
    <t xml:space="preserve">Penalty 1: £6.5m in each of years 4 and 5.
Penalty 2: additional £20.5m applicable in year 5 (total 2015-20 allowed cost in ACTS adjustment plus premium).
For further details see the Thames Water PR14 FD final determination company-specific appendix (pages 264-267).
</t>
  </si>
  <si>
    <t>PR14TMSHHR_RC1</t>
  </si>
  <si>
    <t>Improving cash collection from those that can pay and helping those that are struggling to pay</t>
  </si>
  <si>
    <t>RC1</t>
  </si>
  <si>
    <t>TMS-54</t>
  </si>
  <si>
    <t>RC1: Increase the number of customers on payment plans (excluding Thames Tideway Tunnel)</t>
  </si>
  <si>
    <t>% of customers on DD payment plans</t>
  </si>
  <si>
    <t>PR14TMSHHR_RC2</t>
  </si>
  <si>
    <t>RC2</t>
  </si>
  <si>
    <t>TMS-55</t>
  </si>
  <si>
    <t>RC2: Increase cash collection rates (excluding Thames Tideway Tunnel)</t>
  </si>
  <si>
    <t>% of cash collected from billing in the year</t>
  </si>
  <si>
    <t>UU</t>
  </si>
  <si>
    <t>PR14UUWSW_A1</t>
  </si>
  <si>
    <t>Your drinking water is safe and clean</t>
  </si>
  <si>
    <t>UU-01</t>
  </si>
  <si>
    <t>A1: Drinking Water Safety Plan risk score</t>
  </si>
  <si>
    <t>Drinking Water Safety Plan (DWSP) risk score</t>
  </si>
  <si>
    <t>PR14UUWSW_A2</t>
  </si>
  <si>
    <t>UU-02</t>
  </si>
  <si>
    <t>A2: Water quality events DWI category 3 or above</t>
  </si>
  <si>
    <t>RCV or Revenue</t>
  </si>
  <si>
    <t>No. water quality events DWI cat 3 or above</t>
  </si>
  <si>
    <t>PR14UUWSW_A3</t>
  </si>
  <si>
    <t>UU-03</t>
  </si>
  <si>
    <t>A3: Water Quality Service Index</t>
  </si>
  <si>
    <t>Water Quality Service Index (UU bespoke)</t>
  </si>
  <si>
    <t>The five compliance sub-measures do not contribute to the reward on this index. It is only the number of unwanted customer contacts for water quality that contributes to the reward.
In 2017-18, 2018-19 and 2019-20 United Utilities will incur a penalty if its performance on mean zonal compliance is 99.95% or below regardless of the overall level of the index.
Incentive rates - water quality service index
Penalty: 0.770
Reward: 0.417
Incentive rates - mean zonal compliance sub-measure
Penalty: 0.770
Reward: not applicable
For further details see the United Utilities PR14 FD final determination company-specific appendix (pages 149-153).</t>
  </si>
  <si>
    <t>PR14UUWSW_B1</t>
  </si>
  <si>
    <t>You have a reliable supply of water now and in the future</t>
  </si>
  <si>
    <t>UU-04</t>
  </si>
  <si>
    <t>B1: Average minutes supply lost per property (a year)</t>
  </si>
  <si>
    <t>Mins:secs supply lost per property per year</t>
  </si>
  <si>
    <t>Unit of measure: number of minutes and seconds - for example, mm:ss. In the wholesale water delivery plan, where the historic performance and targets are shown, the measure is reported as whole minutes and seconds, that is 17:55 is equivalent to 17 minutes and 55 seconds. In the business plan tables, such as W1, W2 and W2a that are reported in Excel format, the numbers are reported to three decimal places, so 17:55 becomes 17.917.
For further details see the United Utilities PR14 FD final determination company-specific appendix (pages 154-156).</t>
  </si>
  <si>
    <t>PR14UUWSW_B2</t>
  </si>
  <si>
    <t>UU-05</t>
  </si>
  <si>
    <t>B2: Reliable water service index</t>
  </si>
  <si>
    <t>Reliable water service index (UU bespoke)</t>
  </si>
  <si>
    <t>For further details see United Utilities PR14 FD final determination company-specific appendix (pages 156-160)</t>
  </si>
  <si>
    <t>PR14UUWSW_B3</t>
  </si>
  <si>
    <t>UU-06</t>
  </si>
  <si>
    <t>B3: Security of supply index (SoSI)</t>
  </si>
  <si>
    <t>The Ofwat SoSI KPI rounds to the nearest whole number, United Utilities has used the index to three decimal places for the measure to ensure the incentive is scalable.
For further details see the United Utilities PR14 FD final determination company-specific appendix (pages 160-162).</t>
  </si>
  <si>
    <t>PR14UUWSW_B4</t>
  </si>
  <si>
    <t>UU-07</t>
  </si>
  <si>
    <t>B4: Total leakage at or below target</t>
  </si>
  <si>
    <t>Megalitres per day (Ml/d) variance from target</t>
  </si>
  <si>
    <t>For further details see United Utilities PR14 FD final determination company-specific appendix (pages 163-164).</t>
  </si>
  <si>
    <t>PR14UUWSW_B5</t>
  </si>
  <si>
    <t>UU-08</t>
  </si>
  <si>
    <t>B5: Resilience of impounding reservoirs</t>
  </si>
  <si>
    <t>Aggregate (cumulative) reduction in risk</t>
  </si>
  <si>
    <t>For further details see United Utilities PR14 FD final determination company-specific appendix (pages 165-166).</t>
  </si>
  <si>
    <t>PR14UUWSW_B6</t>
  </si>
  <si>
    <t>UU-09</t>
  </si>
  <si>
    <t>B6: Thirlmere transfer into West Cumbria</t>
  </si>
  <si>
    <t>% project complete based on earned value tied to milestones</t>
  </si>
  <si>
    <t>The unit of measure is percentage progress to completion, measured to zero decimal places. The PC targets have been developed based on the latest available project delivery plan. This gives a project in use date of 31 March 2022 (FY22).
For further details see the United Utilities PR14 FD final determination company-specific appendix (pages 167-170).</t>
  </si>
  <si>
    <t>PR14UUWSW_C1</t>
  </si>
  <si>
    <t>The natural environment is protected and improved in the way we deliver our services</t>
  </si>
  <si>
    <t>UU-10</t>
  </si>
  <si>
    <t>C1: Contribution to rivers improved - water programme (NEP schemes and abstraction changes at 4 AIM sites)</t>
  </si>
  <si>
    <t>Kilometres (km) of river improved (cumulative)</t>
  </si>
  <si>
    <t>For further details see United Utilities PR14 FD final determination company-specific appendix (pages 171-175).</t>
  </si>
  <si>
    <t>PR14UUWSW_D1</t>
  </si>
  <si>
    <t>You're highly satisfied with our service and find it easy to do business with us</t>
  </si>
  <si>
    <t>UU-11</t>
  </si>
  <si>
    <t>D1: Delivering our commitments to developers, local authorities and highway authorities</t>
  </si>
  <si>
    <t>% of jobs completed within response times</t>
  </si>
  <si>
    <t>PR14UUWSW_E1</t>
  </si>
  <si>
    <t>Bills for you and future customers are fair</t>
  </si>
  <si>
    <t>UU-12</t>
  </si>
  <si>
    <t>E1: Number of free water meters installed</t>
  </si>
  <si>
    <t>No. of free water meters installed per year</t>
  </si>
  <si>
    <t>PR14UUWSWW_S-A1</t>
  </si>
  <si>
    <t>Your wastewater is removed and treated without you ever noticing</t>
  </si>
  <si>
    <t>UU-13</t>
  </si>
  <si>
    <t>S-A1: Private sewers service index</t>
  </si>
  <si>
    <t>Private sewers service index (UU bespoke)</t>
  </si>
  <si>
    <t>For further details see United Utilities PR14 FD final determination company-specific appendix (pages 180-182).</t>
  </si>
  <si>
    <t>PR14UUWSWW_S-A2</t>
  </si>
  <si>
    <t>UU-14</t>
  </si>
  <si>
    <t>S-A2: Wastewater network performance index</t>
  </si>
  <si>
    <t>Wastewater network performance index (UU bespoke)</t>
  </si>
  <si>
    <t>For further details see United Utilities PR14 FD final determination company-specific appendix (pages 182-184).</t>
  </si>
  <si>
    <t>PR14UUWSWW_S-B1</t>
  </si>
  <si>
    <t>The risk of sewer flooding for homes and businesses is reduced</t>
  </si>
  <si>
    <t>UU-15</t>
  </si>
  <si>
    <t>S-B1: Future flood risk</t>
  </si>
  <si>
    <t>No. of properties at risk</t>
  </si>
  <si>
    <t>PR14UUWSWW_S-B2</t>
  </si>
  <si>
    <t>UU-16</t>
  </si>
  <si>
    <t>S-B2: Sewer flooding index</t>
  </si>
  <si>
    <t>Sewer flooding index (UU bespoke)</t>
  </si>
  <si>
    <t>For further details see United Utilities PR14 FD final determination company-specific appendix (pages 186-187).</t>
  </si>
  <si>
    <t>PR14UUWSWW_S-C1</t>
  </si>
  <si>
    <t>The North West's bathing and shellfish waters are cleaner though our work and that of others</t>
  </si>
  <si>
    <t>UU-17</t>
  </si>
  <si>
    <t>S-C1: Contribution to bathing waters improved (includes NEP phase 3&amp;4 bathing water intermittent discharge projects)</t>
  </si>
  <si>
    <t>Bathing water equivalent (BWE)</t>
  </si>
  <si>
    <t>To ensure the penalties are proportionate to any delay which has incurred, a sliding scale will be applied to the annual penalty as follows:
• 25% for 1-90 days
• 50% for 91-180 days
• 75% for 181-270 days
• 100% for 271-365 days.
For further details see United Utilities PR14 FD final determination company-specific appendix (pages 188-190).</t>
  </si>
  <si>
    <t>PR14UUWSWW_S-D1</t>
  </si>
  <si>
    <t>UU-18</t>
  </si>
  <si>
    <t>S-D1: Protecting rivers from deterioration due to population growth (includes Davyhulme non-delivery penalty)</t>
  </si>
  <si>
    <t>Kilometers (km) rivers protected from deterioration</t>
  </si>
  <si>
    <t>For further details see United Utilities PR14 FD final determination company-specific appendix (pages 191-192).</t>
  </si>
  <si>
    <t>PR14UUWSWW_S-D2</t>
  </si>
  <si>
    <t>UU-19</t>
  </si>
  <si>
    <t>S-D2: Maintaining our wastewater treatment works (includes Oldham and Royton WwTWs special cost factor claims)</t>
  </si>
  <si>
    <t>Maintaining WwTWs index (UU bespoke)</t>
  </si>
  <si>
    <t>For further details see United Utilities PR14 FD final determination company-specific appendix (pages 193-195).</t>
  </si>
  <si>
    <t>PR14UUWSWW_S-D3</t>
  </si>
  <si>
    <t>UU-20</t>
  </si>
  <si>
    <t>S-D3: Contribution to rivers improved - wastewater programme (includes Oldham, Royton and Windermere)</t>
  </si>
  <si>
    <t>To ensure the penalties are proportionate to any delay that has incurred, a sliding scale will be applied to the annual penalty as follows:
• 25% for 1-90 days
• 50% for 91-180 days
• 75% for 181-270 days
• 100% for 271-365 days.
For further details see United Utilities PR14 FD final determination company-specific appendix (pages 195-197).</t>
  </si>
  <si>
    <t>PR14UUWSWW_S-D4a</t>
  </si>
  <si>
    <t>S-D4a</t>
  </si>
  <si>
    <t>UU-21</t>
  </si>
  <si>
    <t>S-D4a: Wastewater serious (category 1 and 2) pollution incidents</t>
  </si>
  <si>
    <t>For further details see United Utilities PR14 FD final determination company-specific appendix (pages 197-199).</t>
  </si>
  <si>
    <t>PR14UUWSWW_S-D4b</t>
  </si>
  <si>
    <t>S-D4b</t>
  </si>
  <si>
    <t>UU-22</t>
  </si>
  <si>
    <t>S-D4b: Wastewater category 3 pollution incidents</t>
  </si>
  <si>
    <t>For further details see United Utilities PR14 FD final determination company-specific appendix (pages 199-201).</t>
  </si>
  <si>
    <t>PR14UUWSWW_S-D5</t>
  </si>
  <si>
    <t>S-D5</t>
  </si>
  <si>
    <t>UU-23</t>
  </si>
  <si>
    <t>S-D5: Satisfactory sludge disposal</t>
  </si>
  <si>
    <t>For further details see United Utilities PR14 FD final determination company-specific appendix (pages 201-203).</t>
  </si>
  <si>
    <t>PR14UUHHR_A-1</t>
  </si>
  <si>
    <t>You’re highly satisfied with our service and find it easy to do business with us</t>
  </si>
  <si>
    <t>A-1</t>
  </si>
  <si>
    <t>UU-24</t>
  </si>
  <si>
    <t>A-1: Service incentive mechanism (SIM)</t>
  </si>
  <si>
    <t>Upper quartile</t>
  </si>
  <si>
    <t>PR14UUHHR_R-A2</t>
  </si>
  <si>
    <t>UU-25</t>
  </si>
  <si>
    <t>R-A2: Customer experience programme</t>
  </si>
  <si>
    <t>For further details see United Utilities PR14 FD final determination company-specific appendix (pages 205-208).</t>
  </si>
  <si>
    <t>PR14UUHHR_B1</t>
  </si>
  <si>
    <t>UU-26</t>
  </si>
  <si>
    <t>B1: Customers saying that we offer value for money</t>
  </si>
  <si>
    <t>PR14UUHHR_B2</t>
  </si>
  <si>
    <t>UU-27</t>
  </si>
  <si>
    <t>B2: Per household consumption</t>
  </si>
  <si>
    <t>PR14WSHWSW_A1</t>
  </si>
  <si>
    <t>WSH-01</t>
  </si>
  <si>
    <t>A1: Safety of drinking water</t>
  </si>
  <si>
    <t>PR14WSHWSW_A2</t>
  </si>
  <si>
    <t>WSH-02</t>
  </si>
  <si>
    <t>A2: Customer acceptability (drinking water) - contacts per 1,000 population</t>
  </si>
  <si>
    <t>PR14WSHWSW_A3</t>
  </si>
  <si>
    <t>WSH-03</t>
  </si>
  <si>
    <t>A3: Reliability of supply - minutes lost per property per year</t>
  </si>
  <si>
    <t>Minutes of supply interruption per property per year</t>
  </si>
  <si>
    <t>PR14WSHWSW_B1</t>
  </si>
  <si>
    <t>Protecting our environment</t>
  </si>
  <si>
    <t>WSH-04</t>
  </si>
  <si>
    <t>B1: Abstraction for water for use - % compliance with abstraction licences, as regulated by NRW</t>
  </si>
  <si>
    <t>% compliance with abstraction licences (NRW regulated)</t>
  </si>
  <si>
    <t>PR14WSHWSW_C2</t>
  </si>
  <si>
    <t>Responding to climate change</t>
  </si>
  <si>
    <t>WSH-05</t>
  </si>
  <si>
    <t>C2: Carbon footprint - gigawatt-hours (GWh) of renewable energy generated</t>
  </si>
  <si>
    <t>PR14WSHWSW_D1</t>
  </si>
  <si>
    <t>Excellent customer service</t>
  </si>
  <si>
    <t>WSH-06</t>
  </si>
  <si>
    <t>D1: Service incentive mechanism (SIM)</t>
  </si>
  <si>
    <t>PR14WSHWSW_D2</t>
  </si>
  <si>
    <t>WSH-07</t>
  </si>
  <si>
    <t>D2: ‘At risk’ customer services - number of customers who have experienced poor service</t>
  </si>
  <si>
    <t>No. of properties/ incidents on the internal 'at risk' register</t>
  </si>
  <si>
    <t>PR14WSHWSW_D5</t>
  </si>
  <si>
    <t>D5</t>
  </si>
  <si>
    <t>WSH-08</t>
  </si>
  <si>
    <t>D5: Earning the trust of customers - % of customers surveyed that say they trust the company</t>
  </si>
  <si>
    <t>PR14WSHWSW_E1</t>
  </si>
  <si>
    <t>Affordable prices</t>
  </si>
  <si>
    <t>WSH-09</t>
  </si>
  <si>
    <t>E1: Affordable bills - annual increase</t>
  </si>
  <si>
    <t>% above or below inflation (affordability of bills)</t>
  </si>
  <si>
    <t>Below inflation</t>
  </si>
  <si>
    <t>1% below</t>
  </si>
  <si>
    <t>PR14WSHWSW_F1</t>
  </si>
  <si>
    <t>Asset stewardship</t>
  </si>
  <si>
    <t>WSH-10</t>
  </si>
  <si>
    <t>F1: Asset serviceability</t>
  </si>
  <si>
    <t>For further details see Dŵr Cymru PR14 FD final determination company-specific appendix (pages 145-148).</t>
  </si>
  <si>
    <t>PR14WSHWSW_F2</t>
  </si>
  <si>
    <t>WSH-11</t>
  </si>
  <si>
    <t>F2: Leakage</t>
  </si>
  <si>
    <t>Warning: reward deadband and cap values printed in the wrong order on page 149 of the Dŵr Cymru PR14 FD final determination company-specific appendix.
For further details pages 149-150.</t>
  </si>
  <si>
    <t>PR14WSHWSW_F3</t>
  </si>
  <si>
    <t>F3</t>
  </si>
  <si>
    <t>WSH-12</t>
  </si>
  <si>
    <t>F3: Asset resilience - % of critical assets that are resilient against a set of criteria</t>
  </si>
  <si>
    <t>% critical assets that are resilient against a set of criteria</t>
  </si>
  <si>
    <t>For further details see Dŵr Cymru PR14 FD final determination company-specific appendix (pages 150-151).</t>
  </si>
  <si>
    <t>PR14WSHWSWW_B2</t>
  </si>
  <si>
    <t>WSH-13</t>
  </si>
  <si>
    <t>B2: Treating used water - % compliance of WwTW</t>
  </si>
  <si>
    <t>% compliance against WwTW discharge permits</t>
  </si>
  <si>
    <t>PR14WSHWSWW_B3</t>
  </si>
  <si>
    <t>WSH-14</t>
  </si>
  <si>
    <t>B3: Preventing pollution - number of incidents</t>
  </si>
  <si>
    <t>PR14WSHWSWW_C1</t>
  </si>
  <si>
    <t>WSH-15</t>
  </si>
  <si>
    <t>C1: Adapting to climate change - the volume of surface water removed from the system, expressed in number of properties equivalent</t>
  </si>
  <si>
    <t>Surface water removed expressed in no. props equivalent</t>
  </si>
  <si>
    <t>PR14WSHWSWW_C2</t>
  </si>
  <si>
    <t>WSH-16</t>
  </si>
  <si>
    <t>PR14WSHWSWW_D1</t>
  </si>
  <si>
    <t>Best in class customer service</t>
  </si>
  <si>
    <t>WSH-17</t>
  </si>
  <si>
    <t>D1: Service incentive mechanism</t>
  </si>
  <si>
    <t>PR14WSHWSWW_D2</t>
  </si>
  <si>
    <t>WSH-18</t>
  </si>
  <si>
    <t>PR14WSHWSWW_D3</t>
  </si>
  <si>
    <t>WSH-19</t>
  </si>
  <si>
    <t>D3: Internal sewer flooding - properties flooded in the year</t>
  </si>
  <si>
    <t>No. of properties subjected to internal sewer flooding</t>
  </si>
  <si>
    <t>PR14WSHWSWW_D5</t>
  </si>
  <si>
    <t>WSH-20</t>
  </si>
  <si>
    <t>D5: Earning the trust of customers  - % of customers surveyed that say they trust the company</t>
  </si>
  <si>
    <t>PR14WSHWSWW_E1</t>
  </si>
  <si>
    <t>WSH-21</t>
  </si>
  <si>
    <t>PR14WSHWSWW_F1</t>
  </si>
  <si>
    <t>WSH-22</t>
  </si>
  <si>
    <t>For further details see Dŵr Cymru PR14 FD final determination company-specific appendix (pages 165-168).</t>
  </si>
  <si>
    <t>PR14WSHWSWW_F3</t>
  </si>
  <si>
    <t>WSH-23</t>
  </si>
  <si>
    <t>Welsh Water is not receiving any penalties until the end of the period.
The maximum penalty is £11m.</t>
  </si>
  <si>
    <t>PR14WSHNHHR_D1</t>
  </si>
  <si>
    <t>Best in class customer service (business customers)</t>
  </si>
  <si>
    <t>WSH-28</t>
  </si>
  <si>
    <t>PR14WSHNHHR_D4</t>
  </si>
  <si>
    <t>D4</t>
  </si>
  <si>
    <t>WSH-29</t>
  </si>
  <si>
    <t>D4: Business customer satisfaction</t>
  </si>
  <si>
    <t>PR14WSHNHHR_D5</t>
  </si>
  <si>
    <t>WSH-30</t>
  </si>
  <si>
    <t>PR14WSHNHHR_E1</t>
  </si>
  <si>
    <t>WSH-31</t>
  </si>
  <si>
    <t>PR14WSHHHR_D1</t>
  </si>
  <si>
    <t>WSH-24</t>
  </si>
  <si>
    <t>PR14WSHHHR_D5</t>
  </si>
  <si>
    <t>WSH-25</t>
  </si>
  <si>
    <t>PR14WSHHHR_E1</t>
  </si>
  <si>
    <t>WSH-26</t>
  </si>
  <si>
    <t>PR14WSHHHR_E2</t>
  </si>
  <si>
    <t>WSH-27</t>
  </si>
  <si>
    <t>E2: Help for disadvantaged customers (customers benefiting from social tariffs)</t>
  </si>
  <si>
    <t>No. of customers benefiting from social tariffs</t>
  </si>
  <si>
    <t>PR14WSXWSW_B4</t>
  </si>
  <si>
    <t>Rivers, lakes and estuaries</t>
  </si>
  <si>
    <t>WSX-01</t>
  </si>
  <si>
    <t>B4: Compliance with abstraction licences</t>
  </si>
  <si>
    <t>% compliance with EA abstraction licences</t>
  </si>
  <si>
    <t>PR14WSXWSW_B5</t>
  </si>
  <si>
    <t>WSX-02</t>
  </si>
  <si>
    <t>B5: Abstractions at Mere exported (follows principles of the AIM methodology)</t>
  </si>
  <si>
    <t>Megalitres per annum (Ml/a)</t>
  </si>
  <si>
    <t>To be based on the flows recorded in the meter that measures the transfer from Mere to Whitesheet (DF034). Only transfers that occur when the groundwater level at the Burton observation borehole is below 103.75m AOD will be counted in the incentive.
Unlike other ODIs, the purpose of this incentive is not as such to discourage or penalise poor performance but instead, following the principles of the Abstraction Incentive Mechanism methodology, to recognise the environmental significance (externalities) of exporting water from the Mere area.</t>
  </si>
  <si>
    <t>PR14WSXWSW_B6</t>
  </si>
  <si>
    <t>WSX-03</t>
  </si>
  <si>
    <t>B6: BAP landholding assessed and managed for biodiversity</t>
  </si>
  <si>
    <t>% WSX landholding assessed &amp; managed for biodiversity</t>
  </si>
  <si>
    <t>PR14WSXWSW_B7</t>
  </si>
  <si>
    <t>B7</t>
  </si>
  <si>
    <t>WSX-04</t>
  </si>
  <si>
    <t>B7: Length of rivers with improved flows</t>
  </si>
  <si>
    <t>Kilometres (km) of river with improved flows (cumulative)</t>
  </si>
  <si>
    <t>PR14WSXWSW_D2</t>
  </si>
  <si>
    <t>Resilient services</t>
  </si>
  <si>
    <t>WSX-05</t>
  </si>
  <si>
    <t>D2: Restrictions on water use (hosepipe bans)</t>
  </si>
  <si>
    <t>No. of hosepipe bans (temporary use ban)</t>
  </si>
  <si>
    <t>Cap of 1 ban per AMP period. Not applicable if the weather is drier than that experienced in 1975/76 as this is the design standard for the reliability of supplies (see final WRMP - June 2014).</t>
  </si>
  <si>
    <t>PR14WSXWSW_D3</t>
  </si>
  <si>
    <t>WSX-06</t>
  </si>
  <si>
    <t>D3: Water supply interruptions (&gt; 3 hours including planned, unplanned and third party interruptions)</t>
  </si>
  <si>
    <t>PR14WSXWSW_D4</t>
  </si>
  <si>
    <t>WSX-07</t>
  </si>
  <si>
    <t>D4: Properties supplied by a single source (including the integrated supply grid)</t>
  </si>
  <si>
    <t>No. of properties supplied by a single source</t>
  </si>
  <si>
    <t>Penalty 1 (timing delays): £76.60 number of properties/year
Penalty 2 (non-delivery): £2,445 number of properties/year
Incentives to be determined at PR19 based on the extent of completion of the integrated supply grid and, if relevant, expected date of completion. If improvements not delivered at this point timing delay penalties will apply for each year’s delay until expected completion.
If substantive progress toward delivery cannot be demonstrated with a plan to deliver the original committed performance level at this point the non-delivery penalty will apply pro-rata for the scale of non-delivery.</t>
  </si>
  <si>
    <t>PR14WSXWSW_D5</t>
  </si>
  <si>
    <t>WSX-08</t>
  </si>
  <si>
    <t>D5: Water main bursts</t>
  </si>
  <si>
    <t>No. of water main bursts per year</t>
  </si>
  <si>
    <t>&lt;1,876</t>
  </si>
  <si>
    <t>&lt;1,993</t>
  </si>
  <si>
    <t>PR14WSXWSW_F1</t>
  </si>
  <si>
    <t>WSX-09</t>
  </si>
  <si>
    <t>F1: Volume of water leaked</t>
  </si>
  <si>
    <t>Note: the penalty collar values have been taken from the corrigendum to the company specific appendix that accompanied the Notification by the Water Services Regulation Authority of its determination of Price Controls for Retail Activities and for Wholesale Activities for Wessex Water Services Limited (published 13 February 2015)</t>
  </si>
  <si>
    <t>PR14WSXWSW_F2</t>
  </si>
  <si>
    <t>WSX-10</t>
  </si>
  <si>
    <t>F2: Customer reported leaks fixed within a day</t>
  </si>
  <si>
    <t>% customer reported leaks fixed within a day</t>
  </si>
  <si>
    <t>PR14WSXWSW_G1</t>
  </si>
  <si>
    <t>Highest quality drinking water</t>
  </si>
  <si>
    <t>WSX-11</t>
  </si>
  <si>
    <t>G1: Customer contacts about drinking water quality</t>
  </si>
  <si>
    <t>No. contacts in the year about drinking water quality</t>
  </si>
  <si>
    <t>PR14WSXWSW_G2</t>
  </si>
  <si>
    <t>WSX-12</t>
  </si>
  <si>
    <t>G2: Compliance with drinking water standards (MZC)</t>
  </si>
  <si>
    <t>&lt;99.95</t>
  </si>
  <si>
    <t>A binary annual penalty is applied if performance falls under 99.95%.</t>
  </si>
  <si>
    <t>PR14WSXWSWW_A1</t>
  </si>
  <si>
    <t>Improved bathing waters</t>
  </si>
  <si>
    <t>WSX-13</t>
  </si>
  <si>
    <t>A1: Agreed schemes delivered (named outputs with bathing water drivers in the NEP)</t>
  </si>
  <si>
    <t>% of agreed schemes delivered (NEP bathing water)</t>
  </si>
  <si>
    <t>-</t>
  </si>
  <si>
    <t>Cumulative target. Schemes listed in the NEP Phase 4.</t>
  </si>
  <si>
    <t>PR14WSXWSWW_A2</t>
  </si>
  <si>
    <t>WSX-14</t>
  </si>
  <si>
    <t>A2: Beaches passing EU standards</t>
  </si>
  <si>
    <t>% bathing waters meeting the revised BWD standards</t>
  </si>
  <si>
    <t>PR14WSXWSWW_B1</t>
  </si>
  <si>
    <t>WSX-15</t>
  </si>
  <si>
    <t>B1: The EA’s Environmental Performance Assessment (reward mechanism based on pollution incidents)</t>
  </si>
  <si>
    <t>EA’s Environmental Performance Assessment standing</t>
  </si>
  <si>
    <t>Industry leading</t>
  </si>
  <si>
    <t>Ind leading</t>
  </si>
  <si>
    <t>Below average</t>
  </si>
  <si>
    <t>Above average</t>
  </si>
  <si>
    <t>0/67</t>
  </si>
  <si>
    <t>0/0</t>
  </si>
  <si>
    <t>The penalty will be capped to a maximum of three applications during the AMP.
Environment Agency’s ratings are ‘industry leading’; ‘above average’; ‘below average’ and ‘poor performing’.
The assessment includes sewage treatment work compliance with discharge permits. In line with the expectations of the Environment Agency, Wessex Water must target 100% compliance with numeric discharge permits from 2015-16.
Reward mechanism applicable if performance is 0 (zero) Category 1 and 2 pollution incidents and less than 67 Category 3 pollution incidents (0/67) from wastewater assets as measured in MD109.</t>
  </si>
  <si>
    <t>PR14WSXWSWW_B2</t>
  </si>
  <si>
    <t>WSX-16</t>
  </si>
  <si>
    <t>B2: Monitoring CSOs</t>
  </si>
  <si>
    <t>% CSOs presenting environmental risk with EDM installed</t>
  </si>
  <si>
    <t>Measurement on a cumulative basis. List of individual CSOs will be in the NEP Phase 5 to be published in January 2016.
Current number of CSOs monitored is 359 (33%). End of AMP target is to monitor 1073 (100%) CSOs which present a risk to the environment.</t>
  </si>
  <si>
    <t>PR14WSXWSWW_B3</t>
  </si>
  <si>
    <t>WSX-17</t>
  </si>
  <si>
    <t>B3: River water quality improved</t>
  </si>
  <si>
    <t>No. water bodies improved through WwTW investments</t>
  </si>
  <si>
    <t>PC for number of water bodies improved is cumulative.
Customer Advisory Panel will review performance during years 3 and 4 for adjustments (penalties or rewards).</t>
  </si>
  <si>
    <t>PR14WSXWSWW_C1</t>
  </si>
  <si>
    <t>Sewer flooding</t>
  </si>
  <si>
    <t>WSX-18</t>
  </si>
  <si>
    <t>C1: Internal flooding incidents</t>
  </si>
  <si>
    <t>No. of internal sewer flooding incidents / 10,000 properties</t>
  </si>
  <si>
    <t>0.01 nr</t>
  </si>
  <si>
    <t>PC includes all incidents arising from assets transferred under S105A of the Water Industry Act.</t>
  </si>
  <si>
    <t>PR14WSXWSWW_C2</t>
  </si>
  <si>
    <t>WSX-19</t>
  </si>
  <si>
    <t>C2: Risk of flooding from public sewers due to hydraulic inadequacy</t>
  </si>
  <si>
    <t>Flooding risk as measured by sewer flooding risk grid</t>
  </si>
  <si>
    <t>&gt;60,781</t>
  </si>
  <si>
    <t>This is a new measure. PC to be rebased at 2014-15 actual end of year position.
Deadbands set at +/- 20% of starting risk score.
Binary penalty for failing to keep below +20% of starting risk score. Per point reward for each point below -20% of starting risk score.
Penalty: £10,400,000
Reward: £7,400 per risk score</t>
  </si>
  <si>
    <t>PR14WSXWSWW_C3a</t>
  </si>
  <si>
    <t>C3a</t>
  </si>
  <si>
    <t>WSX-20a</t>
  </si>
  <si>
    <t>C3a: North Bristol Sewer Scheme - Frome catchment</t>
  </si>
  <si>
    <t>Scheme delivery - Frome catchment</t>
  </si>
  <si>
    <t xml:space="preserve">In line with the Bristol sewerage strategy, additional capacity will be created in the Frome and Trym catchments. The Frome catchment scheme will be delivered within AMP6 and the Trym catchment scheme in 2022-23.
In the event that the Frome scheme is not delivered within the period, the annual penalty will apply from 2019-20 and for each year until the scheme has been delivered. If substantive progress towards delivery cannot be demonstrated at this point the full non-delivery penalty will apply instead of the penalty for delay.
Penalty for delay - Frome: £1.86m/year
Penalty for non-delivery - Frome: £24.917m
</t>
  </si>
  <si>
    <t>PR14WSXWSWW_C3b</t>
  </si>
  <si>
    <t>C3b</t>
  </si>
  <si>
    <t>WSX-20b</t>
  </si>
  <si>
    <t>C3b: North Bristol Sewer Scheme - Trym catchment</t>
  </si>
  <si>
    <t>Scheme delivery - Trym catchment</t>
  </si>
  <si>
    <t>In line with the Bristol sewerage strategy, additional capacity will be created in the Frome and Trym catchments. A milestone for the Trym catchment has been introduced in 2017-18 which requires the company to demonstrate, in line with its delivery plan, that the design, consultation and construction of the Trym scheme has been progressed.
If the Trym scheme is not on-track for delivery in line with the milestone, an annual penalty as outlined in the table above will be applied for each year of delay. If the milestone is not reached by the end of the AMP period then the penalty for non-delivery will be applied.
Penalty for delay - Trym: £0.97m/year
Penalty for non-delivery - Trym: £14.083m</t>
  </si>
  <si>
    <t>PR14WSXWSWW_D1</t>
  </si>
  <si>
    <t>WSX-21</t>
  </si>
  <si>
    <t>D1: Collapses and bursts on sewer network</t>
  </si>
  <si>
    <t>No. of sewer collapses and rising main bursts</t>
  </si>
  <si>
    <t>&lt;300</t>
  </si>
  <si>
    <t>Rolling 5-year average. PC excludes transferred S105A sewers and rising mains.</t>
  </si>
  <si>
    <t>PR14WSXWSWW_E1</t>
  </si>
  <si>
    <t>Carbon footprint</t>
  </si>
  <si>
    <t>WSX-22</t>
  </si>
  <si>
    <t>E1: Greenhouse gas emissions (annual greenhouse gas emissions from operational services)</t>
  </si>
  <si>
    <t>PR14WSXWSWW_E2</t>
  </si>
  <si>
    <t>WSX-23</t>
  </si>
  <si>
    <t>E2: Proportion of energy self-generated</t>
  </si>
  <si>
    <t>% of energy (electricty and gas) self-generated</t>
  </si>
  <si>
    <t>Includes self-supplied renewable energy generation and exported energy generation.</t>
  </si>
  <si>
    <t>PR14WSXHHR_A1</t>
  </si>
  <si>
    <t>Excellent service for customers</t>
  </si>
  <si>
    <t>WSX-24</t>
  </si>
  <si>
    <t>A1: SIM service score</t>
  </si>
  <si>
    <t>&gt;86</t>
  </si>
  <si>
    <t>PR14WSXHHR_A2</t>
  </si>
  <si>
    <t>WSX-25</t>
  </si>
  <si>
    <t>A2: Percentage rating service good/very good</t>
  </si>
  <si>
    <t>&gt;95</t>
  </si>
  <si>
    <t>PR14WSXHHR_A3</t>
  </si>
  <si>
    <t>WSX-26</t>
  </si>
  <si>
    <t>A3: Percentage rating good value for money</t>
  </si>
  <si>
    <t>PR14WSXHHR_A4</t>
  </si>
  <si>
    <t>WSX-27</t>
  </si>
  <si>
    <t>A4: Percentage rating ease of resolution</t>
  </si>
  <si>
    <t>Improving trend</t>
  </si>
  <si>
    <t>PR14WSXHHR_A5</t>
  </si>
  <si>
    <t>WSX-28</t>
  </si>
  <si>
    <t>A5: Accessible communications</t>
  </si>
  <si>
    <t>Meet best practice</t>
  </si>
  <si>
    <t>Best practice met</t>
  </si>
  <si>
    <t>PR14WSXHHR_B1a</t>
  </si>
  <si>
    <t>B1a</t>
  </si>
  <si>
    <t>WSX-29a</t>
  </si>
  <si>
    <t>B1a: Volume of water used per person</t>
  </si>
  <si>
    <t>PR14WSXHHR_B1b</t>
  </si>
  <si>
    <t>B1b</t>
  </si>
  <si>
    <t>WSX-29b</t>
  </si>
  <si>
    <t>B1b: Volume of water saved by water efficiency promotion</t>
  </si>
  <si>
    <t>PR14WSXHHR_B2</t>
  </si>
  <si>
    <t>WSX-30</t>
  </si>
  <si>
    <t>B2: Bill as a proportion of disposable income</t>
  </si>
  <si>
    <t>Bill as a proportion (%) of disposable income</t>
  </si>
  <si>
    <t>Reducing trend</t>
  </si>
  <si>
    <t>PR14YKYWSW_WA1</t>
  </si>
  <si>
    <t>We provide you with water that is clean and safe to drink</t>
  </si>
  <si>
    <t>YKY-01</t>
  </si>
  <si>
    <t>WA1: Drinking water quality</t>
  </si>
  <si>
    <t>SHLDER</t>
  </si>
  <si>
    <t>PR14YKYWSW_WA2</t>
  </si>
  <si>
    <t>YKY-02</t>
  </si>
  <si>
    <t>WA2: Significant drinking water events which require corrective action</t>
  </si>
  <si>
    <t>No. of corrective actions required by DWI with respect to potentially significant events notified</t>
  </si>
  <si>
    <t>PR14YKYWSW_WA3</t>
  </si>
  <si>
    <t>YKY-03</t>
  </si>
  <si>
    <t>WA3: Drinking water contacts</t>
  </si>
  <si>
    <t>Revenue or SHLDER</t>
  </si>
  <si>
    <t>No. of contacts (discolouration, taste &amp; odour and illness) in line with DWI reporting</t>
  </si>
  <si>
    <t>PR14YKYWSW_WA4</t>
  </si>
  <si>
    <t>YKY-04</t>
  </si>
  <si>
    <t>WA4: Water quality stability and reliability factor</t>
  </si>
  <si>
    <t>Up to 10% totex for outcome</t>
  </si>
  <si>
    <t>PR14YKYWSW_WB1</t>
  </si>
  <si>
    <t>We make sure that you always have enough water</t>
  </si>
  <si>
    <t>YKY-05</t>
  </si>
  <si>
    <t>WB1: Leakage</t>
  </si>
  <si>
    <t>PR14YKYWSW_WB2</t>
  </si>
  <si>
    <t>YKY-06</t>
  </si>
  <si>
    <t>WB2: Water supply interruptions</t>
  </si>
  <si>
    <t>Minutes lost per property per year</t>
  </si>
  <si>
    <t>PR14YKYWSW_WB3</t>
  </si>
  <si>
    <t>YKY-07</t>
  </si>
  <si>
    <t>WB3: Water use</t>
  </si>
  <si>
    <t>PR14YKYWSW_WB4</t>
  </si>
  <si>
    <t>YKY-08</t>
  </si>
  <si>
    <t>WB4: Water network stability and reliability factor</t>
  </si>
  <si>
    <t>PR14YKYWSW_WC1</t>
  </si>
  <si>
    <t>We protect and improve the water environment</t>
  </si>
  <si>
    <t>YKY-09</t>
  </si>
  <si>
    <t>WC1: Length of river improved (note: PC is part of a total commitment at Appointee level - see also SB4)</t>
  </si>
  <si>
    <t>Kilometres (km) of river improved (modelled length)</t>
  </si>
  <si>
    <t>PR14YKYWSW_WC2</t>
  </si>
  <si>
    <t>YKY-10</t>
  </si>
  <si>
    <t>WC2: Solutions delivered by working with others (note: PC is part of a total commitment at Appointee level - see also SB3)</t>
  </si>
  <si>
    <t>No. of solutions delivered by working with others</t>
  </si>
  <si>
    <t>5% of totex cost of YW cost for each eligible intervention</t>
  </si>
  <si>
    <t>Reward (incentive rate): 5% of totex for each eligible intervention</t>
  </si>
  <si>
    <t>PR14YKYWSW_WC3</t>
  </si>
  <si>
    <t>YKY-11</t>
  </si>
  <si>
    <t>WC3: Amount of land conserved and enhanced (note: PC is part of a total commitment at Appointee level - see also SB5)</t>
  </si>
  <si>
    <t>No. of hectares of land conserved &amp; enhanced (cumulative)</t>
  </si>
  <si>
    <t>PR14YKYWSW_WC4</t>
  </si>
  <si>
    <t>YKY-12</t>
  </si>
  <si>
    <t>WC4: Recreational visitor satisfaction</t>
  </si>
  <si>
    <t>Asessment of customer satisfaction (qualitative survey)</t>
  </si>
  <si>
    <t>Assessment</t>
  </si>
  <si>
    <t>PR14YKYWSW_WD1</t>
  </si>
  <si>
    <t>We understand our impact on the wider environment and act responsibly</t>
  </si>
  <si>
    <t>YKY-13</t>
  </si>
  <si>
    <t>WD1: Proportion of energy use generated by renewable technology (note: PC is part of a total commitment at Appointee level - see also SC1 and RC1)</t>
  </si>
  <si>
    <t>% of energy use generated by renewable technology</t>
  </si>
  <si>
    <t>PR14YKYWSW_WD2</t>
  </si>
  <si>
    <t>WD2</t>
  </si>
  <si>
    <t>YKY-14</t>
  </si>
  <si>
    <t>WD2: Proportion of waste diverted from landfill (note: PC is part of a total commitment at Appointee level - see also SC2 and RC2)</t>
  </si>
  <si>
    <t>% of waste diverted from landfill (re-used and recycled)</t>
  </si>
  <si>
    <t>PR14YKYWSWW_SA1</t>
  </si>
  <si>
    <t>We take care of your wastewater and protect you and the environment from sewer flooding</t>
  </si>
  <si>
    <t>YKY-15</t>
  </si>
  <si>
    <t>SA1: Internal sewer flooding incidents</t>
  </si>
  <si>
    <t>PR14YKYWSWW_SA2</t>
  </si>
  <si>
    <t>YKY-16</t>
  </si>
  <si>
    <t>SA2: External sewer flooding incidents</t>
  </si>
  <si>
    <t>PR14YKYWSWW_SA3a</t>
  </si>
  <si>
    <t>SA3a</t>
  </si>
  <si>
    <t>YKY-17a</t>
  </si>
  <si>
    <t>SA3a: Pollution incidents - category 1 and 2</t>
  </si>
  <si>
    <t>PR14YKYWSWW_SA3b</t>
  </si>
  <si>
    <t>SA3b</t>
  </si>
  <si>
    <t>YKY-17b</t>
  </si>
  <si>
    <t>SA3b: Pollution incidents - category 3</t>
  </si>
  <si>
    <t>PR14YKYWSWW_SA4</t>
  </si>
  <si>
    <t>SA4</t>
  </si>
  <si>
    <t>YKY-18</t>
  </si>
  <si>
    <t>SA4: Sewer network stability and reliability factor</t>
  </si>
  <si>
    <t>PR14YKYWSWW_SB1</t>
  </si>
  <si>
    <t>YKY-19</t>
  </si>
  <si>
    <t>SB1: Number of Yorkshire's designated bathing waters that exceed the required quality standard</t>
  </si>
  <si>
    <t>No. of bathing waters exceeding required standard</t>
  </si>
  <si>
    <t>PR14YKYWSWW_SB2</t>
  </si>
  <si>
    <t>YKY-20</t>
  </si>
  <si>
    <t>SB2: Wastewater quality stability and reliability factor</t>
  </si>
  <si>
    <t>PR14YKYWSWW_SB3</t>
  </si>
  <si>
    <t>YKY-21</t>
  </si>
  <si>
    <t>SB3: Solutions delivered by working with others (note: PC is part of a total commitment at Appointee level - see also WC2)</t>
  </si>
  <si>
    <t>PR14YKYWSWW_SB4</t>
  </si>
  <si>
    <t>YKY-22</t>
  </si>
  <si>
    <t>SB4: Length of river improved (against WFD component measures) (note: PC is part of a total commitment at Appointee level - see also WC1)</t>
  </si>
  <si>
    <t>PR14YKYWSWW_SB5</t>
  </si>
  <si>
    <t>YKY-23</t>
  </si>
  <si>
    <t>SB5: Amount of land conserved and enhanced (total cumulative area) (note: PC is part of a total commitment at Appointee level - see also WC3)</t>
  </si>
  <si>
    <t>PR14YKYWSWW_SC1</t>
  </si>
  <si>
    <t>YKY-24</t>
  </si>
  <si>
    <t>SC1: Proportion of energy use generated by renewable technology (note: PC is part of a total commitment at Appointee level - see also WD1 and RC1)</t>
  </si>
  <si>
    <t>PR14YKYWSWW_SC2</t>
  </si>
  <si>
    <t>YKY-25</t>
  </si>
  <si>
    <t>SC2: Proportion of waste diverted from landfill (re-used and recycled) (note: PC is part of a total commitment at Appointee level - see also WD2 and RC2)</t>
  </si>
  <si>
    <t>PR14YKYHHR_RA1</t>
  </si>
  <si>
    <t>We provide the level of customer service you expect and value</t>
  </si>
  <si>
    <t>YKY-26</t>
  </si>
  <si>
    <t>RA1: Customer service - service incentive mechanism (SIM)</t>
  </si>
  <si>
    <t>&gt;2014-15</t>
  </si>
  <si>
    <t>&gt;2015-16</t>
  </si>
  <si>
    <t>&gt;2016-17</t>
  </si>
  <si>
    <t>&gt;2017-18</t>
  </si>
  <si>
    <t>&gt;2018-19</t>
  </si>
  <si>
    <t>PR14YKYHHR_RA2</t>
  </si>
  <si>
    <t>YKY-27</t>
  </si>
  <si>
    <t>RA2: Service commitment failures</t>
  </si>
  <si>
    <t>No. of GSS (Guaranteed Standards of Service) events</t>
  </si>
  <si>
    <t>Average of 2015-20 performance to be less than average of last 3 years of 2010-15 performance</t>
  </si>
  <si>
    <t>PR14YKYHHR_RA3</t>
  </si>
  <si>
    <t>YKY-28</t>
  </si>
  <si>
    <t>RA3: Overall customer satisfaction (CCWater annual tracking survey)</t>
  </si>
  <si>
    <t>% overall customer satisfaction (CCWater tracking survey)</t>
  </si>
  <si>
    <t>Average of 2015-20 performance to be better than average of 2010-15 performance</t>
  </si>
  <si>
    <t>PR14YKYHHR_RB1</t>
  </si>
  <si>
    <t>We keep your bills as low as possible</t>
  </si>
  <si>
    <t>YKY-29</t>
  </si>
  <si>
    <t>RB1: Cost of bad debt to customers (expressed as proportion of bill)</t>
  </si>
  <si>
    <t>Cost of bad debt as % of average annual bill</t>
  </si>
  <si>
    <t>PR14YKYHHR_RB2</t>
  </si>
  <si>
    <t>RB2</t>
  </si>
  <si>
    <t>YKY-30</t>
  </si>
  <si>
    <t>RB2: Number of people who we help to pay their bill</t>
  </si>
  <si>
    <t>No. of customers who are assisted to pay their bill</t>
  </si>
  <si>
    <t>To publish data annually on the number of people who have been helped</t>
  </si>
  <si>
    <t>PR14YKYHHR_RB3</t>
  </si>
  <si>
    <t>RB3</t>
  </si>
  <si>
    <t>YKY-31</t>
  </si>
  <si>
    <t>RB3: Value for money (CCWater annual tracking survey)</t>
  </si>
  <si>
    <t>% customer satisfaction (CCWater tracking survey)</t>
  </si>
  <si>
    <t>Average of 2015-20 performance to better than average of 2010-15 performance</t>
  </si>
  <si>
    <t>PR14YKYHHR_RC1</t>
  </si>
  <si>
    <t>YKY-32</t>
  </si>
  <si>
    <t>RC1: Proportion of energy use generated by renewable technology (note: PC is part of a total commitment at Appointee level - see also WD1 and SC1)</t>
  </si>
  <si>
    <t>PR14YKYHHR_RC2</t>
  </si>
  <si>
    <t>YKY-33</t>
  </si>
  <si>
    <t>RC2: Proportion of waste diverted from landfill (re-used and recycled) (note: PC is part of a total commitment at Appointee level - see also WD2 and SC2)</t>
  </si>
  <si>
    <t>WSXPC</t>
  </si>
  <si>
    <t>Customer type</t>
  </si>
  <si>
    <t>Unmeasured (potable water)</t>
  </si>
  <si>
    <t>Band 1 - Water: unmetered</t>
  </si>
  <si>
    <t>Standard Water - Unmetered</t>
  </si>
  <si>
    <t>1 Up to 50 Ml Water Unmetered</t>
  </si>
  <si>
    <t>UM-W; Water unmetered</t>
  </si>
  <si>
    <t>Tariff band 1  ≤50 Ml/a water metered</t>
  </si>
  <si>
    <t>[0 - 500]  [0 - 500m3] [water] [metered]</t>
  </si>
  <si>
    <t>Band A - 250Ml+</t>
  </si>
  <si>
    <t>Tariff band 01 - Unmeasured</t>
  </si>
  <si>
    <t>Water Unmeasured Non-Household</t>
  </si>
  <si>
    <t>Domestic Commercials 0 to 750 m3/a Water Metered</t>
  </si>
  <si>
    <t>[over 250Mla] [water] [metered/unmetered]</t>
  </si>
  <si>
    <t>Unmeasured - South Staffs Region</t>
  </si>
  <si>
    <t>Northern area unmeasured</t>
  </si>
  <si>
    <t>Standard Unmeasured Water</t>
  </si>
  <si>
    <t>Raw Water &lt; 50Ml (Measured)</t>
  </si>
  <si>
    <t>AFW Measured Half Yearly, no volume band, water, metered</t>
  </si>
  <si>
    <t>Cust type 01, Unmeasured, Unmeas Water N, Unmeasured</t>
  </si>
  <si>
    <t>Hartlepool Unmeasured (potable water)</t>
  </si>
  <si>
    <t>Band 2 - Water:  0-10 ml/a - metered</t>
  </si>
  <si>
    <t>Standard 0-1Ml p.a. Water Metered</t>
  </si>
  <si>
    <t>2 Up to 50Ml Water Metered</t>
  </si>
  <si>
    <t>UM-W; Water unmetered mixed use</t>
  </si>
  <si>
    <t>Tariff band 2 &gt; 50 ≤ 250 Ml/a water metered</t>
  </si>
  <si>
    <t>[500 - 1,000]  [500 - 1,000m3] [water] [metered]</t>
  </si>
  <si>
    <t>Band B - 100-250Ml</t>
  </si>
  <si>
    <t>Tariff band 02 - Measured less than 50Ml</t>
  </si>
  <si>
    <t>Water Measured Non-Household &lt; 10Ml</t>
  </si>
  <si>
    <t>Small Commercials 750 to 2000 m3/a Water Metered</t>
  </si>
  <si>
    <t>[50-250Mla [water] [metered]</t>
  </si>
  <si>
    <t>Measured &lt;50 Ml/yr - South Staffs Region</t>
  </si>
  <si>
    <t>Northern area standard user metered</t>
  </si>
  <si>
    <t>Standard Measured Water</t>
  </si>
  <si>
    <t>Partially Treated Water &lt; 50Ml (Measured)</t>
  </si>
  <si>
    <t>AFW Measured Monthly, no volume band, water, metered</t>
  </si>
  <si>
    <t>Cust type 02, Unmeasured, Unmeas Water S, Unmeasured</t>
  </si>
  <si>
    <t>Streamline Green (potable water) - (0.0Ml to 0.5Ml)</t>
  </si>
  <si>
    <t>Band 3 - Water:  10-50 ml/a - metered</t>
  </si>
  <si>
    <t>Standard 1-5Ml pa Water Metered</t>
  </si>
  <si>
    <t>3 &gt; 50Ml water metered</t>
  </si>
  <si>
    <t>M-W-0; 0-1 Ml water metered</t>
  </si>
  <si>
    <t>Tariff band 3  &gt; 250 Ml/a water metered</t>
  </si>
  <si>
    <t>[1,000 - 5,000]  [1,000 - 5,000m3] [water] [metered]</t>
  </si>
  <si>
    <t>Band C - 50-100 Ml</t>
  </si>
  <si>
    <t>Tariff band 03 - Untreated measured less than 50Ml</t>
  </si>
  <si>
    <t>Water Measured Non-Household &gt; 10Ml and &lt; 50Ml</t>
  </si>
  <si>
    <t>Small Medium Commercials 2000 to 4000 m3/a Water Metered</t>
  </si>
  <si>
    <t>[10-50Mla] [water] [metered]</t>
  </si>
  <si>
    <t>Medium User &gt;=50 Ml/yr - South Staffs Region</t>
  </si>
  <si>
    <t>Northern area mid user metered</t>
  </si>
  <si>
    <t>Large &amp; Special User 50-100ML Water</t>
  </si>
  <si>
    <t>Potable Water &lt; 50Ml (Non Household)</t>
  </si>
  <si>
    <t>AFW Unmeasured, no volume band, water, unmetered</t>
  </si>
  <si>
    <t>Cust type 03, Measured, Meas Water N std, Measured</t>
  </si>
  <si>
    <t>Streamline Orange (potable water) - (0.5Ml to 5.0Ml)</t>
  </si>
  <si>
    <t>Band 4 - Water:  50+ ml/a - metered</t>
  </si>
  <si>
    <t>Standard 5-20Ml pa Water Metered</t>
  </si>
  <si>
    <t>4 Up to 50Ml Non-potable Water Metered</t>
  </si>
  <si>
    <t>M-W-0-MX; 0-1Ml water metered mixed use</t>
  </si>
  <si>
    <t>Tariff band 4 water unmetered</t>
  </si>
  <si>
    <t>[5,000 - 20,000]  [5,000 - 20,000m3] [water] [metered]</t>
  </si>
  <si>
    <t>Band D - 15-50 Ml</t>
  </si>
  <si>
    <t>Tariff band 04 - Large user</t>
  </si>
  <si>
    <t>Water Measured Non-Household &gt; 50Ml</t>
  </si>
  <si>
    <t>Large Medium Commercials 4000 to 10000 m3/a Water Metered</t>
  </si>
  <si>
    <t>[5-10Mla] [water] [metered]</t>
  </si>
  <si>
    <t>Large User Up to 350 Ml/yr - South Staffs Region</t>
  </si>
  <si>
    <t>Northern area high user metered</t>
  </si>
  <si>
    <t>Large &amp; Special User 100-250ML Water</t>
  </si>
  <si>
    <t>AFW Assessed, no volume band, water, unmetered</t>
  </si>
  <si>
    <t>Cust type 04, Measured, Meas Water N f20, Measured</t>
  </si>
  <si>
    <t>Streamline Blue (potable water) - (5.0Ml to 10.0Ml)</t>
  </si>
  <si>
    <t>Band 5 - Water:  special agreements - metered</t>
  </si>
  <si>
    <t>Standard 20-100Ml pa Water Metered</t>
  </si>
  <si>
    <t>5 &gt; 50Ml Non-potable Water Metered</t>
  </si>
  <si>
    <t>M-W-1; 1-5Ml water metered</t>
  </si>
  <si>
    <t>[20,000 - 50,000]  [20,000 - 50,000m3] [water] [metered]</t>
  </si>
  <si>
    <t>Band E 5-15Ml</t>
  </si>
  <si>
    <t>Tariff band 05 - Measured 50Ml – 250 Ml</t>
  </si>
  <si>
    <t>High Commercials 10000 to 50,000 m3/a Water Metered</t>
  </si>
  <si>
    <t>[0-5Mla] [water] [metered]</t>
  </si>
  <si>
    <t>Large User Over 350 Ml/yr - South Staffs Region</t>
  </si>
  <si>
    <t>Southern area unmeasured</t>
  </si>
  <si>
    <t>Large &amp; Special User 250+ML Water</t>
  </si>
  <si>
    <t>Raw Treated Water &gt; 50Ml (Measured)</t>
  </si>
  <si>
    <t>AFW Special Agreements, no volume band, water, measured</t>
  </si>
  <si>
    <t>Cust type 05, Measured, Meas Water N fx, Measured</t>
  </si>
  <si>
    <t>Profile (potable water) - (10.0Ml to 25.0Ml)</t>
  </si>
  <si>
    <t>Standard Over 100Ml pa Water Metered</t>
  </si>
  <si>
    <t>15 Water Special Agreements</t>
  </si>
  <si>
    <t>M-W-1-MX; 1-5Ml water metered mixed use</t>
  </si>
  <si>
    <t>[50,000 - 250,000]  [50,000 - 250,000m3] [water] [metered]</t>
  </si>
  <si>
    <t>Band F - 1-5Ml</t>
  </si>
  <si>
    <t>Tariff band 06 - Untreated measured greater than 50Ml</t>
  </si>
  <si>
    <t>Very High Commercials&gt;50,000m3/a Water Metered</t>
  </si>
  <si>
    <t>[water] [unmetered]</t>
  </si>
  <si>
    <t>Measured &gt;=150 Ml/yr - Cambridge region</t>
  </si>
  <si>
    <t>Southern area standard user metered</t>
  </si>
  <si>
    <t>Large &amp; Special User Special Agreements Water</t>
  </si>
  <si>
    <t>Partial Water &gt; 50Ml (Measured)</t>
  </si>
  <si>
    <t>Cust type 06, Measured, Meas Water N f+, Measured</t>
  </si>
  <si>
    <t>Profile Plus (potable water) - (25.0Ml +)</t>
  </si>
  <si>
    <t>M-W-5; 5-25Ml water metered</t>
  </si>
  <si>
    <t>[250,000 +]  [250,000 +m3] [water] [metered]</t>
  </si>
  <si>
    <t>Band G - 0-1Ml</t>
  </si>
  <si>
    <t>SpecialAgreement- water metered</t>
  </si>
  <si>
    <t>Measured &lt;150 Ml/yr - Cambridge region</t>
  </si>
  <si>
    <t>Southern area mid user metered</t>
  </si>
  <si>
    <t>Water Large User 50Ml - 99Ml (Measured)</t>
  </si>
  <si>
    <t>Cust type 07, Measured, Meas Water S std, Measured</t>
  </si>
  <si>
    <t>Profile Interruptible (potable water) - (25.0Ml +)</t>
  </si>
  <si>
    <t>M-W-5-MX; 5-25Ml water metered mixed use</t>
  </si>
  <si>
    <t>[0 - 500 Business Assessed]  [0 - 500m3] [water] [unmetered]</t>
  </si>
  <si>
    <t>Band U</t>
  </si>
  <si>
    <t>Domestic Commercials unmetered</t>
  </si>
  <si>
    <t>Unmeasured BRV - Cambridge region</t>
  </si>
  <si>
    <t>Southern area high user metered</t>
  </si>
  <si>
    <t>Water Large User 100Ml - 249Ml (Measured)</t>
  </si>
  <si>
    <t>Cust type 08, Measured, Meas Water S f20, Measured</t>
  </si>
  <si>
    <t>Hartlepool Commercial (potable water) - (0.0Ml to 50.0Ml)</t>
  </si>
  <si>
    <t>M-W-25; 25-50Ml water metered</t>
  </si>
  <si>
    <t>[500 - 1,000 Business Assessed]  [500 - 1,000m3] [water] [unmetered]</t>
  </si>
  <si>
    <t>Unmeasured student rooms - Cambridge region</t>
  </si>
  <si>
    <t>Special agreement 1 metered</t>
  </si>
  <si>
    <t>Water Large User 250Ml - 499Ml (Measured)</t>
  </si>
  <si>
    <t>Cust type 09, Measured, Meas Water S fx, Measured</t>
  </si>
  <si>
    <t>Hartlepool Profile (potable water) - (50.0Ml +)</t>
  </si>
  <si>
    <t>M-W-50; 50-100Ml water metered</t>
  </si>
  <si>
    <t>[1,000 - 5,000 Business Assessed]  [1,000 - 5,000m3] [water] [unmetered]</t>
  </si>
  <si>
    <t>Unmeasured zero RV - Cambridge region</t>
  </si>
  <si>
    <t>Special agreement 2 metered</t>
  </si>
  <si>
    <t>Water Large User 500Ml - 1000Ml (Measured)</t>
  </si>
  <si>
    <t>Cust type 10, Measured, Meas Water S f+, Measured</t>
  </si>
  <si>
    <t>Streamline Orange (non-potable water) - (0.0Ml to 5.0Ml)</t>
  </si>
  <si>
    <t>M-W-100; 100-250Ml water metered</t>
  </si>
  <si>
    <t>[5,000 - 20,000 Business Assessed]  [5,000 - 20,000m3] [water] [unmetered]</t>
  </si>
  <si>
    <t>Water Large User &gt;1000 (Measured)</t>
  </si>
  <si>
    <t>Cust type 15, Measured, Ind Water, Measured</t>
  </si>
  <si>
    <t>Streamline Blue (non-potable water) - (5.0Ml to 10.0Ml)</t>
  </si>
  <si>
    <t>M-W-250; 250-500Ml water metered</t>
  </si>
  <si>
    <t>[Unmeasured RV + Fixed]  [N/A] [water] [unmetered]</t>
  </si>
  <si>
    <t>Special Agreement Register - Customer Reference WSHNONPOT8</t>
  </si>
  <si>
    <t>Profile (non-potable water) - (10.0Ml to 25.0Ml)</t>
  </si>
  <si>
    <t>M-W-500; &gt;500Ml water metered</t>
  </si>
  <si>
    <t>Special Agreement Register - Customer Reference WSHNONPOT9</t>
  </si>
  <si>
    <t>Profile Plus (non-potable water) - (25.0ml to 400.0Ml)</t>
  </si>
  <si>
    <t>Special Agreement Register - Customer Reference WSHPOT1</t>
  </si>
  <si>
    <t>Profile Industrial (non-potable water) - (400.0Ml +)</t>
  </si>
  <si>
    <t>Special Agreements (potable water) - (0.0Ml +)</t>
  </si>
  <si>
    <t>Special Agreements (non potable water) - (0.0Ml +)</t>
  </si>
  <si>
    <t>Unmeasured (Sewerage)</t>
  </si>
  <si>
    <t>Band 6 - Sewerage:  unmetered</t>
  </si>
  <si>
    <t>Standard Sewerage Unmetered</t>
  </si>
  <si>
    <t>6 Up to 50 Ml Sewerage Unmetered</t>
  </si>
  <si>
    <t>UM-S; Sewerage unmetered</t>
  </si>
  <si>
    <t>Tariff band 5  ≤50 Ml/a sewerage metered</t>
  </si>
  <si>
    <t>[0 - 500]  [0 - 500m3] [sewerage] [metered]</t>
  </si>
  <si>
    <t>Sewerage Measured &lt;100Ml</t>
  </si>
  <si>
    <t>Cust type 11, Unmeasured, Unmeas Sew, Unmeasured</t>
  </si>
  <si>
    <t>Standard Unmeasured Sewerage</t>
  </si>
  <si>
    <t>Streamline Green (Sewerage) - (0.0Ml to 0.5Ml)</t>
  </si>
  <si>
    <t>Band 7 - Sewerage:  0-50 ml/a - metered</t>
  </si>
  <si>
    <t>Standard 0-1Ml pa Sewerage Metered</t>
  </si>
  <si>
    <t>7 Up to 50Ml Sewerage Foul Metered</t>
  </si>
  <si>
    <t>UM-S; Sewerage unmetered mixed use</t>
  </si>
  <si>
    <t>Tariff band 6  &gt; 50 ≤ 250 Ml/a sewerage metered</t>
  </si>
  <si>
    <t>[500 - 1,000]  [500 - 1,000m3] [sewerage] [metered]</t>
  </si>
  <si>
    <t>Sewerage Un-Measured &lt;100Ml</t>
  </si>
  <si>
    <t>Cust type 12, Measured, Meas Sew - std, Measured</t>
  </si>
  <si>
    <t>Standard Measured Sewerage</t>
  </si>
  <si>
    <t>Streamline Orange (Sewerage) - (0.5Ml to 5.0Ml)</t>
  </si>
  <si>
    <t>Band 8 - Sewerage:  50-250 ml/a - metered</t>
  </si>
  <si>
    <t>Standard 1-5Ml pa Sewerage Metered</t>
  </si>
  <si>
    <t>8 &gt; 50Ml Sewerage Foul Metered</t>
  </si>
  <si>
    <t>M-S-0; 0-1Ml sewerage metered</t>
  </si>
  <si>
    <t>Tariff band 7  &gt; 250 Ml/a sewerage metered</t>
  </si>
  <si>
    <t>[1,000 - 5,000]  [1,000 - 5,000m3] [sewerage] [metered]</t>
  </si>
  <si>
    <t>Sewerage Measured &gt;100Ml</t>
  </si>
  <si>
    <t>Cust type 13, Measured, Meas Sew - LU, Measured</t>
  </si>
  <si>
    <t>Large &amp; Special User 50-100ML Sewerage</t>
  </si>
  <si>
    <t>Streamline Blue (Sewerage) - (5.0Ml to 50.0Ml)</t>
  </si>
  <si>
    <t>Band 9 - Sewerage:  250+ ml/a - metered</t>
  </si>
  <si>
    <t>Standard 5-20Ml pa Sewerage Metered</t>
  </si>
  <si>
    <t>9 SWHD Metered Bands 1 - 7</t>
  </si>
  <si>
    <t>M-TE-0; 0-1Ml trade effluent metered</t>
  </si>
  <si>
    <t>Tariff band 8 sewerage unmetered</t>
  </si>
  <si>
    <t>[5,000 - 20,000]  [5,000 - 20,000m3] [sewerage] [metered]</t>
  </si>
  <si>
    <t>Sewerage Trade Effluent &lt;100Ml</t>
  </si>
  <si>
    <t>Cust type 14, Measured, Trade Effluent - std, Measured</t>
  </si>
  <si>
    <t>Large &amp; Special User 100-250ML Sewerage</t>
  </si>
  <si>
    <t>Profile (Sewerage) - (50.0Ml +)</t>
  </si>
  <si>
    <t>Band 10 - Sewerage:  special agreements - metered</t>
  </si>
  <si>
    <t>Standard 20-100Ml pa Sewerage Metered</t>
  </si>
  <si>
    <t>10 SWHD Metered Bands 8 - 15</t>
  </si>
  <si>
    <t>M-S-0-MX; 0-1Ml sewerage metered mixed use</t>
  </si>
  <si>
    <t>Tariff band 9  ≤50 Ml/a trade effluent metered</t>
  </si>
  <si>
    <t>[20,000 - 50,000]  [20,000 - 50,000m3] [sewerage] [metered]</t>
  </si>
  <si>
    <t>Sewerage Trade Effluent &gt;100Ml</t>
  </si>
  <si>
    <t>Cust type 16, Measured, Trade Effluent - Special Agreement, measured</t>
  </si>
  <si>
    <t>Large &amp; Special User 250+ML Sewerage</t>
  </si>
  <si>
    <t>Unmeasured (Trade Effluent)</t>
  </si>
  <si>
    <t>Band 11 - Surface water drainage:  unmetered</t>
  </si>
  <si>
    <t>Standard Over 100Ml pa Sewerage Metered</t>
  </si>
  <si>
    <t>11 Up to 50Ml Sewerage TE Metered</t>
  </si>
  <si>
    <t>M-S-1; 1-5Ml sewerage metered</t>
  </si>
  <si>
    <t>Tariff band 10  &gt; 50 ≤ 250 Ml/a trade effleunt metered</t>
  </si>
  <si>
    <t>[50,000 - 250,000]  [50,000 - 250,000m3] [sewerage] [metered]</t>
  </si>
  <si>
    <t>Outfall Tariff</t>
  </si>
  <si>
    <t>Large &amp; Special User Special Agreements Sewerage</t>
  </si>
  <si>
    <t>Streamline Green (Trade Effluent) - (0.0Ml to 0.5Ml)</t>
  </si>
  <si>
    <t>Band 12 - Surface water drainage:  0-50 ml/a - metered</t>
  </si>
  <si>
    <t>Standard Non-Monthly Billed Trade Effluent Metered</t>
  </si>
  <si>
    <t>12 &gt; 50Ml Sewerage TE Metered</t>
  </si>
  <si>
    <t>M-TE-1; 1-5Ml trade effluent metered</t>
  </si>
  <si>
    <t>Tariff band 11  &gt; 250 Ml/a trade effluent metered</t>
  </si>
  <si>
    <t>[250,000 +]  [250,000 +m3] [sewerage] [metered]</t>
  </si>
  <si>
    <t>Trade Effluent</t>
  </si>
  <si>
    <t>Streamline Orange (Trade Effluent) - (0.5Ml to 5.0Ml)</t>
  </si>
  <si>
    <t>Band 13 - Surface water drainage:  50-250 ml/a - metered</t>
  </si>
  <si>
    <t>Standard Monthly Billed Trade Effluent Metered</t>
  </si>
  <si>
    <t>13 Foul / SWD Special Agreements</t>
  </si>
  <si>
    <t>M-S-1-MX; 1-5Ml sewerage metered mixed use</t>
  </si>
  <si>
    <t>[0 - 500]  [0 - 500m3] [trade effluent] [metered]</t>
  </si>
  <si>
    <t>Streamline Blue (Trade Effluent) - (5.0Ml to 50.0Ml)</t>
  </si>
  <si>
    <t>Band 14 - Surface water drainage:  250+ ml/a - metered</t>
  </si>
  <si>
    <t>14 Trade Effluent Speciial Agreements</t>
  </si>
  <si>
    <t>M-S-5; 5-25Ml sewerage metered</t>
  </si>
  <si>
    <t>[500 - 1,000]  [500 - 1,000m3] [trade effluent] [metered]</t>
  </si>
  <si>
    <t>Profile (Trade Effluent) - (50.0Ml +)</t>
  </si>
  <si>
    <t>Band 15 - Trade effluent:  0-50 ml/a - metered</t>
  </si>
  <si>
    <t>M-TE-5; 5-25Ml trade effluent metered</t>
  </si>
  <si>
    <t>[1,000 - 5,000]  [1,000 - 5,000m3] [trade effluent] [metered]</t>
  </si>
  <si>
    <t>Band 16 - Trade effluent:  50-250 ml/a - metered</t>
  </si>
  <si>
    <t>M-S-5-MX; 5-25Ml sewerage metered mixed use</t>
  </si>
  <si>
    <t>[5,000 - 20,000]  [5,000 - 20,000m3] [trade effluent] [metered]</t>
  </si>
  <si>
    <t>Band 17 - Trade effluent:  250+ ml/a - metered</t>
  </si>
  <si>
    <t>M-S-25; 25-50Ml sewerage metered</t>
  </si>
  <si>
    <t>[20,000 - 50,000]  [20,000 - 50,000m3] [trade effluent] [metered]</t>
  </si>
  <si>
    <t>Band 18 - Trade effluent:  special agreements - metered</t>
  </si>
  <si>
    <t>M-TE-25; 25-50Ml trade effluent metered</t>
  </si>
  <si>
    <t>[50,000 - 250,000]  [50,000 - 250,000m3] [trade effluent] [metered]</t>
  </si>
  <si>
    <t>M-S-50; 50-100Ml sewerage metered</t>
  </si>
  <si>
    <t>[250,000 +]  [250,000 +m3] [trade effluent] [metered]</t>
  </si>
  <si>
    <t>M-TE-50; 50-100Ml trade effluent metered</t>
  </si>
  <si>
    <t>[0 - 500 Business Assessed]  [0 - 500m3] [sewerage] [unmetered]</t>
  </si>
  <si>
    <t>M-S-100; 100-250Ml sewerage metered</t>
  </si>
  <si>
    <t>[500 - 1,000 Business Assessed]  [500 - 1,000m3] [sewerage] [unmetered]</t>
  </si>
  <si>
    <t>M-TE-100; 100-250Ml trade effluent metered</t>
  </si>
  <si>
    <t>[1,000 - 5,000 Business Assessed]  [1,000 - 5,000m3] [sewerage] [unmetered]</t>
  </si>
  <si>
    <t>M-S-250; 250-500Ml sewerage metered</t>
  </si>
  <si>
    <t>[5,000 - 20,000 Business Assessed]  [5,000 - 20,000m3] [sewerage] [unmetered]</t>
  </si>
  <si>
    <t>M-TE-250; 250-500Ml trade effluent metered</t>
  </si>
  <si>
    <t>[Unmeasured RV + Fixed]  [N/A] [sewerage] [unmetered]</t>
  </si>
  <si>
    <t>M-TE-500; &gt;500Ml trade effluent metered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</si>
</sst>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0.000"/>
    <numFmt numFmtId="166" formatCode="0.0"/>
    <numFmt numFmtId="167" formatCode="0.000000"/>
    <numFmt numFmtId="168" formatCode="#,##0.000"/>
  </numFmts>
  <fonts count="55" x14ac:knownFonts="1">
    <font>
      <sz val="11"/>
      <color theme="1"/>
      <name val="Arial"/>
      <family val="2"/>
    </font>
    <font>
      <sz val="11"/>
      <color theme="1"/>
      <name val="Arial"/>
      <family val="2"/>
    </font>
    <font>
      <sz val="11"/>
      <color rgb="FFFF0000"/>
      <name val="Arial"/>
      <family val="2"/>
    </font>
    <font>
      <b/>
      <sz val="11"/>
      <color theme="1"/>
      <name val="Arial"/>
      <family val="2"/>
    </font>
    <font>
      <sz val="15"/>
      <color theme="0"/>
      <name val="Franklin Gothic Demi"/>
      <family val="2"/>
    </font>
    <font>
      <sz val="11"/>
      <name val="Arial"/>
      <family val="2"/>
    </font>
    <font>
      <sz val="15"/>
      <name val="Franklin Gothic Demi"/>
      <family val="2"/>
    </font>
    <font>
      <sz val="16"/>
      <name val="Calibri Light"/>
      <family val="2"/>
      <scheme val="major"/>
    </font>
    <font>
      <sz val="10"/>
      <color rgb="FF0078C9"/>
      <name val="Franklin Gothic Demi"/>
      <family val="2"/>
    </font>
    <font>
      <strike/>
      <sz val="11"/>
      <name val="Arial"/>
      <family val="2"/>
    </font>
    <font>
      <sz val="10"/>
      <color theme="1"/>
      <name val="Arial"/>
      <family val="2"/>
    </font>
    <font>
      <u/>
      <sz val="11"/>
      <color theme="10"/>
      <name val="Arial"/>
      <family val="2"/>
    </font>
    <font>
      <u/>
      <sz val="10"/>
      <color theme="10"/>
      <name val="Arial"/>
      <family val="2"/>
    </font>
    <font>
      <sz val="10"/>
      <name val="Franklin Gothic Demi"/>
      <family val="2"/>
    </font>
    <font>
      <sz val="10"/>
      <name val="Calibri Light"/>
      <family val="2"/>
      <scheme val="major"/>
    </font>
    <font>
      <u/>
      <sz val="9"/>
      <color theme="10"/>
      <name val="Arial"/>
      <family val="2"/>
    </font>
    <font>
      <sz val="8"/>
      <name val="Arial"/>
      <family val="2"/>
    </font>
    <font>
      <sz val="8"/>
      <name val="Calibri Light"/>
      <family val="2"/>
      <scheme val="major"/>
    </font>
    <font>
      <sz val="11"/>
      <name val="Calibri Light"/>
      <family val="2"/>
      <scheme val="major"/>
    </font>
    <font>
      <sz val="10"/>
      <name val="Arial"/>
      <family val="2"/>
    </font>
    <font>
      <u/>
      <sz val="8"/>
      <color theme="10"/>
      <name val="Calibri Light"/>
      <family val="2"/>
      <scheme val="major"/>
    </font>
    <font>
      <sz val="11"/>
      <color theme="1"/>
      <name val="Franklin Gothic Demi"/>
      <family val="2"/>
    </font>
    <font>
      <sz val="12"/>
      <color rgb="FF0078C9"/>
      <name val="Franklin Gothic Demi"/>
      <family val="2"/>
    </font>
    <font>
      <sz val="8"/>
      <color theme="0"/>
      <name val="Arial"/>
      <family val="2"/>
    </font>
    <font>
      <sz val="9"/>
      <color theme="1"/>
      <name val="Arial"/>
      <family val="2"/>
    </font>
    <font>
      <sz val="11"/>
      <color theme="0"/>
      <name val="Franklin Gothic Demi"/>
      <family val="2"/>
    </font>
    <font>
      <sz val="8"/>
      <color theme="1"/>
      <name val="Arial"/>
      <family val="2"/>
    </font>
    <font>
      <sz val="9"/>
      <name val="Arial"/>
      <family val="2"/>
    </font>
    <font>
      <sz val="11"/>
      <color rgb="FF0078C9"/>
      <name val="Franklin Gothic Demi"/>
      <family val="2"/>
    </font>
    <font>
      <sz val="10"/>
      <color rgb="FF0078C9"/>
      <name val="Arial"/>
      <family val="2"/>
    </font>
    <font>
      <sz val="15"/>
      <color rgb="FF0078C9"/>
      <name val="Franklin Gothic Demi"/>
      <family val="2"/>
    </font>
    <font>
      <sz val="9.5"/>
      <color theme="0"/>
      <name val="Arial"/>
      <family val="2"/>
    </font>
    <font>
      <sz val="9.5"/>
      <color theme="1"/>
      <name val="Arial"/>
      <family val="2"/>
    </font>
    <font>
      <sz val="14"/>
      <name val="Calibri Light"/>
      <family val="2"/>
      <scheme val="major"/>
    </font>
    <font>
      <b/>
      <sz val="10"/>
      <name val="Arial"/>
      <family val="2"/>
    </font>
    <font>
      <sz val="10"/>
      <color rgb="FF857362"/>
      <name val="Franklin Gothic Demi"/>
      <family val="2"/>
    </font>
    <font>
      <sz val="11"/>
      <color theme="5"/>
      <name val="Arial"/>
      <family val="2"/>
    </font>
    <font>
      <sz val="9"/>
      <color rgb="FF857362"/>
      <name val="Arial"/>
      <family val="2"/>
    </font>
    <font>
      <sz val="9"/>
      <color theme="5"/>
      <name val="Arial"/>
      <family val="2"/>
    </font>
    <font>
      <sz val="8"/>
      <color theme="5"/>
      <name val="Arial"/>
      <family val="2"/>
    </font>
    <font>
      <b/>
      <sz val="10"/>
      <color rgb="FFFF0000"/>
      <name val="Arial"/>
      <family val="2"/>
    </font>
    <font>
      <sz val="10"/>
      <color rgb="FFFF0000"/>
      <name val="Arial"/>
      <family val="2"/>
    </font>
    <font>
      <b/>
      <sz val="9"/>
      <color rgb="FF0078C9"/>
      <name val="Arial"/>
      <family val="2"/>
    </font>
    <font>
      <b/>
      <sz val="9"/>
      <name val="Arial"/>
      <family val="2"/>
    </font>
    <font>
      <sz val="9"/>
      <color rgb="FF0078C9"/>
      <name val="Arial"/>
      <family val="2"/>
    </font>
    <font>
      <sz val="7"/>
      <name val="Arial"/>
      <family val="2"/>
    </font>
    <font>
      <sz val="7"/>
      <color theme="1"/>
      <name val="arial"/>
      <family val="2"/>
    </font>
    <font>
      <sz val="10"/>
      <color theme="5"/>
      <name val="Arial"/>
      <family val="2"/>
    </font>
    <font>
      <sz val="10"/>
      <color rgb="FF857362"/>
      <name val="Arial"/>
      <family val="2"/>
    </font>
    <font>
      <i/>
      <sz val="11"/>
      <color theme="1"/>
      <name val="Arial"/>
      <family val="2"/>
    </font>
    <font>
      <b/>
      <sz val="10"/>
      <color rgb="FF002060"/>
      <name val="arial"/>
      <family val="2"/>
    </font>
    <font>
      <sz val="11"/>
      <color rgb="FFFFFFFF"/>
      <name val="Arial Rounded MT Bold"/>
      <family val="2"/>
    </font>
    <font>
      <sz val="11"/>
      <color rgb="FF002664"/>
      <name val="Arial"/>
      <family val="2"/>
    </font>
    <font>
      <sz val="11"/>
      <color rgb="FF1F497D"/>
      <name val="Calibri"/>
      <family val="2"/>
    </font>
    <font>
      <sz val="11"/>
      <color rgb="FF000000"/>
      <name val="Calibri"/>
      <family val="2"/>
    </font>
  </fonts>
  <fills count="15">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B8CA7F"/>
        <bgColor indexed="64"/>
      </patternFill>
    </fill>
    <fill>
      <patternFill patternType="solid">
        <fgColor rgb="FFFFFF00"/>
        <bgColor indexed="64"/>
      </patternFill>
    </fill>
    <fill>
      <patternFill patternType="solid">
        <fgColor rgb="FFBFDDF1"/>
        <bgColor indexed="64"/>
      </patternFill>
    </fill>
    <fill>
      <patternFill patternType="solid">
        <fgColor rgb="FFFE4819"/>
        <bgColor indexed="64"/>
      </patternFill>
    </fill>
    <fill>
      <patternFill patternType="solid">
        <fgColor rgb="FFF2BFE0"/>
        <bgColor indexed="64"/>
      </patternFill>
    </fill>
    <fill>
      <patternFill patternType="solid">
        <fgColor indexed="9"/>
        <bgColor indexed="64"/>
      </patternFill>
    </fill>
    <fill>
      <patternFill patternType="solid">
        <fgColor theme="0"/>
        <bgColor indexed="64"/>
      </patternFill>
    </fill>
    <fill>
      <patternFill patternType="solid">
        <fgColor rgb="FFF0F0F0"/>
        <bgColor indexed="64"/>
      </patternFill>
    </fill>
    <fill>
      <patternFill patternType="solid">
        <fgColor rgb="FFF0AB00"/>
        <bgColor indexed="64"/>
      </patternFill>
    </fill>
    <fill>
      <patternFill patternType="solid">
        <fgColor rgb="FFFFDF93"/>
        <bgColor indexed="64"/>
      </patternFill>
    </fill>
  </fills>
  <borders count="119">
    <border>
      <left/>
      <right/>
      <top/>
      <bottom/>
      <diagonal/>
    </border>
    <border>
      <left style="medium">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style="medium">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thin">
        <color rgb="FF857362"/>
      </left>
      <right style="thin">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medium">
        <color rgb="FF857362"/>
      </left>
      <right style="thin">
        <color rgb="FF857362"/>
      </right>
      <top style="thin">
        <color rgb="FF857362"/>
      </top>
      <bottom style="thin">
        <color rgb="FF857362"/>
      </bottom>
      <diagonal/>
    </border>
    <border>
      <left style="thin">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right style="medium">
        <color rgb="FF857362"/>
      </right>
      <top style="medium">
        <color rgb="FF857362"/>
      </top>
      <bottom/>
      <diagonal/>
    </border>
    <border>
      <left style="medium">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right style="medium">
        <color rgb="FF857362"/>
      </right>
      <top/>
      <bottom style="medium">
        <color rgb="FF857362"/>
      </bottom>
      <diagonal/>
    </border>
    <border>
      <left style="medium">
        <color rgb="FF857362"/>
      </left>
      <right style="medium">
        <color rgb="FF857362"/>
      </right>
      <top/>
      <bottom style="medium">
        <color rgb="FF857362"/>
      </bottom>
      <diagonal/>
    </border>
    <border>
      <left/>
      <right style="medium">
        <color rgb="FF857362"/>
      </right>
      <top style="medium">
        <color rgb="FF857362"/>
      </top>
      <bottom style="thin">
        <color rgb="FF857362"/>
      </bottom>
      <diagonal/>
    </border>
    <border>
      <left style="thin">
        <color theme="0"/>
      </left>
      <right style="thin">
        <color theme="0"/>
      </right>
      <top style="thin">
        <color theme="0"/>
      </top>
      <bottom style="thin">
        <color theme="0"/>
      </bottom>
      <diagonal/>
    </border>
    <border>
      <left/>
      <right style="medium">
        <color rgb="FF857362"/>
      </right>
      <top style="thin">
        <color rgb="FF857362"/>
      </top>
      <bottom style="thin">
        <color rgb="FF857362"/>
      </bottom>
      <diagonal/>
    </border>
    <border>
      <left/>
      <right style="medium">
        <color rgb="FF857362"/>
      </right>
      <top style="thin">
        <color rgb="FF857362"/>
      </top>
      <bottom style="medium">
        <color rgb="FF857362"/>
      </bottom>
      <diagonal/>
    </border>
    <border>
      <left/>
      <right/>
      <top style="medium">
        <color rgb="FF857362"/>
      </top>
      <bottom style="thin">
        <color rgb="FF857362"/>
      </bottom>
      <diagonal/>
    </border>
    <border>
      <left/>
      <right/>
      <top style="thin">
        <color rgb="FF857362"/>
      </top>
      <bottom style="thin">
        <color rgb="FF857362"/>
      </bottom>
      <diagonal/>
    </border>
    <border>
      <left style="medium">
        <color rgb="FF857362"/>
      </left>
      <right style="medium">
        <color rgb="FF857362"/>
      </right>
      <top style="thin">
        <color rgb="FF857362"/>
      </top>
      <bottom style="medium">
        <color rgb="FF857362"/>
      </bottom>
      <diagonal/>
    </border>
    <border>
      <left style="medium">
        <color rgb="FF857362"/>
      </left>
      <right style="medium">
        <color rgb="FF857362"/>
      </right>
      <top style="medium">
        <color rgb="FF857362"/>
      </top>
      <bottom style="thin">
        <color rgb="FF857362"/>
      </bottom>
      <diagonal/>
    </border>
    <border>
      <left style="medium">
        <color rgb="FF857362"/>
      </left>
      <right style="medium">
        <color rgb="FF857362"/>
      </right>
      <top style="thin">
        <color rgb="FF857362"/>
      </top>
      <bottom style="thin">
        <color rgb="FF857362"/>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medium">
        <color rgb="FF857362"/>
      </right>
      <top style="medium">
        <color rgb="FF857362"/>
      </top>
      <bottom style="medium">
        <color rgb="FF857362"/>
      </bottom>
      <diagonal/>
    </border>
    <border>
      <left style="thin">
        <color rgb="FF857362"/>
      </left>
      <right/>
      <top style="medium">
        <color rgb="FF857362"/>
      </top>
      <bottom style="thin">
        <color rgb="FF857362"/>
      </bottom>
      <diagonal/>
    </border>
    <border>
      <left/>
      <right style="thin">
        <color rgb="FF857362"/>
      </right>
      <top style="medium">
        <color rgb="FF857362"/>
      </top>
      <bottom style="thin">
        <color rgb="FF857362"/>
      </bottom>
      <diagonal/>
    </border>
    <border>
      <left style="thin">
        <color rgb="FF857362"/>
      </left>
      <right/>
      <top style="thin">
        <color rgb="FF857362"/>
      </top>
      <bottom style="thin">
        <color rgb="FF857362"/>
      </bottom>
      <diagonal/>
    </border>
    <border>
      <left/>
      <right style="thin">
        <color rgb="FF857362"/>
      </right>
      <top style="thin">
        <color rgb="FF857362"/>
      </top>
      <bottom style="thin">
        <color rgb="FF857362"/>
      </bottom>
      <diagonal/>
    </border>
    <border>
      <left style="thin">
        <color rgb="FF857362"/>
      </left>
      <right/>
      <top style="thin">
        <color rgb="FF857362"/>
      </top>
      <bottom style="medium">
        <color rgb="FF857362"/>
      </bottom>
      <diagonal/>
    </border>
    <border>
      <left/>
      <right style="thin">
        <color rgb="FF857362"/>
      </right>
      <top style="thin">
        <color rgb="FF857362"/>
      </top>
      <bottom style="medium">
        <color rgb="FF857362"/>
      </bottom>
      <diagonal/>
    </border>
    <border>
      <left/>
      <right/>
      <top style="thin">
        <color rgb="FF857362"/>
      </top>
      <bottom/>
      <diagonal/>
    </border>
    <border>
      <left style="medium">
        <color rgb="FF857362"/>
      </left>
      <right style="thin">
        <color rgb="FF857362"/>
      </right>
      <top style="thin">
        <color rgb="FF857362"/>
      </top>
      <bottom/>
      <diagonal/>
    </border>
    <border>
      <left style="thin">
        <color rgb="FF857362"/>
      </left>
      <right style="thin">
        <color rgb="FF857362"/>
      </right>
      <top style="thin">
        <color rgb="FF857362"/>
      </top>
      <bottom/>
      <diagonal/>
    </border>
    <border>
      <left/>
      <right/>
      <top style="thin">
        <color rgb="FF857362"/>
      </top>
      <bottom style="medium">
        <color rgb="FF857362"/>
      </bottom>
      <diagonal/>
    </border>
    <border>
      <left style="medium">
        <color rgb="FF857362"/>
      </left>
      <right style="thin">
        <color rgb="FF857362"/>
      </right>
      <top/>
      <bottom style="thin">
        <color rgb="FF857362"/>
      </bottom>
      <diagonal/>
    </border>
    <border>
      <left style="thin">
        <color rgb="FF857362"/>
      </left>
      <right style="thin">
        <color rgb="FF857362"/>
      </right>
      <top/>
      <bottom style="thin">
        <color rgb="FF857362"/>
      </bottom>
      <diagonal/>
    </border>
    <border>
      <left style="thin">
        <color rgb="FF857362"/>
      </left>
      <right/>
      <top/>
      <bottom style="thin">
        <color rgb="FF857362"/>
      </bottom>
      <diagonal/>
    </border>
    <border>
      <left style="medium">
        <color rgb="FF857362"/>
      </left>
      <right style="medium">
        <color rgb="FF857362"/>
      </right>
      <top/>
      <bottom style="thin">
        <color rgb="FF857362"/>
      </bottom>
      <diagonal/>
    </border>
    <border>
      <left style="thin">
        <color rgb="FF857362"/>
      </left>
      <right style="medium">
        <color rgb="FF857362"/>
      </right>
      <top/>
      <bottom style="thin">
        <color rgb="FF857362"/>
      </bottom>
      <diagonal/>
    </border>
    <border>
      <left style="thin">
        <color rgb="FF857362"/>
      </left>
      <right/>
      <top/>
      <bottom style="medium">
        <color rgb="FF857362"/>
      </bottom>
      <diagonal/>
    </border>
    <border>
      <left style="thin">
        <color rgb="FF857362"/>
      </left>
      <right/>
      <top style="medium">
        <color rgb="FF857362"/>
      </top>
      <bottom/>
      <diagonal/>
    </border>
    <border>
      <left/>
      <right/>
      <top style="medium">
        <color rgb="FF857362"/>
      </top>
      <bottom/>
      <diagonal/>
    </border>
    <border>
      <left style="medium">
        <color rgb="FF857362"/>
      </left>
      <right/>
      <top style="medium">
        <color rgb="FF857362"/>
      </top>
      <bottom style="thin">
        <color rgb="FF857362"/>
      </bottom>
      <diagonal/>
    </border>
    <border>
      <left style="medium">
        <color rgb="FF857362"/>
      </left>
      <right/>
      <top style="medium">
        <color rgb="FF857362"/>
      </top>
      <bottom/>
      <diagonal/>
    </border>
    <border>
      <left style="medium">
        <color rgb="FF857362"/>
      </left>
      <right/>
      <top style="thin">
        <color rgb="FF857362"/>
      </top>
      <bottom style="thin">
        <color rgb="FF857362"/>
      </bottom>
      <diagonal/>
    </border>
    <border>
      <left style="medium">
        <color rgb="FF857362"/>
      </left>
      <right/>
      <top style="thin">
        <color rgb="FF857362"/>
      </top>
      <bottom style="medium">
        <color rgb="FF857362"/>
      </bottom>
      <diagonal/>
    </border>
    <border>
      <left style="medium">
        <color rgb="FF857362"/>
      </left>
      <right style="thin">
        <color theme="5"/>
      </right>
      <top style="medium">
        <color rgb="FF857362"/>
      </top>
      <bottom style="medium">
        <color rgb="FF857362"/>
      </bottom>
      <diagonal/>
    </border>
    <border>
      <left style="thin">
        <color theme="5"/>
      </left>
      <right style="medium">
        <color rgb="FF857362"/>
      </right>
      <top style="medium">
        <color rgb="FF857362"/>
      </top>
      <bottom style="medium">
        <color rgb="FF857362"/>
      </bottom>
      <diagonal/>
    </border>
    <border>
      <left style="thin">
        <color rgb="FF857362"/>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rgb="FF857362"/>
      </left>
      <right style="medium">
        <color rgb="FF857362"/>
      </right>
      <top style="thin">
        <color rgb="FF857362"/>
      </top>
      <bottom/>
      <diagonal/>
    </border>
    <border>
      <left style="thin">
        <color theme="0"/>
      </left>
      <right style="thin">
        <color theme="0"/>
      </right>
      <top/>
      <bottom style="thin">
        <color theme="0"/>
      </bottom>
      <diagonal/>
    </border>
    <border>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diagonal/>
    </border>
    <border>
      <left style="thin">
        <color theme="2" tint="-0.499984740745262"/>
      </left>
      <right style="thin">
        <color theme="2" tint="-0.499984740745262"/>
      </right>
      <top style="medium">
        <color theme="2" tint="-0.499984740745262"/>
      </top>
      <bottom/>
      <diagonal/>
    </border>
    <border>
      <left style="medium">
        <color theme="2" tint="-0.499984740745262"/>
      </left>
      <right style="medium">
        <color theme="2" tint="-0.499984740745262"/>
      </right>
      <top style="medium">
        <color theme="2" tint="-0.499984740745262"/>
      </top>
      <bottom style="thin">
        <color theme="2" tint="-0.499984740745262"/>
      </bottom>
      <diagonal/>
    </border>
    <border>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style="thin">
        <color theme="2" tint="-0.499984740745262"/>
      </right>
      <top/>
      <bottom style="medium">
        <color theme="2" tint="-0.499984740745262"/>
      </bottom>
      <diagonal/>
    </border>
    <border>
      <left style="thin">
        <color theme="2" tint="-0.499984740745262"/>
      </left>
      <right style="thin">
        <color theme="2" tint="-0.499984740745262"/>
      </right>
      <top/>
      <bottom style="medium">
        <color theme="2" tint="-0.499984740745262"/>
      </bottom>
      <diagonal/>
    </border>
    <border>
      <left style="medium">
        <color theme="2" tint="-0.499984740745262"/>
      </left>
      <right style="medium">
        <color theme="2" tint="-0.499984740745262"/>
      </right>
      <top style="thin">
        <color theme="2" tint="-0.499984740745262"/>
      </top>
      <bottom style="medium">
        <color theme="2" tint="-0.499984740745262"/>
      </bottom>
      <diagonal/>
    </border>
    <border>
      <left/>
      <right style="medium">
        <color theme="2" tint="-0.499984740745262"/>
      </right>
      <top style="medium">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right style="medium">
        <color theme="2" tint="-0.499984740745262"/>
      </right>
      <top style="thin">
        <color theme="2" tint="-0.499984740745262"/>
      </top>
      <bottom style="medium">
        <color theme="2" tint="-0.499984740745262"/>
      </bottom>
      <diagonal/>
    </border>
    <border>
      <left style="thin">
        <color theme="2" tint="-0.499984740745262"/>
      </left>
      <right/>
      <top style="medium">
        <color theme="2" tint="-0.499984740745262"/>
      </top>
      <bottom style="medium">
        <color theme="2" tint="-0.499984740745262"/>
      </bottom>
      <diagonal/>
    </border>
    <border>
      <left/>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
      <left style="thin">
        <color theme="2" tint="-0.499984740745262"/>
      </left>
      <right/>
      <top style="medium">
        <color theme="2" tint="-0.499984740745262"/>
      </top>
      <bottom style="thin">
        <color theme="2" tint="-0.499984740745262"/>
      </bottom>
      <diagonal/>
    </border>
    <border>
      <left/>
      <right/>
      <top style="medium">
        <color theme="2" tint="-0.499984740745262"/>
      </top>
      <bottom style="thin">
        <color theme="2" tint="-0.499984740745262"/>
      </bottom>
      <diagonal/>
    </border>
    <border>
      <left style="medium">
        <color theme="2" tint="-0.499984740745262"/>
      </left>
      <right style="thin">
        <color theme="2" tint="-0.499984740745262"/>
      </right>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style="thin">
        <color theme="2" tint="-0.499984740745262"/>
      </top>
      <bottom style="medium">
        <color theme="2" tint="-0.499984740745262"/>
      </bottom>
      <diagonal/>
    </border>
    <border>
      <left/>
      <right/>
      <top style="thin">
        <color theme="2" tint="-0.499984740745262"/>
      </top>
      <bottom style="medium">
        <color theme="2" tint="-0.499984740745262"/>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top/>
      <bottom/>
      <diagonal/>
    </border>
    <border>
      <left/>
      <right style="medium">
        <color theme="2" tint="-0.499984740745262"/>
      </right>
      <top/>
      <bottom/>
      <diagonal/>
    </border>
    <border>
      <left style="medium">
        <color theme="2" tint="-0.499984740745262"/>
      </left>
      <right style="medium">
        <color theme="2" tint="-0.499984740745262"/>
      </right>
      <top style="thin">
        <color theme="2" tint="-0.499984740745262"/>
      </top>
      <bottom/>
      <diagonal/>
    </border>
    <border>
      <left style="medium">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medium">
        <color theme="2" tint="-0.499984740745262"/>
      </right>
      <top style="thin">
        <color theme="2" tint="-0.499984740745262"/>
      </top>
      <bottom/>
      <diagonal/>
    </border>
    <border>
      <left style="medium">
        <color theme="2" tint="-0.499984740745262"/>
      </left>
      <right style="thin">
        <color rgb="FF857362"/>
      </right>
      <top style="medium">
        <color theme="2" tint="-0.499984740745262"/>
      </top>
      <bottom style="thin">
        <color rgb="FF857362"/>
      </bottom>
      <diagonal/>
    </border>
    <border>
      <left style="thin">
        <color rgb="FF857362"/>
      </left>
      <right style="thin">
        <color rgb="FF857362"/>
      </right>
      <top style="medium">
        <color theme="2" tint="-0.499984740745262"/>
      </top>
      <bottom style="thin">
        <color rgb="FF857362"/>
      </bottom>
      <diagonal/>
    </border>
    <border>
      <left style="thin">
        <color rgb="FF857362"/>
      </left>
      <right style="medium">
        <color theme="2" tint="-0.499984740745262"/>
      </right>
      <top style="medium">
        <color theme="2" tint="-0.499984740745262"/>
      </top>
      <bottom style="thin">
        <color rgb="FF857362"/>
      </bottom>
      <diagonal/>
    </border>
    <border>
      <left style="medium">
        <color theme="2" tint="-0.499984740745262"/>
      </left>
      <right style="thin">
        <color rgb="FF857362"/>
      </right>
      <top style="thin">
        <color rgb="FF857362"/>
      </top>
      <bottom style="thin">
        <color rgb="FF857362"/>
      </bottom>
      <diagonal/>
    </border>
    <border>
      <left style="thin">
        <color rgb="FF857362"/>
      </left>
      <right style="medium">
        <color theme="2" tint="-0.499984740745262"/>
      </right>
      <top style="thin">
        <color rgb="FF857362"/>
      </top>
      <bottom style="thin">
        <color rgb="FF857362"/>
      </bottom>
      <diagonal/>
    </border>
    <border>
      <left style="medium">
        <color theme="2" tint="-0.499984740745262"/>
      </left>
      <right style="thin">
        <color rgb="FF857362"/>
      </right>
      <top style="thin">
        <color rgb="FF857362"/>
      </top>
      <bottom style="medium">
        <color theme="2" tint="-0.499984740745262"/>
      </bottom>
      <diagonal/>
    </border>
    <border>
      <left style="thin">
        <color rgb="FF857362"/>
      </left>
      <right style="thin">
        <color rgb="FF857362"/>
      </right>
      <top style="thin">
        <color rgb="FF857362"/>
      </top>
      <bottom style="medium">
        <color theme="2" tint="-0.499984740745262"/>
      </bottom>
      <diagonal/>
    </border>
    <border>
      <left style="thin">
        <color rgb="FF857362"/>
      </left>
      <right style="medium">
        <color theme="2" tint="-0.499984740745262"/>
      </right>
      <top style="thin">
        <color rgb="FF857362"/>
      </top>
      <bottom style="medium">
        <color theme="2" tint="-0.499984740745262"/>
      </bottom>
      <diagonal/>
    </border>
    <border>
      <left style="medium">
        <color rgb="FF857362"/>
      </left>
      <right style="medium">
        <color rgb="FF857362"/>
      </right>
      <top style="thin">
        <color rgb="FF857362"/>
      </top>
      <bottom/>
      <diagonal/>
    </border>
    <border>
      <left/>
      <right/>
      <top/>
      <bottom style="medium">
        <color rgb="FF857362"/>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right style="medium">
        <color rgb="FF857362"/>
      </right>
      <top/>
      <bottom style="thin">
        <color rgb="FF857362"/>
      </bottom>
      <diagonal/>
    </border>
    <border>
      <left style="medium">
        <color rgb="FF857362"/>
      </left>
      <right style="medium">
        <color rgb="FF857362"/>
      </right>
      <top/>
      <bottom/>
      <diagonal/>
    </border>
    <border>
      <left/>
      <right style="medium">
        <color rgb="FF857362"/>
      </right>
      <top style="thin">
        <color rgb="FF857362"/>
      </top>
      <bottom/>
      <diagonal/>
    </border>
  </borders>
  <cellStyleXfs count="14">
    <xf numFmtId="0" fontId="0" fillId="0" borderId="0"/>
    <xf numFmtId="43" fontId="1" fillId="0" borderId="0" applyFont="0" applyFill="0" applyBorder="0" applyAlignment="0" applyProtection="0"/>
    <xf numFmtId="9" fontId="1" fillId="0" borderId="0" applyFont="0" applyFill="0" applyBorder="0" applyAlignment="0" applyProtection="0"/>
    <xf numFmtId="164" fontId="4" fillId="2" borderId="0" applyNumberFormat="0">
      <alignment horizontal="left"/>
    </xf>
    <xf numFmtId="0" fontId="8" fillId="3" borderId="0" applyNumberFormat="0"/>
    <xf numFmtId="0" fontId="11" fillId="0" borderId="0" applyNumberFormat="0" applyFill="0" applyBorder="0" applyAlignment="0" applyProtection="0"/>
    <xf numFmtId="0" fontId="1" fillId="0" borderId="0"/>
    <xf numFmtId="0" fontId="24" fillId="8" borderId="0" applyBorder="0"/>
    <xf numFmtId="0" fontId="1" fillId="0" borderId="0"/>
    <xf numFmtId="0" fontId="19" fillId="0" borderId="0"/>
    <xf numFmtId="43" fontId="19" fillId="0" borderId="0" applyFont="0" applyFill="0" applyBorder="0" applyAlignment="0" applyProtection="0"/>
    <xf numFmtId="0" fontId="19" fillId="0" borderId="0"/>
    <xf numFmtId="43" fontId="1" fillId="0" borderId="0" applyFont="0" applyFill="0" applyBorder="0" applyAlignment="0" applyProtection="0"/>
    <xf numFmtId="43" fontId="19" fillId="0" borderId="0" applyFont="0" applyFill="0" applyBorder="0" applyAlignment="0" applyProtection="0"/>
  </cellStyleXfs>
  <cellXfs count="872">
    <xf numFmtId="0" fontId="0" fillId="0" borderId="0" xfId="0"/>
    <xf numFmtId="0" fontId="4" fillId="2" borderId="0" xfId="3" applyNumberFormat="1" applyAlignment="1"/>
    <xf numFmtId="0" fontId="5" fillId="0" borderId="0" xfId="0" applyFont="1"/>
    <xf numFmtId="0" fontId="7" fillId="0" borderId="0" xfId="0" applyFont="1"/>
    <xf numFmtId="0" fontId="9" fillId="0" borderId="0" xfId="0" applyFont="1"/>
    <xf numFmtId="0" fontId="13" fillId="0" borderId="0" xfId="0" applyFont="1"/>
    <xf numFmtId="0" fontId="14" fillId="0" borderId="0" xfId="0" applyFont="1"/>
    <xf numFmtId="0" fontId="16" fillId="0" borderId="0" xfId="0" applyFont="1"/>
    <xf numFmtId="0" fontId="17" fillId="0" borderId="0" xfId="0" applyFont="1"/>
    <xf numFmtId="0" fontId="18" fillId="0" borderId="0" xfId="0" applyFont="1"/>
    <xf numFmtId="0" fontId="4" fillId="2" borderId="0" xfId="0" applyFont="1" applyFill="1" applyAlignment="1">
      <alignment horizontal="right" vertical="center"/>
    </xf>
    <xf numFmtId="0" fontId="21" fillId="0" borderId="0" xfId="0" applyFont="1" applyAlignment="1">
      <alignment horizontal="left" vertical="center"/>
    </xf>
    <xf numFmtId="0" fontId="0" fillId="0" borderId="0" xfId="0" applyAlignment="1">
      <alignment vertical="center"/>
    </xf>
    <xf numFmtId="0" fontId="22" fillId="3" borderId="2" xfId="4" applyFont="1" applyBorder="1" applyAlignment="1">
      <alignment vertical="center"/>
    </xf>
    <xf numFmtId="0" fontId="8" fillId="3" borderId="3" xfId="4" applyBorder="1" applyAlignment="1">
      <alignment horizontal="center" wrapText="1"/>
    </xf>
    <xf numFmtId="0" fontId="8" fillId="3" borderId="3" xfId="4" applyBorder="1" applyAlignment="1">
      <alignment horizontal="center" vertical="center" wrapText="1"/>
    </xf>
    <xf numFmtId="0" fontId="8" fillId="3" borderId="4" xfId="4" applyBorder="1" applyAlignment="1">
      <alignment horizontal="center" vertical="center" wrapText="1"/>
    </xf>
    <xf numFmtId="0" fontId="23" fillId="5"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4" fillId="0" borderId="0" xfId="0" applyFont="1" applyAlignment="1">
      <alignment vertical="center"/>
    </xf>
    <xf numFmtId="0" fontId="23" fillId="5" borderId="9"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4" fillId="0" borderId="0" xfId="0" applyFont="1" applyAlignment="1">
      <alignment vertical="center" wrapText="1"/>
    </xf>
    <xf numFmtId="0" fontId="0" fillId="0" borderId="0" xfId="0" applyAlignment="1">
      <alignment vertical="center" wrapText="1"/>
    </xf>
    <xf numFmtId="0" fontId="22" fillId="3" borderId="2" xfId="4" applyFont="1" applyBorder="1" applyAlignment="1">
      <alignment vertical="center" wrapText="1"/>
    </xf>
    <xf numFmtId="0" fontId="12" fillId="0" borderId="2" xfId="5" applyFont="1" applyBorder="1" applyAlignment="1" applyProtection="1">
      <alignment vertical="center" wrapText="1"/>
    </xf>
    <xf numFmtId="0" fontId="24" fillId="0" borderId="0" xfId="0" applyFont="1"/>
    <xf numFmtId="0" fontId="26" fillId="8" borderId="25" xfId="7" applyFont="1" applyBorder="1" applyAlignment="1">
      <alignment horizontal="center" vertical="center"/>
    </xf>
    <xf numFmtId="0" fontId="27" fillId="4" borderId="9" xfId="9" applyFont="1" applyFill="1" applyBorder="1" applyProtection="1">
      <protection locked="0"/>
    </xf>
    <xf numFmtId="0" fontId="26" fillId="0" borderId="25" xfId="7" applyFont="1" applyFill="1" applyBorder="1" applyAlignment="1">
      <alignment horizontal="center" vertical="center"/>
    </xf>
    <xf numFmtId="0" fontId="8" fillId="3" borderId="4" xfId="9" applyFont="1" applyFill="1" applyBorder="1" applyAlignment="1">
      <alignment vertical="center"/>
    </xf>
    <xf numFmtId="0" fontId="19" fillId="0" borderId="3" xfId="9" applyBorder="1" applyAlignment="1">
      <alignment vertical="center"/>
    </xf>
    <xf numFmtId="0" fontId="19" fillId="0" borderId="6" xfId="9" applyBorder="1" applyAlignment="1">
      <alignment vertical="center"/>
    </xf>
    <xf numFmtId="0" fontId="19" fillId="0" borderId="9" xfId="9" applyBorder="1" applyAlignment="1">
      <alignment vertical="center"/>
    </xf>
    <xf numFmtId="0" fontId="19" fillId="0" borderId="9" xfId="9" quotePrefix="1" applyBorder="1" applyAlignment="1">
      <alignment vertical="center"/>
    </xf>
    <xf numFmtId="0" fontId="19" fillId="0" borderId="12" xfId="9" applyBorder="1" applyAlignment="1">
      <alignment vertical="center"/>
    </xf>
    <xf numFmtId="0" fontId="19" fillId="0" borderId="7" xfId="9" applyBorder="1" applyAlignment="1">
      <alignment vertical="center"/>
    </xf>
    <xf numFmtId="0" fontId="19" fillId="0" borderId="10" xfId="9" applyBorder="1" applyAlignment="1">
      <alignment vertical="center"/>
    </xf>
    <xf numFmtId="0" fontId="26" fillId="0" borderId="25" xfId="7" applyFont="1" applyFill="1" applyBorder="1" applyAlignment="1">
      <alignment horizontal="center" vertical="center" wrapText="1"/>
    </xf>
    <xf numFmtId="0" fontId="28" fillId="3" borderId="33" xfId="0" applyFont="1" applyFill="1" applyBorder="1" applyAlignment="1">
      <alignment vertical="center"/>
    </xf>
    <xf numFmtId="165" fontId="27" fillId="4" borderId="5" xfId="9" applyNumberFormat="1" applyFont="1" applyFill="1" applyBorder="1" applyProtection="1">
      <protection locked="0"/>
    </xf>
    <xf numFmtId="165" fontId="27" fillId="4" borderId="6" xfId="9" applyNumberFormat="1" applyFont="1" applyFill="1" applyBorder="1" applyProtection="1">
      <protection locked="0"/>
    </xf>
    <xf numFmtId="165" fontId="27" fillId="4" borderId="7" xfId="9" applyNumberFormat="1" applyFont="1" applyFill="1" applyBorder="1" applyProtection="1">
      <protection locked="0"/>
    </xf>
    <xf numFmtId="165" fontId="27" fillId="4" borderId="54" xfId="9" applyNumberFormat="1" applyFont="1" applyFill="1" applyBorder="1" applyProtection="1">
      <protection locked="0"/>
    </xf>
    <xf numFmtId="2" fontId="27" fillId="4" borderId="5" xfId="9" applyNumberFormat="1" applyFont="1" applyFill="1" applyBorder="1" applyProtection="1">
      <protection locked="0"/>
    </xf>
    <xf numFmtId="2" fontId="27" fillId="4" borderId="7" xfId="9" applyNumberFormat="1" applyFont="1" applyFill="1" applyBorder="1" applyProtection="1">
      <protection locked="0"/>
    </xf>
    <xf numFmtId="165" fontId="27" fillId="4" borderId="8" xfId="9" applyNumberFormat="1" applyFont="1" applyFill="1" applyBorder="1" applyProtection="1">
      <protection locked="0"/>
    </xf>
    <xf numFmtId="165" fontId="27" fillId="4" borderId="9" xfId="9" applyNumberFormat="1" applyFont="1" applyFill="1" applyBorder="1" applyProtection="1">
      <protection locked="0"/>
    </xf>
    <xf numFmtId="165" fontId="27" fillId="4" borderId="10" xfId="9" applyNumberFormat="1" applyFont="1" applyFill="1" applyBorder="1" applyProtection="1">
      <protection locked="0"/>
    </xf>
    <xf numFmtId="165" fontId="27" fillId="4" borderId="56" xfId="9" applyNumberFormat="1" applyFont="1" applyFill="1" applyBorder="1" applyProtection="1">
      <protection locked="0"/>
    </xf>
    <xf numFmtId="2" fontId="27" fillId="4" borderId="8" xfId="9" applyNumberFormat="1" applyFont="1" applyFill="1" applyBorder="1" applyProtection="1">
      <protection locked="0"/>
    </xf>
    <xf numFmtId="2" fontId="27" fillId="4" borderId="10" xfId="9" applyNumberFormat="1" applyFont="1" applyFill="1" applyBorder="1" applyProtection="1">
      <protection locked="0"/>
    </xf>
    <xf numFmtId="2" fontId="27" fillId="4" borderId="11" xfId="9" applyNumberFormat="1" applyFont="1" applyFill="1" applyBorder="1" applyProtection="1">
      <protection locked="0"/>
    </xf>
    <xf numFmtId="2" fontId="27" fillId="4" borderId="13" xfId="9" applyNumberFormat="1" applyFont="1" applyFill="1" applyBorder="1" applyProtection="1">
      <protection locked="0"/>
    </xf>
    <xf numFmtId="165" fontId="27" fillId="4" borderId="31" xfId="9" applyNumberFormat="1" applyFont="1" applyFill="1" applyBorder="1" applyProtection="1">
      <protection locked="0"/>
    </xf>
    <xf numFmtId="165" fontId="27" fillId="4" borderId="32" xfId="9" applyNumberFormat="1" applyFont="1" applyFill="1" applyBorder="1" applyProtection="1">
      <protection locked="0"/>
    </xf>
    <xf numFmtId="165" fontId="27" fillId="4" borderId="28" xfId="9" applyNumberFormat="1" applyFont="1" applyFill="1" applyBorder="1" applyProtection="1">
      <protection locked="0"/>
    </xf>
    <xf numFmtId="165" fontId="27" fillId="4" borderId="29" xfId="9" applyNumberFormat="1" applyFont="1" applyFill="1" applyBorder="1" applyProtection="1">
      <protection locked="0"/>
    </xf>
    <xf numFmtId="165" fontId="27" fillId="4" borderId="113" xfId="9" applyNumberFormat="1" applyFont="1" applyFill="1" applyBorder="1" applyProtection="1">
      <protection locked="0"/>
    </xf>
    <xf numFmtId="165" fontId="27" fillId="4" borderId="11" xfId="9" applyNumberFormat="1" applyFont="1" applyFill="1" applyBorder="1" applyProtection="1">
      <protection locked="0"/>
    </xf>
    <xf numFmtId="165" fontId="27" fillId="4" borderId="13" xfId="9" applyNumberFormat="1" applyFont="1" applyFill="1" applyBorder="1" applyProtection="1">
      <protection locked="0"/>
    </xf>
    <xf numFmtId="0" fontId="10" fillId="0" borderId="0" xfId="0" applyFont="1"/>
    <xf numFmtId="0" fontId="8" fillId="3" borderId="0" xfId="4" applyAlignment="1">
      <alignment vertical="center" wrapText="1"/>
    </xf>
    <xf numFmtId="0" fontId="8" fillId="3" borderId="0" xfId="4" applyAlignment="1">
      <alignment vertical="center"/>
    </xf>
    <xf numFmtId="0" fontId="50" fillId="12" borderId="0" xfId="0" applyFont="1" applyFill="1" applyAlignment="1">
      <alignment horizontal="left" vertical="top" wrapText="1"/>
    </xf>
    <xf numFmtId="0" fontId="50" fillId="0" borderId="0" xfId="0" applyFont="1"/>
    <xf numFmtId="0" fontId="10" fillId="0" borderId="0" xfId="0" applyFont="1" applyAlignment="1">
      <alignment horizontal="left" vertical="top" wrapText="1"/>
    </xf>
    <xf numFmtId="0" fontId="10" fillId="0" borderId="0" xfId="0" quotePrefix="1" applyFont="1" applyAlignment="1">
      <alignment horizontal="left" vertical="top" wrapText="1"/>
    </xf>
    <xf numFmtId="0" fontId="19" fillId="0" borderId="0" xfId="0" applyFont="1" applyAlignment="1">
      <alignment horizontal="left" vertical="top" wrapText="1"/>
    </xf>
    <xf numFmtId="0" fontId="3" fillId="0" borderId="0" xfId="0" applyFont="1"/>
    <xf numFmtId="0" fontId="51" fillId="13" borderId="114" xfId="0" applyFont="1" applyFill="1" applyBorder="1" applyAlignment="1">
      <alignment vertical="center" wrapText="1"/>
    </xf>
    <xf numFmtId="0" fontId="52" fillId="14" borderId="115" xfId="0" applyFont="1" applyFill="1" applyBorder="1" applyAlignment="1">
      <alignment vertical="center" wrapText="1"/>
    </xf>
    <xf numFmtId="0" fontId="53" fillId="0" borderId="0" xfId="0" applyFont="1" applyAlignment="1">
      <alignment vertical="center"/>
    </xf>
    <xf numFmtId="0" fontId="52" fillId="0" borderId="0" xfId="0" applyFont="1" applyAlignment="1">
      <alignment vertical="center"/>
    </xf>
    <xf numFmtId="0" fontId="54" fillId="0" borderId="0" xfId="0" applyFont="1" applyAlignment="1">
      <alignment vertical="center"/>
    </xf>
    <xf numFmtId="0" fontId="26" fillId="8" borderId="25" xfId="7" applyFont="1" applyBorder="1" applyAlignment="1">
      <alignment horizontal="center" vertical="center" wrapText="1"/>
    </xf>
    <xf numFmtId="0" fontId="15" fillId="0" borderId="4" xfId="5" quotePrefix="1" applyFont="1" applyBorder="1" applyAlignment="1" applyProtection="1">
      <alignment horizontal="center" vertical="center"/>
    </xf>
    <xf numFmtId="0" fontId="15" fillId="0" borderId="7" xfId="5" applyFont="1" applyBorder="1" applyAlignment="1" applyProtection="1">
      <alignment horizontal="center" vertical="center"/>
    </xf>
    <xf numFmtId="0" fontId="15" fillId="0" borderId="10" xfId="5" applyFont="1" applyBorder="1" applyAlignment="1" applyProtection="1">
      <alignment horizontal="center" vertical="center"/>
    </xf>
    <xf numFmtId="0" fontId="15" fillId="0" borderId="10" xfId="5" quotePrefix="1" applyFont="1" applyBorder="1" applyAlignment="1" applyProtection="1">
      <alignment horizontal="center" vertical="center"/>
    </xf>
    <xf numFmtId="0" fontId="15" fillId="0" borderId="13" xfId="5" quotePrefix="1" applyFont="1" applyBorder="1" applyAlignment="1" applyProtection="1">
      <alignment horizontal="center" vertical="center"/>
    </xf>
    <xf numFmtId="0" fontId="15" fillId="0" borderId="7" xfId="5" applyFont="1" applyBorder="1" applyAlignment="1" applyProtection="1">
      <alignment horizontal="center" vertical="center" wrapText="1"/>
    </xf>
    <xf numFmtId="0" fontId="0" fillId="0" borderId="0" xfId="0" applyAlignment="1">
      <alignment wrapText="1"/>
    </xf>
    <xf numFmtId="0" fontId="8" fillId="3" borderId="31" xfId="6" applyFont="1" applyFill="1" applyBorder="1" applyAlignment="1">
      <alignment vertical="center"/>
    </xf>
    <xf numFmtId="0" fontId="8" fillId="3" borderId="35" xfId="6" applyFont="1" applyFill="1" applyBorder="1" applyAlignment="1">
      <alignment vertical="center"/>
    </xf>
    <xf numFmtId="0" fontId="24" fillId="0" borderId="116" xfId="0" applyFont="1" applyBorder="1" applyAlignment="1">
      <alignment wrapText="1"/>
    </xf>
    <xf numFmtId="0" fontId="24" fillId="0" borderId="26" xfId="0" applyFont="1" applyBorder="1" applyAlignment="1">
      <alignment wrapText="1"/>
    </xf>
    <xf numFmtId="0" fontId="24" fillId="0" borderId="26" xfId="0" quotePrefix="1" applyFont="1" applyBorder="1" applyAlignment="1">
      <alignment wrapText="1"/>
    </xf>
    <xf numFmtId="0" fontId="24" fillId="0" borderId="27" xfId="0" applyFont="1" applyBorder="1" applyAlignment="1">
      <alignment wrapText="1"/>
    </xf>
    <xf numFmtId="0" fontId="4" fillId="2" borderId="0" xfId="6" applyFont="1" applyFill="1" applyAlignment="1">
      <alignment vertical="center"/>
    </xf>
    <xf numFmtId="0" fontId="4" fillId="2" borderId="0" xfId="6" applyFont="1" applyFill="1" applyAlignment="1">
      <alignment horizontal="left" vertical="center"/>
    </xf>
    <xf numFmtId="0" fontId="4" fillId="2" borderId="0" xfId="6" applyFont="1" applyFill="1" applyAlignment="1">
      <alignment horizontal="right" vertical="center"/>
    </xf>
    <xf numFmtId="0" fontId="25" fillId="2" borderId="0" xfId="6" applyFont="1" applyFill="1" applyAlignment="1">
      <alignment horizontal="left" vertical="center"/>
    </xf>
    <xf numFmtId="0" fontId="1" fillId="0" borderId="0" xfId="6" applyAlignment="1">
      <alignment vertical="center"/>
    </xf>
    <xf numFmtId="0" fontId="1" fillId="3" borderId="0" xfId="6" applyFill="1" applyAlignment="1">
      <alignment vertical="center"/>
    </xf>
    <xf numFmtId="0" fontId="19" fillId="0" borderId="0" xfId="0" applyFont="1" applyAlignment="1">
      <alignment vertical="center"/>
    </xf>
    <xf numFmtId="0" fontId="10" fillId="0" borderId="0" xfId="6" applyFont="1" applyAlignment="1">
      <alignment vertical="center"/>
    </xf>
    <xf numFmtId="0" fontId="19" fillId="0" borderId="0" xfId="9" applyAlignment="1">
      <alignment vertical="center"/>
    </xf>
    <xf numFmtId="0" fontId="19" fillId="10" borderId="0" xfId="9" applyFill="1" applyAlignment="1">
      <alignment vertical="center"/>
    </xf>
    <xf numFmtId="0" fontId="24" fillId="6" borderId="0" xfId="6" applyFont="1" applyFill="1" applyAlignment="1">
      <alignment horizontal="left" vertical="center"/>
    </xf>
    <xf numFmtId="0" fontId="1" fillId="6" borderId="0" xfId="6" applyFill="1" applyAlignment="1">
      <alignment vertical="center"/>
    </xf>
    <xf numFmtId="0" fontId="24" fillId="6" borderId="0" xfId="6" applyFont="1" applyFill="1" applyAlignment="1">
      <alignment horizontal="center" vertical="center" wrapText="1"/>
    </xf>
    <xf numFmtId="0" fontId="8" fillId="3" borderId="11" xfId="6" applyFont="1" applyFill="1" applyBorder="1" applyAlignment="1">
      <alignment horizontal="center" vertical="center" wrapText="1"/>
    </xf>
    <xf numFmtId="0" fontId="8" fillId="3" borderId="12" xfId="6" applyFont="1" applyFill="1" applyBorder="1" applyAlignment="1">
      <alignment horizontal="center" vertical="center" wrapText="1"/>
    </xf>
    <xf numFmtId="0" fontId="8" fillId="3" borderId="13" xfId="6" applyFont="1" applyFill="1" applyBorder="1" applyAlignment="1">
      <alignment horizontal="center" vertical="center" wrapText="1"/>
    </xf>
    <xf numFmtId="0" fontId="24" fillId="0" borderId="0" xfId="6" applyFont="1" applyAlignment="1">
      <alignment vertical="center"/>
    </xf>
    <xf numFmtId="0" fontId="8" fillId="3" borderId="1" xfId="6" applyFont="1" applyFill="1" applyBorder="1" applyAlignment="1">
      <alignment vertical="center"/>
    </xf>
    <xf numFmtId="0" fontId="0" fillId="3" borderId="35" xfId="0" applyFill="1" applyBorder="1"/>
    <xf numFmtId="0" fontId="8" fillId="3" borderId="33" xfId="6" applyFont="1" applyFill="1" applyBorder="1" applyAlignment="1">
      <alignment horizontal="center" vertical="center"/>
    </xf>
    <xf numFmtId="0" fontId="8" fillId="3" borderId="4" xfId="6" applyFont="1" applyFill="1" applyBorder="1" applyAlignment="1">
      <alignment vertical="center"/>
    </xf>
    <xf numFmtId="0" fontId="26" fillId="0" borderId="0" xfId="6" applyFont="1" applyAlignment="1">
      <alignment vertical="center"/>
    </xf>
    <xf numFmtId="0" fontId="24" fillId="0" borderId="5" xfId="6" applyFont="1" applyBorder="1" applyAlignment="1">
      <alignment horizontal="center" vertical="center"/>
    </xf>
    <xf numFmtId="0" fontId="10" fillId="0" borderId="9" xfId="6" applyFont="1" applyBorder="1" applyAlignment="1">
      <alignment vertical="center"/>
    </xf>
    <xf numFmtId="0" fontId="26" fillId="0" borderId="6" xfId="6" applyFont="1" applyBorder="1" applyAlignment="1">
      <alignment horizontal="center" vertical="center"/>
    </xf>
    <xf numFmtId="0" fontId="26" fillId="0" borderId="7" xfId="6" applyFont="1" applyBorder="1" applyAlignment="1">
      <alignment horizontal="center" vertical="center"/>
    </xf>
    <xf numFmtId="165" fontId="27" fillId="7" borderId="5" xfId="9" applyNumberFormat="1" applyFont="1" applyFill="1" applyBorder="1"/>
    <xf numFmtId="0" fontId="26" fillId="0" borderId="5" xfId="6" applyFont="1" applyBorder="1" applyAlignment="1">
      <alignment horizontal="center" vertical="center"/>
    </xf>
    <xf numFmtId="1" fontId="19" fillId="0" borderId="0" xfId="9" applyNumberFormat="1"/>
    <xf numFmtId="0" fontId="24" fillId="6" borderId="0" xfId="6" applyFont="1" applyFill="1" applyAlignment="1">
      <alignment horizontal="center" vertical="center"/>
    </xf>
    <xf numFmtId="0" fontId="24" fillId="0" borderId="8" xfId="6" applyFont="1" applyBorder="1" applyAlignment="1">
      <alignment horizontal="center" vertical="center"/>
    </xf>
    <xf numFmtId="0" fontId="26" fillId="0" borderId="9" xfId="6" applyFont="1" applyBorder="1" applyAlignment="1">
      <alignment horizontal="center" vertical="center"/>
    </xf>
    <xf numFmtId="0" fontId="26" fillId="0" borderId="10" xfId="6" applyFont="1" applyBorder="1" applyAlignment="1">
      <alignment horizontal="center" vertical="center"/>
    </xf>
    <xf numFmtId="165" fontId="27" fillId="7" borderId="8" xfId="9" applyNumberFormat="1" applyFont="1" applyFill="1" applyBorder="1"/>
    <xf numFmtId="0" fontId="26" fillId="0" borderId="8" xfId="6" applyFont="1" applyBorder="1" applyAlignment="1">
      <alignment horizontal="center" vertical="center"/>
    </xf>
    <xf numFmtId="0" fontId="26" fillId="0" borderId="11" xfId="6" applyFont="1" applyBorder="1" applyAlignment="1">
      <alignment horizontal="center" vertical="center"/>
    </xf>
    <xf numFmtId="0" fontId="26" fillId="0" borderId="13" xfId="6" applyFont="1" applyBorder="1" applyAlignment="1">
      <alignment horizontal="center" vertical="center"/>
    </xf>
    <xf numFmtId="0" fontId="24" fillId="0" borderId="11" xfId="6" applyFont="1" applyBorder="1" applyAlignment="1">
      <alignment horizontal="center" vertical="center"/>
    </xf>
    <xf numFmtId="0" fontId="10" fillId="0" borderId="12" xfId="6" applyFont="1" applyBorder="1" applyAlignment="1">
      <alignment vertical="center"/>
    </xf>
    <xf numFmtId="0" fontId="26" fillId="0" borderId="12" xfId="6" applyFont="1" applyBorder="1" applyAlignment="1">
      <alignment horizontal="center" vertical="center"/>
    </xf>
    <xf numFmtId="165" fontId="27" fillId="7" borderId="11" xfId="9" applyNumberFormat="1" applyFont="1" applyFill="1" applyBorder="1"/>
    <xf numFmtId="165" fontId="27" fillId="7" borderId="12" xfId="9" applyNumberFormat="1" applyFont="1" applyFill="1" applyBorder="1"/>
    <xf numFmtId="165" fontId="27" fillId="7" borderId="13" xfId="9" applyNumberFormat="1" applyFont="1" applyFill="1" applyBorder="1"/>
    <xf numFmtId="165" fontId="27" fillId="7" borderId="30" xfId="9" applyNumberFormat="1" applyFont="1" applyFill="1" applyBorder="1"/>
    <xf numFmtId="2" fontId="0" fillId="0" borderId="0" xfId="0" applyNumberFormat="1"/>
    <xf numFmtId="0" fontId="1" fillId="0" borderId="25" xfId="8" applyBorder="1" applyAlignment="1">
      <alignment horizontal="center" vertical="center"/>
    </xf>
    <xf numFmtId="0" fontId="1" fillId="0" borderId="0" xfId="8" applyAlignment="1">
      <alignment vertical="center"/>
    </xf>
    <xf numFmtId="165" fontId="1" fillId="0" borderId="0" xfId="8" applyNumberFormat="1" applyAlignment="1">
      <alignment vertical="center"/>
    </xf>
    <xf numFmtId="165" fontId="0" fillId="0" borderId="0" xfId="0" applyNumberFormat="1"/>
    <xf numFmtId="0" fontId="8" fillId="3" borderId="55" xfId="6" applyFont="1" applyFill="1" applyBorder="1" applyAlignment="1">
      <alignment horizontal="center" vertical="center"/>
    </xf>
    <xf numFmtId="0" fontId="8" fillId="3" borderId="16" xfId="6" applyFont="1" applyFill="1" applyBorder="1" applyAlignment="1">
      <alignment vertical="center"/>
    </xf>
    <xf numFmtId="0" fontId="26" fillId="0" borderId="0" xfId="6" applyFont="1" applyAlignment="1">
      <alignment horizontal="center" vertical="center"/>
    </xf>
    <xf numFmtId="0" fontId="10" fillId="0" borderId="6" xfId="6" applyFont="1" applyBorder="1" applyAlignment="1">
      <alignment vertical="center"/>
    </xf>
    <xf numFmtId="0" fontId="26" fillId="0" borderId="0" xfId="8" applyFont="1" applyAlignment="1">
      <alignment horizontal="center" vertical="center"/>
    </xf>
    <xf numFmtId="0" fontId="24" fillId="3" borderId="0" xfId="8" applyFont="1" applyFill="1" applyAlignment="1">
      <alignment horizontal="center" vertical="center"/>
    </xf>
    <xf numFmtId="0" fontId="1" fillId="0" borderId="0" xfId="8" applyAlignment="1">
      <alignment horizontal="center" vertical="center"/>
    </xf>
    <xf numFmtId="0" fontId="24" fillId="0" borderId="0" xfId="6" applyFont="1" applyAlignment="1">
      <alignment horizontal="center" vertical="center"/>
    </xf>
    <xf numFmtId="0" fontId="26" fillId="3" borderId="0" xfId="8" applyFont="1" applyFill="1" applyAlignment="1">
      <alignment horizontal="center" vertical="center"/>
    </xf>
    <xf numFmtId="165" fontId="27" fillId="7" borderId="35" xfId="9" applyNumberFormat="1" applyFont="1" applyFill="1" applyBorder="1"/>
    <xf numFmtId="0" fontId="24" fillId="0" borderId="0" xfId="8" applyFont="1" applyAlignment="1">
      <alignment horizontal="center" vertical="center"/>
    </xf>
    <xf numFmtId="0" fontId="10" fillId="0" borderId="25" xfId="8" applyFont="1" applyBorder="1" applyAlignment="1">
      <alignment horizontal="center" vertical="center"/>
    </xf>
    <xf numFmtId="165" fontId="27" fillId="7" borderId="27" xfId="9" applyNumberFormat="1" applyFont="1" applyFill="1" applyBorder="1"/>
    <xf numFmtId="0" fontId="10" fillId="0" borderId="0" xfId="8" applyFont="1" applyAlignment="1">
      <alignment horizontal="center" vertical="center"/>
    </xf>
    <xf numFmtId="0" fontId="24" fillId="0" borderId="2" xfId="6" applyFont="1" applyBorder="1" applyAlignment="1">
      <alignment horizontal="center" vertical="center"/>
    </xf>
    <xf numFmtId="0" fontId="10" fillId="0" borderId="3" xfId="6" applyFont="1" applyBorder="1" applyAlignment="1">
      <alignment vertical="center"/>
    </xf>
    <xf numFmtId="0" fontId="26" fillId="0" borderId="3" xfId="6" applyFont="1" applyBorder="1" applyAlignment="1">
      <alignment horizontal="center" vertical="center"/>
    </xf>
    <xf numFmtId="0" fontId="26" fillId="0" borderId="4" xfId="6" applyFont="1" applyBorder="1" applyAlignment="1">
      <alignment horizontal="center" vertical="center"/>
    </xf>
    <xf numFmtId="165" fontId="27" fillId="7" borderId="2" xfId="9" applyNumberFormat="1" applyFont="1" applyFill="1" applyBorder="1"/>
    <xf numFmtId="165" fontId="27" fillId="7" borderId="3" xfId="9" applyNumberFormat="1" applyFont="1" applyFill="1" applyBorder="1"/>
    <xf numFmtId="165" fontId="27" fillId="7" borderId="4" xfId="9" applyNumberFormat="1" applyFont="1" applyFill="1" applyBorder="1"/>
    <xf numFmtId="165" fontId="27" fillId="7" borderId="1" xfId="9" applyNumberFormat="1" applyFont="1" applyFill="1" applyBorder="1"/>
    <xf numFmtId="0" fontId="27" fillId="0" borderId="0" xfId="9" applyFont="1" applyAlignment="1">
      <alignment vertical="center"/>
    </xf>
    <xf numFmtId="0" fontId="27" fillId="0" borderId="0" xfId="9" applyFont="1" applyAlignment="1">
      <alignment horizontal="left" vertical="center"/>
    </xf>
    <xf numFmtId="0" fontId="27" fillId="0" borderId="0" xfId="9" applyFont="1" applyAlignment="1">
      <alignment horizontal="left"/>
    </xf>
    <xf numFmtId="0" fontId="27" fillId="7" borderId="9" xfId="9" applyFont="1" applyFill="1" applyBorder="1"/>
    <xf numFmtId="0" fontId="27" fillId="0" borderId="0" xfId="9" applyFont="1"/>
    <xf numFmtId="0" fontId="27" fillId="9" borderId="9" xfId="9" applyFont="1" applyFill="1" applyBorder="1"/>
    <xf numFmtId="0" fontId="28" fillId="3" borderId="33" xfId="9" applyFont="1" applyFill="1" applyBorder="1" applyAlignment="1">
      <alignment vertical="center"/>
    </xf>
    <xf numFmtId="0" fontId="29" fillId="3" borderId="34" xfId="9" applyFont="1" applyFill="1" applyBorder="1" applyAlignment="1">
      <alignment horizontal="left" vertical="center"/>
    </xf>
    <xf numFmtId="0" fontId="29" fillId="3" borderId="34" xfId="9" applyFont="1" applyFill="1" applyBorder="1" applyAlignment="1">
      <alignment vertical="center"/>
    </xf>
    <xf numFmtId="0" fontId="30" fillId="3" borderId="35" xfId="9" applyFont="1" applyFill="1" applyBorder="1" applyAlignment="1">
      <alignment vertical="center"/>
    </xf>
    <xf numFmtId="0" fontId="19" fillId="0" borderId="0" xfId="9"/>
    <xf numFmtId="0" fontId="19" fillId="0" borderId="0" xfId="9" applyAlignment="1">
      <alignment horizontal="left"/>
    </xf>
    <xf numFmtId="0" fontId="1" fillId="0" borderId="0" xfId="8" applyAlignment="1">
      <alignment horizontal="left" vertical="center"/>
    </xf>
    <xf numFmtId="0" fontId="49" fillId="0" borderId="0" xfId="8" applyFont="1" applyAlignment="1">
      <alignment vertical="center"/>
    </xf>
    <xf numFmtId="0" fontId="30" fillId="3" borderId="35" xfId="9" applyFont="1" applyFill="1" applyBorder="1" applyAlignment="1">
      <alignment horizontal="right" vertical="center"/>
    </xf>
    <xf numFmtId="0" fontId="19" fillId="0" borderId="0" xfId="9" applyAlignment="1">
      <alignment horizontal="left" vertical="center"/>
    </xf>
    <xf numFmtId="0" fontId="13" fillId="0" borderId="2" xfId="9" applyFont="1" applyBorder="1" applyAlignment="1">
      <alignment horizontal="center" vertical="top"/>
    </xf>
    <xf numFmtId="0" fontId="13" fillId="0" borderId="60" xfId="9" applyFont="1" applyBorder="1" applyAlignment="1">
      <alignment vertical="top"/>
    </xf>
    <xf numFmtId="0" fontId="13" fillId="0" borderId="34" xfId="9" applyFont="1" applyBorder="1" applyAlignment="1">
      <alignment vertical="top"/>
    </xf>
    <xf numFmtId="0" fontId="26" fillId="0" borderId="35" xfId="8" applyFont="1" applyBorder="1" applyAlignment="1">
      <alignment horizontal="center" vertical="center"/>
    </xf>
    <xf numFmtId="0" fontId="27" fillId="0" borderId="46" xfId="9" applyFont="1" applyBorder="1" applyAlignment="1">
      <alignment horizontal="center" vertical="top"/>
    </xf>
    <xf numFmtId="0" fontId="32" fillId="0" borderId="0" xfId="6" applyFont="1" applyAlignment="1">
      <alignment horizontal="center" vertical="center"/>
    </xf>
    <xf numFmtId="0" fontId="27" fillId="0" borderId="8" xfId="9" applyFont="1" applyBorder="1" applyAlignment="1">
      <alignment horizontal="center" vertical="top"/>
    </xf>
    <xf numFmtId="0" fontId="27" fillId="0" borderId="11" xfId="0" applyFont="1" applyBorder="1" applyAlignment="1">
      <alignment horizontal="center" vertical="top"/>
    </xf>
    <xf numFmtId="0" fontId="32" fillId="0" borderId="0" xfId="6" applyFont="1" applyAlignment="1">
      <alignment horizontal="center" vertical="center" wrapText="1"/>
    </xf>
    <xf numFmtId="0" fontId="24" fillId="0" borderId="0" xfId="8" applyFont="1" applyAlignment="1">
      <alignment vertical="center"/>
    </xf>
    <xf numFmtId="165" fontId="27" fillId="9" borderId="18" xfId="9" applyNumberFormat="1" applyFont="1" applyFill="1" applyBorder="1"/>
    <xf numFmtId="165" fontId="24" fillId="0" borderId="0" xfId="6" applyNumberFormat="1" applyFont="1" applyAlignment="1">
      <alignment vertical="center"/>
    </xf>
    <xf numFmtId="165" fontId="27" fillId="7" borderId="32" xfId="9" applyNumberFormat="1" applyFont="1" applyFill="1" applyBorder="1"/>
    <xf numFmtId="2" fontId="27" fillId="9" borderId="32" xfId="9" applyNumberFormat="1" applyFont="1" applyFill="1" applyBorder="1"/>
    <xf numFmtId="2" fontId="27" fillId="7" borderId="32" xfId="9" applyNumberFormat="1" applyFont="1" applyFill="1" applyBorder="1"/>
    <xf numFmtId="0" fontId="19" fillId="0" borderId="0" xfId="9" applyAlignment="1">
      <alignment vertical="center" wrapText="1"/>
    </xf>
    <xf numFmtId="0" fontId="26" fillId="0" borderId="47" xfId="6" applyFont="1" applyBorder="1" applyAlignment="1">
      <alignment horizontal="center" vertical="center"/>
    </xf>
    <xf numFmtId="0" fontId="26" fillId="0" borderId="50" xfId="6" applyFont="1" applyBorder="1" applyAlignment="1">
      <alignment horizontal="center" vertical="center"/>
    </xf>
    <xf numFmtId="2" fontId="27" fillId="7" borderId="30" xfId="9" applyNumberFormat="1" applyFont="1" applyFill="1" applyBorder="1"/>
    <xf numFmtId="2" fontId="27" fillId="7" borderId="31" xfId="9" applyNumberFormat="1" applyFont="1" applyFill="1" applyBorder="1"/>
    <xf numFmtId="0" fontId="0" fillId="0" borderId="0" xfId="6" applyFont="1" applyAlignment="1">
      <alignment vertical="center"/>
    </xf>
    <xf numFmtId="0" fontId="24" fillId="0" borderId="46" xfId="6" applyFont="1" applyBorder="1" applyAlignment="1">
      <alignment horizontal="center" vertical="center"/>
    </xf>
    <xf numFmtId="0" fontId="10" fillId="0" borderId="47" xfId="6" applyFont="1" applyBorder="1" applyAlignment="1">
      <alignment vertical="center"/>
    </xf>
    <xf numFmtId="0" fontId="10" fillId="0" borderId="47" xfId="6" applyFont="1" applyBorder="1" applyAlignment="1">
      <alignment vertical="center" wrapText="1"/>
    </xf>
    <xf numFmtId="0" fontId="10" fillId="0" borderId="9" xfId="6" applyFont="1" applyBorder="1" applyAlignment="1">
      <alignment vertical="center" wrapText="1"/>
    </xf>
    <xf numFmtId="0" fontId="24" fillId="0" borderId="19" xfId="6" applyFont="1" applyBorder="1" applyAlignment="1">
      <alignment horizontal="center" vertical="center"/>
    </xf>
    <xf numFmtId="0" fontId="26" fillId="0" borderId="20" xfId="6" applyFont="1" applyBorder="1" applyAlignment="1">
      <alignment horizontal="center" vertical="center"/>
    </xf>
    <xf numFmtId="0" fontId="26" fillId="0" borderId="21" xfId="6" applyFont="1" applyBorder="1" applyAlignment="1">
      <alignment horizontal="center" vertical="center"/>
    </xf>
    <xf numFmtId="0" fontId="10" fillId="0" borderId="0" xfId="8" applyFont="1" applyAlignment="1">
      <alignment vertical="center"/>
    </xf>
    <xf numFmtId="0" fontId="10" fillId="0" borderId="0" xfId="8" applyFont="1" applyAlignment="1">
      <alignment horizontal="left" vertical="center"/>
    </xf>
    <xf numFmtId="0" fontId="32" fillId="0" borderId="0" xfId="6" applyFont="1" applyAlignment="1">
      <alignment horizontal="center" vertical="top"/>
    </xf>
    <xf numFmtId="0" fontId="27" fillId="0" borderId="5" xfId="9" applyFont="1" applyBorder="1" applyAlignment="1">
      <alignment horizontal="center" vertical="top"/>
    </xf>
    <xf numFmtId="0" fontId="32" fillId="0" borderId="0" xfId="6" applyFont="1" applyAlignment="1">
      <alignment horizontal="center" vertical="top" wrapText="1"/>
    </xf>
    <xf numFmtId="0" fontId="27" fillId="0" borderId="11" xfId="9" applyFont="1" applyBorder="1" applyAlignment="1">
      <alignment horizontal="center" vertical="top"/>
    </xf>
    <xf numFmtId="0" fontId="8" fillId="3" borderId="3" xfId="6" applyFont="1" applyFill="1" applyBorder="1" applyAlignment="1">
      <alignment horizontal="center" vertical="center"/>
    </xf>
    <xf numFmtId="0" fontId="8" fillId="3" borderId="4" xfId="6" applyFont="1" applyFill="1" applyBorder="1" applyAlignment="1">
      <alignment horizontal="center" vertical="center"/>
    </xf>
    <xf numFmtId="0" fontId="8" fillId="3" borderId="2" xfId="6" applyFont="1" applyFill="1" applyBorder="1" applyAlignment="1">
      <alignment horizontal="center" vertical="center" wrapText="1"/>
    </xf>
    <xf numFmtId="0" fontId="8" fillId="3" borderId="4" xfId="6" applyFont="1" applyFill="1" applyBorder="1" applyAlignment="1">
      <alignment horizontal="center" vertical="center" wrapText="1"/>
    </xf>
    <xf numFmtId="0" fontId="8" fillId="3" borderId="1" xfId="6" applyFont="1" applyFill="1" applyBorder="1" applyAlignment="1">
      <alignment horizontal="center" vertical="center" wrapText="1"/>
    </xf>
    <xf numFmtId="165" fontId="24" fillId="7" borderId="5" xfId="6" applyNumberFormat="1" applyFont="1" applyFill="1" applyBorder="1" applyAlignment="1">
      <alignment vertical="center"/>
    </xf>
    <xf numFmtId="165" fontId="24" fillId="7" borderId="6" xfId="6" applyNumberFormat="1" applyFont="1" applyFill="1" applyBorder="1" applyAlignment="1">
      <alignment vertical="center"/>
    </xf>
    <xf numFmtId="165" fontId="24" fillId="7" borderId="7" xfId="6" applyNumberFormat="1" applyFont="1" applyFill="1" applyBorder="1" applyAlignment="1">
      <alignment vertical="center"/>
    </xf>
    <xf numFmtId="165" fontId="24" fillId="9" borderId="8" xfId="6" applyNumberFormat="1" applyFont="1" applyFill="1" applyBorder="1" applyAlignment="1">
      <alignment vertical="center"/>
    </xf>
    <xf numFmtId="165" fontId="24" fillId="9" borderId="9" xfId="6" applyNumberFormat="1" applyFont="1" applyFill="1" applyBorder="1" applyAlignment="1">
      <alignment vertical="center"/>
    </xf>
    <xf numFmtId="165" fontId="24" fillId="7" borderId="10" xfId="6" applyNumberFormat="1" applyFont="1" applyFill="1" applyBorder="1" applyAlignment="1">
      <alignment vertical="center"/>
    </xf>
    <xf numFmtId="165" fontId="24" fillId="7" borderId="11" xfId="6" applyNumberFormat="1" applyFont="1" applyFill="1" applyBorder="1" applyAlignment="1">
      <alignment vertical="center"/>
    </xf>
    <xf numFmtId="165" fontId="24" fillId="7" borderId="12" xfId="6" applyNumberFormat="1" applyFont="1" applyFill="1" applyBorder="1" applyAlignment="1">
      <alignment vertical="center"/>
    </xf>
    <xf numFmtId="165" fontId="24" fillId="7" borderId="13" xfId="6" applyNumberFormat="1" applyFont="1" applyFill="1" applyBorder="1" applyAlignment="1">
      <alignment vertical="center"/>
    </xf>
    <xf numFmtId="165" fontId="24" fillId="7" borderId="24" xfId="6" applyNumberFormat="1" applyFont="1" applyFill="1" applyBorder="1" applyAlignment="1">
      <alignment vertical="center"/>
    </xf>
    <xf numFmtId="165" fontId="24" fillId="7" borderId="26" xfId="6" applyNumberFormat="1" applyFont="1" applyFill="1" applyBorder="1" applyAlignment="1">
      <alignment vertical="center"/>
    </xf>
    <xf numFmtId="165" fontId="24" fillId="7" borderId="27" xfId="6" applyNumberFormat="1" applyFont="1" applyFill="1" applyBorder="1" applyAlignment="1">
      <alignment vertical="center"/>
    </xf>
    <xf numFmtId="165" fontId="24" fillId="7" borderId="31" xfId="6" applyNumberFormat="1" applyFont="1" applyFill="1" applyBorder="1" applyAlignment="1">
      <alignment vertical="center"/>
    </xf>
    <xf numFmtId="165" fontId="24" fillId="7" borderId="30" xfId="6" applyNumberFormat="1" applyFont="1" applyFill="1" applyBorder="1" applyAlignment="1">
      <alignment vertical="center"/>
    </xf>
    <xf numFmtId="0" fontId="24" fillId="0" borderId="25" xfId="8" applyFont="1" applyBorder="1" applyAlignment="1">
      <alignment horizontal="center" vertical="center"/>
    </xf>
    <xf numFmtId="0" fontId="24" fillId="0" borderId="0" xfId="8" applyFont="1"/>
    <xf numFmtId="0" fontId="27" fillId="0" borderId="0" xfId="9" applyFont="1" applyAlignment="1">
      <alignment horizontal="center" vertical="top"/>
    </xf>
    <xf numFmtId="0" fontId="27" fillId="0" borderId="0" xfId="9" applyFont="1" applyAlignment="1">
      <alignment vertical="center" wrapText="1"/>
    </xf>
    <xf numFmtId="0" fontId="32" fillId="0" borderId="0" xfId="8" applyFont="1" applyAlignment="1">
      <alignment horizontal="center"/>
    </xf>
    <xf numFmtId="0" fontId="32" fillId="0" borderId="0" xfId="8" applyFont="1" applyAlignment="1">
      <alignment horizontal="center" wrapText="1"/>
    </xf>
    <xf numFmtId="0" fontId="1" fillId="0" borderId="91" xfId="6" applyBorder="1" applyAlignment="1">
      <alignment vertical="center"/>
    </xf>
    <xf numFmtId="0" fontId="1" fillId="0" borderId="92" xfId="6" applyBorder="1" applyAlignment="1">
      <alignment vertical="center"/>
    </xf>
    <xf numFmtId="0" fontId="1" fillId="0" borderId="93" xfId="6" applyBorder="1" applyAlignment="1">
      <alignment vertical="center"/>
    </xf>
    <xf numFmtId="0" fontId="8" fillId="3" borderId="71" xfId="6" applyFont="1" applyFill="1" applyBorder="1" applyAlignment="1">
      <alignment horizontal="center" vertical="center" wrapText="1"/>
    </xf>
    <xf numFmtId="0" fontId="8" fillId="3" borderId="72" xfId="6" applyFont="1" applyFill="1" applyBorder="1" applyAlignment="1">
      <alignment horizontal="center" vertical="center" wrapText="1"/>
    </xf>
    <xf numFmtId="0" fontId="8" fillId="3" borderId="74" xfId="6" applyFont="1" applyFill="1" applyBorder="1" applyAlignment="1">
      <alignment horizontal="center" vertical="center" wrapText="1"/>
    </xf>
    <xf numFmtId="0" fontId="8" fillId="3" borderId="73" xfId="6" applyFont="1" applyFill="1" applyBorder="1" applyAlignment="1">
      <alignment horizontal="center" vertical="center" wrapText="1"/>
    </xf>
    <xf numFmtId="0" fontId="26" fillId="0" borderId="36" xfId="6" applyFont="1" applyBorder="1" applyAlignment="1">
      <alignment horizontal="center" vertical="center"/>
    </xf>
    <xf numFmtId="165" fontId="24" fillId="7" borderId="70" xfId="6" applyNumberFormat="1" applyFont="1" applyFill="1" applyBorder="1" applyAlignment="1">
      <alignment vertical="center"/>
    </xf>
    <xf numFmtId="0" fontId="26" fillId="0" borderId="38" xfId="6" applyFont="1" applyBorder="1" applyAlignment="1">
      <alignment horizontal="center" vertical="center"/>
    </xf>
    <xf numFmtId="165" fontId="24" fillId="7" borderId="97" xfId="6" applyNumberFormat="1" applyFont="1" applyFill="1" applyBorder="1" applyAlignment="1">
      <alignment vertical="center"/>
    </xf>
    <xf numFmtId="0" fontId="10" fillId="0" borderId="44" xfId="6" applyFont="1" applyBorder="1" applyAlignment="1">
      <alignment vertical="center"/>
    </xf>
    <xf numFmtId="165" fontId="24" fillId="11" borderId="98" xfId="6" applyNumberFormat="1" applyFont="1" applyFill="1" applyBorder="1" applyAlignment="1">
      <alignment vertical="center"/>
    </xf>
    <xf numFmtId="165" fontId="24" fillId="11" borderId="0" xfId="6" applyNumberFormat="1" applyFont="1" applyFill="1" applyAlignment="1">
      <alignment vertical="center"/>
    </xf>
    <xf numFmtId="165" fontId="24" fillId="11" borderId="99" xfId="6" applyNumberFormat="1" applyFont="1" applyFill="1" applyBorder="1" applyAlignment="1">
      <alignment vertical="center"/>
    </xf>
    <xf numFmtId="165" fontId="24" fillId="7" borderId="100" xfId="6" applyNumberFormat="1" applyFont="1" applyFill="1" applyBorder="1" applyAlignment="1">
      <alignment vertical="center"/>
    </xf>
    <xf numFmtId="165" fontId="24" fillId="7" borderId="94" xfId="6" applyNumberFormat="1" applyFont="1" applyFill="1" applyBorder="1" applyAlignment="1">
      <alignment vertical="center"/>
    </xf>
    <xf numFmtId="165" fontId="24" fillId="7" borderId="95" xfId="6" applyNumberFormat="1" applyFont="1" applyFill="1" applyBorder="1" applyAlignment="1">
      <alignment vertical="center"/>
    </xf>
    <xf numFmtId="165" fontId="24" fillId="7" borderId="96" xfId="6" applyNumberFormat="1" applyFont="1" applyFill="1" applyBorder="1" applyAlignment="1">
      <alignment vertical="center"/>
    </xf>
    <xf numFmtId="0" fontId="1" fillId="0" borderId="25" xfId="6" applyBorder="1" applyAlignment="1">
      <alignment vertical="center"/>
    </xf>
    <xf numFmtId="0" fontId="26" fillId="0" borderId="40" xfId="6" applyFont="1" applyBorder="1" applyAlignment="1">
      <alignment horizontal="center" vertical="center"/>
    </xf>
    <xf numFmtId="165" fontId="24" fillId="7" borderId="73" xfId="6" applyNumberFormat="1" applyFont="1" applyFill="1" applyBorder="1" applyAlignment="1">
      <alignment vertical="center"/>
    </xf>
    <xf numFmtId="165" fontId="24" fillId="7" borderId="72" xfId="6" applyNumberFormat="1" applyFont="1" applyFill="1" applyBorder="1" applyAlignment="1">
      <alignment vertical="center"/>
    </xf>
    <xf numFmtId="165" fontId="24" fillId="7" borderId="74" xfId="6" applyNumberFormat="1" applyFont="1" applyFill="1" applyBorder="1" applyAlignment="1">
      <alignment vertical="center"/>
    </xf>
    <xf numFmtId="165" fontId="24" fillId="7" borderId="77" xfId="6" applyNumberFormat="1" applyFont="1" applyFill="1" applyBorder="1" applyAlignment="1">
      <alignment vertical="center"/>
    </xf>
    <xf numFmtId="0" fontId="24" fillId="0" borderId="104" xfId="6" applyFont="1" applyBorder="1" applyAlignment="1">
      <alignment horizontal="center" vertical="center"/>
    </xf>
    <xf numFmtId="0" fontId="10" fillId="0" borderId="105" xfId="6" applyFont="1" applyBorder="1" applyAlignment="1">
      <alignment vertical="center"/>
    </xf>
    <xf numFmtId="0" fontId="26" fillId="0" borderId="105" xfId="6" applyFont="1" applyBorder="1" applyAlignment="1">
      <alignment horizontal="center" vertical="center"/>
    </xf>
    <xf numFmtId="0" fontId="26" fillId="0" borderId="106" xfId="6" applyFont="1" applyBorder="1" applyAlignment="1">
      <alignment horizontal="center" vertical="center"/>
    </xf>
    <xf numFmtId="0" fontId="24" fillId="0" borderId="107" xfId="6" applyFont="1" applyBorder="1" applyAlignment="1">
      <alignment horizontal="center" vertical="center"/>
    </xf>
    <xf numFmtId="0" fontId="26" fillId="0" borderId="108" xfId="6" applyFont="1" applyBorder="1" applyAlignment="1">
      <alignment horizontal="center" vertical="center"/>
    </xf>
    <xf numFmtId="0" fontId="24" fillId="0" borderId="109" xfId="6" applyFont="1" applyBorder="1" applyAlignment="1">
      <alignment horizontal="center" vertical="center"/>
    </xf>
    <xf numFmtId="0" fontId="10" fillId="0" borderId="110" xfId="6" applyFont="1" applyBorder="1" applyAlignment="1">
      <alignment vertical="center"/>
    </xf>
    <xf numFmtId="0" fontId="26" fillId="0" borderId="110" xfId="6" applyFont="1" applyBorder="1" applyAlignment="1">
      <alignment horizontal="center" vertical="center"/>
    </xf>
    <xf numFmtId="0" fontId="26" fillId="0" borderId="111" xfId="6" applyFont="1" applyBorder="1" applyAlignment="1">
      <alignment horizontal="center" vertical="center"/>
    </xf>
    <xf numFmtId="0" fontId="27" fillId="0" borderId="0" xfId="9" applyFont="1" applyAlignment="1">
      <alignment horizontal="left" vertical="center" wrapText="1"/>
    </xf>
    <xf numFmtId="165" fontId="24" fillId="7" borderId="32" xfId="6" applyNumberFormat="1" applyFont="1" applyFill="1" applyBorder="1" applyAlignment="1">
      <alignment vertical="center"/>
    </xf>
    <xf numFmtId="165" fontId="24" fillId="7" borderId="41" xfId="6" applyNumberFormat="1" applyFont="1" applyFill="1" applyBorder="1" applyAlignment="1">
      <alignment vertical="center"/>
    </xf>
    <xf numFmtId="165" fontId="24" fillId="7" borderId="39" xfId="6" applyNumberFormat="1" applyFont="1" applyFill="1" applyBorder="1" applyAlignment="1">
      <alignment vertical="center"/>
    </xf>
    <xf numFmtId="165" fontId="24" fillId="7" borderId="9" xfId="6" applyNumberFormat="1" applyFont="1" applyFill="1" applyBorder="1" applyAlignment="1">
      <alignment vertical="center"/>
    </xf>
    <xf numFmtId="165" fontId="24" fillId="7" borderId="8" xfId="6" applyNumberFormat="1" applyFont="1" applyFill="1" applyBorder="1" applyAlignment="1">
      <alignment vertical="center"/>
    </xf>
    <xf numFmtId="0" fontId="24" fillId="0" borderId="0" xfId="6" applyFont="1" applyAlignment="1">
      <alignment horizontal="center" vertical="center" wrapText="1"/>
    </xf>
    <xf numFmtId="165" fontId="24" fillId="7" borderId="2" xfId="6" applyNumberFormat="1" applyFont="1" applyFill="1" applyBorder="1" applyAlignment="1">
      <alignment vertical="center"/>
    </xf>
    <xf numFmtId="165" fontId="24" fillId="7" borderId="3" xfId="6" applyNumberFormat="1" applyFont="1" applyFill="1" applyBorder="1" applyAlignment="1">
      <alignment vertical="center"/>
    </xf>
    <xf numFmtId="165" fontId="24" fillId="7" borderId="4" xfId="6" applyNumberFormat="1" applyFont="1" applyFill="1" applyBorder="1" applyAlignment="1">
      <alignment vertical="center"/>
    </xf>
    <xf numFmtId="165" fontId="24" fillId="7" borderId="61" xfId="6" applyNumberFormat="1" applyFont="1" applyFill="1" applyBorder="1" applyAlignment="1">
      <alignment vertical="center"/>
    </xf>
    <xf numFmtId="165" fontId="24" fillId="7" borderId="60" xfId="6" applyNumberFormat="1" applyFont="1" applyFill="1" applyBorder="1" applyAlignment="1">
      <alignment vertical="center"/>
    </xf>
    <xf numFmtId="165" fontId="24" fillId="7" borderId="78" xfId="6" applyNumberFormat="1" applyFont="1" applyFill="1" applyBorder="1" applyAlignment="1">
      <alignment vertical="center"/>
    </xf>
    <xf numFmtId="165" fontId="24" fillId="7" borderId="79" xfId="6" applyNumberFormat="1" applyFont="1" applyFill="1" applyBorder="1" applyAlignment="1">
      <alignment vertical="center"/>
    </xf>
    <xf numFmtId="165" fontId="24" fillId="7" borderId="80" xfId="6" applyNumberFormat="1" applyFont="1" applyFill="1" applyBorder="1" applyAlignment="1">
      <alignment vertical="center"/>
    </xf>
    <xf numFmtId="165" fontId="24" fillId="7" borderId="21" xfId="6" applyNumberFormat="1" applyFont="1" applyFill="1" applyBorder="1" applyAlignment="1">
      <alignment vertical="center"/>
    </xf>
    <xf numFmtId="0" fontId="29" fillId="3" borderId="35" xfId="9" applyFont="1" applyFill="1" applyBorder="1" applyAlignment="1">
      <alignment vertical="center"/>
    </xf>
    <xf numFmtId="0" fontId="13" fillId="0" borderId="68" xfId="9" applyFont="1" applyBorder="1" applyAlignment="1">
      <alignment horizontal="center" vertical="top"/>
    </xf>
    <xf numFmtId="0" fontId="27" fillId="0" borderId="66" xfId="9" applyFont="1" applyBorder="1" applyAlignment="1">
      <alignment horizontal="center" vertical="top"/>
    </xf>
    <xf numFmtId="0" fontId="27" fillId="0" borderId="86" xfId="9" applyFont="1" applyBorder="1" applyAlignment="1">
      <alignment horizontal="center" vertical="top"/>
    </xf>
    <xf numFmtId="0" fontId="32" fillId="0" borderId="0" xfId="8" applyFont="1" applyAlignment="1">
      <alignment horizontal="center" vertical="center"/>
    </xf>
    <xf numFmtId="0" fontId="27" fillId="0" borderId="75" xfId="9" applyFont="1" applyBorder="1" applyAlignment="1">
      <alignment horizontal="center" vertical="top"/>
    </xf>
    <xf numFmtId="0" fontId="1" fillId="0" borderId="63" xfId="6" applyBorder="1" applyAlignment="1">
      <alignment vertical="center"/>
    </xf>
    <xf numFmtId="0" fontId="32" fillId="0" borderId="0" xfId="8" applyFont="1"/>
    <xf numFmtId="0" fontId="14" fillId="0" borderId="0" xfId="9" applyFont="1" applyAlignment="1">
      <alignment vertical="center"/>
    </xf>
    <xf numFmtId="0" fontId="19" fillId="0" borderId="0" xfId="11"/>
    <xf numFmtId="0" fontId="8" fillId="3" borderId="11" xfId="9" applyFont="1" applyFill="1" applyBorder="1" applyAlignment="1">
      <alignment horizontal="center" vertical="center" wrapText="1"/>
    </xf>
    <xf numFmtId="0" fontId="8" fillId="3" borderId="13" xfId="9" applyFont="1" applyFill="1" applyBorder="1" applyAlignment="1">
      <alignment horizontal="center" vertical="center" wrapText="1"/>
    </xf>
    <xf numFmtId="0" fontId="35" fillId="3" borderId="11" xfId="9" applyFont="1" applyFill="1" applyBorder="1" applyAlignment="1">
      <alignment horizontal="center" vertical="center" wrapText="1"/>
    </xf>
    <xf numFmtId="0" fontId="35" fillId="3" borderId="13" xfId="9" applyFont="1" applyFill="1" applyBorder="1" applyAlignment="1">
      <alignment horizontal="center" vertical="center" wrapText="1"/>
    </xf>
    <xf numFmtId="0" fontId="8" fillId="3" borderId="2" xfId="9" applyFont="1" applyFill="1" applyBorder="1" applyAlignment="1">
      <alignment horizontal="center" vertical="center"/>
    </xf>
    <xf numFmtId="0" fontId="19" fillId="0" borderId="2" xfId="9" applyBorder="1" applyAlignment="1">
      <alignment horizontal="center" vertical="center"/>
    </xf>
    <xf numFmtId="0" fontId="19" fillId="0" borderId="3" xfId="9" applyBorder="1" applyAlignment="1">
      <alignment horizontal="left" vertical="center"/>
    </xf>
    <xf numFmtId="0" fontId="16" fillId="0" borderId="3" xfId="9" quotePrefix="1" applyFont="1" applyBorder="1" applyAlignment="1">
      <alignment horizontal="center" vertical="center"/>
    </xf>
    <xf numFmtId="0" fontId="16" fillId="0" borderId="4" xfId="9" applyFont="1" applyBorder="1" applyAlignment="1">
      <alignment horizontal="center" vertical="center"/>
    </xf>
    <xf numFmtId="165" fontId="37" fillId="3" borderId="2" xfId="9" applyNumberFormat="1" applyFont="1" applyFill="1" applyBorder="1"/>
    <xf numFmtId="165" fontId="37" fillId="3" borderId="4" xfId="9" applyNumberFormat="1" applyFont="1" applyFill="1" applyBorder="1"/>
    <xf numFmtId="0" fontId="16" fillId="0" borderId="0" xfId="9" quotePrefix="1" applyFont="1" applyAlignment="1">
      <alignment horizontal="center" vertical="center"/>
    </xf>
    <xf numFmtId="0" fontId="16" fillId="0" borderId="0" xfId="9" applyFont="1" applyAlignment="1">
      <alignment horizontal="center" vertical="center"/>
    </xf>
    <xf numFmtId="0" fontId="27" fillId="0" borderId="0" xfId="9" applyFont="1" applyAlignment="1">
      <alignment horizontal="center" vertical="center"/>
    </xf>
    <xf numFmtId="0" fontId="16" fillId="0" borderId="0" xfId="9" applyFont="1" applyAlignment="1">
      <alignment vertical="center"/>
    </xf>
    <xf numFmtId="0" fontId="19" fillId="0" borderId="5" xfId="9" applyBorder="1" applyAlignment="1">
      <alignment horizontal="center" vertical="center"/>
    </xf>
    <xf numFmtId="0" fontId="19" fillId="0" borderId="6" xfId="9" applyBorder="1" applyAlignment="1">
      <alignment horizontal="left" vertical="center"/>
    </xf>
    <xf numFmtId="0" fontId="16" fillId="0" borderId="6" xfId="9" quotePrefix="1" applyFont="1" applyBorder="1" applyAlignment="1">
      <alignment horizontal="center" vertical="center"/>
    </xf>
    <xf numFmtId="0" fontId="16" fillId="0" borderId="7" xfId="9" applyFont="1" applyBorder="1" applyAlignment="1">
      <alignment horizontal="center" vertical="center"/>
    </xf>
    <xf numFmtId="168" fontId="38" fillId="3" borderId="5" xfId="9" applyNumberFormat="1" applyFont="1" applyFill="1" applyBorder="1"/>
    <xf numFmtId="168" fontId="38" fillId="3" borderId="7" xfId="9" applyNumberFormat="1" applyFont="1" applyFill="1" applyBorder="1"/>
    <xf numFmtId="0" fontId="19" fillId="0" borderId="8" xfId="9" applyBorder="1" applyAlignment="1">
      <alignment horizontal="center" vertical="center"/>
    </xf>
    <xf numFmtId="0" fontId="19" fillId="0" borderId="9" xfId="9" applyBorder="1" applyAlignment="1">
      <alignment horizontal="left" vertical="center"/>
    </xf>
    <xf numFmtId="0" fontId="16" fillId="0" borderId="9" xfId="9" quotePrefix="1" applyFont="1" applyBorder="1" applyAlignment="1">
      <alignment horizontal="center" vertical="center"/>
    </xf>
    <xf numFmtId="0" fontId="16" fillId="0" borderId="10" xfId="9" applyFont="1" applyBorder="1" applyAlignment="1">
      <alignment horizontal="center" vertical="center"/>
    </xf>
    <xf numFmtId="165" fontId="38" fillId="3" borderId="8" xfId="9" applyNumberFormat="1" applyFont="1" applyFill="1" applyBorder="1"/>
    <xf numFmtId="165" fontId="38" fillId="3" borderId="10" xfId="9" applyNumberFormat="1" applyFont="1" applyFill="1" applyBorder="1"/>
    <xf numFmtId="168" fontId="38" fillId="3" borderId="8" xfId="9" applyNumberFormat="1" applyFont="1" applyFill="1" applyBorder="1"/>
    <xf numFmtId="168" fontId="38" fillId="3" borderId="10" xfId="9" applyNumberFormat="1" applyFont="1" applyFill="1" applyBorder="1"/>
    <xf numFmtId="165" fontId="27" fillId="7" borderId="10" xfId="9" applyNumberFormat="1" applyFont="1" applyFill="1" applyBorder="1"/>
    <xf numFmtId="165" fontId="37" fillId="3" borderId="8" xfId="9" applyNumberFormat="1" applyFont="1" applyFill="1" applyBorder="1"/>
    <xf numFmtId="165" fontId="37" fillId="3" borderId="10" xfId="9" applyNumberFormat="1" applyFont="1" applyFill="1" applyBorder="1"/>
    <xf numFmtId="165" fontId="27" fillId="9" borderId="8" xfId="9" applyNumberFormat="1" applyFont="1" applyFill="1" applyBorder="1"/>
    <xf numFmtId="165" fontId="27" fillId="9" borderId="10" xfId="9" applyNumberFormat="1" applyFont="1" applyFill="1" applyBorder="1"/>
    <xf numFmtId="0" fontId="1" fillId="0" borderId="0" xfId="8"/>
    <xf numFmtId="0" fontId="19" fillId="0" borderId="11" xfId="9" applyBorder="1" applyAlignment="1">
      <alignment horizontal="center" vertical="center"/>
    </xf>
    <xf numFmtId="0" fontId="19" fillId="0" borderId="12" xfId="9" applyBorder="1" applyAlignment="1">
      <alignment horizontal="left" vertical="center"/>
    </xf>
    <xf numFmtId="0" fontId="16" fillId="0" borderId="12" xfId="9" applyFont="1" applyBorder="1" applyAlignment="1">
      <alignment horizontal="center" vertical="center"/>
    </xf>
    <xf numFmtId="0" fontId="16" fillId="0" borderId="13" xfId="9" applyFont="1" applyBorder="1" applyAlignment="1">
      <alignment horizontal="center" vertical="center"/>
    </xf>
    <xf numFmtId="168" fontId="38" fillId="3" borderId="11" xfId="9" applyNumberFormat="1" applyFont="1" applyFill="1" applyBorder="1"/>
    <xf numFmtId="168" fontId="38" fillId="3" borderId="13" xfId="9" applyNumberFormat="1" applyFont="1" applyFill="1" applyBorder="1"/>
    <xf numFmtId="0" fontId="13" fillId="0" borderId="33" xfId="9" applyFont="1" applyBorder="1" applyAlignment="1">
      <alignment horizontal="center" vertical="top"/>
    </xf>
    <xf numFmtId="0" fontId="13" fillId="0" borderId="33" xfId="9" applyFont="1" applyBorder="1" applyAlignment="1">
      <alignment vertical="top"/>
    </xf>
    <xf numFmtId="0" fontId="13" fillId="0" borderId="35" xfId="9" applyFont="1" applyBorder="1" applyAlignment="1">
      <alignment vertical="top"/>
    </xf>
    <xf numFmtId="0" fontId="27" fillId="0" borderId="5" xfId="9" applyFont="1" applyBorder="1" applyAlignment="1">
      <alignment horizontal="center" vertical="center"/>
    </xf>
    <xf numFmtId="0" fontId="27" fillId="0" borderId="8" xfId="9" applyFont="1" applyBorder="1" applyAlignment="1">
      <alignment horizontal="center" vertical="center"/>
    </xf>
    <xf numFmtId="0" fontId="27" fillId="0" borderId="11" xfId="9" applyFont="1" applyBorder="1" applyAlignment="1">
      <alignment horizontal="center" vertical="center"/>
    </xf>
    <xf numFmtId="0" fontId="32" fillId="0" borderId="0" xfId="8" applyFont="1" applyAlignment="1">
      <alignment vertical="center"/>
    </xf>
    <xf numFmtId="0" fontId="47" fillId="0" borderId="0" xfId="9" applyFont="1" applyAlignment="1">
      <alignment vertical="center"/>
    </xf>
    <xf numFmtId="0" fontId="8" fillId="3" borderId="54" xfId="9" applyFont="1" applyFill="1" applyBorder="1" applyAlignment="1">
      <alignment horizontal="left" vertical="center"/>
    </xf>
    <xf numFmtId="0" fontId="8" fillId="3" borderId="24" xfId="9" applyFont="1" applyFill="1" applyBorder="1" applyAlignment="1">
      <alignment vertical="center"/>
    </xf>
    <xf numFmtId="0" fontId="8" fillId="3" borderId="43" xfId="9" applyFont="1" applyFill="1" applyBorder="1" applyAlignment="1">
      <alignment horizontal="center" vertical="center"/>
    </xf>
    <xf numFmtId="0" fontId="8" fillId="3" borderId="62" xfId="9" applyFont="1" applyFill="1" applyBorder="1" applyAlignment="1">
      <alignment vertical="center"/>
    </xf>
    <xf numFmtId="165" fontId="48" fillId="3" borderId="5" xfId="9" applyNumberFormat="1" applyFont="1" applyFill="1" applyBorder="1"/>
    <xf numFmtId="165" fontId="48" fillId="3" borderId="7" xfId="9" applyNumberFormat="1" applyFont="1" applyFill="1" applyBorder="1"/>
    <xf numFmtId="165" fontId="48" fillId="3" borderId="8" xfId="9" applyNumberFormat="1" applyFont="1" applyFill="1" applyBorder="1"/>
    <xf numFmtId="165" fontId="48" fillId="3" borderId="10" xfId="9" applyNumberFormat="1" applyFont="1" applyFill="1" applyBorder="1"/>
    <xf numFmtId="168" fontId="48" fillId="3" borderId="8" xfId="9" applyNumberFormat="1" applyFont="1" applyFill="1" applyBorder="1"/>
    <xf numFmtId="168" fontId="48" fillId="3" borderId="10" xfId="9" applyNumberFormat="1" applyFont="1" applyFill="1" applyBorder="1"/>
    <xf numFmtId="168" fontId="48" fillId="3" borderId="11" xfId="9" applyNumberFormat="1" applyFont="1" applyFill="1" applyBorder="1"/>
    <xf numFmtId="168" fontId="48" fillId="3" borderId="13" xfId="9" applyNumberFormat="1" applyFont="1" applyFill="1" applyBorder="1"/>
    <xf numFmtId="0" fontId="34" fillId="0" borderId="0" xfId="9" applyFont="1" applyAlignment="1">
      <alignment horizontal="center" vertical="center"/>
    </xf>
    <xf numFmtId="0" fontId="19" fillId="0" borderId="0" xfId="9" applyAlignment="1">
      <alignment horizontal="center" vertical="center"/>
    </xf>
    <xf numFmtId="0" fontId="47" fillId="0" borderId="0" xfId="11" applyFont="1"/>
    <xf numFmtId="0" fontId="8" fillId="3" borderId="2" xfId="9" applyFont="1" applyFill="1" applyBorder="1" applyAlignment="1">
      <alignment horizontal="center" vertical="center" wrapText="1"/>
    </xf>
    <xf numFmtId="0" fontId="8" fillId="3" borderId="4" xfId="9" applyFont="1" applyFill="1" applyBorder="1" applyAlignment="1">
      <alignment horizontal="center" vertical="center" wrapText="1"/>
    </xf>
    <xf numFmtId="0" fontId="35" fillId="3" borderId="2" xfId="9" applyFont="1" applyFill="1" applyBorder="1" applyAlignment="1">
      <alignment horizontal="center" vertical="center" wrapText="1"/>
    </xf>
    <xf numFmtId="0" fontId="35" fillId="3" borderId="4" xfId="9" applyFont="1" applyFill="1" applyBorder="1" applyAlignment="1">
      <alignment horizontal="center" vertical="center" wrapText="1"/>
    </xf>
    <xf numFmtId="0" fontId="8" fillId="3" borderId="14" xfId="9" applyFont="1" applyFill="1" applyBorder="1" applyAlignment="1">
      <alignment horizontal="center" vertical="center"/>
    </xf>
    <xf numFmtId="0" fontId="8" fillId="3" borderId="16" xfId="9" applyFont="1" applyFill="1" applyBorder="1" applyAlignment="1">
      <alignment vertical="center"/>
    </xf>
    <xf numFmtId="0" fontId="16" fillId="0" borderId="6" xfId="9" applyFont="1" applyBorder="1" applyAlignment="1">
      <alignment horizontal="center" vertical="center"/>
    </xf>
    <xf numFmtId="168" fontId="47" fillId="3" borderId="5" xfId="9" applyNumberFormat="1" applyFont="1" applyFill="1" applyBorder="1"/>
    <xf numFmtId="168" fontId="47" fillId="3" borderId="7" xfId="9" applyNumberFormat="1" applyFont="1" applyFill="1" applyBorder="1"/>
    <xf numFmtId="0" fontId="16" fillId="0" borderId="9" xfId="9" applyFont="1" applyBorder="1" applyAlignment="1">
      <alignment horizontal="center" vertical="center"/>
    </xf>
    <xf numFmtId="168" fontId="47" fillId="3" borderId="43" xfId="9" applyNumberFormat="1" applyFont="1" applyFill="1" applyBorder="1"/>
    <xf numFmtId="168" fontId="47" fillId="3" borderId="13" xfId="9" applyNumberFormat="1" applyFont="1" applyFill="1" applyBorder="1"/>
    <xf numFmtId="168" fontId="47" fillId="3" borderId="30" xfId="9" applyNumberFormat="1" applyFont="1" applyFill="1" applyBorder="1"/>
    <xf numFmtId="0" fontId="38" fillId="0" borderId="0" xfId="8" applyFont="1" applyAlignment="1">
      <alignment horizontal="center" vertical="center"/>
    </xf>
    <xf numFmtId="0" fontId="10" fillId="0" borderId="0" xfId="8" applyFont="1"/>
    <xf numFmtId="0" fontId="2" fillId="0" borderId="0" xfId="6" applyFont="1" applyAlignment="1">
      <alignment vertical="center"/>
    </xf>
    <xf numFmtId="0" fontId="27" fillId="10" borderId="0" xfId="9" applyFont="1" applyFill="1" applyAlignment="1">
      <alignment vertical="center"/>
    </xf>
    <xf numFmtId="0" fontId="33" fillId="0" borderId="0" xfId="9" applyFont="1" applyAlignment="1">
      <alignment vertical="center"/>
    </xf>
    <xf numFmtId="0" fontId="8" fillId="3" borderId="2" xfId="9" applyFont="1" applyFill="1" applyBorder="1" applyAlignment="1">
      <alignment horizontal="left" vertical="center" wrapText="1"/>
    </xf>
    <xf numFmtId="0" fontId="8" fillId="3" borderId="61" xfId="9" applyFont="1" applyFill="1" applyBorder="1" applyAlignment="1">
      <alignment horizontal="left" vertical="center" wrapText="1"/>
    </xf>
    <xf numFmtId="0" fontId="8" fillId="3" borderId="61" xfId="9" applyFont="1" applyFill="1" applyBorder="1" applyAlignment="1">
      <alignment horizontal="center" vertical="center" wrapText="1"/>
    </xf>
    <xf numFmtId="0" fontId="8" fillId="3" borderId="3" xfId="9" applyFont="1" applyFill="1" applyBorder="1" applyAlignment="1">
      <alignment horizontal="center" vertical="center" wrapText="1"/>
    </xf>
    <xf numFmtId="0" fontId="45" fillId="10" borderId="0" xfId="9" applyFont="1" applyFill="1" applyAlignment="1">
      <alignment horizontal="center" vertical="center"/>
    </xf>
    <xf numFmtId="0" fontId="46" fillId="0" borderId="0" xfId="6" applyFont="1" applyAlignment="1">
      <alignment horizontal="center" vertical="center"/>
    </xf>
    <xf numFmtId="0" fontId="27" fillId="0" borderId="6" xfId="9" applyFont="1" applyBorder="1" applyAlignment="1">
      <alignment vertical="center"/>
    </xf>
    <xf numFmtId="0" fontId="27" fillId="0" borderId="6" xfId="9" applyFont="1" applyBorder="1" applyAlignment="1">
      <alignment vertical="center" wrapText="1"/>
    </xf>
    <xf numFmtId="0" fontId="27" fillId="0" borderId="6" xfId="9" applyFont="1" applyBorder="1" applyAlignment="1">
      <alignment horizontal="center" vertical="center" wrapText="1"/>
    </xf>
    <xf numFmtId="0" fontId="27" fillId="10" borderId="0" xfId="9" applyFont="1" applyFill="1" applyAlignment="1">
      <alignment horizontal="center" vertical="center"/>
    </xf>
    <xf numFmtId="0" fontId="27" fillId="6" borderId="0" xfId="9" applyFont="1" applyFill="1" applyAlignment="1">
      <alignment horizontal="center" vertical="center"/>
    </xf>
    <xf numFmtId="0" fontId="19" fillId="10" borderId="0" xfId="9" applyFill="1" applyAlignment="1">
      <alignment horizontal="left" vertical="center"/>
    </xf>
    <xf numFmtId="0" fontId="27" fillId="0" borderId="9" xfId="9" applyFont="1" applyBorder="1" applyAlignment="1">
      <alignment vertical="center"/>
    </xf>
    <xf numFmtId="0" fontId="27" fillId="0" borderId="9" xfId="9" applyFont="1" applyBorder="1" applyAlignment="1">
      <alignment vertical="center" wrapText="1"/>
    </xf>
    <xf numFmtId="0" fontId="27" fillId="0" borderId="9" xfId="9" applyFont="1" applyBorder="1" applyAlignment="1">
      <alignment horizontal="center" vertical="center" wrapText="1"/>
    </xf>
    <xf numFmtId="0" fontId="27" fillId="0" borderId="12" xfId="9" applyFont="1" applyBorder="1" applyAlignment="1">
      <alignment vertical="center"/>
    </xf>
    <xf numFmtId="0" fontId="27" fillId="0" borderId="12" xfId="9" applyFont="1" applyBorder="1" applyAlignment="1">
      <alignment vertical="center" wrapText="1"/>
    </xf>
    <xf numFmtId="0" fontId="27" fillId="0" borderId="12" xfId="9" applyFont="1" applyBorder="1" applyAlignment="1">
      <alignment horizontal="center" vertical="center" wrapText="1"/>
    </xf>
    <xf numFmtId="0" fontId="13" fillId="0" borderId="0" xfId="9" applyFont="1" applyAlignment="1">
      <alignment vertical="center"/>
    </xf>
    <xf numFmtId="0" fontId="31" fillId="0" borderId="0" xfId="6" applyFont="1" applyAlignment="1">
      <alignment vertical="center" wrapText="1"/>
    </xf>
    <xf numFmtId="0" fontId="31" fillId="0" borderId="0" xfId="6" applyFont="1" applyAlignment="1">
      <alignment vertical="center"/>
    </xf>
    <xf numFmtId="0" fontId="0" fillId="0" borderId="34" xfId="0" applyBorder="1"/>
    <xf numFmtId="0" fontId="1" fillId="0" borderId="34" xfId="8" applyBorder="1" applyAlignment="1">
      <alignment vertical="center"/>
    </xf>
    <xf numFmtId="0" fontId="19" fillId="0" borderId="34" xfId="9" applyBorder="1" applyAlignment="1">
      <alignment vertical="center"/>
    </xf>
    <xf numFmtId="0" fontId="1" fillId="0" borderId="34" xfId="6" applyBorder="1" applyAlignment="1">
      <alignment vertical="center"/>
    </xf>
    <xf numFmtId="0" fontId="10" fillId="0" borderId="34" xfId="8" applyFont="1" applyBorder="1" applyAlignment="1">
      <alignment vertical="center"/>
    </xf>
    <xf numFmtId="0" fontId="10" fillId="0" borderId="35" xfId="8" applyFont="1" applyBorder="1" applyAlignment="1">
      <alignment vertical="center"/>
    </xf>
    <xf numFmtId="0" fontId="27" fillId="0" borderId="46" xfId="9" applyFont="1" applyBorder="1" applyAlignment="1">
      <alignment horizontal="center" vertical="center"/>
    </xf>
    <xf numFmtId="0" fontId="42" fillId="3" borderId="3" xfId="9" applyFont="1" applyFill="1" applyBorder="1" applyAlignment="1">
      <alignment horizontal="center" vertical="center"/>
    </xf>
    <xf numFmtId="0" fontId="42" fillId="3" borderId="4" xfId="9" applyFont="1" applyFill="1" applyBorder="1" applyAlignment="1">
      <alignment horizontal="center" vertical="center"/>
    </xf>
    <xf numFmtId="0" fontId="42" fillId="3" borderId="2" xfId="9" applyFont="1" applyFill="1" applyBorder="1" applyAlignment="1">
      <alignment horizontal="center" vertical="center" wrapText="1"/>
    </xf>
    <xf numFmtId="0" fontId="42" fillId="3" borderId="3" xfId="9" applyFont="1" applyFill="1" applyBorder="1" applyAlignment="1">
      <alignment horizontal="center" vertical="center" wrapText="1"/>
    </xf>
    <xf numFmtId="0" fontId="34" fillId="0" borderId="0" xfId="9" applyFont="1"/>
    <xf numFmtId="0" fontId="8" fillId="3" borderId="14" xfId="6" applyFont="1" applyFill="1" applyBorder="1" applyAlignment="1">
      <alignment horizontal="center" vertical="center"/>
    </xf>
    <xf numFmtId="165" fontId="27" fillId="7" borderId="7" xfId="9" applyNumberFormat="1" applyFont="1" applyFill="1" applyBorder="1" applyAlignment="1">
      <alignment vertical="center"/>
    </xf>
    <xf numFmtId="165" fontId="27" fillId="7" borderId="10" xfId="9" applyNumberFormat="1" applyFont="1" applyFill="1" applyBorder="1" applyAlignment="1">
      <alignment vertical="center"/>
    </xf>
    <xf numFmtId="165" fontId="27" fillId="7" borderId="11" xfId="9" applyNumberFormat="1" applyFont="1" applyFill="1" applyBorder="1" applyAlignment="1">
      <alignment vertical="center"/>
    </xf>
    <xf numFmtId="165" fontId="27" fillId="7" borderId="12" xfId="9" applyNumberFormat="1" applyFont="1" applyFill="1" applyBorder="1" applyAlignment="1">
      <alignment vertical="center"/>
    </xf>
    <xf numFmtId="165" fontId="27" fillId="7" borderId="13" xfId="9" applyNumberFormat="1" applyFont="1" applyFill="1" applyBorder="1" applyAlignment="1">
      <alignment vertical="center"/>
    </xf>
    <xf numFmtId="0" fontId="43" fillId="0" borderId="0" xfId="9" applyFont="1" applyAlignment="1">
      <alignment horizontal="center" vertical="center"/>
    </xf>
    <xf numFmtId="0" fontId="27" fillId="0" borderId="0" xfId="11" applyFont="1" applyAlignment="1">
      <alignment vertical="center"/>
    </xf>
    <xf numFmtId="0" fontId="27" fillId="0" borderId="2" xfId="9" applyFont="1" applyBorder="1" applyAlignment="1">
      <alignment horizontal="center" vertical="center"/>
    </xf>
    <xf numFmtId="0" fontId="16" fillId="0" borderId="3" xfId="9" applyFont="1" applyBorder="1" applyAlignment="1">
      <alignment horizontal="center" vertical="center"/>
    </xf>
    <xf numFmtId="165" fontId="27" fillId="7" borderId="2" xfId="9" applyNumberFormat="1" applyFont="1" applyFill="1" applyBorder="1" applyAlignment="1">
      <alignment vertical="center"/>
    </xf>
    <xf numFmtId="165" fontId="27" fillId="7" borderId="3" xfId="9" applyNumberFormat="1" applyFont="1" applyFill="1" applyBorder="1" applyAlignment="1">
      <alignment vertical="center"/>
    </xf>
    <xf numFmtId="165" fontId="27" fillId="7" borderId="4" xfId="9" applyNumberFormat="1" applyFont="1" applyFill="1" applyBorder="1" applyAlignment="1">
      <alignment vertical="center"/>
    </xf>
    <xf numFmtId="165" fontId="27" fillId="7" borderId="30" xfId="9" applyNumberFormat="1" applyFont="1" applyFill="1" applyBorder="1" applyAlignment="1">
      <alignment vertical="center"/>
    </xf>
    <xf numFmtId="0" fontId="42" fillId="3" borderId="4" xfId="9" applyFont="1" applyFill="1" applyBorder="1" applyAlignment="1">
      <alignment horizontal="center" vertical="center" wrapText="1"/>
    </xf>
    <xf numFmtId="165" fontId="27" fillId="9" borderId="5" xfId="9" applyNumberFormat="1" applyFont="1" applyFill="1" applyBorder="1" applyAlignment="1">
      <alignment vertical="center"/>
    </xf>
    <xf numFmtId="165" fontId="27" fillId="9" borderId="6" xfId="9" applyNumberFormat="1" applyFont="1" applyFill="1" applyBorder="1" applyAlignment="1">
      <alignment vertical="center"/>
    </xf>
    <xf numFmtId="165" fontId="27" fillId="9" borderId="7" xfId="9" applyNumberFormat="1" applyFont="1" applyFill="1" applyBorder="1" applyAlignment="1">
      <alignment vertical="center"/>
    </xf>
    <xf numFmtId="165" fontId="27" fillId="9" borderId="8" xfId="9" applyNumberFormat="1" applyFont="1" applyFill="1" applyBorder="1" applyAlignment="1">
      <alignment vertical="center"/>
    </xf>
    <xf numFmtId="165" fontId="27" fillId="9" borderId="9" xfId="9" applyNumberFormat="1" applyFont="1" applyFill="1" applyBorder="1" applyAlignment="1">
      <alignment vertical="center"/>
    </xf>
    <xf numFmtId="0" fontId="23" fillId="0" borderId="0" xfId="8" applyFont="1" applyAlignment="1">
      <alignment horizontal="center" vertical="center"/>
    </xf>
    <xf numFmtId="165" fontId="27" fillId="7" borderId="8" xfId="9" applyNumberFormat="1" applyFont="1" applyFill="1" applyBorder="1" applyAlignment="1">
      <alignment vertical="center"/>
    </xf>
    <xf numFmtId="165" fontId="27" fillId="7" borderId="9" xfId="9" applyNumberFormat="1" applyFont="1" applyFill="1" applyBorder="1" applyAlignment="1">
      <alignment vertical="center"/>
    </xf>
    <xf numFmtId="0" fontId="31" fillId="0" borderId="0" xfId="8" applyFont="1" applyAlignment="1">
      <alignment horizontal="center" vertical="center" wrapText="1"/>
    </xf>
    <xf numFmtId="0" fontId="31" fillId="0" borderId="0" xfId="8" applyFont="1" applyAlignment="1">
      <alignment horizontal="center" vertical="center"/>
    </xf>
    <xf numFmtId="0" fontId="8" fillId="3" borderId="1" xfId="9" applyFont="1" applyFill="1" applyBorder="1" applyAlignment="1">
      <alignment horizontal="center" vertical="center" wrapText="1"/>
    </xf>
    <xf numFmtId="0" fontId="21" fillId="0" borderId="0" xfId="6" applyFont="1" applyAlignment="1">
      <alignment vertical="center"/>
    </xf>
    <xf numFmtId="0" fontId="40" fillId="0" borderId="0" xfId="9" applyFont="1"/>
    <xf numFmtId="0" fontId="27" fillId="10" borderId="2" xfId="9" applyFont="1" applyFill="1" applyBorder="1" applyAlignment="1">
      <alignment horizontal="center" vertical="center"/>
    </xf>
    <xf numFmtId="2" fontId="27" fillId="7" borderId="1" xfId="9" applyNumberFormat="1" applyFont="1" applyFill="1" applyBorder="1"/>
    <xf numFmtId="2" fontId="27" fillId="0" borderId="0" xfId="9" applyNumberFormat="1" applyFont="1" applyAlignment="1">
      <alignment vertical="center"/>
    </xf>
    <xf numFmtId="0" fontId="27" fillId="10" borderId="5" xfId="9" applyFont="1" applyFill="1" applyBorder="1" applyAlignment="1">
      <alignment horizontal="center" vertical="center"/>
    </xf>
    <xf numFmtId="165" fontId="27" fillId="7" borderId="7" xfId="9" applyNumberFormat="1" applyFont="1" applyFill="1" applyBorder="1"/>
    <xf numFmtId="0" fontId="27" fillId="10" borderId="8" xfId="9" applyFont="1" applyFill="1" applyBorder="1" applyAlignment="1">
      <alignment horizontal="center" vertical="center"/>
    </xf>
    <xf numFmtId="0" fontId="27" fillId="10" borderId="11" xfId="9" applyFont="1" applyFill="1" applyBorder="1" applyAlignment="1">
      <alignment horizontal="center" vertical="center"/>
    </xf>
    <xf numFmtId="2" fontId="24" fillId="0" borderId="0" xfId="6" applyNumberFormat="1" applyFont="1" applyAlignment="1">
      <alignment vertical="center"/>
    </xf>
    <xf numFmtId="0" fontId="27" fillId="7" borderId="1" xfId="9" applyFont="1" applyFill="1" applyBorder="1"/>
    <xf numFmtId="0" fontId="41" fillId="0" borderId="0" xfId="9" applyFont="1" applyAlignment="1">
      <alignment horizontal="left" vertical="center"/>
    </xf>
    <xf numFmtId="0" fontId="13" fillId="0" borderId="5" xfId="9" applyFont="1" applyBorder="1" applyAlignment="1">
      <alignment horizontal="center" vertical="top"/>
    </xf>
    <xf numFmtId="2" fontId="27" fillId="7" borderId="1" xfId="9" applyNumberFormat="1" applyFont="1" applyFill="1" applyBorder="1" applyAlignment="1">
      <alignment vertical="center"/>
    </xf>
    <xf numFmtId="0" fontId="40" fillId="0" borderId="0" xfId="9" applyFont="1" applyAlignment="1">
      <alignment vertical="center"/>
    </xf>
    <xf numFmtId="2" fontId="27" fillId="7" borderId="31" xfId="9" applyNumberFormat="1" applyFont="1" applyFill="1" applyBorder="1" applyAlignment="1">
      <alignment vertical="center"/>
    </xf>
    <xf numFmtId="2" fontId="27" fillId="7" borderId="32" xfId="9" applyNumberFormat="1" applyFont="1" applyFill="1" applyBorder="1" applyAlignment="1">
      <alignment vertical="center"/>
    </xf>
    <xf numFmtId="2" fontId="27" fillId="7" borderId="30" xfId="9" applyNumberFormat="1" applyFont="1" applyFill="1" applyBorder="1" applyAlignment="1">
      <alignment vertical="center"/>
    </xf>
    <xf numFmtId="0" fontId="27" fillId="7" borderId="1" xfId="9" applyFont="1" applyFill="1" applyBorder="1" applyAlignment="1">
      <alignment vertical="center"/>
    </xf>
    <xf numFmtId="17" fontId="27" fillId="0" borderId="8" xfId="9" applyNumberFormat="1" applyFont="1" applyBorder="1" applyAlignment="1">
      <alignment horizontal="center" vertical="center"/>
    </xf>
    <xf numFmtId="0" fontId="8" fillId="3" borderId="3" xfId="6" applyFont="1" applyFill="1" applyBorder="1" applyAlignment="1">
      <alignment horizontal="center" vertical="center" wrapText="1"/>
    </xf>
    <xf numFmtId="0" fontId="10" fillId="0" borderId="7" xfId="6" applyFont="1" applyBorder="1" applyAlignment="1">
      <alignment vertical="center"/>
    </xf>
    <xf numFmtId="0" fontId="10" fillId="0" borderId="10" xfId="6" applyFont="1" applyBorder="1" applyAlignment="1">
      <alignment vertical="center"/>
    </xf>
    <xf numFmtId="0" fontId="10" fillId="0" borderId="13" xfId="6" applyFont="1" applyBorder="1" applyAlignment="1">
      <alignment vertical="center"/>
    </xf>
    <xf numFmtId="0" fontId="35" fillId="3" borderId="11" xfId="6" applyFont="1" applyFill="1" applyBorder="1" applyAlignment="1">
      <alignment horizontal="center" vertical="center" wrapText="1"/>
    </xf>
    <xf numFmtId="0" fontId="35" fillId="3" borderId="12" xfId="6" applyFont="1" applyFill="1" applyBorder="1" applyAlignment="1">
      <alignment horizontal="center" vertical="center" wrapText="1"/>
    </xf>
    <xf numFmtId="0" fontId="35" fillId="3" borderId="13" xfId="6" applyFont="1" applyFill="1" applyBorder="1" applyAlignment="1">
      <alignment horizontal="center" vertical="center" wrapText="1"/>
    </xf>
    <xf numFmtId="0" fontId="36" fillId="0" borderId="0" xfId="6" applyFont="1" applyAlignment="1">
      <alignment vertical="center"/>
    </xf>
    <xf numFmtId="165" fontId="37" fillId="3" borderId="5" xfId="6" applyNumberFormat="1" applyFont="1" applyFill="1" applyBorder="1" applyAlignment="1">
      <alignment vertical="center"/>
    </xf>
    <xf numFmtId="165" fontId="37" fillId="3" borderId="6" xfId="6" applyNumberFormat="1" applyFont="1" applyFill="1" applyBorder="1" applyAlignment="1">
      <alignment vertical="center"/>
    </xf>
    <xf numFmtId="165" fontId="37" fillId="3" borderId="36" xfId="6" applyNumberFormat="1" applyFont="1" applyFill="1" applyBorder="1" applyAlignment="1">
      <alignment vertical="center"/>
    </xf>
    <xf numFmtId="165" fontId="37" fillId="3" borderId="7" xfId="6" applyNumberFormat="1" applyFont="1" applyFill="1" applyBorder="1" applyAlignment="1">
      <alignment vertical="center"/>
    </xf>
    <xf numFmtId="165" fontId="37" fillId="3" borderId="8" xfId="6" applyNumberFormat="1" applyFont="1" applyFill="1" applyBorder="1" applyAlignment="1">
      <alignment vertical="center"/>
    </xf>
    <xf numFmtId="165" fontId="37" fillId="3" borderId="9" xfId="6" applyNumberFormat="1" applyFont="1" applyFill="1" applyBorder="1" applyAlignment="1">
      <alignment vertical="center"/>
    </xf>
    <xf numFmtId="165" fontId="37" fillId="3" borderId="38" xfId="6" applyNumberFormat="1" applyFont="1" applyFill="1" applyBorder="1" applyAlignment="1">
      <alignment vertical="center"/>
    </xf>
    <xf numFmtId="165" fontId="37" fillId="3" borderId="10" xfId="6" applyNumberFormat="1" applyFont="1" applyFill="1" applyBorder="1" applyAlignment="1">
      <alignment vertical="center"/>
    </xf>
    <xf numFmtId="165" fontId="24" fillId="7" borderId="40" xfId="6" applyNumberFormat="1" applyFont="1" applyFill="1" applyBorder="1" applyAlignment="1">
      <alignment vertical="center"/>
    </xf>
    <xf numFmtId="165" fontId="37" fillId="3" borderId="11" xfId="6" applyNumberFormat="1" applyFont="1" applyFill="1" applyBorder="1" applyAlignment="1">
      <alignment vertical="center"/>
    </xf>
    <xf numFmtId="165" fontId="37" fillId="3" borderId="12" xfId="6" applyNumberFormat="1" applyFont="1" applyFill="1" applyBorder="1" applyAlignment="1">
      <alignment vertical="center"/>
    </xf>
    <xf numFmtId="165" fontId="37" fillId="3" borderId="40" xfId="6" applyNumberFormat="1" applyFont="1" applyFill="1" applyBorder="1" applyAlignment="1">
      <alignment vertical="center"/>
    </xf>
    <xf numFmtId="165" fontId="37" fillId="3" borderId="13" xfId="6" applyNumberFormat="1" applyFont="1" applyFill="1" applyBorder="1" applyAlignment="1">
      <alignment vertical="center"/>
    </xf>
    <xf numFmtId="0" fontId="24" fillId="0" borderId="43" xfId="6" applyFont="1" applyBorder="1" applyAlignment="1">
      <alignment horizontal="center" vertical="center"/>
    </xf>
    <xf numFmtId="0" fontId="0" fillId="0" borderId="0" xfId="6" applyFont="1" applyAlignment="1">
      <alignment horizontal="right" vertical="center"/>
    </xf>
    <xf numFmtId="165" fontId="37" fillId="3" borderId="28" xfId="6" applyNumberFormat="1" applyFont="1" applyFill="1" applyBorder="1" applyAlignment="1">
      <alignment vertical="center"/>
    </xf>
    <xf numFmtId="165" fontId="37" fillId="3" borderId="29" xfId="6" applyNumberFormat="1" applyFont="1" applyFill="1" applyBorder="1" applyAlignment="1">
      <alignment vertical="center"/>
    </xf>
    <xf numFmtId="165" fontId="37" fillId="3" borderId="45" xfId="6" applyNumberFormat="1" applyFont="1" applyFill="1" applyBorder="1" applyAlignment="1">
      <alignment vertical="center"/>
    </xf>
    <xf numFmtId="0" fontId="38" fillId="0" borderId="0" xfId="8" applyFont="1" applyAlignment="1">
      <alignment vertical="center"/>
    </xf>
    <xf numFmtId="0" fontId="39" fillId="0" borderId="0" xfId="8" applyFont="1" applyAlignment="1">
      <alignment horizontal="center" vertical="center"/>
    </xf>
    <xf numFmtId="165" fontId="37" fillId="3" borderId="2" xfId="6" applyNumberFormat="1" applyFont="1" applyFill="1" applyBorder="1" applyAlignment="1">
      <alignment vertical="center"/>
    </xf>
    <xf numFmtId="165" fontId="37" fillId="3" borderId="34" xfId="6" applyNumberFormat="1" applyFont="1" applyFill="1" applyBorder="1" applyAlignment="1">
      <alignment vertical="center"/>
    </xf>
    <xf numFmtId="165" fontId="37" fillId="3" borderId="4" xfId="6" applyNumberFormat="1" applyFont="1" applyFill="1" applyBorder="1" applyAlignment="1">
      <alignment vertical="center"/>
    </xf>
    <xf numFmtId="0" fontId="13" fillId="0" borderId="14" xfId="9" applyFont="1" applyBorder="1" applyAlignment="1">
      <alignment horizontal="center" vertical="top"/>
    </xf>
    <xf numFmtId="0" fontId="13" fillId="0" borderId="52" xfId="9" applyFont="1" applyBorder="1" applyAlignment="1">
      <alignment vertical="top"/>
    </xf>
    <xf numFmtId="0" fontId="13" fillId="0" borderId="53" xfId="9" applyFont="1" applyBorder="1" applyAlignment="1">
      <alignment vertical="top"/>
    </xf>
    <xf numFmtId="0" fontId="26" fillId="0" borderId="17" xfId="8" applyFont="1" applyBorder="1" applyAlignment="1">
      <alignment horizontal="center" vertical="center"/>
    </xf>
    <xf numFmtId="0" fontId="27" fillId="0" borderId="54" xfId="9" applyFont="1" applyBorder="1" applyAlignment="1">
      <alignment horizontal="center" vertical="top"/>
    </xf>
    <xf numFmtId="0" fontId="27" fillId="0" borderId="56" xfId="9" applyFont="1" applyBorder="1" applyAlignment="1">
      <alignment horizontal="center" vertical="top"/>
    </xf>
    <xf numFmtId="0" fontId="27" fillId="0" borderId="57" xfId="9" applyFont="1" applyBorder="1" applyAlignment="1">
      <alignment horizontal="center" vertical="top"/>
    </xf>
    <xf numFmtId="0" fontId="28" fillId="0" borderId="0" xfId="6" applyFont="1" applyAlignment="1">
      <alignment vertical="center"/>
    </xf>
    <xf numFmtId="0" fontId="8" fillId="3" borderId="19" xfId="6" applyFont="1" applyFill="1" applyBorder="1" applyAlignment="1">
      <alignment horizontal="center" vertical="center" wrapText="1"/>
    </xf>
    <xf numFmtId="0" fontId="8" fillId="3" borderId="21" xfId="6" applyFont="1" applyFill="1" applyBorder="1" applyAlignment="1">
      <alignment horizontal="center" vertical="center" wrapText="1"/>
    </xf>
    <xf numFmtId="0" fontId="8" fillId="3" borderId="41" xfId="6" applyFont="1" applyFill="1" applyBorder="1" applyAlignment="1">
      <alignment horizontal="center" vertical="center" wrapText="1"/>
    </xf>
    <xf numFmtId="0" fontId="32" fillId="0" borderId="0" xfId="8" applyFont="1" applyAlignment="1">
      <alignment horizontal="center" vertical="center" wrapText="1"/>
    </xf>
    <xf numFmtId="0" fontId="32" fillId="0" borderId="0" xfId="6" applyFont="1" applyAlignment="1">
      <alignment vertical="center"/>
    </xf>
    <xf numFmtId="0" fontId="8" fillId="3" borderId="3" xfId="9" applyFont="1" applyFill="1" applyBorder="1" applyAlignment="1">
      <alignment horizontal="center" vertical="center"/>
    </xf>
    <xf numFmtId="0" fontId="8" fillId="3" borderId="4" xfId="9" applyFont="1" applyFill="1" applyBorder="1" applyAlignment="1">
      <alignment horizontal="center" vertical="center"/>
    </xf>
    <xf numFmtId="0" fontId="8" fillId="3" borderId="1" xfId="9" applyFont="1" applyFill="1" applyBorder="1" applyAlignment="1">
      <alignment horizontal="center" vertical="center"/>
    </xf>
    <xf numFmtId="165" fontId="27" fillId="7" borderId="31" xfId="9" applyNumberFormat="1" applyFont="1" applyFill="1" applyBorder="1" applyAlignment="1">
      <alignment vertical="center"/>
    </xf>
    <xf numFmtId="165" fontId="27" fillId="7" borderId="32" xfId="9" applyNumberFormat="1" applyFont="1" applyFill="1" applyBorder="1" applyAlignment="1">
      <alignment vertical="center"/>
    </xf>
    <xf numFmtId="0" fontId="13" fillId="0" borderId="3" xfId="9" applyFont="1" applyBorder="1" applyAlignment="1">
      <alignment horizontal="center" vertical="top" wrapText="1"/>
    </xf>
    <xf numFmtId="0" fontId="19" fillId="0" borderId="5" xfId="9" applyBorder="1" applyAlignment="1">
      <alignment horizontal="center" vertical="top"/>
    </xf>
    <xf numFmtId="0" fontId="27" fillId="0" borderId="6" xfId="9" applyFont="1" applyBorder="1" applyAlignment="1">
      <alignment vertical="top" wrapText="1"/>
    </xf>
    <xf numFmtId="0" fontId="19" fillId="0" borderId="8" xfId="9" applyBorder="1" applyAlignment="1">
      <alignment horizontal="center" vertical="top"/>
    </xf>
    <xf numFmtId="0" fontId="27" fillId="0" borderId="9" xfId="9" applyFont="1" applyBorder="1" applyAlignment="1">
      <alignment vertical="top" wrapText="1"/>
    </xf>
    <xf numFmtId="0" fontId="19" fillId="0" borderId="11" xfId="9" applyBorder="1" applyAlignment="1">
      <alignment horizontal="center" vertical="top"/>
    </xf>
    <xf numFmtId="0" fontId="27" fillId="0" borderId="12" xfId="9" applyFont="1" applyBorder="1" applyAlignment="1">
      <alignment vertical="top" wrapText="1"/>
    </xf>
    <xf numFmtId="0" fontId="13" fillId="10" borderId="0" xfId="9" applyFont="1" applyFill="1" applyAlignment="1">
      <alignment vertical="center"/>
    </xf>
    <xf numFmtId="0" fontId="0" fillId="11" borderId="0" xfId="0" applyFill="1"/>
    <xf numFmtId="165" fontId="27" fillId="7" borderId="31" xfId="9" applyNumberFormat="1" applyFont="1" applyFill="1" applyBorder="1"/>
    <xf numFmtId="165" fontId="27" fillId="0" borderId="0" xfId="0" applyNumberFormat="1" applyFont="1"/>
    <xf numFmtId="0" fontId="19" fillId="0" borderId="9" xfId="9" applyBorder="1" applyAlignment="1">
      <alignment horizontal="left" vertical="center" wrapText="1"/>
    </xf>
    <xf numFmtId="0" fontId="27" fillId="0" borderId="0" xfId="0" applyFont="1"/>
    <xf numFmtId="165" fontId="27" fillId="0" borderId="0" xfId="1" applyNumberFormat="1" applyFont="1" applyFill="1" applyBorder="1" applyAlignment="1" applyProtection="1">
      <alignment vertical="center"/>
    </xf>
    <xf numFmtId="165" fontId="27" fillId="0" borderId="0" xfId="9" applyNumberFormat="1" applyFont="1"/>
    <xf numFmtId="0" fontId="13" fillId="0" borderId="17" xfId="9" applyFont="1" applyBorder="1" applyAlignment="1">
      <alignment vertical="top"/>
    </xf>
    <xf numFmtId="165" fontId="27" fillId="7" borderId="39" xfId="9" applyNumberFormat="1" applyFont="1" applyFill="1" applyBorder="1" applyAlignment="1">
      <alignment vertical="center"/>
    </xf>
    <xf numFmtId="0" fontId="16" fillId="0" borderId="0" xfId="9" applyFont="1" applyAlignment="1">
      <alignment horizontal="left" vertical="center" wrapText="1"/>
    </xf>
    <xf numFmtId="0" fontId="19" fillId="0" borderId="25" xfId="9" applyBorder="1" applyAlignment="1">
      <alignment vertical="center"/>
    </xf>
    <xf numFmtId="0" fontId="1" fillId="0" borderId="0" xfId="9" applyFont="1"/>
    <xf numFmtId="165" fontId="27" fillId="7" borderId="41" xfId="9" applyNumberFormat="1" applyFont="1" applyFill="1" applyBorder="1" applyAlignment="1">
      <alignment vertical="center"/>
    </xf>
    <xf numFmtId="165" fontId="27" fillId="0" borderId="0" xfId="9" applyNumberFormat="1" applyFont="1" applyAlignment="1">
      <alignment vertical="center"/>
    </xf>
    <xf numFmtId="2" fontId="24" fillId="7" borderId="31" xfId="6" applyNumberFormat="1" applyFont="1" applyFill="1" applyBorder="1" applyAlignment="1">
      <alignment vertical="center"/>
    </xf>
    <xf numFmtId="0" fontId="10" fillId="0" borderId="20" xfId="6" applyFont="1" applyBorder="1" applyAlignment="1">
      <alignment vertical="center"/>
    </xf>
    <xf numFmtId="0" fontId="26" fillId="0" borderId="51" xfId="6" applyFont="1" applyBorder="1" applyAlignment="1">
      <alignment horizontal="center" vertical="center"/>
    </xf>
    <xf numFmtId="165" fontId="27" fillId="9" borderId="31" xfId="9" applyNumberFormat="1" applyFont="1" applyFill="1" applyBorder="1" applyAlignment="1">
      <alignment vertical="center"/>
    </xf>
    <xf numFmtId="165" fontId="24" fillId="7" borderId="45" xfId="6" applyNumberFormat="1" applyFont="1" applyFill="1" applyBorder="1" applyAlignment="1">
      <alignment vertical="center"/>
    </xf>
    <xf numFmtId="165" fontId="24" fillId="7" borderId="22" xfId="6" applyNumberFormat="1" applyFont="1" applyFill="1" applyBorder="1" applyAlignment="1">
      <alignment vertical="center"/>
    </xf>
    <xf numFmtId="165" fontId="24" fillId="7" borderId="19" xfId="6" applyNumberFormat="1" applyFont="1" applyFill="1" applyBorder="1" applyAlignment="1">
      <alignment vertical="center"/>
    </xf>
    <xf numFmtId="165" fontId="24" fillId="7" borderId="20" xfId="6" applyNumberFormat="1" applyFont="1" applyFill="1" applyBorder="1" applyAlignment="1">
      <alignment vertical="center"/>
    </xf>
    <xf numFmtId="0" fontId="26" fillId="0" borderId="48" xfId="6" applyFont="1" applyBorder="1" applyAlignment="1">
      <alignment horizontal="center" vertical="center"/>
    </xf>
    <xf numFmtId="165" fontId="24" fillId="7" borderId="50" xfId="6" applyNumberFormat="1" applyFont="1" applyFill="1" applyBorder="1" applyAlignment="1">
      <alignment vertical="center"/>
    </xf>
    <xf numFmtId="165" fontId="24" fillId="7" borderId="49" xfId="6" applyNumberFormat="1" applyFont="1" applyFill="1" applyBorder="1" applyAlignment="1">
      <alignment vertical="center"/>
    </xf>
    <xf numFmtId="165" fontId="24" fillId="7" borderId="23" xfId="6" applyNumberFormat="1" applyFont="1" applyFill="1" applyBorder="1" applyAlignment="1">
      <alignment vertical="center"/>
    </xf>
    <xf numFmtId="0" fontId="27" fillId="0" borderId="8" xfId="0" applyFont="1" applyBorder="1" applyAlignment="1">
      <alignment horizontal="center" vertical="top"/>
    </xf>
    <xf numFmtId="0" fontId="27" fillId="0" borderId="40" xfId="0" applyFont="1" applyBorder="1" applyAlignment="1">
      <alignment horizontal="left"/>
    </xf>
    <xf numFmtId="0" fontId="27" fillId="0" borderId="45" xfId="0" applyFont="1" applyBorder="1" applyAlignment="1">
      <alignment horizontal="left" wrapText="1"/>
    </xf>
    <xf numFmtId="0" fontId="27" fillId="0" borderId="27" xfId="0" applyFont="1" applyBorder="1" applyAlignment="1">
      <alignment horizontal="left" wrapText="1"/>
    </xf>
    <xf numFmtId="0" fontId="1" fillId="0" borderId="0" xfId="6" applyAlignment="1">
      <alignment vertical="top"/>
    </xf>
    <xf numFmtId="165" fontId="27" fillId="9" borderId="37" xfId="9" applyNumberFormat="1" applyFont="1" applyFill="1" applyBorder="1" applyAlignment="1">
      <alignment vertical="center"/>
    </xf>
    <xf numFmtId="0" fontId="32" fillId="3" borderId="0" xfId="8" applyFont="1" applyFill="1" applyAlignment="1">
      <alignment horizontal="center" vertical="center"/>
    </xf>
    <xf numFmtId="0" fontId="32" fillId="3" borderId="0" xfId="6" applyFont="1" applyFill="1" applyAlignment="1">
      <alignment vertical="center"/>
    </xf>
    <xf numFmtId="0" fontId="12" fillId="0" borderId="5" xfId="5" applyFont="1" applyBorder="1" applyAlignment="1" applyProtection="1">
      <alignment vertical="center"/>
    </xf>
    <xf numFmtId="0" fontId="12" fillId="0" borderId="8" xfId="5" applyFont="1" applyBorder="1" applyAlignment="1" applyProtection="1">
      <alignment vertical="center"/>
    </xf>
    <xf numFmtId="0" fontId="12" fillId="0" borderId="11" xfId="5" applyFont="1" applyBorder="1" applyAlignment="1" applyProtection="1">
      <alignment vertical="center"/>
    </xf>
    <xf numFmtId="0" fontId="6" fillId="0" borderId="0" xfId="0" applyFont="1" applyAlignment="1">
      <alignment horizontal="right" vertical="center"/>
    </xf>
    <xf numFmtId="0" fontId="8" fillId="3" borderId="0" xfId="4" applyNumberFormat="1"/>
    <xf numFmtId="0" fontId="10" fillId="0" borderId="0" xfId="0" applyFont="1" applyAlignment="1">
      <alignment vertical="top" wrapText="1"/>
    </xf>
    <xf numFmtId="0" fontId="12" fillId="0" borderId="0" xfId="5" applyFont="1" applyAlignment="1" applyProtection="1">
      <alignment vertical="top" wrapText="1"/>
    </xf>
    <xf numFmtId="0" fontId="12" fillId="0" borderId="0" xfId="5" applyFont="1" applyFill="1" applyProtection="1"/>
    <xf numFmtId="0" fontId="15" fillId="0" borderId="0" xfId="5" applyFont="1" applyFill="1" applyAlignment="1" applyProtection="1">
      <alignment wrapText="1"/>
    </xf>
    <xf numFmtId="0" fontId="19" fillId="0" borderId="0" xfId="0" applyFont="1"/>
    <xf numFmtId="0" fontId="20" fillId="0" borderId="0" xfId="5" applyFont="1" applyFill="1" applyProtection="1"/>
    <xf numFmtId="2" fontId="24" fillId="4" borderId="32" xfId="6" applyNumberFormat="1" applyFont="1" applyFill="1" applyBorder="1" applyAlignment="1" applyProtection="1">
      <alignment vertical="center"/>
      <protection locked="0"/>
    </xf>
    <xf numFmtId="165" fontId="24" fillId="4" borderId="32" xfId="6" applyNumberFormat="1" applyFont="1" applyFill="1" applyBorder="1" applyAlignment="1" applyProtection="1">
      <alignment vertical="center"/>
      <protection locked="0"/>
    </xf>
    <xf numFmtId="2" fontId="24" fillId="4" borderId="112" xfId="6" applyNumberFormat="1" applyFont="1" applyFill="1" applyBorder="1" applyAlignment="1" applyProtection="1">
      <alignment vertical="center"/>
      <protection locked="0"/>
    </xf>
    <xf numFmtId="2" fontId="24" fillId="4" borderId="30" xfId="6" applyNumberFormat="1" applyFont="1" applyFill="1" applyBorder="1" applyAlignment="1" applyProtection="1">
      <alignment vertical="center"/>
      <protection locked="0"/>
    </xf>
    <xf numFmtId="165" fontId="24" fillId="4" borderId="8" xfId="6" applyNumberFormat="1" applyFont="1" applyFill="1" applyBorder="1" applyAlignment="1" applyProtection="1">
      <alignment vertical="center"/>
      <protection locked="0"/>
    </xf>
    <xf numFmtId="165" fontId="24" fillId="4" borderId="9" xfId="6" applyNumberFormat="1" applyFont="1" applyFill="1" applyBorder="1" applyAlignment="1" applyProtection="1">
      <alignment vertical="center"/>
      <protection locked="0"/>
    </xf>
    <xf numFmtId="165" fontId="24" fillId="4" borderId="5" xfId="6" applyNumberFormat="1" applyFont="1" applyFill="1" applyBorder="1" applyAlignment="1" applyProtection="1">
      <alignment vertical="center"/>
      <protection locked="0"/>
    </xf>
    <xf numFmtId="165" fontId="24" fillId="4" borderId="7" xfId="6" applyNumberFormat="1" applyFont="1" applyFill="1" applyBorder="1" applyAlignment="1" applyProtection="1">
      <alignment vertical="center"/>
      <protection locked="0"/>
    </xf>
    <xf numFmtId="165" fontId="24" fillId="4" borderId="10" xfId="6" applyNumberFormat="1" applyFont="1" applyFill="1" applyBorder="1" applyAlignment="1" applyProtection="1">
      <alignment vertical="center"/>
      <protection locked="0"/>
    </xf>
    <xf numFmtId="165" fontId="24" fillId="4" borderId="65" xfId="6" applyNumberFormat="1" applyFont="1" applyFill="1" applyBorder="1" applyAlignment="1" applyProtection="1">
      <alignment vertical="center"/>
      <protection locked="0"/>
    </xf>
    <xf numFmtId="165" fontId="24" fillId="4" borderId="67" xfId="6" applyNumberFormat="1" applyFont="1" applyFill="1" applyBorder="1" applyAlignment="1" applyProtection="1">
      <alignment vertical="center"/>
      <protection locked="0"/>
    </xf>
    <xf numFmtId="165" fontId="24" fillId="4" borderId="95" xfId="6" applyNumberFormat="1" applyFont="1" applyFill="1" applyBorder="1" applyAlignment="1" applyProtection="1">
      <alignment vertical="center"/>
      <protection locked="0"/>
    </xf>
    <xf numFmtId="165" fontId="24" fillId="4" borderId="96" xfId="6" applyNumberFormat="1" applyFont="1" applyFill="1" applyBorder="1" applyAlignment="1" applyProtection="1">
      <alignment vertical="center"/>
      <protection locked="0"/>
    </xf>
    <xf numFmtId="165" fontId="24" fillId="4" borderId="72" xfId="6" applyNumberFormat="1" applyFont="1" applyFill="1" applyBorder="1" applyAlignment="1" applyProtection="1">
      <alignment vertical="center"/>
      <protection locked="0"/>
    </xf>
    <xf numFmtId="165" fontId="24" fillId="4" borderId="74" xfId="6" applyNumberFormat="1" applyFont="1" applyFill="1" applyBorder="1" applyAlignment="1" applyProtection="1">
      <alignment vertical="center"/>
      <protection locked="0"/>
    </xf>
    <xf numFmtId="165" fontId="24" fillId="4" borderId="102" xfId="6" applyNumberFormat="1" applyFont="1" applyFill="1" applyBorder="1" applyAlignment="1" applyProtection="1">
      <alignment vertical="center"/>
      <protection locked="0"/>
    </xf>
    <xf numFmtId="165" fontId="24" fillId="4" borderId="103" xfId="6" applyNumberFormat="1" applyFont="1" applyFill="1" applyBorder="1" applyAlignment="1" applyProtection="1">
      <alignment vertical="center"/>
      <protection locked="0"/>
    </xf>
    <xf numFmtId="165" fontId="24" fillId="4" borderId="37" xfId="6" applyNumberFormat="1" applyFont="1" applyFill="1" applyBorder="1" applyAlignment="1" applyProtection="1">
      <alignment vertical="center"/>
      <protection locked="0"/>
    </xf>
    <xf numFmtId="165" fontId="24" fillId="4" borderId="6" xfId="6" applyNumberFormat="1" applyFont="1" applyFill="1" applyBorder="1" applyAlignment="1" applyProtection="1">
      <alignment vertical="center"/>
      <protection locked="0"/>
    </xf>
    <xf numFmtId="165" fontId="24" fillId="4" borderId="39" xfId="6" applyNumberFormat="1" applyFont="1" applyFill="1" applyBorder="1" applyAlignment="1" applyProtection="1">
      <alignment vertical="center"/>
      <protection locked="0"/>
    </xf>
    <xf numFmtId="165" fontId="24" fillId="4" borderId="1" xfId="6" applyNumberFormat="1" applyFont="1" applyFill="1" applyBorder="1" applyAlignment="1" applyProtection="1">
      <alignment vertical="center"/>
      <protection locked="0"/>
    </xf>
    <xf numFmtId="165" fontId="24" fillId="4" borderId="31" xfId="6" applyNumberFormat="1" applyFont="1" applyFill="1" applyBorder="1" applyAlignment="1" applyProtection="1">
      <alignment vertical="center"/>
      <protection locked="0"/>
    </xf>
    <xf numFmtId="168" fontId="27" fillId="4" borderId="8" xfId="9" applyNumberFormat="1" applyFont="1" applyFill="1" applyBorder="1" applyProtection="1">
      <protection locked="0"/>
    </xf>
    <xf numFmtId="168" fontId="27" fillId="4" borderId="10" xfId="9" applyNumberFormat="1" applyFont="1" applyFill="1" applyBorder="1" applyProtection="1">
      <protection locked="0"/>
    </xf>
    <xf numFmtId="168" fontId="27" fillId="4" borderId="11" xfId="9" applyNumberFormat="1" applyFont="1" applyFill="1" applyBorder="1" applyProtection="1">
      <protection locked="0"/>
    </xf>
    <xf numFmtId="168" fontId="27" fillId="4" borderId="13" xfId="9" applyNumberFormat="1" applyFont="1" applyFill="1" applyBorder="1" applyProtection="1">
      <protection locked="0"/>
    </xf>
    <xf numFmtId="165" fontId="19" fillId="4" borderId="5" xfId="9" applyNumberFormat="1" applyFill="1" applyBorder="1" applyProtection="1">
      <protection locked="0"/>
    </xf>
    <xf numFmtId="165" fontId="19" fillId="4" borderId="7" xfId="9" applyNumberFormat="1" applyFill="1" applyBorder="1" applyProtection="1">
      <protection locked="0"/>
    </xf>
    <xf numFmtId="165" fontId="19" fillId="4" borderId="8" xfId="9" applyNumberFormat="1" applyFill="1" applyBorder="1" applyProtection="1">
      <protection locked="0"/>
    </xf>
    <xf numFmtId="165" fontId="19" fillId="4" borderId="10" xfId="9" applyNumberFormat="1" applyFill="1" applyBorder="1" applyProtection="1">
      <protection locked="0"/>
    </xf>
    <xf numFmtId="168" fontId="19" fillId="4" borderId="5" xfId="9" applyNumberFormat="1" applyFill="1" applyBorder="1" applyProtection="1">
      <protection locked="0"/>
    </xf>
    <xf numFmtId="168" fontId="19" fillId="4" borderId="7" xfId="9" applyNumberFormat="1" applyFill="1" applyBorder="1" applyProtection="1">
      <protection locked="0"/>
    </xf>
    <xf numFmtId="168" fontId="19" fillId="4" borderId="43" xfId="9" applyNumberFormat="1" applyFill="1" applyBorder="1" applyProtection="1">
      <protection locked="0"/>
    </xf>
    <xf numFmtId="168" fontId="19" fillId="4" borderId="13" xfId="9" applyNumberFormat="1" applyFill="1" applyBorder="1" applyProtection="1">
      <protection locked="0"/>
    </xf>
    <xf numFmtId="168" fontId="19" fillId="4" borderId="30" xfId="9" applyNumberFormat="1" applyFill="1" applyBorder="1" applyProtection="1">
      <protection locked="0"/>
    </xf>
    <xf numFmtId="165" fontId="27" fillId="4" borderId="6" xfId="11" applyNumberFormat="1" applyFont="1" applyFill="1" applyBorder="1" applyAlignment="1" applyProtection="1">
      <alignment vertical="center"/>
      <protection locked="0"/>
    </xf>
    <xf numFmtId="167" fontId="27" fillId="4" borderId="6" xfId="11" applyNumberFormat="1" applyFont="1" applyFill="1" applyBorder="1" applyAlignment="1" applyProtection="1">
      <alignment vertical="center"/>
      <protection locked="0"/>
    </xf>
    <xf numFmtId="167" fontId="27" fillId="4" borderId="6" xfId="11" applyNumberFormat="1" applyFont="1" applyFill="1" applyBorder="1" applyProtection="1">
      <protection locked="0"/>
    </xf>
    <xf numFmtId="167" fontId="27" fillId="4" borderId="7" xfId="11" applyNumberFormat="1" applyFont="1" applyFill="1" applyBorder="1" applyAlignment="1" applyProtection="1">
      <alignment vertical="center"/>
      <protection locked="0"/>
    </xf>
    <xf numFmtId="2" fontId="27" fillId="4" borderId="9" xfId="11" applyNumberFormat="1" applyFont="1" applyFill="1" applyBorder="1" applyAlignment="1" applyProtection="1">
      <alignment vertical="center"/>
      <protection locked="0"/>
    </xf>
    <xf numFmtId="165" fontId="27" fillId="4" borderId="9" xfId="11" applyNumberFormat="1" applyFont="1" applyFill="1" applyBorder="1" applyAlignment="1" applyProtection="1">
      <alignment vertical="center"/>
      <protection locked="0"/>
    </xf>
    <xf numFmtId="167" fontId="27" fillId="4" borderId="9" xfId="11" applyNumberFormat="1" applyFont="1" applyFill="1" applyBorder="1" applyAlignment="1" applyProtection="1">
      <alignment vertical="center"/>
      <protection locked="0"/>
    </xf>
    <xf numFmtId="167" fontId="27" fillId="4" borderId="9" xfId="11" applyNumberFormat="1" applyFont="1" applyFill="1" applyBorder="1" applyProtection="1">
      <protection locked="0"/>
    </xf>
    <xf numFmtId="167" fontId="27" fillId="4" borderId="10" xfId="11" applyNumberFormat="1" applyFont="1" applyFill="1" applyBorder="1" applyAlignment="1" applyProtection="1">
      <alignment vertical="center"/>
      <protection locked="0"/>
    </xf>
    <xf numFmtId="165" fontId="27" fillId="4" borderId="12" xfId="11" applyNumberFormat="1" applyFont="1" applyFill="1" applyBorder="1" applyAlignment="1" applyProtection="1">
      <alignment vertical="center"/>
      <protection locked="0"/>
    </xf>
    <xf numFmtId="167" fontId="27" fillId="4" borderId="12" xfId="11" applyNumberFormat="1" applyFont="1" applyFill="1" applyBorder="1" applyAlignment="1" applyProtection="1">
      <alignment vertical="center"/>
      <protection locked="0"/>
    </xf>
    <xf numFmtId="167" fontId="27" fillId="4" borderId="12" xfId="11" applyNumberFormat="1" applyFont="1" applyFill="1" applyBorder="1" applyProtection="1">
      <protection locked="0"/>
    </xf>
    <xf numFmtId="167" fontId="27" fillId="4" borderId="13" xfId="11" applyNumberFormat="1" applyFont="1" applyFill="1" applyBorder="1" applyAlignment="1" applyProtection="1">
      <alignment vertical="center"/>
      <protection locked="0"/>
    </xf>
    <xf numFmtId="165" fontId="27" fillId="4" borderId="5" xfId="9" applyNumberFormat="1" applyFont="1" applyFill="1" applyBorder="1" applyAlignment="1" applyProtection="1">
      <alignment vertical="center"/>
      <protection locked="0"/>
    </xf>
    <xf numFmtId="165" fontId="27" fillId="4" borderId="6" xfId="9" applyNumberFormat="1" applyFont="1" applyFill="1" applyBorder="1" applyAlignment="1" applyProtection="1">
      <alignment vertical="center"/>
      <protection locked="0"/>
    </xf>
    <xf numFmtId="165" fontId="27" fillId="4" borderId="8" xfId="9" applyNumberFormat="1" applyFont="1" applyFill="1" applyBorder="1" applyAlignment="1" applyProtection="1">
      <alignment vertical="center"/>
      <protection locked="0"/>
    </xf>
    <xf numFmtId="165" fontId="27" fillId="4" borderId="9" xfId="9" applyNumberFormat="1" applyFont="1" applyFill="1" applyBorder="1" applyAlignment="1" applyProtection="1">
      <alignment vertical="center"/>
      <protection locked="0"/>
    </xf>
    <xf numFmtId="165" fontId="27" fillId="4" borderId="31" xfId="9" applyNumberFormat="1" applyFont="1" applyFill="1" applyBorder="1" applyAlignment="1" applyProtection="1">
      <alignment vertical="center"/>
      <protection locked="0"/>
    </xf>
    <xf numFmtId="165" fontId="27" fillId="4" borderId="32" xfId="9" applyNumberFormat="1" applyFont="1" applyFill="1" applyBorder="1" applyAlignment="1" applyProtection="1">
      <alignment vertical="center"/>
      <protection locked="0"/>
    </xf>
    <xf numFmtId="165" fontId="19" fillId="4" borderId="8" xfId="9" applyNumberFormat="1" applyFill="1" applyBorder="1" applyAlignment="1" applyProtection="1">
      <alignment vertical="center"/>
      <protection locked="0"/>
    </xf>
    <xf numFmtId="165" fontId="19" fillId="4" borderId="9" xfId="9" applyNumberFormat="1" applyFill="1" applyBorder="1" applyAlignment="1" applyProtection="1">
      <alignment vertical="center"/>
      <protection locked="0"/>
    </xf>
    <xf numFmtId="165" fontId="27" fillId="4" borderId="2" xfId="11" applyNumberFormat="1" applyFont="1" applyFill="1" applyBorder="1" applyProtection="1">
      <protection locked="0"/>
    </xf>
    <xf numFmtId="165" fontId="27" fillId="4" borderId="3" xfId="11" applyNumberFormat="1" applyFont="1" applyFill="1" applyBorder="1" applyProtection="1">
      <protection locked="0"/>
    </xf>
    <xf numFmtId="166" fontId="27" fillId="4" borderId="1" xfId="11" applyNumberFormat="1" applyFont="1" applyFill="1" applyBorder="1" applyProtection="1">
      <protection locked="0"/>
    </xf>
    <xf numFmtId="165" fontId="27" fillId="4" borderId="5" xfId="11" applyNumberFormat="1" applyFont="1" applyFill="1" applyBorder="1" applyProtection="1">
      <protection locked="0"/>
    </xf>
    <xf numFmtId="165" fontId="27" fillId="4" borderId="6" xfId="11" applyNumberFormat="1" applyFont="1" applyFill="1" applyBorder="1" applyProtection="1">
      <protection locked="0"/>
    </xf>
    <xf numFmtId="166" fontId="27" fillId="4" borderId="31" xfId="11" applyNumberFormat="1" applyFont="1" applyFill="1" applyBorder="1" applyProtection="1">
      <protection locked="0"/>
    </xf>
    <xf numFmtId="165" fontId="27" fillId="4" borderId="8" xfId="11" applyNumberFormat="1" applyFont="1" applyFill="1" applyBorder="1" applyProtection="1">
      <protection locked="0"/>
    </xf>
    <xf numFmtId="165" fontId="27" fillId="4" borderId="9" xfId="11" applyNumberFormat="1" applyFont="1" applyFill="1" applyBorder="1" applyProtection="1">
      <protection locked="0"/>
    </xf>
    <xf numFmtId="166" fontId="27" fillId="4" borderId="32" xfId="11" applyNumberFormat="1" applyFont="1" applyFill="1" applyBorder="1" applyProtection="1">
      <protection locked="0"/>
    </xf>
    <xf numFmtId="165" fontId="27" fillId="4" borderId="43" xfId="11" applyNumberFormat="1" applyFont="1" applyFill="1" applyBorder="1" applyProtection="1">
      <protection locked="0"/>
    </xf>
    <xf numFmtId="165" fontId="27" fillId="4" borderId="44" xfId="11" applyNumberFormat="1" applyFont="1" applyFill="1" applyBorder="1" applyProtection="1">
      <protection locked="0"/>
    </xf>
    <xf numFmtId="165" fontId="27" fillId="4" borderId="2" xfId="11" applyNumberFormat="1" applyFont="1" applyFill="1" applyBorder="1" applyAlignment="1" applyProtection="1">
      <alignment vertical="center"/>
      <protection locked="0"/>
    </xf>
    <xf numFmtId="165" fontId="27" fillId="4" borderId="3" xfId="11" applyNumberFormat="1" applyFont="1" applyFill="1" applyBorder="1" applyAlignment="1" applyProtection="1">
      <alignment vertical="center"/>
      <protection locked="0"/>
    </xf>
    <xf numFmtId="166" fontId="27" fillId="4" borderId="1" xfId="11" applyNumberFormat="1" applyFont="1" applyFill="1" applyBorder="1" applyAlignment="1" applyProtection="1">
      <alignment vertical="center"/>
      <protection locked="0"/>
    </xf>
    <xf numFmtId="165" fontId="27" fillId="4" borderId="5" xfId="11" applyNumberFormat="1" applyFont="1" applyFill="1" applyBorder="1" applyAlignment="1" applyProtection="1">
      <alignment vertical="center"/>
      <protection locked="0"/>
    </xf>
    <xf numFmtId="166" fontId="27" fillId="4" borderId="31" xfId="11" applyNumberFormat="1" applyFont="1" applyFill="1" applyBorder="1" applyAlignment="1" applyProtection="1">
      <alignment vertical="center"/>
      <protection locked="0"/>
    </xf>
    <xf numFmtId="165" fontId="27" fillId="4" borderId="8" xfId="11" applyNumberFormat="1" applyFont="1" applyFill="1" applyBorder="1" applyAlignment="1" applyProtection="1">
      <alignment vertical="center"/>
      <protection locked="0"/>
    </xf>
    <xf numFmtId="166" fontId="27" fillId="4" borderId="32" xfId="11" applyNumberFormat="1" applyFont="1" applyFill="1" applyBorder="1" applyAlignment="1" applyProtection="1">
      <alignment vertical="center"/>
      <protection locked="0"/>
    </xf>
    <xf numFmtId="165" fontId="27" fillId="4" borderId="43" xfId="11" applyNumberFormat="1" applyFont="1" applyFill="1" applyBorder="1" applyAlignment="1" applyProtection="1">
      <alignment vertical="center"/>
      <protection locked="0"/>
    </xf>
    <xf numFmtId="165" fontId="27" fillId="4" borderId="44" xfId="11" applyNumberFormat="1" applyFont="1" applyFill="1" applyBorder="1" applyAlignment="1" applyProtection="1">
      <alignment vertical="center"/>
      <protection locked="0"/>
    </xf>
    <xf numFmtId="165" fontId="24" fillId="4" borderId="36" xfId="6" applyNumberFormat="1" applyFont="1" applyFill="1" applyBorder="1" applyAlignment="1" applyProtection="1">
      <alignment vertical="center"/>
      <protection locked="0"/>
    </xf>
    <xf numFmtId="165" fontId="24" fillId="4" borderId="38" xfId="6" applyNumberFormat="1" applyFont="1" applyFill="1" applyBorder="1" applyAlignment="1" applyProtection="1">
      <alignment vertical="center"/>
      <protection locked="0"/>
    </xf>
    <xf numFmtId="165" fontId="24" fillId="4" borderId="2" xfId="6" applyNumberFormat="1" applyFont="1" applyFill="1" applyBorder="1" applyAlignment="1" applyProtection="1">
      <alignment vertical="center"/>
      <protection locked="0"/>
    </xf>
    <xf numFmtId="165" fontId="24" fillId="4" borderId="34" xfId="6" applyNumberFormat="1" applyFont="1" applyFill="1" applyBorder="1" applyAlignment="1" applyProtection="1">
      <alignment vertical="center"/>
      <protection locked="0"/>
    </xf>
    <xf numFmtId="165" fontId="27" fillId="4" borderId="5" xfId="10" applyNumberFormat="1" applyFont="1" applyFill="1" applyBorder="1" applyAlignment="1" applyProtection="1">
      <alignment vertical="center"/>
      <protection locked="0"/>
    </xf>
    <xf numFmtId="165" fontId="27" fillId="4" borderId="7" xfId="10" applyNumberFormat="1" applyFont="1" applyFill="1" applyBorder="1" applyAlignment="1" applyProtection="1">
      <alignment vertical="center"/>
      <protection locked="0"/>
    </xf>
    <xf numFmtId="165" fontId="27" fillId="4" borderId="8" xfId="10" applyNumberFormat="1" applyFont="1" applyFill="1" applyBorder="1" applyAlignment="1" applyProtection="1">
      <alignment vertical="center"/>
      <protection locked="0"/>
    </xf>
    <xf numFmtId="165" fontId="27" fillId="4" borderId="10" xfId="10" applyNumberFormat="1" applyFont="1" applyFill="1" applyBorder="1" applyAlignment="1" applyProtection="1">
      <alignment vertical="center"/>
      <protection locked="0"/>
    </xf>
    <xf numFmtId="165" fontId="27" fillId="4" borderId="11" xfId="10" applyNumberFormat="1" applyFont="1" applyFill="1" applyBorder="1" applyAlignment="1" applyProtection="1">
      <alignment vertical="center"/>
      <protection locked="0"/>
    </xf>
    <xf numFmtId="165" fontId="27" fillId="4" borderId="13" xfId="10" applyNumberFormat="1" applyFont="1" applyFill="1" applyBorder="1" applyAlignment="1" applyProtection="1">
      <alignment vertical="center"/>
      <protection locked="0"/>
    </xf>
    <xf numFmtId="165" fontId="27" fillId="4" borderId="5" xfId="2" applyNumberFormat="1" applyFont="1" applyFill="1" applyBorder="1" applyAlignment="1" applyProtection="1">
      <alignment vertical="center"/>
      <protection locked="0"/>
    </xf>
    <xf numFmtId="165" fontId="27" fillId="4" borderId="7" xfId="2" applyNumberFormat="1" applyFont="1" applyFill="1" applyBorder="1" applyAlignment="1" applyProtection="1">
      <alignment vertical="center"/>
      <protection locked="0"/>
    </xf>
    <xf numFmtId="165" fontId="27" fillId="4" borderId="8" xfId="2" applyNumberFormat="1" applyFont="1" applyFill="1" applyBorder="1" applyAlignment="1" applyProtection="1">
      <alignment vertical="center"/>
      <protection locked="0"/>
    </xf>
    <xf numFmtId="165" fontId="27" fillId="4" borderId="10" xfId="2" applyNumberFormat="1" applyFont="1" applyFill="1" applyBorder="1" applyAlignment="1" applyProtection="1">
      <alignment vertical="center"/>
      <protection locked="0"/>
    </xf>
    <xf numFmtId="165" fontId="27" fillId="4" borderId="5" xfId="1" applyNumberFormat="1" applyFont="1" applyFill="1" applyBorder="1" applyAlignment="1" applyProtection="1">
      <alignment vertical="center"/>
      <protection locked="0"/>
    </xf>
    <xf numFmtId="165" fontId="27" fillId="4" borderId="7" xfId="1" applyNumberFormat="1" applyFont="1" applyFill="1" applyBorder="1" applyAlignment="1" applyProtection="1">
      <alignment vertical="center"/>
      <protection locked="0"/>
    </xf>
    <xf numFmtId="165" fontId="27" fillId="4" borderId="8" xfId="1" applyNumberFormat="1" applyFont="1" applyFill="1" applyBorder="1" applyAlignment="1" applyProtection="1">
      <alignment vertical="center"/>
      <protection locked="0"/>
    </xf>
    <xf numFmtId="165" fontId="27" fillId="4" borderId="10" xfId="1" applyNumberFormat="1" applyFont="1" applyFill="1" applyBorder="1" applyAlignment="1" applyProtection="1">
      <alignment vertical="center"/>
      <protection locked="0"/>
    </xf>
    <xf numFmtId="165" fontId="27" fillId="4" borderId="11" xfId="1" applyNumberFormat="1" applyFont="1" applyFill="1" applyBorder="1" applyAlignment="1" applyProtection="1">
      <alignment vertical="center"/>
      <protection locked="0"/>
    </xf>
    <xf numFmtId="165" fontId="27" fillId="4" borderId="13" xfId="1" applyNumberFormat="1" applyFont="1" applyFill="1" applyBorder="1" applyAlignment="1" applyProtection="1">
      <alignment vertical="center"/>
      <protection locked="0"/>
    </xf>
    <xf numFmtId="165" fontId="27" fillId="4" borderId="37" xfId="10" applyNumberFormat="1" applyFont="1" applyFill="1" applyBorder="1" applyAlignment="1" applyProtection="1">
      <alignment vertical="center"/>
      <protection locked="0"/>
    </xf>
    <xf numFmtId="165" fontId="27" fillId="4" borderId="39" xfId="10" applyNumberFormat="1" applyFont="1" applyFill="1" applyBorder="1" applyAlignment="1" applyProtection="1">
      <alignment vertical="center"/>
      <protection locked="0"/>
    </xf>
    <xf numFmtId="165" fontId="27" fillId="4" borderId="30" xfId="10" applyNumberFormat="1" applyFont="1" applyFill="1" applyBorder="1" applyAlignment="1" applyProtection="1">
      <alignment vertical="center"/>
      <protection locked="0"/>
    </xf>
    <xf numFmtId="165" fontId="24" fillId="4" borderId="3" xfId="6" applyNumberFormat="1" applyFont="1" applyFill="1" applyBorder="1" applyAlignment="1" applyProtection="1">
      <alignment vertical="center"/>
      <protection locked="0"/>
    </xf>
    <xf numFmtId="165" fontId="24" fillId="4" borderId="11" xfId="6" applyNumberFormat="1" applyFont="1" applyFill="1" applyBorder="1" applyAlignment="1" applyProtection="1">
      <alignment vertical="center"/>
      <protection locked="0"/>
    </xf>
    <xf numFmtId="165" fontId="24" fillId="4" borderId="12" xfId="6" applyNumberFormat="1" applyFont="1" applyFill="1" applyBorder="1" applyAlignment="1" applyProtection="1">
      <alignment vertical="center"/>
      <protection locked="0"/>
    </xf>
    <xf numFmtId="2" fontId="24" fillId="4" borderId="5" xfId="6" applyNumberFormat="1" applyFont="1" applyFill="1" applyBorder="1" applyAlignment="1" applyProtection="1">
      <alignment vertical="center"/>
      <protection locked="0"/>
    </xf>
    <xf numFmtId="2" fontId="24" fillId="4" borderId="6" xfId="6" applyNumberFormat="1" applyFont="1" applyFill="1" applyBorder="1" applyAlignment="1" applyProtection="1">
      <alignment vertical="center"/>
      <protection locked="0"/>
    </xf>
    <xf numFmtId="2" fontId="24" fillId="4" borderId="7" xfId="6" applyNumberFormat="1" applyFont="1" applyFill="1" applyBorder="1" applyAlignment="1" applyProtection="1">
      <alignment vertical="center"/>
      <protection locked="0"/>
    </xf>
    <xf numFmtId="2" fontId="24" fillId="4" borderId="11" xfId="6" applyNumberFormat="1" applyFont="1" applyFill="1" applyBorder="1" applyAlignment="1" applyProtection="1">
      <alignment vertical="center"/>
      <protection locked="0"/>
    </xf>
    <xf numFmtId="2" fontId="24" fillId="4" borderId="12" xfId="6" applyNumberFormat="1" applyFont="1" applyFill="1" applyBorder="1" applyAlignment="1" applyProtection="1">
      <alignment vertical="center"/>
      <protection locked="0"/>
    </xf>
    <xf numFmtId="2" fontId="24" fillId="4" borderId="13" xfId="6" applyNumberFormat="1" applyFont="1" applyFill="1" applyBorder="1" applyAlignment="1" applyProtection="1">
      <alignment vertical="center"/>
      <protection locked="0"/>
    </xf>
    <xf numFmtId="165" fontId="24" fillId="4" borderId="29" xfId="6" applyNumberFormat="1" applyFont="1" applyFill="1" applyBorder="1" applyAlignment="1" applyProtection="1">
      <alignment vertical="center"/>
      <protection locked="0"/>
    </xf>
    <xf numFmtId="165" fontId="24" fillId="4" borderId="42" xfId="6" applyNumberFormat="1" applyFont="1" applyFill="1" applyBorder="1" applyAlignment="1" applyProtection="1">
      <alignment vertical="center"/>
      <protection locked="0"/>
    </xf>
    <xf numFmtId="165" fontId="24" fillId="4" borderId="43" xfId="6" applyNumberFormat="1" applyFont="1" applyFill="1" applyBorder="1" applyAlignment="1" applyProtection="1">
      <alignment vertical="center"/>
      <protection locked="0"/>
    </xf>
    <xf numFmtId="165" fontId="24" fillId="4" borderId="44" xfId="6" applyNumberFormat="1" applyFont="1" applyFill="1" applyBorder="1" applyAlignment="1" applyProtection="1">
      <alignment vertical="center"/>
      <protection locked="0"/>
    </xf>
    <xf numFmtId="165" fontId="24" fillId="4" borderId="28" xfId="6" applyNumberFormat="1" applyFont="1" applyFill="1" applyBorder="1" applyAlignment="1" applyProtection="1">
      <alignment vertical="center"/>
      <protection locked="0"/>
    </xf>
    <xf numFmtId="165" fontId="24" fillId="4" borderId="49" xfId="6" applyNumberFormat="1" applyFont="1" applyFill="1" applyBorder="1" applyAlignment="1" applyProtection="1">
      <alignment vertical="center"/>
      <protection locked="0"/>
    </xf>
    <xf numFmtId="165" fontId="24" fillId="4" borderId="46" xfId="6" applyNumberFormat="1" applyFont="1" applyFill="1" applyBorder="1" applyAlignment="1" applyProtection="1">
      <alignment vertical="center"/>
      <protection locked="0"/>
    </xf>
    <xf numFmtId="165" fontId="24" fillId="4" borderId="47" xfId="6" applyNumberFormat="1" applyFont="1" applyFill="1" applyBorder="1" applyAlignment="1" applyProtection="1">
      <alignment vertical="center"/>
      <protection locked="0"/>
    </xf>
    <xf numFmtId="165" fontId="24" fillId="4" borderId="24" xfId="6" applyNumberFormat="1" applyFont="1" applyFill="1" applyBorder="1" applyAlignment="1" applyProtection="1">
      <alignment vertical="center"/>
      <protection locked="0"/>
    </xf>
    <xf numFmtId="165" fontId="24" fillId="4" borderId="26" xfId="6" applyNumberFormat="1" applyFont="1" applyFill="1" applyBorder="1" applyAlignment="1" applyProtection="1">
      <alignment vertical="center"/>
      <protection locked="0"/>
    </xf>
    <xf numFmtId="0" fontId="0" fillId="4" borderId="1" xfId="0" applyFill="1" applyBorder="1" applyAlignment="1" applyProtection="1">
      <alignment horizontal="center" vertical="center"/>
      <protection locked="0"/>
    </xf>
    <xf numFmtId="17" fontId="24" fillId="0" borderId="23" xfId="0" applyNumberFormat="1" applyFont="1" applyBorder="1" applyAlignment="1">
      <alignment horizontal="center" vertical="top" wrapText="1"/>
    </xf>
    <xf numFmtId="0" fontId="24" fillId="0" borderId="31" xfId="0" applyFont="1" applyBorder="1" applyAlignment="1">
      <alignment wrapText="1"/>
    </xf>
    <xf numFmtId="0" fontId="24" fillId="0" borderId="30" xfId="0" applyFont="1" applyBorder="1" applyAlignment="1">
      <alignment wrapText="1"/>
    </xf>
    <xf numFmtId="1" fontId="27" fillId="7" borderId="30" xfId="9" applyNumberFormat="1" applyFont="1" applyFill="1" applyBorder="1"/>
    <xf numFmtId="1" fontId="27" fillId="7" borderId="30" xfId="9" applyNumberFormat="1" applyFont="1" applyFill="1" applyBorder="1" applyAlignment="1">
      <alignment vertical="center"/>
    </xf>
    <xf numFmtId="0" fontId="24" fillId="0" borderId="30" xfId="0" applyFont="1" applyBorder="1" applyAlignment="1">
      <alignment vertical="top" wrapText="1"/>
    </xf>
    <xf numFmtId="2" fontId="19" fillId="4" borderId="11" xfId="9" applyNumberFormat="1" applyFill="1" applyBorder="1" applyProtection="1">
      <protection locked="0"/>
    </xf>
    <xf numFmtId="2" fontId="19" fillId="4" borderId="13" xfId="9" applyNumberFormat="1" applyFill="1" applyBorder="1" applyProtection="1">
      <protection locked="0"/>
    </xf>
    <xf numFmtId="165" fontId="24" fillId="4" borderId="66" xfId="6" applyNumberFormat="1" applyFont="1" applyFill="1" applyBorder="1" applyAlignment="1" applyProtection="1">
      <alignment vertical="center"/>
      <protection locked="0"/>
    </xf>
    <xf numFmtId="165" fontId="24" fillId="4" borderId="94" xfId="6" applyNumberFormat="1" applyFont="1" applyFill="1" applyBorder="1" applyAlignment="1" applyProtection="1">
      <alignment vertical="center"/>
      <protection locked="0"/>
    </xf>
    <xf numFmtId="165" fontId="24" fillId="4" borderId="73" xfId="6" applyNumberFormat="1" applyFont="1" applyFill="1" applyBorder="1" applyAlignment="1" applyProtection="1">
      <alignment vertical="center"/>
      <protection locked="0"/>
    </xf>
    <xf numFmtId="165" fontId="24" fillId="4" borderId="101" xfId="6" applyNumberFormat="1" applyFont="1" applyFill="1" applyBorder="1" applyAlignment="1" applyProtection="1">
      <alignment vertical="center"/>
      <protection locked="0"/>
    </xf>
    <xf numFmtId="165" fontId="24" fillId="4" borderId="70" xfId="6" applyNumberFormat="1" applyFont="1" applyFill="1" applyBorder="1" applyAlignment="1" applyProtection="1">
      <alignment vertical="center"/>
      <protection locked="0"/>
    </xf>
    <xf numFmtId="165" fontId="24" fillId="4" borderId="97" xfId="6" applyNumberFormat="1" applyFont="1" applyFill="1" applyBorder="1" applyAlignment="1" applyProtection="1">
      <alignment vertical="center"/>
      <protection locked="0"/>
    </xf>
    <xf numFmtId="0" fontId="24" fillId="0" borderId="118" xfId="0" applyFont="1" applyBorder="1" applyAlignment="1">
      <alignment wrapText="1"/>
    </xf>
    <xf numFmtId="0" fontId="27" fillId="0" borderId="9" xfId="9" applyFont="1" applyBorder="1" applyAlignment="1">
      <alignment horizontal="left" vertical="center" wrapText="1"/>
    </xf>
    <xf numFmtId="0" fontId="27" fillId="0" borderId="10" xfId="9" applyFont="1" applyBorder="1" applyAlignment="1">
      <alignment horizontal="left" vertical="center" wrapText="1"/>
    </xf>
    <xf numFmtId="0" fontId="27" fillId="0" borderId="12" xfId="9" applyFont="1" applyBorder="1" applyAlignment="1">
      <alignment horizontal="left" vertical="center" wrapText="1"/>
    </xf>
    <xf numFmtId="0" fontId="27" fillId="0" borderId="13" xfId="9" applyFont="1" applyBorder="1" applyAlignment="1">
      <alignment horizontal="left" vertical="center" wrapText="1"/>
    </xf>
    <xf numFmtId="0" fontId="8" fillId="3" borderId="18" xfId="6" applyFont="1" applyFill="1" applyBorder="1" applyAlignment="1">
      <alignment horizontal="center" vertical="center" wrapText="1"/>
    </xf>
    <xf numFmtId="0" fontId="0" fillId="0" borderId="23" xfId="0" applyBorder="1" applyAlignment="1">
      <alignment horizontal="center" vertical="center" wrapText="1"/>
    </xf>
    <xf numFmtId="0" fontId="8" fillId="3" borderId="23" xfId="6" applyFont="1" applyFill="1" applyBorder="1" applyAlignment="1">
      <alignment horizontal="center" vertical="center" wrapText="1"/>
    </xf>
    <xf numFmtId="0" fontId="24" fillId="6" borderId="0" xfId="6" applyFont="1" applyFill="1" applyAlignment="1">
      <alignment horizontal="center" vertical="center" wrapText="1"/>
    </xf>
    <xf numFmtId="0" fontId="13" fillId="0" borderId="0" xfId="9" applyFont="1" applyAlignment="1">
      <alignment vertical="center"/>
    </xf>
    <xf numFmtId="0" fontId="27" fillId="0" borderId="6" xfId="9" applyFont="1" applyBorder="1" applyAlignment="1">
      <alignment horizontal="left" vertical="center" wrapText="1"/>
    </xf>
    <xf numFmtId="0" fontId="27" fillId="0" borderId="7" xfId="9" applyFont="1" applyBorder="1" applyAlignment="1">
      <alignment horizontal="left" vertical="center" wrapText="1"/>
    </xf>
    <xf numFmtId="0" fontId="13" fillId="0" borderId="3" xfId="9" applyFont="1" applyBorder="1" applyAlignment="1">
      <alignment horizontal="left" vertical="top"/>
    </xf>
    <xf numFmtId="0" fontId="13" fillId="0" borderId="4" xfId="9" applyFont="1" applyBorder="1" applyAlignment="1">
      <alignment horizontal="left" vertical="top"/>
    </xf>
    <xf numFmtId="0" fontId="8" fillId="3" borderId="14" xfId="6" applyFont="1" applyFill="1" applyBorder="1" applyAlignment="1">
      <alignment horizontal="left" vertical="center"/>
    </xf>
    <xf numFmtId="0" fontId="8" fillId="3" borderId="15" xfId="6" applyFont="1" applyFill="1" applyBorder="1" applyAlignment="1">
      <alignment horizontal="left" vertical="center"/>
    </xf>
    <xf numFmtId="0" fontId="8" fillId="3" borderId="19" xfId="6" applyFont="1" applyFill="1" applyBorder="1" applyAlignment="1">
      <alignment horizontal="left" vertical="center"/>
    </xf>
    <xf numFmtId="0" fontId="8" fillId="3" borderId="20" xfId="6" applyFont="1" applyFill="1" applyBorder="1" applyAlignment="1">
      <alignment horizontal="left" vertical="center"/>
    </xf>
    <xf numFmtId="0" fontId="8" fillId="3" borderId="15" xfId="6" applyFont="1" applyFill="1" applyBorder="1" applyAlignment="1">
      <alignment horizontal="center" vertical="center"/>
    </xf>
    <xf numFmtId="0" fontId="8" fillId="3" borderId="20" xfId="6" applyFont="1" applyFill="1" applyBorder="1" applyAlignment="1">
      <alignment horizontal="center" vertical="center"/>
    </xf>
    <xf numFmtId="0" fontId="8" fillId="3" borderId="16" xfId="6" applyFont="1" applyFill="1" applyBorder="1" applyAlignment="1">
      <alignment horizontal="center" vertical="center"/>
    </xf>
    <xf numFmtId="0" fontId="8" fillId="3" borderId="21" xfId="6" applyFont="1" applyFill="1" applyBorder="1" applyAlignment="1">
      <alignment horizontal="center" vertical="center"/>
    </xf>
    <xf numFmtId="0" fontId="8" fillId="3" borderId="64" xfId="6" applyFont="1" applyFill="1" applyBorder="1" applyAlignment="1">
      <alignment horizontal="center" vertical="center" wrapText="1"/>
    </xf>
    <xf numFmtId="0" fontId="8" fillId="3" borderId="65" xfId="6" applyFont="1" applyFill="1" applyBorder="1" applyAlignment="1">
      <alignment horizontal="center" vertical="center" wrapText="1"/>
    </xf>
    <xf numFmtId="0" fontId="8" fillId="3" borderId="67" xfId="6" applyFont="1" applyFill="1" applyBorder="1" applyAlignment="1">
      <alignment horizontal="center" vertical="center" wrapText="1"/>
    </xf>
    <xf numFmtId="0" fontId="8" fillId="3" borderId="66" xfId="6" applyFont="1" applyFill="1" applyBorder="1" applyAlignment="1">
      <alignment horizontal="center" vertical="center" wrapText="1"/>
    </xf>
    <xf numFmtId="0" fontId="8" fillId="3" borderId="70" xfId="6" applyFont="1" applyFill="1" applyBorder="1" applyAlignment="1">
      <alignment horizontal="center" vertical="center" wrapText="1"/>
    </xf>
    <xf numFmtId="0" fontId="8" fillId="3" borderId="77" xfId="6" applyFont="1" applyFill="1" applyBorder="1" applyAlignment="1">
      <alignment horizontal="center" vertical="center" wrapText="1"/>
    </xf>
    <xf numFmtId="17" fontId="24" fillId="0" borderId="18" xfId="0" applyNumberFormat="1" applyFont="1" applyBorder="1" applyAlignment="1">
      <alignment horizontal="center" vertical="top" wrapText="1"/>
    </xf>
    <xf numFmtId="17" fontId="24" fillId="0" borderId="117" xfId="0" applyNumberFormat="1" applyFont="1" applyBorder="1" applyAlignment="1">
      <alignment horizontal="center" vertical="top" wrapText="1"/>
    </xf>
    <xf numFmtId="0" fontId="0" fillId="0" borderId="23" xfId="0" applyBorder="1" applyAlignment="1">
      <alignment horizontal="center" vertical="top" wrapText="1"/>
    </xf>
    <xf numFmtId="0" fontId="0" fillId="0" borderId="0" xfId="0" applyAlignment="1">
      <alignment horizontal="left" wrapText="1"/>
    </xf>
    <xf numFmtId="0" fontId="24" fillId="0" borderId="112" xfId="0" applyFont="1" applyBorder="1" applyAlignment="1">
      <alignment horizontal="center" vertical="top" wrapText="1"/>
    </xf>
    <xf numFmtId="0" fontId="24" fillId="0" borderId="117" xfId="0" applyFont="1" applyBorder="1" applyAlignment="1">
      <alignment horizontal="center" vertical="top" wrapText="1"/>
    </xf>
    <xf numFmtId="0" fontId="24" fillId="0" borderId="23" xfId="0" applyFont="1" applyBorder="1" applyAlignment="1">
      <alignment horizontal="center" vertical="top" wrapText="1"/>
    </xf>
    <xf numFmtId="0" fontId="4" fillId="2" borderId="0" xfId="3" applyNumberFormat="1">
      <alignment horizontal="left"/>
    </xf>
    <xf numFmtId="0" fontId="11" fillId="0" borderId="0" xfId="5" applyAlignment="1" applyProtection="1">
      <alignment horizontal="left" vertical="top"/>
    </xf>
    <xf numFmtId="0" fontId="8" fillId="3" borderId="17" xfId="6" applyFont="1" applyFill="1" applyBorder="1" applyAlignment="1">
      <alignment horizontal="center" vertical="center" wrapText="1"/>
    </xf>
    <xf numFmtId="0" fontId="8" fillId="3" borderId="22" xfId="6" applyFont="1" applyFill="1" applyBorder="1" applyAlignment="1">
      <alignment horizontal="center" vertical="center" wrapText="1"/>
    </xf>
    <xf numFmtId="0" fontId="8" fillId="3" borderId="5" xfId="6" applyFont="1" applyFill="1" applyBorder="1" applyAlignment="1">
      <alignment horizontal="center" vertical="center" wrapText="1"/>
    </xf>
    <xf numFmtId="0" fontId="8" fillId="3" borderId="6" xfId="6" applyFont="1" applyFill="1" applyBorder="1" applyAlignment="1">
      <alignment horizontal="center" vertical="center" wrapText="1"/>
    </xf>
    <xf numFmtId="0" fontId="8" fillId="3" borderId="7" xfId="6" applyFont="1" applyFill="1" applyBorder="1" applyAlignment="1">
      <alignment horizontal="center" vertical="center" wrapText="1"/>
    </xf>
    <xf numFmtId="0" fontId="27" fillId="0" borderId="38" xfId="9" applyFont="1" applyBorder="1" applyAlignment="1">
      <alignment horizontal="left" vertical="center" wrapText="1"/>
    </xf>
    <xf numFmtId="0" fontId="27" fillId="0" borderId="29" xfId="9" applyFont="1" applyBorder="1" applyAlignment="1">
      <alignment horizontal="left" vertical="center" wrapText="1"/>
    </xf>
    <xf numFmtId="0" fontId="27" fillId="0" borderId="26" xfId="9" applyFont="1" applyBorder="1" applyAlignment="1">
      <alignment horizontal="left" vertical="center" wrapText="1"/>
    </xf>
    <xf numFmtId="0" fontId="27" fillId="0" borderId="40" xfId="9" applyFont="1" applyBorder="1" applyAlignment="1">
      <alignment horizontal="left" vertical="center" wrapText="1"/>
    </xf>
    <xf numFmtId="0" fontId="27" fillId="0" borderId="45" xfId="9" applyFont="1" applyBorder="1" applyAlignment="1">
      <alignment horizontal="left" vertical="center" wrapText="1"/>
    </xf>
    <xf numFmtId="0" fontId="27" fillId="0" borderId="27" xfId="9" applyFont="1" applyBorder="1" applyAlignment="1">
      <alignment horizontal="left" vertical="center" wrapText="1"/>
    </xf>
    <xf numFmtId="0" fontId="8" fillId="3" borderId="54" xfId="6" applyFont="1" applyFill="1" applyBorder="1" applyAlignment="1">
      <alignment horizontal="center" vertical="center" wrapText="1"/>
    </xf>
    <xf numFmtId="0" fontId="8" fillId="3" borderId="28" xfId="6" applyFont="1" applyFill="1" applyBorder="1" applyAlignment="1">
      <alignment horizontal="center" vertical="center" wrapText="1"/>
    </xf>
    <xf numFmtId="0" fontId="8" fillId="3" borderId="24" xfId="6" applyFont="1" applyFill="1" applyBorder="1" applyAlignment="1">
      <alignment horizontal="center" vertical="center" wrapText="1"/>
    </xf>
    <xf numFmtId="0" fontId="8" fillId="3" borderId="33" xfId="6" applyFont="1" applyFill="1" applyBorder="1" applyAlignment="1">
      <alignment horizontal="left" vertical="center"/>
    </xf>
    <xf numFmtId="0" fontId="8" fillId="3" borderId="35" xfId="6" applyFont="1" applyFill="1" applyBorder="1" applyAlignment="1">
      <alignment horizontal="left" vertical="center"/>
    </xf>
    <xf numFmtId="0" fontId="27" fillId="0" borderId="36" xfId="9" applyFont="1" applyBorder="1" applyAlignment="1">
      <alignment horizontal="left" vertical="center" wrapText="1"/>
    </xf>
    <xf numFmtId="0" fontId="27" fillId="0" borderId="28" xfId="9" applyFont="1" applyBorder="1" applyAlignment="1">
      <alignment horizontal="left" vertical="center" wrapText="1"/>
    </xf>
    <xf numFmtId="0" fontId="27" fillId="0" borderId="24" xfId="9" applyFont="1" applyBorder="1" applyAlignment="1">
      <alignment horizontal="left" vertical="center" wrapText="1"/>
    </xf>
    <xf numFmtId="0" fontId="26" fillId="8" borderId="25" xfId="7" applyFont="1" applyBorder="1" applyAlignment="1">
      <alignment horizontal="center" vertical="center" wrapText="1"/>
    </xf>
    <xf numFmtId="0" fontId="16" fillId="0" borderId="0" xfId="9" applyFont="1" applyAlignment="1">
      <alignment horizontal="left" vertical="center" wrapText="1"/>
    </xf>
    <xf numFmtId="0" fontId="8" fillId="3" borderId="14" xfId="9" applyFont="1" applyFill="1" applyBorder="1" applyAlignment="1">
      <alignment horizontal="center" vertical="center"/>
    </xf>
    <xf numFmtId="0" fontId="8" fillId="3" borderId="15" xfId="9" applyFont="1" applyFill="1" applyBorder="1" applyAlignment="1">
      <alignment horizontal="center" vertical="center"/>
    </xf>
    <xf numFmtId="0" fontId="8" fillId="3" borderId="19" xfId="9" applyFont="1" applyFill="1" applyBorder="1" applyAlignment="1">
      <alignment horizontal="center" vertical="center"/>
    </xf>
    <xf numFmtId="0" fontId="8" fillId="3" borderId="20" xfId="9" applyFont="1" applyFill="1" applyBorder="1" applyAlignment="1">
      <alignment horizontal="center" vertical="center"/>
    </xf>
    <xf numFmtId="0" fontId="8" fillId="3" borderId="16" xfId="9" applyFont="1" applyFill="1" applyBorder="1" applyAlignment="1">
      <alignment horizontal="center" vertical="center"/>
    </xf>
    <xf numFmtId="0" fontId="8" fillId="3" borderId="21" xfId="9" applyFont="1" applyFill="1" applyBorder="1" applyAlignment="1">
      <alignment horizontal="center" vertical="center"/>
    </xf>
    <xf numFmtId="0" fontId="8" fillId="3" borderId="5" xfId="9" applyFont="1" applyFill="1" applyBorder="1" applyAlignment="1">
      <alignment horizontal="center" vertical="center"/>
    </xf>
    <xf numFmtId="0" fontId="8" fillId="3" borderId="7" xfId="9" applyFont="1" applyFill="1" applyBorder="1" applyAlignment="1">
      <alignment horizontal="center" vertical="center"/>
    </xf>
    <xf numFmtId="0" fontId="8" fillId="3" borderId="18" xfId="9" applyFont="1" applyFill="1" applyBorder="1" applyAlignment="1">
      <alignment horizontal="center" vertical="center"/>
    </xf>
    <xf numFmtId="0" fontId="8" fillId="3" borderId="23" xfId="9" applyFont="1" applyFill="1" applyBorder="1" applyAlignment="1">
      <alignment horizontal="center" vertical="center"/>
    </xf>
    <xf numFmtId="0" fontId="8" fillId="3" borderId="11" xfId="6" applyFont="1" applyFill="1" applyBorder="1" applyAlignment="1">
      <alignment horizontal="center" vertical="center" wrapText="1"/>
    </xf>
    <xf numFmtId="0" fontId="8" fillId="3" borderId="13" xfId="6" applyFont="1" applyFill="1" applyBorder="1" applyAlignment="1">
      <alignment horizontal="center" vertical="center" wrapText="1"/>
    </xf>
    <xf numFmtId="0" fontId="19" fillId="6" borderId="0" xfId="9" applyFill="1" applyAlignment="1">
      <alignment horizontal="center" vertical="center" wrapText="1"/>
    </xf>
    <xf numFmtId="0" fontId="27" fillId="0" borderId="40" xfId="9" applyFont="1" applyBorder="1" applyAlignment="1">
      <alignment vertical="center" wrapText="1"/>
    </xf>
    <xf numFmtId="0" fontId="27" fillId="0" borderId="45" xfId="9" applyFont="1" applyBorder="1" applyAlignment="1">
      <alignment vertical="center" wrapText="1"/>
    </xf>
    <xf numFmtId="0" fontId="27" fillId="0" borderId="27" xfId="9" applyFont="1" applyBorder="1" applyAlignment="1">
      <alignment vertical="center" wrapText="1"/>
    </xf>
    <xf numFmtId="0" fontId="27" fillId="0" borderId="38" xfId="9" applyFont="1" applyBorder="1" applyAlignment="1">
      <alignment vertical="center" wrapText="1"/>
    </xf>
    <xf numFmtId="0" fontId="27" fillId="0" borderId="29" xfId="9" applyFont="1" applyBorder="1" applyAlignment="1">
      <alignment vertical="center" wrapText="1"/>
    </xf>
    <xf numFmtId="0" fontId="27" fillId="0" borderId="26" xfId="9" applyFont="1" applyBorder="1" applyAlignment="1">
      <alignment vertical="center" wrapText="1"/>
    </xf>
    <xf numFmtId="0" fontId="8" fillId="3" borderId="2" xfId="9" applyFont="1" applyFill="1" applyBorder="1" applyAlignment="1">
      <alignment horizontal="left" vertical="center"/>
    </xf>
    <xf numFmtId="0" fontId="8" fillId="3" borderId="3" xfId="9" applyFont="1" applyFill="1" applyBorder="1" applyAlignment="1">
      <alignment horizontal="left" vertical="center"/>
    </xf>
    <xf numFmtId="0" fontId="27" fillId="0" borderId="36" xfId="9" applyFont="1" applyBorder="1" applyAlignment="1">
      <alignment vertical="center" wrapText="1"/>
    </xf>
    <xf numFmtId="0" fontId="27" fillId="0" borderId="28" xfId="9" applyFont="1" applyBorder="1" applyAlignment="1">
      <alignment vertical="center" wrapText="1"/>
    </xf>
    <xf numFmtId="0" fontId="27" fillId="0" borderId="24" xfId="9" applyFont="1" applyBorder="1" applyAlignment="1">
      <alignment vertical="center" wrapText="1"/>
    </xf>
    <xf numFmtId="0" fontId="27" fillId="0" borderId="9" xfId="9" applyFont="1" applyBorder="1" applyAlignment="1">
      <alignment horizontal="left" vertical="top" wrapText="1"/>
    </xf>
    <xf numFmtId="0" fontId="27" fillId="0" borderId="10" xfId="9" applyFont="1" applyBorder="1" applyAlignment="1">
      <alignment horizontal="left" vertical="top" wrapText="1"/>
    </xf>
    <xf numFmtId="0" fontId="27" fillId="0" borderId="12" xfId="9" applyFont="1" applyBorder="1" applyAlignment="1">
      <alignment horizontal="left" vertical="top" wrapText="1"/>
    </xf>
    <xf numFmtId="0" fontId="27" fillId="0" borderId="13" xfId="9" applyFont="1" applyBorder="1" applyAlignment="1">
      <alignment horizontal="left" vertical="top" wrapText="1"/>
    </xf>
    <xf numFmtId="0" fontId="8" fillId="3" borderId="4" xfId="9" applyFont="1" applyFill="1" applyBorder="1" applyAlignment="1">
      <alignment horizontal="left" vertical="center"/>
    </xf>
    <xf numFmtId="0" fontId="13" fillId="0" borderId="3" xfId="9" applyFont="1" applyBorder="1" applyAlignment="1">
      <alignment horizontal="center" vertical="top" wrapText="1"/>
    </xf>
    <xf numFmtId="0" fontId="13" fillId="0" borderId="4" xfId="9" applyFont="1" applyBorder="1" applyAlignment="1">
      <alignment horizontal="center" vertical="top" wrapText="1"/>
    </xf>
    <xf numFmtId="0" fontId="27" fillId="0" borderId="6" xfId="9" applyFont="1" applyBorder="1" applyAlignment="1">
      <alignment horizontal="left" vertical="top" wrapText="1"/>
    </xf>
    <xf numFmtId="0" fontId="27" fillId="0" borderId="7" xfId="9" applyFont="1" applyBorder="1" applyAlignment="1">
      <alignment horizontal="left" vertical="top" wrapText="1"/>
    </xf>
    <xf numFmtId="0" fontId="27" fillId="0" borderId="9" xfId="9" applyFont="1" applyBorder="1" applyAlignment="1">
      <alignment vertical="top" wrapText="1"/>
    </xf>
    <xf numFmtId="0" fontId="27" fillId="0" borderId="10" xfId="9" applyFont="1" applyBorder="1" applyAlignment="1">
      <alignment vertical="top" wrapText="1"/>
    </xf>
    <xf numFmtId="0" fontId="0" fillId="0" borderId="0" xfId="0" applyAlignment="1">
      <alignment horizontal="center" vertical="center" wrapText="1"/>
    </xf>
    <xf numFmtId="0" fontId="27" fillId="0" borderId="56" xfId="9" applyFont="1" applyBorder="1" applyAlignment="1">
      <alignment horizontal="left" vertical="center" wrapText="1"/>
    </xf>
    <xf numFmtId="0" fontId="27" fillId="0" borderId="57" xfId="9" applyFont="1" applyBorder="1" applyAlignment="1">
      <alignment horizontal="left" vertical="center" wrapText="1"/>
    </xf>
    <xf numFmtId="0" fontId="35" fillId="3" borderId="5" xfId="6" applyFont="1" applyFill="1" applyBorder="1" applyAlignment="1">
      <alignment horizontal="center" vertical="center" wrapText="1"/>
    </xf>
    <xf numFmtId="0" fontId="35" fillId="3" borderId="6" xfId="6" applyFont="1" applyFill="1" applyBorder="1" applyAlignment="1">
      <alignment horizontal="center" vertical="center" wrapText="1"/>
    </xf>
    <xf numFmtId="0" fontId="35" fillId="3" borderId="7" xfId="6" applyFont="1" applyFill="1" applyBorder="1" applyAlignment="1">
      <alignment horizontal="center" vertical="center" wrapText="1"/>
    </xf>
    <xf numFmtId="0" fontId="27" fillId="0" borderId="54" xfId="9" applyFont="1" applyBorder="1" applyAlignment="1">
      <alignment horizontal="left" vertical="center" wrapText="1"/>
    </xf>
    <xf numFmtId="0" fontId="8" fillId="3" borderId="5" xfId="6" applyFont="1" applyFill="1" applyBorder="1" applyAlignment="1">
      <alignment horizontal="left" vertical="center"/>
    </xf>
    <xf numFmtId="0" fontId="8" fillId="3" borderId="6" xfId="6" applyFont="1" applyFill="1" applyBorder="1" applyAlignment="1">
      <alignment horizontal="left" vertical="center"/>
    </xf>
    <xf numFmtId="0" fontId="8" fillId="3" borderId="11" xfId="6" applyFont="1" applyFill="1" applyBorder="1" applyAlignment="1">
      <alignment horizontal="left" vertical="center"/>
    </xf>
    <xf numFmtId="0" fontId="8" fillId="3" borderId="12" xfId="6" applyFont="1" applyFill="1" applyBorder="1" applyAlignment="1">
      <alignment horizontal="left" vertical="center"/>
    </xf>
    <xf numFmtId="0" fontId="8" fillId="3" borderId="6" xfId="6" applyFont="1" applyFill="1" applyBorder="1" applyAlignment="1">
      <alignment horizontal="center" vertical="center"/>
    </xf>
    <xf numFmtId="0" fontId="8" fillId="3" borderId="12" xfId="6" applyFont="1" applyFill="1" applyBorder="1" applyAlignment="1">
      <alignment horizontal="center" vertical="center"/>
    </xf>
    <xf numFmtId="0" fontId="8" fillId="3" borderId="7" xfId="6" applyFont="1" applyFill="1" applyBorder="1" applyAlignment="1">
      <alignment horizontal="center" vertical="center"/>
    </xf>
    <xf numFmtId="0" fontId="8" fillId="3" borderId="13" xfId="6" applyFont="1" applyFill="1" applyBorder="1" applyAlignment="1">
      <alignment horizontal="center" vertical="center"/>
    </xf>
    <xf numFmtId="0" fontId="8" fillId="3" borderId="58" xfId="6" applyFont="1" applyFill="1" applyBorder="1" applyAlignment="1">
      <alignment horizontal="left" vertical="center"/>
    </xf>
    <xf numFmtId="0" fontId="8" fillId="3" borderId="59" xfId="6" applyFont="1" applyFill="1" applyBorder="1" applyAlignment="1">
      <alignment horizontal="left" vertical="center"/>
    </xf>
    <xf numFmtId="0" fontId="27" fillId="0" borderId="47" xfId="9" applyFont="1" applyBorder="1" applyAlignment="1">
      <alignment horizontal="left" vertical="center" wrapText="1"/>
    </xf>
    <xf numFmtId="0" fontId="27" fillId="0" borderId="50" xfId="9" applyFont="1" applyBorder="1" applyAlignment="1">
      <alignment horizontal="left" vertical="center" wrapText="1"/>
    </xf>
    <xf numFmtId="0" fontId="27" fillId="0" borderId="9" xfId="9" applyFont="1" applyBorder="1" applyAlignment="1">
      <alignment vertical="center" wrapText="1"/>
    </xf>
    <xf numFmtId="0" fontId="27" fillId="0" borderId="10" xfId="9" applyFont="1" applyBorder="1" applyAlignment="1">
      <alignment vertical="center" wrapText="1"/>
    </xf>
    <xf numFmtId="0" fontId="27" fillId="0" borderId="12" xfId="9" applyFont="1" applyBorder="1" applyAlignment="1">
      <alignment vertical="center" wrapText="1"/>
    </xf>
    <xf numFmtId="0" fontId="27" fillId="0" borderId="13" xfId="9" applyFont="1" applyBorder="1" applyAlignment="1">
      <alignment vertical="center" wrapText="1"/>
    </xf>
    <xf numFmtId="0" fontId="13" fillId="0" borderId="3" xfId="9" applyFont="1" applyBorder="1" applyAlignment="1">
      <alignment vertical="top"/>
    </xf>
    <xf numFmtId="0" fontId="13" fillId="0" borderId="4" xfId="9" applyFont="1" applyBorder="1" applyAlignment="1">
      <alignment vertical="top"/>
    </xf>
    <xf numFmtId="0" fontId="27" fillId="0" borderId="47" xfId="9" applyFont="1" applyBorder="1" applyAlignment="1">
      <alignment vertical="center" wrapText="1"/>
    </xf>
    <xf numFmtId="0" fontId="27" fillId="0" borderId="50" xfId="9" applyFont="1" applyBorder="1" applyAlignment="1">
      <alignment vertical="center" wrapText="1"/>
    </xf>
    <xf numFmtId="0" fontId="8" fillId="3" borderId="33" xfId="9" applyFont="1" applyFill="1" applyBorder="1" applyAlignment="1">
      <alignment horizontal="left" vertical="center"/>
    </xf>
    <xf numFmtId="0" fontId="8" fillId="3" borderId="35" xfId="9" applyFont="1" applyFill="1" applyBorder="1" applyAlignment="1">
      <alignment horizontal="left" vertical="center"/>
    </xf>
    <xf numFmtId="0" fontId="13" fillId="0" borderId="6" xfId="9" applyFont="1" applyBorder="1" applyAlignment="1">
      <alignment vertical="top"/>
    </xf>
    <xf numFmtId="0" fontId="13" fillId="0" borderId="7" xfId="9" applyFont="1" applyBorder="1" applyAlignment="1">
      <alignment vertical="top"/>
    </xf>
    <xf numFmtId="0" fontId="8" fillId="3" borderId="2" xfId="6" applyFont="1" applyFill="1" applyBorder="1" applyAlignment="1">
      <alignment horizontal="left" vertical="center"/>
    </xf>
    <xf numFmtId="0" fontId="8" fillId="3" borderId="3" xfId="6" applyFont="1" applyFill="1" applyBorder="1" applyAlignment="1">
      <alignment horizontal="left" vertical="center"/>
    </xf>
    <xf numFmtId="0" fontId="13" fillId="0" borderId="33" xfId="9" applyFont="1" applyBorder="1" applyAlignment="1">
      <alignment vertical="top"/>
    </xf>
    <xf numFmtId="0" fontId="13" fillId="0" borderId="34" xfId="9" applyFont="1" applyBorder="1" applyAlignment="1">
      <alignment vertical="top"/>
    </xf>
    <xf numFmtId="0" fontId="13" fillId="0" borderId="35" xfId="9" applyFont="1" applyBorder="1" applyAlignment="1">
      <alignment vertical="top"/>
    </xf>
    <xf numFmtId="0" fontId="24" fillId="0" borderId="9" xfId="0" applyFont="1" applyBorder="1" applyAlignment="1">
      <alignment wrapText="1"/>
    </xf>
    <xf numFmtId="0" fontId="24" fillId="0" borderId="10" xfId="0" applyFont="1" applyBorder="1" applyAlignment="1">
      <alignment wrapText="1"/>
    </xf>
    <xf numFmtId="0" fontId="24" fillId="0" borderId="12" xfId="0" applyFont="1" applyBorder="1" applyAlignment="1">
      <alignment wrapText="1"/>
    </xf>
    <xf numFmtId="0" fontId="24" fillId="0" borderId="13" xfId="0" applyFont="1" applyBorder="1" applyAlignment="1">
      <alignment wrapText="1"/>
    </xf>
    <xf numFmtId="0" fontId="27" fillId="0" borderId="47" xfId="9" applyFont="1" applyBorder="1" applyAlignment="1">
      <alignment vertical="center"/>
    </xf>
    <xf numFmtId="0" fontId="27" fillId="0" borderId="50" xfId="9" applyFont="1" applyBorder="1" applyAlignment="1">
      <alignment vertical="center"/>
    </xf>
    <xf numFmtId="0" fontId="27" fillId="0" borderId="9" xfId="9" applyFont="1" applyBorder="1" applyAlignment="1">
      <alignment vertical="center"/>
    </xf>
    <xf numFmtId="0" fontId="27" fillId="0" borderId="10" xfId="9" applyFont="1" applyBorder="1" applyAlignment="1">
      <alignment vertical="center"/>
    </xf>
    <xf numFmtId="0" fontId="8" fillId="3" borderId="14" xfId="9" applyFont="1" applyFill="1" applyBorder="1" applyAlignment="1">
      <alignment horizontal="left" vertical="center"/>
    </xf>
    <xf numFmtId="0" fontId="8" fillId="3" borderId="15" xfId="9" applyFont="1" applyFill="1" applyBorder="1" applyAlignment="1">
      <alignment horizontal="left" vertical="center"/>
    </xf>
    <xf numFmtId="0" fontId="8" fillId="3" borderId="19" xfId="9" applyFont="1" applyFill="1" applyBorder="1" applyAlignment="1">
      <alignment horizontal="left" vertical="center"/>
    </xf>
    <xf numFmtId="0" fontId="8" fillId="3" borderId="20" xfId="9" applyFont="1" applyFill="1" applyBorder="1" applyAlignment="1">
      <alignment horizontal="left" vertical="center"/>
    </xf>
    <xf numFmtId="0" fontId="35" fillId="3" borderId="5" xfId="9" applyFont="1" applyFill="1" applyBorder="1" applyAlignment="1">
      <alignment horizontal="center" vertical="center"/>
    </xf>
    <xf numFmtId="0" fontId="35" fillId="3" borderId="7" xfId="9" applyFont="1" applyFill="1" applyBorder="1" applyAlignment="1">
      <alignment horizontal="center" vertical="center"/>
    </xf>
    <xf numFmtId="0" fontId="8" fillId="3" borderId="52" xfId="9" applyFont="1" applyFill="1" applyBorder="1" applyAlignment="1">
      <alignment horizontal="center" vertical="center"/>
    </xf>
    <xf numFmtId="0" fontId="8" fillId="3" borderId="51" xfId="9" applyFont="1" applyFill="1" applyBorder="1" applyAlignment="1">
      <alignment horizontal="center" vertical="center"/>
    </xf>
    <xf numFmtId="0" fontId="27" fillId="0" borderId="89" xfId="9" applyFont="1" applyBorder="1" applyAlignment="1">
      <alignment horizontal="left" vertical="center" wrapText="1"/>
    </xf>
    <xf numFmtId="0" fontId="27" fillId="0" borderId="90" xfId="9" applyFont="1" applyBorder="1" applyAlignment="1">
      <alignment horizontal="left" vertical="center" wrapText="1"/>
    </xf>
    <xf numFmtId="0" fontId="27" fillId="0" borderId="80" xfId="9" applyFont="1" applyBorder="1" applyAlignment="1">
      <alignment horizontal="left" vertical="center" wrapText="1"/>
    </xf>
    <xf numFmtId="0" fontId="27" fillId="0" borderId="87" xfId="9" applyFont="1" applyBorder="1" applyAlignment="1">
      <alignment horizontal="left" vertical="center" wrapText="1"/>
    </xf>
    <xf numFmtId="0" fontId="27" fillId="0" borderId="88" xfId="9" applyFont="1" applyBorder="1" applyAlignment="1">
      <alignment horizontal="left" vertical="center" wrapText="1"/>
    </xf>
    <xf numFmtId="0" fontId="27" fillId="0" borderId="79" xfId="9" applyFont="1" applyBorder="1" applyAlignment="1">
      <alignment horizontal="left" vertical="center" wrapText="1"/>
    </xf>
    <xf numFmtId="0" fontId="13" fillId="0" borderId="81" xfId="9" applyFont="1" applyBorder="1" applyAlignment="1">
      <alignment horizontal="left" vertical="top"/>
    </xf>
    <xf numFmtId="0" fontId="13" fillId="0" borderId="82" xfId="9" applyFont="1" applyBorder="1" applyAlignment="1">
      <alignment horizontal="left" vertical="top"/>
    </xf>
    <xf numFmtId="0" fontId="13" fillId="0" borderId="83" xfId="9" applyFont="1" applyBorder="1" applyAlignment="1">
      <alignment horizontal="left" vertical="top"/>
    </xf>
    <xf numFmtId="0" fontId="27" fillId="0" borderId="84" xfId="9" applyFont="1" applyBorder="1" applyAlignment="1">
      <alignment horizontal="left" vertical="center" wrapText="1"/>
    </xf>
    <xf numFmtId="0" fontId="27" fillId="0" borderId="85" xfId="9" applyFont="1" applyBorder="1" applyAlignment="1">
      <alignment horizontal="left" vertical="center" wrapText="1"/>
    </xf>
    <xf numFmtId="0" fontId="27" fillId="0" borderId="78" xfId="9" applyFont="1" applyBorder="1" applyAlignment="1">
      <alignment horizontal="left" vertical="center" wrapText="1"/>
    </xf>
    <xf numFmtId="0" fontId="8" fillId="3" borderId="69" xfId="6" applyFont="1" applyFill="1" applyBorder="1" applyAlignment="1">
      <alignment horizontal="center" vertical="center" wrapText="1"/>
    </xf>
    <xf numFmtId="0" fontId="8" fillId="3" borderId="76" xfId="6" applyFont="1" applyFill="1" applyBorder="1" applyAlignment="1">
      <alignment horizontal="center" vertical="center" wrapText="1"/>
    </xf>
    <xf numFmtId="0" fontId="8" fillId="3" borderId="68" xfId="6" applyFont="1" applyFill="1" applyBorder="1" applyAlignment="1">
      <alignment horizontal="center" vertical="center" wrapText="1"/>
    </xf>
    <xf numFmtId="0" fontId="8" fillId="3" borderId="75" xfId="6" applyFont="1" applyFill="1" applyBorder="1" applyAlignment="1">
      <alignment horizontal="center" vertical="center" wrapText="1"/>
    </xf>
    <xf numFmtId="0" fontId="27" fillId="0" borderId="0" xfId="9" applyFont="1" applyAlignment="1">
      <alignment horizontal="left" vertical="center" wrapText="1"/>
    </xf>
    <xf numFmtId="0" fontId="13" fillId="0" borderId="2" xfId="9" applyFont="1" applyBorder="1" applyAlignment="1">
      <alignment horizontal="left" vertical="top"/>
    </xf>
    <xf numFmtId="0" fontId="13" fillId="0" borderId="60" xfId="9" applyFont="1" applyBorder="1" applyAlignment="1">
      <alignment vertical="top"/>
    </xf>
    <xf numFmtId="0" fontId="0" fillId="0" borderId="40" xfId="0" applyBorder="1" applyAlignment="1">
      <alignment horizontal="left"/>
    </xf>
    <xf numFmtId="0" fontId="0" fillId="0" borderId="45" xfId="0" applyBorder="1" applyAlignment="1">
      <alignment horizontal="left"/>
    </xf>
    <xf numFmtId="0" fontId="0" fillId="0" borderId="27" xfId="0" applyBorder="1" applyAlignment="1">
      <alignment horizontal="left"/>
    </xf>
    <xf numFmtId="0" fontId="0" fillId="0" borderId="38" xfId="0" applyBorder="1" applyAlignment="1">
      <alignment horizontal="left"/>
    </xf>
    <xf numFmtId="0" fontId="0" fillId="0" borderId="29" xfId="0" applyBorder="1" applyAlignment="1">
      <alignment horizontal="left"/>
    </xf>
    <xf numFmtId="0" fontId="0" fillId="0" borderId="26" xfId="0" applyBorder="1" applyAlignment="1">
      <alignment horizontal="left"/>
    </xf>
    <xf numFmtId="0" fontId="0" fillId="0" borderId="36" xfId="0" applyBorder="1" applyAlignment="1">
      <alignment horizontal="left"/>
    </xf>
    <xf numFmtId="0" fontId="0" fillId="0" borderId="28" xfId="0" applyBorder="1" applyAlignment="1">
      <alignment horizontal="left"/>
    </xf>
    <xf numFmtId="0" fontId="0" fillId="0" borderId="24" xfId="0" applyBorder="1" applyAlignment="1">
      <alignment horizontal="left"/>
    </xf>
    <xf numFmtId="0" fontId="8" fillId="3" borderId="14" xfId="6" applyFont="1"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7" xfId="0" applyBorder="1" applyAlignment="1">
      <alignment horizontal="center" vertical="center" wrapText="1"/>
    </xf>
    <xf numFmtId="0" fontId="0" fillId="0" borderId="20" xfId="0" applyBorder="1" applyAlignment="1">
      <alignment horizontal="center" vertical="center"/>
    </xf>
  </cellXfs>
  <cellStyles count="14">
    <cellStyle name="Comma" xfId="1" builtinId="3"/>
    <cellStyle name="Comma 2" xfId="10" xr:uid="{00000000-0005-0000-0000-000001000000}"/>
    <cellStyle name="Comma 2 2" xfId="13" xr:uid="{00000000-0005-0000-0000-000002000000}"/>
    <cellStyle name="Comma 3" xfId="12" xr:uid="{00000000-0005-0000-0000-000003000000}"/>
    <cellStyle name="Descriptor text" xfId="4" xr:uid="{00000000-0005-0000-0000-000004000000}"/>
    <cellStyle name="Heading" xfId="3" xr:uid="{00000000-0005-0000-0000-000005000000}"/>
    <cellStyle name="Hyperlink" xfId="5" builtinId="8"/>
    <cellStyle name="Normal" xfId="0" builtinId="0"/>
    <cellStyle name="Normal 2" xfId="9" xr:uid="{00000000-0005-0000-0000-000008000000}"/>
    <cellStyle name="Normal 2 2" xfId="11" xr:uid="{00000000-0005-0000-0000-000009000000}"/>
    <cellStyle name="Normal 3" xfId="6" xr:uid="{00000000-0005-0000-0000-00000A000000}"/>
    <cellStyle name="Normal 4" xfId="8" xr:uid="{00000000-0005-0000-0000-00000B000000}"/>
    <cellStyle name="Percent" xfId="2" builtinId="5"/>
    <cellStyle name="Validation error" xfId="7" xr:uid="{00000000-0005-0000-0000-00000D000000}"/>
  </cellStyles>
  <dxfs count="102">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auto="1"/>
      </font>
      <fill>
        <patternFill>
          <bgColor rgb="FFE0DCD8"/>
        </patternFill>
      </fill>
    </dxf>
    <dxf>
      <fill>
        <patternFill>
          <bgColor rgb="FFE0DCD8"/>
        </patternFill>
      </fill>
    </dxf>
    <dxf>
      <fill>
        <patternFill>
          <bgColor rgb="FFE0DCD8"/>
        </patternFill>
      </fill>
    </dxf>
    <dxf>
      <fill>
        <patternFill>
          <bgColor rgb="FFE0DCD8"/>
        </patternFill>
      </fill>
    </dxf>
    <dxf>
      <font>
        <color auto="1"/>
      </font>
      <fill>
        <patternFill>
          <bgColor rgb="FFE0DCD8"/>
        </patternFill>
      </fill>
    </dxf>
    <dxf>
      <fill>
        <patternFill>
          <bgColor rgb="FFE0DCD8"/>
        </patternFill>
      </fill>
    </dxf>
    <dxf>
      <fill>
        <patternFill>
          <bgColor rgb="FFE0DCD8"/>
        </patternFill>
      </fill>
    </dxf>
    <dxf>
      <fill>
        <patternFill>
          <bgColor rgb="FFE0DCD8"/>
        </patternFill>
      </fill>
    </dxf>
    <dxf>
      <font>
        <color auto="1"/>
      </font>
      <fill>
        <patternFill>
          <bgColor rgb="FFE0DCD8"/>
        </patternFill>
      </fill>
    </dxf>
    <dxf>
      <fill>
        <patternFill>
          <bgColor rgb="FFE0DCD8"/>
        </patternFill>
      </fill>
    </dxf>
    <dxf>
      <fill>
        <patternFill>
          <bgColor rgb="FFE0DCD8"/>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strike val="0"/>
        <color theme="0"/>
      </font>
      <fill>
        <patternFill>
          <bgColor theme="0"/>
        </patternFill>
      </fill>
    </dxf>
    <dxf>
      <font>
        <color theme="0"/>
      </font>
      <fill>
        <patternFill>
          <bgColor theme="0"/>
        </patternFill>
      </fill>
    </dxf>
    <dxf>
      <fill>
        <patternFill>
          <bgColor rgb="FFFE4819"/>
        </patternFill>
      </fill>
    </dxf>
    <dxf>
      <fill>
        <patternFill>
          <bgColor rgb="FFE0DCD8"/>
        </patternFill>
      </fill>
    </dxf>
    <dxf>
      <fill>
        <patternFill>
          <bgColor rgb="FFFE4819"/>
        </patternFill>
      </fill>
    </dxf>
    <dxf>
      <fill>
        <patternFill>
          <bgColor rgb="FFE0DCD8"/>
        </patternFill>
      </fill>
    </dxf>
    <dxf>
      <fill>
        <patternFill>
          <bgColor rgb="FFE0DCD8"/>
        </patternFill>
      </fill>
    </dxf>
    <dxf>
      <fill>
        <patternFill>
          <bgColor rgb="FFFE4819"/>
        </patternFill>
      </fill>
    </dxf>
  </dxfs>
  <tableStyles count="0" defaultTableStyle="TableStyleMedium2" defaultPivotStyle="PivotStyleLight16"/>
  <colors>
    <mruColors>
      <color rgb="FFFCEABF"/>
      <color rgb="FF857362"/>
      <color rgb="FF0078C9"/>
      <color rgb="FF7F99BC"/>
      <color rgb="FF003479"/>
      <color rgb="FF719500"/>
      <color rgb="FFE0DC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42334</xdr:colOff>
      <xdr:row>71</xdr:row>
      <xdr:rowOff>1</xdr:rowOff>
    </xdr:from>
    <xdr:to>
      <xdr:col>14</xdr:col>
      <xdr:colOff>0</xdr:colOff>
      <xdr:row>72</xdr:row>
      <xdr:rowOff>1</xdr:rowOff>
    </xdr:to>
    <xdr:sp macro="" textlink="">
      <xdr:nvSpPr>
        <xdr:cNvPr id="2" name="TextBox 1">
          <a:extLst>
            <a:ext uri="{FF2B5EF4-FFF2-40B4-BE49-F238E27FC236}">
              <a16:creationId xmlns:a16="http://schemas.microsoft.com/office/drawing/2014/main" id="{00000000-0008-0000-1400-000002000000}"/>
            </a:ext>
          </a:extLst>
        </xdr:cNvPr>
        <xdr:cNvSpPr txBox="1"/>
      </xdr:nvSpPr>
      <xdr:spPr>
        <a:xfrm>
          <a:off x="164254" y="24765001"/>
          <a:ext cx="18641906" cy="1211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latin typeface="Arial" panose="020B0604020202020204" pitchFamily="34" charset="0"/>
              <a:cs typeface="Arial" panose="020B0604020202020204" pitchFamily="34" charset="0"/>
            </a:rPr>
            <a:t>For ODIs that have earned or accrued a reward or penalty at 31 March 2016 companies should provide commentary explaining:</a:t>
          </a:r>
        </a:p>
        <a:p>
          <a:r>
            <a:rPr lang="en-GB" sz="900">
              <a:latin typeface="Arial" panose="020B0604020202020204" pitchFamily="34" charset="0"/>
              <a:cs typeface="Arial" panose="020B0604020202020204" pitchFamily="34" charset="0"/>
            </a:rPr>
            <a:t>• How the penalty/reward has been calculated</a:t>
          </a:r>
        </a:p>
        <a:p>
          <a:endParaRPr lang="en-GB" sz="900">
            <a:latin typeface="Arial" panose="020B0604020202020204" pitchFamily="34" charset="0"/>
            <a:cs typeface="Arial" panose="020B0604020202020204" pitchFamily="34" charset="0"/>
          </a:endParaRPr>
        </a:p>
        <a:p>
          <a:r>
            <a:rPr lang="en-GB" sz="900">
              <a:latin typeface="Arial" panose="020B0604020202020204" pitchFamily="34" charset="0"/>
              <a:cs typeface="Arial" panose="020B0604020202020204" pitchFamily="34" charset="0"/>
            </a:rPr>
            <a:t>If the performance commitment is made up of a basket of sub-measures please provide a breakdown that includes the actual 2015-16 performance level for each of the sub-measures and how the reward or penalty has been derived from these.</a:t>
          </a:r>
        </a:p>
        <a:p>
          <a:r>
            <a:rPr lang="en-GB" sz="900">
              <a:latin typeface="Arial" panose="020B0604020202020204" pitchFamily="34" charset="0"/>
              <a:cs typeface="Arial" panose="020B0604020202020204" pitchFamily="34" charset="0"/>
            </a:rPr>
            <a:t>• The reason for the outperformance or underperformance</a:t>
          </a:r>
        </a:p>
        <a:p>
          <a:r>
            <a:rPr lang="en-GB" sz="900">
              <a:latin typeface="Arial" panose="020B0604020202020204" pitchFamily="34" charset="0"/>
              <a:cs typeface="Arial" panose="020B0604020202020204" pitchFamily="34" charset="0"/>
            </a:rPr>
            <a:t>• How you have engaged with your customers on your outperformance or underperformance</a:t>
          </a:r>
        </a:p>
        <a:p>
          <a:endParaRPr lang="en-GB" sz="900">
            <a:latin typeface="Arial" panose="020B0604020202020204" pitchFamily="34" charset="0"/>
            <a:cs typeface="Arial" panose="020B0604020202020204" pitchFamily="34" charset="0"/>
          </a:endParaRPr>
        </a:p>
        <a:p>
          <a:r>
            <a:rPr lang="en-GB" sz="900">
              <a:latin typeface="Arial" panose="020B0604020202020204" pitchFamily="34" charset="0"/>
              <a:cs typeface="Arial" panose="020B0604020202020204" pitchFamily="34" charset="0"/>
            </a:rPr>
            <a:t>This should be a brief factual commentary.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48</xdr:row>
      <xdr:rowOff>0</xdr:rowOff>
    </xdr:from>
    <xdr:to>
      <xdr:col>6</xdr:col>
      <xdr:colOff>0</xdr:colOff>
      <xdr:row>49</xdr:row>
      <xdr:rowOff>0</xdr:rowOff>
    </xdr:to>
    <xdr:sp macro="" textlink="">
      <xdr:nvSpPr>
        <xdr:cNvPr id="2" name="TextBox 1">
          <a:extLst>
            <a:ext uri="{FF2B5EF4-FFF2-40B4-BE49-F238E27FC236}">
              <a16:creationId xmlns:a16="http://schemas.microsoft.com/office/drawing/2014/main" id="{00000000-0008-0000-1D00-000002000000}"/>
            </a:ext>
          </a:extLst>
        </xdr:cNvPr>
        <xdr:cNvSpPr txBox="1"/>
      </xdr:nvSpPr>
      <xdr:spPr>
        <a:xfrm>
          <a:off x="129540" y="9265920"/>
          <a:ext cx="6705600" cy="381000"/>
        </a:xfrm>
        <a:prstGeom prst="rect">
          <a:avLst/>
        </a:prstGeom>
        <a:solidFill>
          <a:schemeClr val="lt1"/>
        </a:solidFill>
        <a:ln w="9525" cmpd="sng">
          <a:solidFill>
            <a:srgbClr val="85736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0" i="0" u="none" strike="noStrike">
              <a:solidFill>
                <a:schemeClr val="dk1"/>
              </a:solidFill>
              <a:effectLst/>
              <a:latin typeface="+mn-lt"/>
              <a:ea typeface="+mn-ea"/>
              <a:cs typeface="+mn-cs"/>
            </a:rPr>
            <a:t>We</a:t>
          </a:r>
          <a:r>
            <a:rPr lang="en-GB" sz="900" b="0" i="0" u="none" strike="noStrike" baseline="0">
              <a:solidFill>
                <a:schemeClr val="dk1"/>
              </a:solidFill>
              <a:effectLst/>
              <a:latin typeface="+mn-lt"/>
              <a:ea typeface="+mn-ea"/>
              <a:cs typeface="+mn-cs"/>
            </a:rPr>
            <a:t> are asking companies to report this suite of financial metrics to enable us to  monitor the finanical stability of the water and wastewater companies in England and Wales and to provide us with enhanced visibility of  company financing and capital structures.</a:t>
          </a:r>
        </a:p>
        <a:p>
          <a:endParaRPr lang="en-GB" sz="900" b="0" i="0" u="none" strike="noStrike">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47</xdr:row>
      <xdr:rowOff>0</xdr:rowOff>
    </xdr:from>
    <xdr:to>
      <xdr:col>15</xdr:col>
      <xdr:colOff>0</xdr:colOff>
      <xdr:row>48</xdr:row>
      <xdr:rowOff>0</xdr:rowOff>
    </xdr:to>
    <xdr:sp macro="" textlink="">
      <xdr:nvSpPr>
        <xdr:cNvPr id="2" name="TextBox 1">
          <a:extLst>
            <a:ext uri="{FF2B5EF4-FFF2-40B4-BE49-F238E27FC236}">
              <a16:creationId xmlns:a16="http://schemas.microsoft.com/office/drawing/2014/main" id="{00000000-0008-0000-1E00-000002000000}"/>
            </a:ext>
          </a:extLst>
        </xdr:cNvPr>
        <xdr:cNvSpPr txBox="1"/>
      </xdr:nvSpPr>
      <xdr:spPr>
        <a:xfrm>
          <a:off x="228600" y="8953500"/>
          <a:ext cx="11087100" cy="411480"/>
        </a:xfrm>
        <a:prstGeom prst="rect">
          <a:avLst/>
        </a:prstGeom>
        <a:solidFill>
          <a:schemeClr val="lt1"/>
        </a:solidFill>
        <a:ln w="9525" cmpd="sng">
          <a:solidFill>
            <a:srgbClr val="85736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0" i="0" u="none" strike="noStrike">
              <a:solidFill>
                <a:schemeClr val="dk1"/>
              </a:solidFill>
              <a:effectLst/>
              <a:latin typeface="Arial" panose="020B0604020202020204" pitchFamily="34" charset="0"/>
              <a:ea typeface="+mn-ea"/>
              <a:cs typeface="Arial" panose="020B0604020202020204" pitchFamily="34" charset="0"/>
            </a:rPr>
            <a:t>Financial derivatives include cross currency swaps, interest rate swaps and forward currency contracts.</a:t>
          </a:r>
          <a:r>
            <a:rPr lang="en-GB" sz="900" b="0" i="0" u="none" strike="noStrike" baseline="0">
              <a:solidFill>
                <a:schemeClr val="dk1"/>
              </a:solidFill>
              <a:effectLst/>
              <a:latin typeface="Arial" panose="020B0604020202020204" pitchFamily="34" charset="0"/>
              <a:ea typeface="+mn-ea"/>
              <a:cs typeface="Arial" panose="020B0604020202020204" pitchFamily="34" charset="0"/>
            </a:rPr>
            <a:t> They should not include any amounts which do not relate to financing obligations. If the total derivatives do not reconcile to the total financial instruments on table 1C then please can you provide an explanation of the difference.</a:t>
          </a:r>
        </a:p>
        <a:p>
          <a:endParaRPr lang="en-GB" sz="900" b="0" i="0" u="none" strike="noStrike" baseline="0">
            <a:solidFill>
              <a:schemeClr val="dk1"/>
            </a:solidFill>
            <a:effectLst/>
            <a:latin typeface="Arial" panose="020B0604020202020204" pitchFamily="34" charset="0"/>
            <a:ea typeface="+mn-ea"/>
            <a:cs typeface="Arial" panose="020B0604020202020204" pitchFamily="34" charset="0"/>
          </a:endParaRPr>
        </a:p>
        <a:p>
          <a:endParaRPr lang="en-GB" sz="9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FinanceAndGovernance@ofwat.gsi.gov.uk?subject=2016%20Annual%20performance%20report" TargetMode="External"/><Relationship Id="rId1" Type="http://schemas.openxmlformats.org/officeDocument/2006/relationships/hyperlink" Target="http://www.ofwat.gov.uk/publications/1/?term&amp;type=Regulatory%20accounting%20guidelines"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8C9"/>
    <pageSetUpPr fitToPage="1"/>
  </sheetPr>
  <dimension ref="A1:N32"/>
  <sheetViews>
    <sheetView showGridLines="0" zoomScale="90" zoomScaleNormal="90" workbookViewId="0">
      <selection activeCell="C28" sqref="C28"/>
    </sheetView>
  </sheetViews>
  <sheetFormatPr defaultColWidth="0" defaultRowHeight="14.25" zeroHeight="1" x14ac:dyDescent="0.2"/>
  <cols>
    <col min="1" max="1" width="1.625" customWidth="1"/>
    <col min="2" max="2" width="12.125" bestFit="1" customWidth="1"/>
    <col min="3" max="3" width="107.125" customWidth="1"/>
    <col min="4" max="4" width="1.625" customWidth="1"/>
    <col min="5" max="14" width="0" hidden="1" customWidth="1"/>
    <col min="15" max="16384" width="8.75" hidden="1"/>
  </cols>
  <sheetData>
    <row r="1" spans="1:4" ht="20.25" x14ac:dyDescent="0.35">
      <c r="A1" s="729" t="s">
        <v>0</v>
      </c>
      <c r="B1" s="729"/>
      <c r="C1" s="729"/>
      <c r="D1" s="729"/>
    </row>
    <row r="2" spans="1:4" x14ac:dyDescent="0.2"/>
    <row r="3" spans="1:4" ht="42.4" customHeight="1" x14ac:dyDescent="0.2">
      <c r="B3" s="725" t="s">
        <v>1</v>
      </c>
      <c r="C3" s="725"/>
    </row>
    <row r="4" spans="1:4" x14ac:dyDescent="0.2">
      <c r="B4" s="84"/>
      <c r="C4" s="84"/>
    </row>
    <row r="5" spans="1:4" ht="42.4" customHeight="1" x14ac:dyDescent="0.2">
      <c r="B5" s="725" t="s">
        <v>2</v>
      </c>
      <c r="C5" s="725"/>
    </row>
    <row r="6" spans="1:4" ht="15" thickBot="1" x14ac:dyDescent="0.25"/>
    <row r="7" spans="1:4" ht="15" thickBot="1" x14ac:dyDescent="0.25">
      <c r="B7" s="85" t="s">
        <v>3</v>
      </c>
      <c r="C7" s="86" t="s">
        <v>4</v>
      </c>
    </row>
    <row r="8" spans="1:4" x14ac:dyDescent="0.2">
      <c r="B8" s="726" t="s">
        <v>5</v>
      </c>
      <c r="C8" s="87" t="s">
        <v>6</v>
      </c>
    </row>
    <row r="9" spans="1:4" x14ac:dyDescent="0.2">
      <c r="B9" s="727"/>
      <c r="C9" s="88" t="s">
        <v>7</v>
      </c>
    </row>
    <row r="10" spans="1:4" x14ac:dyDescent="0.2">
      <c r="B10" s="727"/>
      <c r="C10" s="88" t="s">
        <v>8</v>
      </c>
    </row>
    <row r="11" spans="1:4" x14ac:dyDescent="0.2">
      <c r="B11" s="727"/>
      <c r="C11" s="89" t="s">
        <v>9</v>
      </c>
    </row>
    <row r="12" spans="1:4" x14ac:dyDescent="0.2">
      <c r="B12" s="727"/>
      <c r="C12" s="88" t="s">
        <v>10</v>
      </c>
    </row>
    <row r="13" spans="1:4" ht="24" x14ac:dyDescent="0.2">
      <c r="B13" s="727"/>
      <c r="C13" s="88" t="s">
        <v>11</v>
      </c>
    </row>
    <row r="14" spans="1:4" ht="24" x14ac:dyDescent="0.2">
      <c r="B14" s="727"/>
      <c r="C14" s="88" t="s">
        <v>12</v>
      </c>
    </row>
    <row r="15" spans="1:4" ht="15" thickBot="1" x14ac:dyDescent="0.25">
      <c r="B15" s="728"/>
      <c r="C15" s="90" t="s">
        <v>13</v>
      </c>
    </row>
    <row r="16" spans="1:4" ht="15" thickBot="1" x14ac:dyDescent="0.25">
      <c r="B16" s="680">
        <v>42401</v>
      </c>
      <c r="C16" s="90" t="s">
        <v>14</v>
      </c>
    </row>
    <row r="17" spans="2:3" x14ac:dyDescent="0.2">
      <c r="B17" s="722">
        <v>42461</v>
      </c>
      <c r="C17" s="681" t="s">
        <v>15</v>
      </c>
    </row>
    <row r="18" spans="2:3" ht="15" thickBot="1" x14ac:dyDescent="0.25">
      <c r="B18" s="724"/>
      <c r="C18" s="682" t="s">
        <v>16</v>
      </c>
    </row>
    <row r="19" spans="2:3" x14ac:dyDescent="0.2">
      <c r="B19" s="722">
        <v>42522</v>
      </c>
      <c r="C19" s="681" t="s">
        <v>17</v>
      </c>
    </row>
    <row r="20" spans="2:3" ht="24" x14ac:dyDescent="0.2">
      <c r="B20" s="723"/>
      <c r="C20" s="88" t="s">
        <v>18</v>
      </c>
    </row>
    <row r="21" spans="2:3" ht="24" x14ac:dyDescent="0.2">
      <c r="B21" s="723"/>
      <c r="C21" s="88" t="s">
        <v>19</v>
      </c>
    </row>
    <row r="22" spans="2:3" x14ac:dyDescent="0.2">
      <c r="B22" s="723"/>
      <c r="C22" s="88" t="s">
        <v>20</v>
      </c>
    </row>
    <row r="23" spans="2:3" x14ac:dyDescent="0.2">
      <c r="B23" s="723"/>
      <c r="C23" s="88" t="s">
        <v>21</v>
      </c>
    </row>
    <row r="24" spans="2:3" x14ac:dyDescent="0.2">
      <c r="B24" s="723"/>
      <c r="C24" s="694" t="s">
        <v>22</v>
      </c>
    </row>
    <row r="25" spans="2:3" x14ac:dyDescent="0.2">
      <c r="B25" s="723"/>
      <c r="C25" s="694" t="s">
        <v>23</v>
      </c>
    </row>
    <row r="26" spans="2:3" x14ac:dyDescent="0.2">
      <c r="B26" s="723"/>
      <c r="C26" s="694" t="s">
        <v>24</v>
      </c>
    </row>
    <row r="27" spans="2:3" x14ac:dyDescent="0.2">
      <c r="B27" s="723"/>
      <c r="C27" s="694" t="s">
        <v>25</v>
      </c>
    </row>
    <row r="28" spans="2:3" x14ac:dyDescent="0.2">
      <c r="B28" s="723"/>
      <c r="C28" s="694" t="s">
        <v>26</v>
      </c>
    </row>
    <row r="29" spans="2:3" ht="24" x14ac:dyDescent="0.2">
      <c r="B29" s="723"/>
      <c r="C29" s="694" t="s">
        <v>27</v>
      </c>
    </row>
    <row r="30" spans="2:3" x14ac:dyDescent="0.2">
      <c r="B30" s="723"/>
      <c r="C30" s="694" t="s">
        <v>28</v>
      </c>
    </row>
    <row r="31" spans="2:3" ht="24.75" thickBot="1" x14ac:dyDescent="0.25">
      <c r="B31" s="724"/>
      <c r="C31" s="685" t="s">
        <v>29</v>
      </c>
    </row>
    <row r="32" spans="2:3" x14ac:dyDescent="0.2"/>
  </sheetData>
  <sheetProtection algorithmName="SHA-512" hashValue="2gez+Qh0bLUT0VpfFlwRcUv0R90lW3taJLtW66fFbZWZepF7+TgO9N3ErrM9lgtQWwmbacJotaVKqWriB+bo8w==" saltValue="mvOlvGP1gq91paBZyGZyBg==" spinCount="100000" sheet="1" objects="1" scenarios="1"/>
  <mergeCells count="6">
    <mergeCell ref="B19:B31"/>
    <mergeCell ref="B3:C3"/>
    <mergeCell ref="B5:C5"/>
    <mergeCell ref="B8:B15"/>
    <mergeCell ref="A1:D1"/>
    <mergeCell ref="B17:B18"/>
  </mergeCells>
  <printOptions horizontalCentered="1"/>
  <pageMargins left="0.39370078740157483" right="0.39370078740157483" top="0.78740157480314965" bottom="0.78740157480314965" header="0.31496062992125984" footer="0.31496062992125984"/>
  <pageSetup paperSize="8"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3479"/>
    <pageSetUpPr fitToPage="1"/>
  </sheetPr>
  <dimension ref="H1:H35"/>
  <sheetViews>
    <sheetView topLeftCell="XFD1048576" zoomScaleNormal="100" workbookViewId="0">
      <selection activeCell="C28" sqref="C28"/>
    </sheetView>
  </sheetViews>
  <sheetFormatPr defaultColWidth="0" defaultRowHeight="13.7" customHeight="1" zeroHeight="1" x14ac:dyDescent="0.2"/>
  <cols>
    <col min="1" max="7" width="8.625" hidden="1" customWidth="1"/>
    <col min="8" max="8" width="8.875" hidden="1" customWidth="1"/>
    <col min="9" max="16384" width="8.625" hidden="1"/>
  </cols>
  <sheetData>
    <row r="1" ht="14.25" hidden="1" x14ac:dyDescent="0.2"/>
    <row r="2" ht="14.25" hidden="1" x14ac:dyDescent="0.2"/>
    <row r="3" ht="14.25" hidden="1" x14ac:dyDescent="0.2"/>
    <row r="4" ht="14.25" hidden="1" x14ac:dyDescent="0.2"/>
    <row r="5" ht="14.25" hidden="1" x14ac:dyDescent="0.2"/>
    <row r="6" ht="14.25" hidden="1" x14ac:dyDescent="0.2"/>
    <row r="7" ht="14.25" hidden="1" x14ac:dyDescent="0.2"/>
    <row r="8" ht="14.25" hidden="1" x14ac:dyDescent="0.2"/>
    <row r="9" ht="14.25" hidden="1" x14ac:dyDescent="0.2"/>
    <row r="10" ht="14.25" hidden="1" x14ac:dyDescent="0.2"/>
    <row r="11" ht="14.25" hidden="1" x14ac:dyDescent="0.2"/>
    <row r="12" ht="14.25" hidden="1" x14ac:dyDescent="0.2"/>
    <row r="13" ht="14.25" hidden="1" x14ac:dyDescent="0.2"/>
    <row r="14" ht="14.25" hidden="1" x14ac:dyDescent="0.2"/>
    <row r="15" ht="14.25" hidden="1" x14ac:dyDescent="0.2"/>
    <row r="16" ht="14.25" hidden="1" x14ac:dyDescent="0.2"/>
    <row r="17" ht="14.25" hidden="1" x14ac:dyDescent="0.2"/>
    <row r="18" ht="14.25" hidden="1" x14ac:dyDescent="0.2"/>
    <row r="19" ht="14.25" hidden="1" x14ac:dyDescent="0.2"/>
    <row r="20" ht="14.25" hidden="1" x14ac:dyDescent="0.2"/>
    <row r="21" ht="14.25" hidden="1" x14ac:dyDescent="0.2"/>
    <row r="22" ht="14.25" hidden="1" x14ac:dyDescent="0.2"/>
    <row r="23" ht="14.25" hidden="1" x14ac:dyDescent="0.2"/>
    <row r="24" ht="14.25" hidden="1" x14ac:dyDescent="0.2"/>
    <row r="25" ht="14.25" hidden="1" x14ac:dyDescent="0.2"/>
    <row r="26" ht="14.25" hidden="1" x14ac:dyDescent="0.2"/>
    <row r="27" ht="14.25" hidden="1" x14ac:dyDescent="0.2"/>
    <row r="28" ht="14.25" hidden="1" x14ac:dyDescent="0.2"/>
    <row r="29" ht="14.25" hidden="1" x14ac:dyDescent="0.2"/>
    <row r="30" ht="14.25" hidden="1" x14ac:dyDescent="0.2"/>
    <row r="31" ht="14.25" hidden="1" x14ac:dyDescent="0.2"/>
    <row r="32" ht="14.25" hidden="1" x14ac:dyDescent="0.2"/>
    <row r="33" ht="14.25" hidden="1" x14ac:dyDescent="0.2"/>
    <row r="34" ht="14.25" hidden="1" x14ac:dyDescent="0.2"/>
    <row r="35" ht="14.25" hidden="1" x14ac:dyDescent="0.2"/>
  </sheetData>
  <sheetProtection algorithmName="SHA-512" hashValue="zfOJZH5POZrZXIMJi7mbxPjZWrr11nnRGVIAPfwWC5WnYcz/IyCFj3F6eU2Y3YW2rHyM9ct50eN/UqhK15Zb6w==" saltValue="IBdcw0Z9Hzw425VRQv+lNQ==" spinCount="100000" sheet="1" objects="1" scenarios="1"/>
  <printOptions horizontalCentered="1"/>
  <pageMargins left="0.39370078740157483" right="0.39370078740157483" top="0.78740157480314965" bottom="0.78740157480314965" header="0.31496062992125984" footer="0.31496062992125984"/>
  <pageSetup paperSize="8"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E53"/>
  <sheetViews>
    <sheetView showGridLines="0" zoomScaleNormal="100" workbookViewId="0">
      <selection activeCell="C36" sqref="C36:J36"/>
    </sheetView>
  </sheetViews>
  <sheetFormatPr defaultColWidth="0" defaultRowHeight="14.25" zeroHeight="1" x14ac:dyDescent="0.2"/>
  <cols>
    <col min="1" max="1" width="2.375" style="99" customWidth="1"/>
    <col min="2" max="2" width="4.125" style="99" customWidth="1"/>
    <col min="3" max="3" width="26.625" style="99" customWidth="1"/>
    <col min="4" max="5" width="5.125" style="99" customWidth="1"/>
    <col min="6" max="10" width="12.625" style="99" customWidth="1"/>
    <col min="11" max="11" width="2.625" style="99" customWidth="1"/>
    <col min="12" max="12" width="17.375" style="99" customWidth="1"/>
    <col min="13" max="13" width="19.125" style="99" customWidth="1"/>
    <col min="14" max="14" width="1.625" style="95" customWidth="1"/>
    <col min="15" max="15" width="1.625" style="96" hidden="1" customWidth="1"/>
    <col min="16" max="20" width="4.625" style="95" hidden="1" customWidth="1"/>
    <col min="21" max="21" width="1.625" style="96" hidden="1" customWidth="1"/>
    <col min="22" max="22" width="8" style="99" hidden="1" customWidth="1"/>
    <col min="23" max="23" width="1.625" style="96" hidden="1" customWidth="1"/>
    <col min="24" max="24" width="5.625" style="99" hidden="1" customWidth="1"/>
    <col min="25" max="25" width="4.5" style="99" hidden="1" customWidth="1"/>
    <col min="26" max="26" width="38.375" style="99" hidden="1" customWidth="1"/>
    <col min="27" max="27" width="1.625" style="96" hidden="1" customWidth="1"/>
    <col min="28" max="31" width="0" style="99" hidden="1" customWidth="1"/>
    <col min="32" max="16384" width="8" style="99" hidden="1"/>
  </cols>
  <sheetData>
    <row r="1" spans="2:31" s="95" customFormat="1" ht="20.25" x14ac:dyDescent="0.2">
      <c r="B1" s="91" t="s">
        <v>274</v>
      </c>
      <c r="C1" s="91"/>
      <c r="D1" s="91"/>
      <c r="E1" s="91"/>
      <c r="F1" s="91"/>
      <c r="G1" s="91"/>
      <c r="H1" s="93"/>
      <c r="I1" s="91"/>
      <c r="J1" s="93" t="str">
        <f>Validation!B3</f>
        <v>Yorkshire Water</v>
      </c>
      <c r="K1" s="94"/>
      <c r="L1" s="94"/>
      <c r="M1" s="94" t="s">
        <v>62</v>
      </c>
      <c r="O1" s="96"/>
      <c r="U1" s="96"/>
      <c r="W1" s="96"/>
      <c r="AA1" s="96"/>
    </row>
    <row r="2" spans="2:31" s="95" customFormat="1" ht="15" thickBot="1" x14ac:dyDescent="0.25">
      <c r="B2" s="98" t="s">
        <v>48</v>
      </c>
      <c r="O2" s="96"/>
      <c r="U2" s="96"/>
      <c r="W2" s="96"/>
      <c r="AA2" s="96"/>
    </row>
    <row r="3" spans="2:31" ht="12.95" customHeight="1" x14ac:dyDescent="0.2">
      <c r="B3" s="752" t="s">
        <v>63</v>
      </c>
      <c r="C3" s="753"/>
      <c r="D3" s="753" t="s">
        <v>64</v>
      </c>
      <c r="E3" s="756" t="s">
        <v>65</v>
      </c>
      <c r="F3" s="758" t="s">
        <v>275</v>
      </c>
      <c r="G3" s="759"/>
      <c r="H3" s="758" t="s">
        <v>276</v>
      </c>
      <c r="I3" s="759"/>
      <c r="J3" s="760" t="s">
        <v>246</v>
      </c>
      <c r="L3" s="733" t="s">
        <v>277</v>
      </c>
      <c r="M3" s="735" t="s">
        <v>69</v>
      </c>
      <c r="P3" s="702" t="s">
        <v>73</v>
      </c>
      <c r="Q3" s="702"/>
      <c r="R3" s="702"/>
      <c r="S3" s="702"/>
      <c r="T3" s="702"/>
      <c r="V3" s="702" t="s">
        <v>54</v>
      </c>
      <c r="X3" s="764" t="s">
        <v>278</v>
      </c>
      <c r="Y3" s="764"/>
      <c r="Z3" s="764"/>
    </row>
    <row r="4" spans="2:31" ht="14.45" customHeight="1" thickBot="1" x14ac:dyDescent="0.25">
      <c r="B4" s="754"/>
      <c r="C4" s="755"/>
      <c r="D4" s="755"/>
      <c r="E4" s="757"/>
      <c r="F4" s="298" t="s">
        <v>279</v>
      </c>
      <c r="G4" s="299" t="s">
        <v>280</v>
      </c>
      <c r="H4" s="298" t="s">
        <v>281</v>
      </c>
      <c r="I4" s="299" t="s">
        <v>282</v>
      </c>
      <c r="J4" s="761"/>
      <c r="L4" s="762"/>
      <c r="M4" s="763"/>
      <c r="N4" s="107"/>
      <c r="P4" s="702"/>
      <c r="Q4" s="702"/>
      <c r="R4" s="702"/>
      <c r="S4" s="702"/>
      <c r="T4" s="702"/>
      <c r="V4" s="702"/>
      <c r="X4" s="764"/>
      <c r="Y4" s="764"/>
      <c r="Z4" s="764"/>
    </row>
    <row r="5" spans="2:31" ht="15" thickBot="1" x14ac:dyDescent="0.25">
      <c r="P5" s="112" t="s">
        <v>74</v>
      </c>
    </row>
    <row r="6" spans="2:31" ht="20.100000000000001" customHeight="1" x14ac:dyDescent="0.2">
      <c r="B6" s="342">
        <v>1</v>
      </c>
      <c r="C6" s="34" t="s">
        <v>283</v>
      </c>
      <c r="D6" s="368" t="s">
        <v>76</v>
      </c>
      <c r="E6" s="316">
        <v>3</v>
      </c>
      <c r="F6" s="657">
        <v>60.375</v>
      </c>
      <c r="G6" s="642">
        <v>10.757999999999999</v>
      </c>
      <c r="H6" s="641">
        <v>399.55700000000002</v>
      </c>
      <c r="I6" s="642">
        <v>488.56299999999999</v>
      </c>
      <c r="J6" s="506">
        <f>SUM(F6:I6)</f>
        <v>959.25299999999993</v>
      </c>
      <c r="L6" s="750">
        <f xml:space="preserve"> IF( SUM( U6:W6 ) = 0, 0, Z6 )</f>
        <v>0</v>
      </c>
      <c r="M6" s="29">
        <f xml:space="preserve"> IF( SUM( O6:U6 ) = 0, 0, $P$5 )</f>
        <v>0</v>
      </c>
      <c r="P6" s="120">
        <f xml:space="preserve"> IF( ISNUMBER( F6 ), 0, 1 )</f>
        <v>0</v>
      </c>
      <c r="Q6" s="120">
        <f t="shared" ref="Q6" si="0" xml:space="preserve"> IF( ISNUMBER( G6 ), 0, 1 )</f>
        <v>0</v>
      </c>
      <c r="R6" s="120">
        <f xml:space="preserve"> IF( Validation!$H$3 = 1, 0, ( IF( ISNUMBER( H6 ), 0, 1 )))</f>
        <v>0</v>
      </c>
      <c r="S6" s="120">
        <f xml:space="preserve"> IF( Validation!$H$3 = 1, 0, ( IF( ISNUMBER( I6 ), 0, 1 )))</f>
        <v>0</v>
      </c>
      <c r="V6" s="120">
        <f xml:space="preserve"> IF( (X6 - Y6) = 0, 0, 1 )</f>
        <v>0</v>
      </c>
      <c r="X6" s="189">
        <f xml:space="preserve"> ROUND( J6 + J7, 3)</f>
        <v>964.50699999999995</v>
      </c>
      <c r="Y6" s="189">
        <f xml:space="preserve"> ROUND( '1A'!J6, 3 )</f>
        <v>964.50699999999995</v>
      </c>
      <c r="Z6" s="751" t="s">
        <v>284</v>
      </c>
    </row>
    <row r="7" spans="2:31" ht="20.100000000000001" customHeight="1" x14ac:dyDescent="0.2">
      <c r="B7" s="343">
        <f>+B6+1</f>
        <v>2</v>
      </c>
      <c r="C7" s="35" t="s">
        <v>285</v>
      </c>
      <c r="D7" s="371" t="s">
        <v>76</v>
      </c>
      <c r="E7" s="322">
        <v>3</v>
      </c>
      <c r="F7" s="658">
        <v>6.7779999999999996</v>
      </c>
      <c r="G7" s="644">
        <v>0.48899999999999999</v>
      </c>
      <c r="H7" s="643">
        <v>-4.4379999999999988</v>
      </c>
      <c r="I7" s="644">
        <v>2.4250000000000003</v>
      </c>
      <c r="J7" s="507">
        <f>SUM(F7:I7)</f>
        <v>5.2540000000000013</v>
      </c>
      <c r="L7" s="750"/>
      <c r="M7" s="29">
        <f t="shared" ref="M7:M14" si="1" xml:space="preserve"> IF( SUM( O7:U7 ) = 0, 0, $P$5 )</f>
        <v>0</v>
      </c>
      <c r="P7" s="120">
        <f t="shared" ref="P7:Q9" si="2" xml:space="preserve"> IF( ISNUMBER( F7 ), 0, 1 )</f>
        <v>0</v>
      </c>
      <c r="Q7" s="120">
        <f xml:space="preserve"> IF( ISNUMBER( G7 ), 0, 1 )</f>
        <v>0</v>
      </c>
      <c r="R7" s="120">
        <f xml:space="preserve"> IF( Validation!$H$3 = 1, 0, ( IF( ISNUMBER( H7 ), 0, 1 )))</f>
        <v>0</v>
      </c>
      <c r="S7" s="120">
        <f xml:space="preserve"> IF( Validation!$H$3 = 1, 0, ( IF( ISNUMBER( I7 ), 0, 1 )))</f>
        <v>0</v>
      </c>
      <c r="Z7" s="751"/>
    </row>
    <row r="8" spans="2:31" ht="20.100000000000001" customHeight="1" x14ac:dyDescent="0.2">
      <c r="B8" s="343">
        <f t="shared" ref="B8:B14" si="3">+B7+1</f>
        <v>3</v>
      </c>
      <c r="C8" s="35" t="s">
        <v>77</v>
      </c>
      <c r="D8" s="371" t="s">
        <v>76</v>
      </c>
      <c r="E8" s="322">
        <v>3</v>
      </c>
      <c r="F8" s="524">
        <f xml:space="preserve"> -1 * ( '2C'!F16 )</f>
        <v>-56.060820906107494</v>
      </c>
      <c r="G8" s="415">
        <f xml:space="preserve"> -1 * ( '2C'!G16 )</f>
        <v>-6.0307172185014553</v>
      </c>
      <c r="H8" s="643">
        <v>-293.62899999999996</v>
      </c>
      <c r="I8" s="644">
        <v>-366.87400000000002</v>
      </c>
      <c r="J8" s="507">
        <f>SUM(F8:I8)</f>
        <v>-722.59453812460902</v>
      </c>
      <c r="L8" s="77">
        <f xml:space="preserve"> IF( SUM( U8:W8 ) = 0, 0, Z8 )</f>
        <v>0</v>
      </c>
      <c r="M8" s="29">
        <f t="shared" si="1"/>
        <v>0</v>
      </c>
      <c r="P8" s="147"/>
      <c r="Q8" s="147"/>
      <c r="R8" s="120">
        <f xml:space="preserve"> IF( Validation!$H$3 = 1, 0, ( IF( ISNUMBER( H8 ), 0, 1 )))</f>
        <v>0</v>
      </c>
      <c r="S8" s="120">
        <f xml:space="preserve"> IF( Validation!$H$3 = 1, 0, ( IF( ISNUMBER( I8 ), 0, 1 )))</f>
        <v>0</v>
      </c>
      <c r="V8" s="120">
        <f xml:space="preserve"> IF( (X8 - Y8) = 0, 0, 1 )</f>
        <v>0</v>
      </c>
      <c r="X8" s="189">
        <f xml:space="preserve"> ROUND( J8, 3)</f>
        <v>-722.59500000000003</v>
      </c>
      <c r="Y8" s="189">
        <f xml:space="preserve"> ROUND( '1A'!J7, 3 )</f>
        <v>-722.59500000000003</v>
      </c>
      <c r="Z8" s="525" t="s">
        <v>286</v>
      </c>
    </row>
    <row r="9" spans="2:31" ht="23.1" customHeight="1" x14ac:dyDescent="0.2">
      <c r="B9" s="343">
        <f t="shared" si="3"/>
        <v>4</v>
      </c>
      <c r="C9" s="35" t="s">
        <v>78</v>
      </c>
      <c r="D9" s="371" t="s">
        <v>76</v>
      </c>
      <c r="E9" s="322">
        <v>3</v>
      </c>
      <c r="F9" s="658">
        <v>0</v>
      </c>
      <c r="G9" s="644">
        <v>0</v>
      </c>
      <c r="H9" s="643">
        <v>0.79</v>
      </c>
      <c r="I9" s="644">
        <v>10.806000000000001</v>
      </c>
      <c r="J9" s="507">
        <f>SUM(F9:I9)</f>
        <v>11.596</v>
      </c>
      <c r="L9" s="77">
        <f xml:space="preserve"> IF( SUM( U9:W9 ) = 0, 0, Z9 )</f>
        <v>0</v>
      </c>
      <c r="M9" s="29">
        <f t="shared" si="1"/>
        <v>0</v>
      </c>
      <c r="P9" s="120">
        <f t="shared" si="2"/>
        <v>0</v>
      </c>
      <c r="Q9" s="120">
        <f t="shared" si="2"/>
        <v>0</v>
      </c>
      <c r="R9" s="120">
        <f xml:space="preserve"> IF( Validation!$H$3 = 1, 0, ( IF( ISNUMBER( H9 ), 0, 1 )))</f>
        <v>0</v>
      </c>
      <c r="S9" s="120">
        <f xml:space="preserve"> IF( Validation!$H$3 = 1, 0, ( IF( ISNUMBER( I9 ), 0, 1 )))</f>
        <v>0</v>
      </c>
      <c r="V9" s="120">
        <f xml:space="preserve"> IF( (X9 - Y9) = 0, 0, 1 )</f>
        <v>0</v>
      </c>
      <c r="X9" s="189">
        <f xml:space="preserve"> ROUND( J9, 3)</f>
        <v>11.596</v>
      </c>
      <c r="Y9" s="189">
        <f xml:space="preserve"> ROUND( '1A'!J8, 3 )</f>
        <v>11.596</v>
      </c>
      <c r="Z9" s="525" t="s">
        <v>287</v>
      </c>
    </row>
    <row r="10" spans="2:31" ht="20.100000000000001" customHeight="1" x14ac:dyDescent="0.2">
      <c r="B10" s="343">
        <f t="shared" si="3"/>
        <v>5</v>
      </c>
      <c r="C10" s="35" t="s">
        <v>288</v>
      </c>
      <c r="D10" s="371" t="s">
        <v>76</v>
      </c>
      <c r="E10" s="322">
        <v>3</v>
      </c>
      <c r="F10" s="524">
        <f>SUM(F6:F9)</f>
        <v>11.092179093892511</v>
      </c>
      <c r="G10" s="415">
        <f>SUM(G6:G9)</f>
        <v>5.2162827814985446</v>
      </c>
      <c r="H10" s="434">
        <f>SUM(H6:H9)</f>
        <v>102.28000000000007</v>
      </c>
      <c r="I10" s="415">
        <f>SUM(I6:I9)</f>
        <v>134.91999999999999</v>
      </c>
      <c r="J10" s="507">
        <f>SUM(J6:J9)</f>
        <v>253.50846187539094</v>
      </c>
      <c r="L10" s="526"/>
      <c r="M10" s="136"/>
      <c r="AE10" s="527"/>
    </row>
    <row r="11" spans="2:31" ht="20.100000000000001" customHeight="1" x14ac:dyDescent="0.2">
      <c r="B11" s="343">
        <f t="shared" si="3"/>
        <v>6</v>
      </c>
      <c r="C11" s="35" t="s">
        <v>289</v>
      </c>
      <c r="D11" s="371" t="s">
        <v>76</v>
      </c>
      <c r="E11" s="322">
        <v>3</v>
      </c>
      <c r="F11" s="658">
        <v>-0.37812806720000008</v>
      </c>
      <c r="G11" s="644">
        <v>0</v>
      </c>
      <c r="H11" s="643">
        <v>0</v>
      </c>
      <c r="I11" s="644">
        <v>0</v>
      </c>
      <c r="J11" s="507">
        <f>SUM(F11:I11)</f>
        <v>-0.37812806720000008</v>
      </c>
      <c r="L11" s="526"/>
      <c r="M11" s="29">
        <f t="shared" si="1"/>
        <v>0</v>
      </c>
      <c r="P11" s="120">
        <f t="shared" ref="P11:Q12" si="4" xml:space="preserve"> IF( ISNUMBER( F11 ), 0, 1 )</f>
        <v>0</v>
      </c>
      <c r="Q11" s="120">
        <f t="shared" si="4"/>
        <v>0</v>
      </c>
      <c r="R11" s="120">
        <f xml:space="preserve"> IF( Validation!$H$3 = 1, 0, ( IF( ISNUMBER( H11 ), 0, 1 )))</f>
        <v>0</v>
      </c>
      <c r="S11" s="120">
        <f xml:space="preserve"> IF( Validation!$H$3 = 1, 0, ( IF( ISNUMBER( I11 ), 0, 1 )))</f>
        <v>0</v>
      </c>
    </row>
    <row r="12" spans="2:31" ht="20.100000000000001" customHeight="1" x14ac:dyDescent="0.2">
      <c r="B12" s="343">
        <f t="shared" si="3"/>
        <v>7</v>
      </c>
      <c r="C12" s="35" t="s">
        <v>290</v>
      </c>
      <c r="D12" s="371" t="s">
        <v>76</v>
      </c>
      <c r="E12" s="322">
        <v>3</v>
      </c>
      <c r="F12" s="658">
        <v>0</v>
      </c>
      <c r="G12" s="644">
        <v>0.37812806720000008</v>
      </c>
      <c r="H12" s="643">
        <v>0</v>
      </c>
      <c r="I12" s="644">
        <v>0</v>
      </c>
      <c r="J12" s="507">
        <f>SUM(F12:I12)</f>
        <v>0.37812806720000008</v>
      </c>
      <c r="L12" s="526"/>
      <c r="M12" s="29">
        <f t="shared" si="1"/>
        <v>0</v>
      </c>
      <c r="P12" s="120">
        <f t="shared" si="4"/>
        <v>0</v>
      </c>
      <c r="Q12" s="120">
        <f t="shared" si="4"/>
        <v>0</v>
      </c>
      <c r="R12" s="120">
        <f xml:space="preserve"> IF( Validation!$H$3 = 1, 0, ( IF( ISNUMBER( H12 ), 0, 1 )))</f>
        <v>0</v>
      </c>
      <c r="S12" s="120">
        <f xml:space="preserve"> IF( Validation!$H$3 = 1, 0, ( IF( ISNUMBER( I12 ), 0, 1 )))</f>
        <v>0</v>
      </c>
    </row>
    <row r="13" spans="2:31" ht="20.100000000000001" customHeight="1" thickBot="1" x14ac:dyDescent="0.25">
      <c r="B13" s="343">
        <f t="shared" si="3"/>
        <v>8</v>
      </c>
      <c r="C13" s="35" t="s">
        <v>79</v>
      </c>
      <c r="D13" s="371" t="s">
        <v>76</v>
      </c>
      <c r="E13" s="322">
        <v>3</v>
      </c>
      <c r="F13" s="528">
        <f>SUM(F10:F12)</f>
        <v>10.714051026692511</v>
      </c>
      <c r="G13" s="418">
        <f>SUM(G10:G12)</f>
        <v>5.5944108486985451</v>
      </c>
      <c r="H13" s="416">
        <f>SUM(H10:H12)</f>
        <v>102.28000000000007</v>
      </c>
      <c r="I13" s="418">
        <f>SUM(I10:I12)</f>
        <v>134.91999999999999</v>
      </c>
      <c r="J13" s="507">
        <f>SUM(J10:J12)</f>
        <v>253.50846187539094</v>
      </c>
      <c r="L13" s="526"/>
      <c r="M13" s="136"/>
    </row>
    <row r="14" spans="2:31" ht="20.100000000000001" customHeight="1" thickBot="1" x14ac:dyDescent="0.25">
      <c r="B14" s="344">
        <f t="shared" si="3"/>
        <v>9</v>
      </c>
      <c r="C14" s="37" t="s">
        <v>291</v>
      </c>
      <c r="D14" s="335" t="s">
        <v>76</v>
      </c>
      <c r="E14" s="336">
        <v>3</v>
      </c>
      <c r="F14" s="529"/>
      <c r="G14" s="529"/>
      <c r="H14" s="529"/>
      <c r="I14" s="529"/>
      <c r="J14" s="659">
        <v>1.0029999999999999</v>
      </c>
      <c r="L14" s="526"/>
      <c r="M14" s="29">
        <f t="shared" si="1"/>
        <v>0</v>
      </c>
      <c r="T14" s="120">
        <f t="shared" ref="T14" si="5" xml:space="preserve"> IF( ISNUMBER( J14 ), 0, 1 )</f>
        <v>0</v>
      </c>
    </row>
    <row r="15" spans="2:31" s="137" customFormat="1" x14ac:dyDescent="0.2">
      <c r="C15" s="174"/>
      <c r="G15" s="187"/>
      <c r="I15" s="144"/>
      <c r="J15" s="144"/>
      <c r="K15" s="144"/>
      <c r="L15" s="146"/>
      <c r="M15" s="146"/>
      <c r="N15" s="95"/>
      <c r="O15" s="96"/>
      <c r="P15" s="95"/>
      <c r="Q15" s="95"/>
      <c r="R15" s="95"/>
      <c r="S15" s="95"/>
      <c r="T15" s="95"/>
      <c r="U15" s="96"/>
      <c r="W15" s="96"/>
      <c r="AA15" s="96"/>
    </row>
    <row r="16" spans="2:31" s="187" customFormat="1" x14ac:dyDescent="0.2">
      <c r="B16" s="703" t="s">
        <v>90</v>
      </c>
      <c r="C16" s="703"/>
      <c r="I16" s="150"/>
      <c r="J16" s="150"/>
      <c r="K16" s="150"/>
      <c r="L16" s="150"/>
      <c r="M16" s="150"/>
      <c r="N16" s="95"/>
      <c r="O16" s="96"/>
      <c r="P16" s="95"/>
      <c r="Q16" s="95"/>
      <c r="R16" s="95"/>
      <c r="S16" s="95"/>
      <c r="T16" s="95"/>
      <c r="U16" s="96"/>
      <c r="W16" s="96"/>
      <c r="AA16" s="96"/>
    </row>
    <row r="17" spans="1:27" s="187" customFormat="1" x14ac:dyDescent="0.2">
      <c r="B17" s="162"/>
      <c r="C17" s="163"/>
      <c r="I17" s="150"/>
      <c r="J17" s="150"/>
      <c r="K17" s="150"/>
      <c r="L17" s="150"/>
      <c r="M17" s="150"/>
      <c r="N17" s="95"/>
      <c r="O17" s="96"/>
      <c r="P17" s="95"/>
      <c r="Q17" s="95"/>
      <c r="R17" s="95"/>
      <c r="S17" s="95"/>
      <c r="T17" s="95"/>
      <c r="U17" s="96"/>
      <c r="W17" s="96"/>
      <c r="AA17" s="96"/>
    </row>
    <row r="18" spans="1:27" s="187" customFormat="1" x14ac:dyDescent="0.2">
      <c r="B18" s="30"/>
      <c r="C18" s="164" t="s">
        <v>91</v>
      </c>
      <c r="I18" s="150"/>
      <c r="J18" s="150"/>
      <c r="K18" s="150"/>
      <c r="L18" s="150"/>
      <c r="M18" s="150"/>
      <c r="N18" s="95"/>
      <c r="O18" s="96"/>
      <c r="P18" s="95"/>
      <c r="Q18" s="95"/>
      <c r="R18" s="95"/>
      <c r="S18" s="95"/>
      <c r="T18" s="95"/>
      <c r="U18" s="96"/>
      <c r="W18" s="96"/>
      <c r="AA18" s="96"/>
    </row>
    <row r="19" spans="1:27" s="187" customFormat="1" x14ac:dyDescent="0.2">
      <c r="B19" s="162"/>
      <c r="C19" s="163"/>
      <c r="I19" s="150"/>
      <c r="J19" s="150"/>
      <c r="K19" s="150"/>
      <c r="L19" s="150"/>
      <c r="M19" s="150"/>
      <c r="N19" s="95"/>
      <c r="O19" s="96"/>
      <c r="P19" s="95"/>
      <c r="Q19" s="95"/>
      <c r="R19" s="95"/>
      <c r="S19" s="95"/>
      <c r="T19" s="95"/>
      <c r="U19" s="96"/>
      <c r="W19" s="96"/>
      <c r="AA19" s="96"/>
    </row>
    <row r="20" spans="1:27" s="187" customFormat="1" x14ac:dyDescent="0.2">
      <c r="B20" s="165"/>
      <c r="C20" s="164" t="s">
        <v>92</v>
      </c>
      <c r="I20" s="150"/>
      <c r="J20" s="150"/>
      <c r="K20" s="150"/>
      <c r="L20" s="150"/>
      <c r="M20" s="150"/>
      <c r="N20" s="95"/>
      <c r="O20" s="96"/>
      <c r="P20" s="95"/>
      <c r="Q20" s="95"/>
      <c r="R20" s="95"/>
      <c r="S20" s="95"/>
      <c r="T20" s="95"/>
      <c r="U20" s="96"/>
      <c r="W20" s="96"/>
      <c r="AA20" s="96"/>
    </row>
    <row r="21" spans="1:27" s="187" customFormat="1" x14ac:dyDescent="0.2">
      <c r="B21" s="166"/>
      <c r="C21" s="164"/>
      <c r="I21" s="150"/>
      <c r="J21" s="150"/>
      <c r="K21" s="150"/>
      <c r="L21" s="150"/>
      <c r="M21" s="150"/>
      <c r="N21" s="95"/>
      <c r="O21" s="96"/>
      <c r="P21" s="95"/>
      <c r="Q21" s="95"/>
      <c r="R21" s="95"/>
      <c r="S21" s="95"/>
      <c r="T21" s="95"/>
      <c r="U21" s="96"/>
      <c r="W21" s="96"/>
      <c r="AA21" s="96"/>
    </row>
    <row r="22" spans="1:27" s="187" customFormat="1" x14ac:dyDescent="0.2">
      <c r="B22" s="167"/>
      <c r="C22" s="164" t="s">
        <v>93</v>
      </c>
      <c r="I22" s="150"/>
      <c r="J22" s="150"/>
      <c r="K22" s="150"/>
      <c r="L22" s="150"/>
      <c r="M22" s="150"/>
      <c r="N22" s="144"/>
      <c r="O22" s="96"/>
      <c r="P22" s="95"/>
      <c r="Q22" s="95"/>
      <c r="R22" s="95"/>
      <c r="S22" s="95"/>
      <c r="T22" s="95"/>
      <c r="U22" s="96"/>
      <c r="W22" s="96"/>
      <c r="AA22" s="96"/>
    </row>
    <row r="23" spans="1:27" s="206" customFormat="1" ht="12.75" x14ac:dyDescent="0.2">
      <c r="A23" s="172"/>
      <c r="B23" s="172"/>
      <c r="C23" s="173"/>
      <c r="I23" s="153"/>
      <c r="J23" s="153"/>
      <c r="K23" s="153"/>
      <c r="L23" s="150"/>
      <c r="M23" s="150"/>
      <c r="N23" s="150"/>
      <c r="O23" s="148"/>
      <c r="P23" s="150"/>
      <c r="Q23" s="150"/>
      <c r="R23" s="232"/>
      <c r="S23" s="232"/>
      <c r="T23" s="187"/>
      <c r="U23" s="148"/>
      <c r="W23" s="148"/>
      <c r="AA23" s="148"/>
    </row>
    <row r="24" spans="1:27" s="206" customFormat="1" ht="13.5" thickBot="1" x14ac:dyDescent="0.25">
      <c r="C24" s="207"/>
      <c r="I24" s="153"/>
      <c r="J24" s="153"/>
      <c r="K24" s="153"/>
      <c r="L24" s="150"/>
      <c r="M24" s="150"/>
      <c r="N24" s="150"/>
      <c r="O24" s="145"/>
      <c r="P24" s="150"/>
      <c r="Q24" s="150"/>
      <c r="R24" s="232"/>
      <c r="S24" s="232"/>
      <c r="T24" s="187"/>
      <c r="U24" s="145"/>
      <c r="W24" s="145"/>
      <c r="AA24" s="145"/>
    </row>
    <row r="25" spans="1:27" s="137" customFormat="1" ht="21" thickBot="1" x14ac:dyDescent="0.25">
      <c r="B25" s="168" t="str">
        <f ca="1" xml:space="preserve"> RIGHT(CELL("filename", $A$1), LEN(CELL("filename", $A$1)) - SEARCH("]", CELL("filename", $A$1)))&amp;" - Line definitions"</f>
        <v>2A - Line definitions</v>
      </c>
      <c r="C25" s="169"/>
      <c r="D25" s="170"/>
      <c r="E25" s="170"/>
      <c r="F25" s="170"/>
      <c r="G25" s="170"/>
      <c r="H25" s="170"/>
      <c r="I25" s="170"/>
      <c r="J25" s="176"/>
      <c r="K25" s="144"/>
      <c r="L25" s="146"/>
      <c r="M25" s="146"/>
      <c r="N25" s="150"/>
      <c r="O25" s="145"/>
      <c r="P25" s="150"/>
      <c r="Q25" s="150"/>
      <c r="R25" s="232"/>
      <c r="S25" s="232"/>
      <c r="T25" s="187"/>
      <c r="U25" s="145"/>
      <c r="W25" s="145"/>
      <c r="AA25" s="145"/>
    </row>
    <row r="26" spans="1:27" s="137" customFormat="1" ht="15" thickBot="1" x14ac:dyDescent="0.25">
      <c r="B26" s="99"/>
      <c r="C26" s="177"/>
      <c r="D26" s="99"/>
      <c r="E26" s="99"/>
      <c r="F26" s="99"/>
      <c r="I26" s="144"/>
      <c r="J26" s="144"/>
      <c r="K26" s="144"/>
      <c r="L26" s="146"/>
      <c r="M26" s="146"/>
      <c r="N26" s="150"/>
      <c r="O26" s="145"/>
      <c r="Q26" s="150"/>
      <c r="R26" s="232"/>
      <c r="S26" s="232"/>
      <c r="T26" s="187"/>
      <c r="U26" s="145"/>
      <c r="W26" s="145"/>
      <c r="AA26" s="145"/>
    </row>
    <row r="27" spans="1:27" s="206" customFormat="1" thickBot="1" x14ac:dyDescent="0.25">
      <c r="B27" s="490" t="s">
        <v>94</v>
      </c>
      <c r="C27" s="491" t="s">
        <v>95</v>
      </c>
      <c r="D27" s="492"/>
      <c r="E27" s="492"/>
      <c r="F27" s="492"/>
      <c r="G27" s="492"/>
      <c r="H27" s="492"/>
      <c r="I27" s="492"/>
      <c r="J27" s="493"/>
      <c r="K27" s="433"/>
      <c r="L27" s="153"/>
      <c r="M27" s="153"/>
      <c r="N27" s="150"/>
      <c r="O27" s="145"/>
      <c r="P27" s="112" t="s">
        <v>96</v>
      </c>
      <c r="Q27" s="150"/>
      <c r="R27" s="232"/>
      <c r="S27" s="232"/>
      <c r="T27" s="187"/>
      <c r="U27" s="145"/>
      <c r="W27" s="145"/>
      <c r="AA27" s="145"/>
    </row>
    <row r="28" spans="1:27" s="137" customFormat="1" ht="38.25" x14ac:dyDescent="0.2">
      <c r="B28" s="209">
        <v>1</v>
      </c>
      <c r="C28" s="704" t="s">
        <v>292</v>
      </c>
      <c r="D28" s="704"/>
      <c r="E28" s="704"/>
      <c r="F28" s="704"/>
      <c r="G28" s="704"/>
      <c r="H28" s="704"/>
      <c r="I28" s="704"/>
      <c r="J28" s="705"/>
      <c r="K28" s="436"/>
      <c r="L28" s="146"/>
      <c r="M28" s="146"/>
      <c r="N28" s="150"/>
      <c r="O28" s="145"/>
      <c r="P28" s="186" t="s">
        <v>98</v>
      </c>
      <c r="Q28" s="150"/>
      <c r="R28" s="232"/>
      <c r="S28" s="232"/>
      <c r="T28" s="187"/>
      <c r="U28" s="145"/>
      <c r="W28" s="145"/>
      <c r="AA28" s="145"/>
    </row>
    <row r="29" spans="1:27" s="137" customFormat="1" x14ac:dyDescent="0.2">
      <c r="B29" s="184">
        <f xml:space="preserve"> 1 + B28</f>
        <v>2</v>
      </c>
      <c r="C29" s="695" t="s">
        <v>293</v>
      </c>
      <c r="D29" s="695"/>
      <c r="E29" s="695"/>
      <c r="F29" s="695"/>
      <c r="G29" s="695"/>
      <c r="H29" s="695"/>
      <c r="I29" s="695"/>
      <c r="J29" s="696"/>
      <c r="K29" s="436"/>
      <c r="L29" s="146"/>
      <c r="M29" s="146"/>
      <c r="N29" s="150"/>
      <c r="O29" s="145"/>
      <c r="P29" s="183">
        <v>1</v>
      </c>
      <c r="Q29" s="150"/>
      <c r="R29" s="232"/>
      <c r="S29" s="232"/>
      <c r="T29" s="187"/>
      <c r="U29" s="145"/>
      <c r="W29" s="145"/>
      <c r="AA29" s="145"/>
    </row>
    <row r="30" spans="1:27" s="137" customFormat="1" x14ac:dyDescent="0.2">
      <c r="B30" s="184">
        <f t="shared" ref="B30:B36" si="6" xml:space="preserve"> 1 + B29</f>
        <v>3</v>
      </c>
      <c r="C30" s="695" t="s">
        <v>294</v>
      </c>
      <c r="D30" s="695"/>
      <c r="E30" s="695"/>
      <c r="F30" s="695"/>
      <c r="G30" s="695"/>
      <c r="H30" s="695"/>
      <c r="I30" s="695"/>
      <c r="J30" s="696"/>
      <c r="K30" s="436"/>
      <c r="L30" s="146"/>
      <c r="M30" s="146"/>
      <c r="N30" s="150"/>
      <c r="O30" s="145"/>
      <c r="P30" s="183">
        <v>1</v>
      </c>
      <c r="Q30" s="150"/>
      <c r="R30" s="376"/>
      <c r="S30" s="376"/>
      <c r="T30" s="206"/>
      <c r="U30" s="145"/>
      <c r="W30" s="145"/>
      <c r="AA30" s="145"/>
    </row>
    <row r="31" spans="1:27" s="137" customFormat="1" x14ac:dyDescent="0.2">
      <c r="B31" s="184">
        <f t="shared" si="6"/>
        <v>4</v>
      </c>
      <c r="C31" s="695" t="s">
        <v>295</v>
      </c>
      <c r="D31" s="695"/>
      <c r="E31" s="695"/>
      <c r="F31" s="695"/>
      <c r="G31" s="695"/>
      <c r="H31" s="695"/>
      <c r="I31" s="695"/>
      <c r="J31" s="696"/>
      <c r="K31" s="436"/>
      <c r="L31" s="146"/>
      <c r="M31" s="146"/>
      <c r="N31" s="150"/>
      <c r="O31" s="145"/>
      <c r="P31" s="183">
        <v>1</v>
      </c>
      <c r="Q31" s="150"/>
      <c r="R31" s="376"/>
      <c r="S31" s="376"/>
      <c r="T31" s="206"/>
      <c r="U31" s="145"/>
      <c r="W31" s="145"/>
      <c r="AA31" s="145"/>
    </row>
    <row r="32" spans="1:27" s="137" customFormat="1" x14ac:dyDescent="0.2">
      <c r="B32" s="184">
        <f t="shared" si="6"/>
        <v>5</v>
      </c>
      <c r="C32" s="695" t="s">
        <v>296</v>
      </c>
      <c r="D32" s="695"/>
      <c r="E32" s="695"/>
      <c r="F32" s="695"/>
      <c r="G32" s="695"/>
      <c r="H32" s="695"/>
      <c r="I32" s="695"/>
      <c r="J32" s="696"/>
      <c r="K32" s="436"/>
      <c r="L32" s="146"/>
      <c r="M32" s="146"/>
      <c r="N32" s="144"/>
      <c r="O32" s="145"/>
      <c r="P32" s="183">
        <v>1</v>
      </c>
      <c r="Q32" s="144"/>
      <c r="R32" s="332"/>
      <c r="S32" s="332"/>
      <c r="U32" s="145"/>
      <c r="W32" s="145"/>
      <c r="AA32" s="145"/>
    </row>
    <row r="33" spans="2:27" s="137" customFormat="1" x14ac:dyDescent="0.2">
      <c r="B33" s="184">
        <f t="shared" si="6"/>
        <v>6</v>
      </c>
      <c r="C33" s="695" t="s">
        <v>297</v>
      </c>
      <c r="D33" s="695"/>
      <c r="E33" s="695"/>
      <c r="F33" s="695"/>
      <c r="G33" s="695"/>
      <c r="H33" s="695"/>
      <c r="I33" s="695"/>
      <c r="J33" s="696"/>
      <c r="K33" s="436"/>
      <c r="L33" s="146"/>
      <c r="M33" s="146"/>
      <c r="N33" s="144"/>
      <c r="O33" s="148"/>
      <c r="P33" s="183">
        <v>1</v>
      </c>
      <c r="Q33" s="144"/>
      <c r="R33" s="332"/>
      <c r="S33" s="332"/>
      <c r="U33" s="148"/>
      <c r="W33" s="148"/>
      <c r="AA33" s="148"/>
    </row>
    <row r="34" spans="2:27" s="137" customFormat="1" x14ac:dyDescent="0.2">
      <c r="B34" s="184">
        <f t="shared" si="6"/>
        <v>7</v>
      </c>
      <c r="C34" s="695" t="s">
        <v>298</v>
      </c>
      <c r="D34" s="695"/>
      <c r="E34" s="695"/>
      <c r="F34" s="695"/>
      <c r="G34" s="695"/>
      <c r="H34" s="695"/>
      <c r="I34" s="695"/>
      <c r="J34" s="696"/>
      <c r="K34" s="436"/>
      <c r="L34" s="146"/>
      <c r="M34" s="146"/>
      <c r="N34" s="144"/>
      <c r="O34" s="148"/>
      <c r="P34" s="183">
        <v>1</v>
      </c>
      <c r="Q34" s="144"/>
      <c r="R34" s="206"/>
      <c r="S34" s="206"/>
      <c r="T34" s="206"/>
      <c r="U34" s="148"/>
      <c r="W34" s="148"/>
      <c r="AA34" s="148"/>
    </row>
    <row r="35" spans="2:27" s="137" customFormat="1" x14ac:dyDescent="0.2">
      <c r="B35" s="184">
        <f t="shared" si="6"/>
        <v>8</v>
      </c>
      <c r="C35" s="695" t="s">
        <v>299</v>
      </c>
      <c r="D35" s="695"/>
      <c r="E35" s="695"/>
      <c r="F35" s="695"/>
      <c r="G35" s="695"/>
      <c r="H35" s="695"/>
      <c r="I35" s="695"/>
      <c r="J35" s="696"/>
      <c r="K35" s="436"/>
      <c r="L35" s="146"/>
      <c r="M35" s="146"/>
      <c r="N35" s="144"/>
      <c r="O35" s="148"/>
      <c r="P35" s="183">
        <v>1</v>
      </c>
      <c r="Q35" s="144"/>
      <c r="R35" s="332"/>
      <c r="S35" s="332"/>
      <c r="U35" s="148"/>
      <c r="W35" s="148"/>
      <c r="AA35" s="148"/>
    </row>
    <row r="36" spans="2:27" s="137" customFormat="1" ht="15" thickBot="1" x14ac:dyDescent="0.25">
      <c r="B36" s="211">
        <f t="shared" si="6"/>
        <v>9</v>
      </c>
      <c r="C36" s="697" t="s">
        <v>300</v>
      </c>
      <c r="D36" s="697"/>
      <c r="E36" s="697"/>
      <c r="F36" s="697"/>
      <c r="G36" s="697"/>
      <c r="H36" s="697"/>
      <c r="I36" s="697"/>
      <c r="J36" s="698"/>
      <c r="K36" s="436"/>
      <c r="L36" s="146"/>
      <c r="M36" s="146"/>
      <c r="O36" s="148"/>
      <c r="P36" s="183">
        <v>1</v>
      </c>
      <c r="U36" s="148"/>
      <c r="W36" s="148"/>
      <c r="AA36" s="148"/>
    </row>
    <row r="37" spans="2:27" x14ac:dyDescent="0.2">
      <c r="C37" s="172"/>
      <c r="N37" s="137"/>
      <c r="O37" s="148"/>
      <c r="P37" s="183"/>
      <c r="Q37" s="137"/>
      <c r="R37" s="137"/>
      <c r="S37" s="137"/>
      <c r="T37" s="137"/>
      <c r="U37" s="148"/>
      <c r="W37" s="148"/>
      <c r="AA37" s="148"/>
    </row>
    <row r="38" spans="2:27" hidden="1" x14ac:dyDescent="0.2">
      <c r="N38" s="146"/>
      <c r="O38" s="148"/>
      <c r="P38" s="292"/>
      <c r="Q38" s="146"/>
      <c r="R38" s="146"/>
      <c r="S38" s="146"/>
      <c r="T38" s="146"/>
      <c r="U38" s="148"/>
      <c r="W38" s="148"/>
      <c r="AA38" s="148"/>
    </row>
    <row r="39" spans="2:27" hidden="1" x14ac:dyDescent="0.2">
      <c r="N39" s="146"/>
      <c r="O39" s="148"/>
      <c r="P39" s="292"/>
      <c r="Q39" s="146"/>
      <c r="R39" s="146"/>
      <c r="S39" s="146"/>
      <c r="T39" s="146"/>
      <c r="U39" s="148"/>
      <c r="W39" s="148"/>
      <c r="AA39" s="148"/>
    </row>
    <row r="40" spans="2:27" hidden="1" x14ac:dyDescent="0.2">
      <c r="N40" s="146"/>
      <c r="O40" s="148"/>
      <c r="P40" s="292"/>
      <c r="Q40" s="146"/>
      <c r="R40" s="146"/>
      <c r="S40" s="146"/>
      <c r="T40" s="146"/>
      <c r="U40" s="148"/>
      <c r="W40" s="148"/>
      <c r="AA40" s="148"/>
    </row>
    <row r="41" spans="2:27" hidden="1" x14ac:dyDescent="0.2">
      <c r="O41" s="148"/>
      <c r="P41" s="502"/>
      <c r="U41" s="148"/>
      <c r="W41" s="148"/>
      <c r="AA41" s="148"/>
    </row>
    <row r="42" spans="2:27" hidden="1" x14ac:dyDescent="0.2">
      <c r="P42" s="502"/>
    </row>
    <row r="43" spans="2:27" hidden="1" x14ac:dyDescent="0.2">
      <c r="P43" s="502"/>
    </row>
    <row r="44" spans="2:27" hidden="1" x14ac:dyDescent="0.2">
      <c r="P44" s="502"/>
    </row>
    <row r="45" spans="2:27" hidden="1" x14ac:dyDescent="0.2">
      <c r="P45" s="502"/>
    </row>
    <row r="46" spans="2:27" hidden="1" x14ac:dyDescent="0.2">
      <c r="P46" s="502"/>
    </row>
    <row r="47" spans="2:27" hidden="1" x14ac:dyDescent="0.2">
      <c r="P47" s="502"/>
    </row>
    <row r="48" spans="2:27" hidden="1" x14ac:dyDescent="0.2">
      <c r="P48" s="502"/>
    </row>
    <row r="49" spans="16:16" hidden="1" x14ac:dyDescent="0.2">
      <c r="P49" s="502"/>
    </row>
    <row r="50" spans="16:16" hidden="1" x14ac:dyDescent="0.2">
      <c r="P50" s="502"/>
    </row>
    <row r="51" spans="16:16" hidden="1" x14ac:dyDescent="0.2">
      <c r="P51" s="502"/>
    </row>
    <row r="52" spans="16:16" hidden="1" x14ac:dyDescent="0.2">
      <c r="P52" s="502"/>
    </row>
    <row r="53" spans="16:16" hidden="1" x14ac:dyDescent="0.2">
      <c r="P53" s="502"/>
    </row>
  </sheetData>
  <sheetProtection algorithmName="SHA-512" hashValue="t/y37BjO8U5pjyMHkGqIMfdoxnzxWN5Le2GzraGV9V65hK5DoSk8+XP3i4sJZtbDCKPEC6EoqCkVasTojGI4tw==" saltValue="FTeu5AmGpXbn8AakHYgyzw==" spinCount="100000" sheet="1" objects="1" scenarios="1"/>
  <mergeCells count="23">
    <mergeCell ref="L6:L7"/>
    <mergeCell ref="Z6:Z7"/>
    <mergeCell ref="B3:C4"/>
    <mergeCell ref="D3:D4"/>
    <mergeCell ref="E3:E4"/>
    <mergeCell ref="F3:G3"/>
    <mergeCell ref="H3:I3"/>
    <mergeCell ref="J3:J4"/>
    <mergeCell ref="L3:L4"/>
    <mergeCell ref="M3:M4"/>
    <mergeCell ref="P3:T4"/>
    <mergeCell ref="V3:V4"/>
    <mergeCell ref="X3:Z4"/>
    <mergeCell ref="C33:J33"/>
    <mergeCell ref="C34:J34"/>
    <mergeCell ref="C35:J35"/>
    <mergeCell ref="C36:J36"/>
    <mergeCell ref="B16:C16"/>
    <mergeCell ref="C28:J28"/>
    <mergeCell ref="C29:J29"/>
    <mergeCell ref="C30:J30"/>
    <mergeCell ref="C31:J31"/>
    <mergeCell ref="C32:J32"/>
  </mergeCells>
  <conditionalFormatting sqref="L5">
    <cfRule type="cellIs" dxfId="86" priority="3" operator="equal">
      <formula>0</formula>
    </cfRule>
  </conditionalFormatting>
  <conditionalFormatting sqref="L6:M14">
    <cfRule type="cellIs" dxfId="85" priority="2" operator="equal">
      <formula>0</formula>
    </cfRule>
  </conditionalFormatting>
  <printOptions horizontalCentered="1"/>
  <pageMargins left="0.39370078740157483" right="0.39370078740157483" top="0.78740157480314965" bottom="0.78740157480314965" header="0.31496062992125984" footer="0.31496062992125984"/>
  <pageSetup paperSize="8" scale="87"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4" id="{2DA9CB37-9735-4762-A87F-2C5F5BFAF5EF}">
            <xm:f>Validation!$H$3=1</xm:f>
            <x14:dxf>
              <fill>
                <patternFill>
                  <bgColor rgb="FFE0DCD8"/>
                </patternFill>
              </fill>
            </x14:dxf>
          </x14:cfRule>
          <xm:sqref>I6:I13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68"/>
  <sheetViews>
    <sheetView showGridLines="0" zoomScaleNormal="100" workbookViewId="0">
      <selection activeCell="C28" sqref="C28"/>
    </sheetView>
  </sheetViews>
  <sheetFormatPr defaultColWidth="0" defaultRowHeight="14.25" zeroHeight="1" x14ac:dyDescent="0.2"/>
  <cols>
    <col min="1" max="1" width="1.625" customWidth="1"/>
    <col min="2" max="2" width="4.125" customWidth="1"/>
    <col min="3" max="3" width="45.5" bestFit="1" customWidth="1"/>
    <col min="4" max="5" width="5.125" customWidth="1"/>
    <col min="6" max="8" width="12.625" style="99" customWidth="1"/>
    <col min="9" max="9" width="2.625" style="99" customWidth="1"/>
    <col min="10" max="10" width="19.125" style="99" customWidth="1"/>
    <col min="11" max="11" width="1.625" style="95" customWidth="1"/>
    <col min="12" max="12" width="1.625" style="96" hidden="1" customWidth="1"/>
    <col min="13" max="14" width="8.625" style="95" hidden="1" customWidth="1"/>
    <col min="15" max="15" width="1.625" style="96" hidden="1" customWidth="1"/>
    <col min="16" max="16384" width="9" hidden="1"/>
  </cols>
  <sheetData>
    <row r="1" spans="2:15" s="95" customFormat="1" ht="20.25" x14ac:dyDescent="0.2">
      <c r="B1" s="91" t="s">
        <v>301</v>
      </c>
      <c r="C1" s="91"/>
      <c r="D1" s="91"/>
      <c r="E1" s="91"/>
      <c r="F1" s="91"/>
      <c r="G1" s="91"/>
      <c r="H1" s="93" t="str">
        <f>Validation!B3</f>
        <v>Yorkshire Water</v>
      </c>
      <c r="I1" s="91"/>
      <c r="J1" s="94" t="s">
        <v>62</v>
      </c>
      <c r="L1" s="96"/>
      <c r="O1" s="96"/>
    </row>
    <row r="2" spans="2:15" s="2" customFormat="1" ht="15.75" customHeight="1" thickBot="1" x14ac:dyDescent="0.25">
      <c r="B2" s="98" t="s">
        <v>48</v>
      </c>
      <c r="C2" s="379"/>
      <c r="D2" s="99"/>
      <c r="E2" s="99"/>
      <c r="F2" s="99"/>
      <c r="G2" s="99"/>
      <c r="H2" s="99"/>
      <c r="I2" s="99"/>
      <c r="J2" s="95"/>
      <c r="K2" s="95"/>
      <c r="L2" s="96"/>
      <c r="M2" s="95"/>
      <c r="N2" s="95"/>
      <c r="O2" s="96"/>
    </row>
    <row r="3" spans="2:15" s="516" customFormat="1" ht="14.45" customHeight="1" thickBot="1" x14ac:dyDescent="0.25">
      <c r="B3" s="771" t="s">
        <v>63</v>
      </c>
      <c r="C3" s="772"/>
      <c r="D3" s="503" t="s">
        <v>64</v>
      </c>
      <c r="E3" s="504" t="s">
        <v>65</v>
      </c>
      <c r="F3" s="302" t="s">
        <v>281</v>
      </c>
      <c r="G3" s="504" t="s">
        <v>282</v>
      </c>
      <c r="H3" s="505" t="s">
        <v>246</v>
      </c>
      <c r="I3" s="515"/>
      <c r="J3" s="216" t="s">
        <v>69</v>
      </c>
      <c r="K3" s="95"/>
      <c r="L3" s="96"/>
      <c r="M3" s="702" t="s">
        <v>73</v>
      </c>
      <c r="N3" s="702"/>
      <c r="O3" s="96"/>
    </row>
    <row r="4" spans="2:15" s="2" customFormat="1" ht="15" thickBot="1" x14ac:dyDescent="0.25">
      <c r="B4" s="99"/>
      <c r="C4" s="412"/>
      <c r="D4" s="99"/>
      <c r="E4" s="99"/>
      <c r="F4" s="99"/>
      <c r="G4" s="99"/>
      <c r="H4" s="99"/>
      <c r="I4" s="99"/>
      <c r="J4" s="99"/>
      <c r="K4" s="107"/>
      <c r="L4" s="96"/>
      <c r="M4" s="702"/>
      <c r="N4" s="702"/>
      <c r="O4" s="96"/>
    </row>
    <row r="5" spans="2:15" s="2" customFormat="1" ht="15" thickBot="1" x14ac:dyDescent="0.25">
      <c r="B5" s="366" t="s">
        <v>124</v>
      </c>
      <c r="C5" s="367" t="s">
        <v>302</v>
      </c>
      <c r="D5" s="99"/>
      <c r="E5" s="99"/>
      <c r="F5" s="99"/>
      <c r="G5" s="99"/>
      <c r="H5" s="99"/>
      <c r="I5" s="99"/>
      <c r="J5" s="99"/>
      <c r="K5" s="95"/>
      <c r="L5" s="96"/>
      <c r="M5" s="112" t="s">
        <v>74</v>
      </c>
      <c r="N5" s="95"/>
      <c r="O5" s="96"/>
    </row>
    <row r="6" spans="2:15" s="2" customFormat="1" x14ac:dyDescent="0.2">
      <c r="B6" s="342">
        <v>1</v>
      </c>
      <c r="C6" s="314" t="s">
        <v>303</v>
      </c>
      <c r="D6" s="368" t="s">
        <v>76</v>
      </c>
      <c r="E6" s="316">
        <v>3</v>
      </c>
      <c r="F6" s="647">
        <v>26.593999999999998</v>
      </c>
      <c r="G6" s="648">
        <v>30.550999999999998</v>
      </c>
      <c r="H6" s="517">
        <f xml:space="preserve"> F6 + G6</f>
        <v>57.144999999999996</v>
      </c>
      <c r="I6" s="99"/>
      <c r="J6" s="29">
        <f xml:space="preserve"> IF( SUM( L6:O6 ) = 0, 0, $M$5 )</f>
        <v>0</v>
      </c>
      <c r="K6" s="95"/>
      <c r="L6" s="96"/>
      <c r="M6" s="120">
        <f t="shared" ref="M6:M11" si="0" xml:space="preserve"> IF( ISNUMBER( F6 ), 0, 1 )</f>
        <v>0</v>
      </c>
      <c r="N6" s="120">
        <f>IF(Validation!$H$3=1,0,IF(ISNUMBER(G6),0,1))</f>
        <v>0</v>
      </c>
      <c r="O6" s="96"/>
    </row>
    <row r="7" spans="2:15" s="2" customFormat="1" x14ac:dyDescent="0.2">
      <c r="B7" s="343">
        <f t="shared" ref="B7:B12" si="1">+B6+1</f>
        <v>2</v>
      </c>
      <c r="C7" s="320" t="s">
        <v>304</v>
      </c>
      <c r="D7" s="371" t="s">
        <v>76</v>
      </c>
      <c r="E7" s="322">
        <v>3</v>
      </c>
      <c r="F7" s="649">
        <v>-0.47599999999999998</v>
      </c>
      <c r="G7" s="650">
        <v>-1.7350000000000001</v>
      </c>
      <c r="H7" s="190">
        <f t="shared" ref="H7:H11" si="2" xml:space="preserve"> F7 + G7</f>
        <v>-2.2110000000000003</v>
      </c>
      <c r="I7" s="99"/>
      <c r="J7" s="29">
        <f t="shared" ref="J7:J11" si="3" xml:space="preserve"> IF( SUM( L7:O7 ) = 0, 0, $M$5 )</f>
        <v>0</v>
      </c>
      <c r="K7" s="95"/>
      <c r="L7" s="96"/>
      <c r="M7" s="120">
        <f t="shared" si="0"/>
        <v>0</v>
      </c>
      <c r="N7" s="120">
        <f>IF(Validation!$H$3=1,0,IF(ISNUMBER(G7),0,1))</f>
        <v>0</v>
      </c>
      <c r="O7" s="96"/>
    </row>
    <row r="8" spans="2:15" s="2" customFormat="1" x14ac:dyDescent="0.2">
      <c r="B8" s="343">
        <f t="shared" si="1"/>
        <v>3</v>
      </c>
      <c r="C8" s="320" t="s">
        <v>305</v>
      </c>
      <c r="D8" s="371" t="s">
        <v>76</v>
      </c>
      <c r="E8" s="322">
        <v>3</v>
      </c>
      <c r="F8" s="649">
        <v>5.6630000000000003</v>
      </c>
      <c r="G8" s="650">
        <v>4.548</v>
      </c>
      <c r="H8" s="190">
        <f t="shared" si="2"/>
        <v>10.211</v>
      </c>
      <c r="I8" s="119"/>
      <c r="J8" s="29">
        <f t="shared" si="3"/>
        <v>0</v>
      </c>
      <c r="K8" s="95"/>
      <c r="L8" s="96"/>
      <c r="M8" s="120">
        <f t="shared" si="0"/>
        <v>0</v>
      </c>
      <c r="N8" s="120">
        <f>IF(Validation!$H$3=1,0,IF(ISNUMBER(G8),0,1))</f>
        <v>0</v>
      </c>
      <c r="O8" s="96"/>
    </row>
    <row r="9" spans="2:15" s="2" customFormat="1" ht="14.1" customHeight="1" x14ac:dyDescent="0.2">
      <c r="B9" s="343">
        <f t="shared" si="1"/>
        <v>4</v>
      </c>
      <c r="C9" s="320" t="s">
        <v>306</v>
      </c>
      <c r="D9" s="371" t="s">
        <v>76</v>
      </c>
      <c r="E9" s="322">
        <v>3</v>
      </c>
      <c r="F9" s="649">
        <v>3.851</v>
      </c>
      <c r="G9" s="650">
        <v>0</v>
      </c>
      <c r="H9" s="190">
        <f t="shared" si="2"/>
        <v>3.851</v>
      </c>
      <c r="I9" s="119"/>
      <c r="J9" s="29">
        <f t="shared" si="3"/>
        <v>0</v>
      </c>
      <c r="K9" s="95"/>
      <c r="L9" s="96"/>
      <c r="M9" s="120">
        <f t="shared" si="0"/>
        <v>0</v>
      </c>
      <c r="N9" s="120">
        <f>IF(Validation!$H$3=1,0,IF(ISNUMBER(G9),0,1))</f>
        <v>0</v>
      </c>
      <c r="O9" s="96"/>
    </row>
    <row r="10" spans="2:15" s="2" customFormat="1" x14ac:dyDescent="0.2">
      <c r="B10" s="343">
        <f t="shared" si="1"/>
        <v>5</v>
      </c>
      <c r="C10" s="320" t="s">
        <v>307</v>
      </c>
      <c r="D10" s="371" t="s">
        <v>76</v>
      </c>
      <c r="E10" s="322">
        <v>3</v>
      </c>
      <c r="F10" s="649">
        <v>96.65</v>
      </c>
      <c r="G10" s="650">
        <v>119.313</v>
      </c>
      <c r="H10" s="190">
        <f t="shared" si="2"/>
        <v>215.96300000000002</v>
      </c>
      <c r="I10" s="119"/>
      <c r="J10" s="29">
        <f t="shared" si="3"/>
        <v>0</v>
      </c>
      <c r="K10" s="95"/>
      <c r="L10" s="96"/>
      <c r="M10" s="120">
        <f t="shared" si="0"/>
        <v>0</v>
      </c>
      <c r="N10" s="120">
        <f>IF(Validation!$H$3=1,0,IF(ISNUMBER(G10),0,1))</f>
        <v>0</v>
      </c>
      <c r="O10" s="96"/>
    </row>
    <row r="11" spans="2:15" s="2" customFormat="1" x14ac:dyDescent="0.2">
      <c r="B11" s="343">
        <f t="shared" si="1"/>
        <v>6</v>
      </c>
      <c r="C11" s="320" t="s">
        <v>308</v>
      </c>
      <c r="D11" s="371" t="s">
        <v>76</v>
      </c>
      <c r="E11" s="322">
        <v>3</v>
      </c>
      <c r="F11" s="649">
        <v>38.652999999999999</v>
      </c>
      <c r="G11" s="650">
        <v>21.943000000000001</v>
      </c>
      <c r="H11" s="190">
        <f t="shared" si="2"/>
        <v>60.596000000000004</v>
      </c>
      <c r="I11" s="119"/>
      <c r="J11" s="29">
        <f t="shared" si="3"/>
        <v>0</v>
      </c>
      <c r="K11" s="95"/>
      <c r="L11" s="96"/>
      <c r="M11" s="120">
        <f t="shared" si="0"/>
        <v>0</v>
      </c>
      <c r="N11" s="120">
        <f>IF(Validation!$H$3=1,0,IF(ISNUMBER(G11),0,1))</f>
        <v>0</v>
      </c>
      <c r="O11" s="96"/>
    </row>
    <row r="12" spans="2:15" s="2" customFormat="1" ht="15" thickBot="1" x14ac:dyDescent="0.25">
      <c r="B12" s="344">
        <f t="shared" si="1"/>
        <v>7</v>
      </c>
      <c r="C12" s="334" t="s">
        <v>309</v>
      </c>
      <c r="D12" s="335" t="s">
        <v>76</v>
      </c>
      <c r="E12" s="336">
        <v>3</v>
      </c>
      <c r="F12" s="131">
        <f xml:space="preserve"> SUM( F6:F11 )</f>
        <v>170.935</v>
      </c>
      <c r="G12" s="133">
        <f t="shared" ref="G12:H12" si="4" xml:space="preserve"> SUM( G6:G11 )</f>
        <v>174.62</v>
      </c>
      <c r="H12" s="134">
        <f t="shared" si="4"/>
        <v>345.55500000000001</v>
      </c>
      <c r="I12" s="119"/>
      <c r="J12" s="136"/>
      <c r="K12" s="95"/>
      <c r="L12" s="96"/>
      <c r="M12" s="95"/>
      <c r="N12" s="95"/>
      <c r="O12" s="96"/>
    </row>
    <row r="13" spans="2:15" s="2" customFormat="1" ht="15" thickBot="1" x14ac:dyDescent="0.25">
      <c r="D13" s="7"/>
      <c r="E13" s="7"/>
      <c r="F13" s="518"/>
      <c r="G13" s="518"/>
      <c r="H13" s="518"/>
      <c r="J13" s="136"/>
      <c r="K13" s="95"/>
      <c r="L13" s="96"/>
      <c r="M13" s="95"/>
      <c r="N13" s="95"/>
      <c r="O13" s="96"/>
    </row>
    <row r="14" spans="2:15" s="2" customFormat="1" x14ac:dyDescent="0.2">
      <c r="B14" s="342">
        <v>8</v>
      </c>
      <c r="C14" s="34" t="s">
        <v>310</v>
      </c>
      <c r="D14" s="368" t="s">
        <v>76</v>
      </c>
      <c r="E14" s="316">
        <v>3</v>
      </c>
      <c r="F14" s="647">
        <v>1.6279999999999999</v>
      </c>
      <c r="G14" s="648">
        <v>2E-3</v>
      </c>
      <c r="H14" s="517">
        <f t="shared" ref="H14" si="5" xml:space="preserve"> F14 + G14</f>
        <v>1.63</v>
      </c>
      <c r="I14" s="119"/>
      <c r="J14" s="29">
        <f t="shared" ref="J14" si="6" xml:space="preserve"> IF( SUM( L14:O14 ) = 0, 0, $M$5 )</f>
        <v>0</v>
      </c>
      <c r="K14" s="95"/>
      <c r="L14" s="96"/>
      <c r="M14" s="120">
        <f xml:space="preserve"> IF( ISNUMBER( F14 ), 0, 1 )</f>
        <v>0</v>
      </c>
      <c r="N14" s="120">
        <f>IF(Validation!$H$3=1,0,IF(ISNUMBER(G14),0,1))</f>
        <v>0</v>
      </c>
      <c r="O14" s="96"/>
    </row>
    <row r="15" spans="2:15" s="2" customFormat="1" ht="15" thickBot="1" x14ac:dyDescent="0.25">
      <c r="B15" s="344">
        <f>+B14+1</f>
        <v>9</v>
      </c>
      <c r="C15" s="37" t="s">
        <v>311</v>
      </c>
      <c r="D15" s="335" t="s">
        <v>76</v>
      </c>
      <c r="E15" s="336">
        <v>3</v>
      </c>
      <c r="F15" s="131">
        <f xml:space="preserve"> F12 + F14</f>
        <v>172.56299999999999</v>
      </c>
      <c r="G15" s="133">
        <f t="shared" ref="G15:H15" si="7" xml:space="preserve"> G12 + G14</f>
        <v>174.62200000000001</v>
      </c>
      <c r="H15" s="134">
        <f t="shared" si="7"/>
        <v>347.185</v>
      </c>
      <c r="I15" s="119"/>
      <c r="J15" s="136"/>
      <c r="K15" s="95"/>
      <c r="L15" s="96"/>
      <c r="M15" s="95"/>
      <c r="N15" s="95"/>
      <c r="O15" s="96"/>
    </row>
    <row r="16" spans="2:15" s="2" customFormat="1" ht="15" thickBot="1" x14ac:dyDescent="0.25">
      <c r="D16" s="7"/>
      <c r="E16" s="7"/>
      <c r="F16" s="518"/>
      <c r="G16" s="518"/>
      <c r="H16" s="518"/>
      <c r="J16" s="231"/>
      <c r="K16" s="95"/>
      <c r="L16" s="96"/>
      <c r="M16" s="95"/>
      <c r="N16" s="95"/>
      <c r="O16" s="96"/>
    </row>
    <row r="17" spans="2:15" s="2" customFormat="1" ht="15" thickBot="1" x14ac:dyDescent="0.25">
      <c r="B17" s="366" t="s">
        <v>133</v>
      </c>
      <c r="C17" s="367" t="s">
        <v>312</v>
      </c>
      <c r="D17" s="7"/>
      <c r="E17" s="7"/>
      <c r="F17" s="518"/>
      <c r="G17" s="518"/>
      <c r="H17" s="518"/>
      <c r="J17" s="231"/>
      <c r="K17" s="95"/>
      <c r="L17" s="96"/>
      <c r="M17" s="95"/>
      <c r="N17" s="95"/>
      <c r="O17" s="96"/>
    </row>
    <row r="18" spans="2:15" s="2" customFormat="1" x14ac:dyDescent="0.2">
      <c r="B18" s="342">
        <v>10</v>
      </c>
      <c r="C18" s="314" t="s">
        <v>313</v>
      </c>
      <c r="D18" s="368" t="s">
        <v>76</v>
      </c>
      <c r="E18" s="316">
        <v>3</v>
      </c>
      <c r="F18" s="651">
        <v>36.322000000000003</v>
      </c>
      <c r="G18" s="652">
        <v>30.575999999999997</v>
      </c>
      <c r="H18" s="517">
        <f t="shared" ref="H18:H25" si="8" xml:space="preserve"> F18 + G18</f>
        <v>66.897999999999996</v>
      </c>
      <c r="I18" s="119"/>
      <c r="J18" s="29">
        <f t="shared" ref="J18:J25" si="9" xml:space="preserve"> IF( SUM( L18:O18 ) = 0, 0, $M$5 )</f>
        <v>0</v>
      </c>
      <c r="K18" s="95"/>
      <c r="L18" s="96"/>
      <c r="M18" s="120">
        <f t="shared" ref="M18:M21" si="10" xml:space="preserve"> IF( ISNUMBER( F18 ), 0, 1 )</f>
        <v>0</v>
      </c>
      <c r="N18" s="120">
        <f>IF(Validation!$H$3=1,0,IF(ISNUMBER(G18),0,1))</f>
        <v>0</v>
      </c>
      <c r="O18" s="96"/>
    </row>
    <row r="19" spans="2:15" s="2" customFormat="1" x14ac:dyDescent="0.2">
      <c r="B19" s="343">
        <f>B18+1</f>
        <v>11</v>
      </c>
      <c r="C19" s="320" t="s">
        <v>314</v>
      </c>
      <c r="D19" s="371" t="s">
        <v>76</v>
      </c>
      <c r="E19" s="322">
        <v>3</v>
      </c>
      <c r="F19" s="653">
        <v>43.468000000000004</v>
      </c>
      <c r="G19" s="654">
        <v>71.287000000000006</v>
      </c>
      <c r="H19" s="190">
        <f t="shared" si="8"/>
        <v>114.75500000000001</v>
      </c>
      <c r="I19" s="119"/>
      <c r="J19" s="29">
        <f t="shared" si="9"/>
        <v>0</v>
      </c>
      <c r="K19" s="95"/>
      <c r="L19" s="96"/>
      <c r="M19" s="120">
        <f t="shared" si="10"/>
        <v>0</v>
      </c>
      <c r="N19" s="120">
        <f>IF(Validation!$H$3=1,0,IF(ISNUMBER(G19),0,1))</f>
        <v>0</v>
      </c>
      <c r="O19" s="96"/>
    </row>
    <row r="20" spans="2:15" s="2" customFormat="1" x14ac:dyDescent="0.2">
      <c r="B20" s="343">
        <f t="shared" ref="B20:B26" si="11">B19+1</f>
        <v>12</v>
      </c>
      <c r="C20" s="519" t="s">
        <v>315</v>
      </c>
      <c r="D20" s="371" t="s">
        <v>76</v>
      </c>
      <c r="E20" s="322">
        <v>3</v>
      </c>
      <c r="F20" s="653">
        <v>18.573</v>
      </c>
      <c r="G20" s="654">
        <v>19.834</v>
      </c>
      <c r="H20" s="190">
        <f t="shared" si="8"/>
        <v>38.406999999999996</v>
      </c>
      <c r="I20" s="119"/>
      <c r="J20" s="29">
        <f t="shared" si="9"/>
        <v>0</v>
      </c>
      <c r="K20" s="95"/>
      <c r="L20" s="96"/>
      <c r="M20" s="120">
        <f t="shared" si="10"/>
        <v>0</v>
      </c>
      <c r="N20" s="120">
        <f>IF(Validation!$H$3=1,0,IF(ISNUMBER(G20),0,1))</f>
        <v>0</v>
      </c>
      <c r="O20" s="96"/>
    </row>
    <row r="21" spans="2:15" s="2" customFormat="1" x14ac:dyDescent="0.2">
      <c r="B21" s="343">
        <f t="shared" si="11"/>
        <v>13</v>
      </c>
      <c r="C21" s="519" t="s">
        <v>316</v>
      </c>
      <c r="D21" s="371" t="s">
        <v>76</v>
      </c>
      <c r="E21" s="322">
        <v>3</v>
      </c>
      <c r="F21" s="653">
        <v>15.702</v>
      </c>
      <c r="G21" s="654">
        <v>22.134999999999998</v>
      </c>
      <c r="H21" s="190">
        <f t="shared" si="8"/>
        <v>37.836999999999996</v>
      </c>
      <c r="I21" s="119"/>
      <c r="J21" s="29">
        <f t="shared" si="9"/>
        <v>0</v>
      </c>
      <c r="K21" s="95"/>
      <c r="L21" s="96"/>
      <c r="M21" s="120">
        <f t="shared" si="10"/>
        <v>0</v>
      </c>
      <c r="N21" s="120">
        <f>IF(Validation!$H$3=1,0,IF(ISNUMBER(G21),0,1))</f>
        <v>0</v>
      </c>
      <c r="O21" s="96"/>
    </row>
    <row r="22" spans="2:15" s="2" customFormat="1" x14ac:dyDescent="0.2">
      <c r="B22" s="343">
        <f t="shared" si="11"/>
        <v>14</v>
      </c>
      <c r="C22" s="320" t="s">
        <v>317</v>
      </c>
      <c r="D22" s="371" t="s">
        <v>76</v>
      </c>
      <c r="E22" s="322">
        <v>3</v>
      </c>
      <c r="F22" s="124">
        <f xml:space="preserve"> SUM( F18:F21 )</f>
        <v>114.065</v>
      </c>
      <c r="G22" s="327">
        <f t="shared" ref="G22:H22" si="12" xml:space="preserve"> SUM( G18:G21 )</f>
        <v>143.83199999999999</v>
      </c>
      <c r="H22" s="190">
        <f t="shared" si="12"/>
        <v>257.89699999999999</v>
      </c>
      <c r="I22" s="119"/>
      <c r="J22" s="231"/>
      <c r="K22" s="144"/>
      <c r="L22" s="96"/>
      <c r="M22" s="95"/>
      <c r="N22" s="95"/>
      <c r="O22" s="96"/>
    </row>
    <row r="23" spans="2:15" s="2" customFormat="1" x14ac:dyDescent="0.2">
      <c r="B23" s="343">
        <f t="shared" si="11"/>
        <v>15</v>
      </c>
      <c r="C23" s="320" t="s">
        <v>310</v>
      </c>
      <c r="D23" s="371" t="s">
        <v>76</v>
      </c>
      <c r="E23" s="322">
        <v>3</v>
      </c>
      <c r="F23" s="649">
        <v>0</v>
      </c>
      <c r="G23" s="650">
        <v>0</v>
      </c>
      <c r="H23" s="190">
        <f t="shared" si="8"/>
        <v>0</v>
      </c>
      <c r="I23" s="119"/>
      <c r="J23" s="29">
        <f t="shared" si="9"/>
        <v>0</v>
      </c>
      <c r="K23" s="150"/>
      <c r="L23" s="148"/>
      <c r="M23" s="120">
        <f xml:space="preserve"> IF( ISNUMBER( F23 ), 0, 1 )</f>
        <v>0</v>
      </c>
      <c r="N23" s="120">
        <f>IF(Validation!$H$3=1,0,IF(ISNUMBER(G23),0,1))</f>
        <v>0</v>
      </c>
      <c r="O23" s="148"/>
    </row>
    <row r="24" spans="2:15" s="2" customFormat="1" x14ac:dyDescent="0.2">
      <c r="B24" s="343">
        <f t="shared" si="11"/>
        <v>16</v>
      </c>
      <c r="C24" s="320" t="s">
        <v>318</v>
      </c>
      <c r="D24" s="371" t="s">
        <v>76</v>
      </c>
      <c r="E24" s="322">
        <v>3</v>
      </c>
      <c r="F24" s="124">
        <f xml:space="preserve"> F22 + F23</f>
        <v>114.065</v>
      </c>
      <c r="G24" s="327">
        <f t="shared" ref="G24:H24" si="13" xml:space="preserve"> G22 + G23</f>
        <v>143.83199999999999</v>
      </c>
      <c r="H24" s="190">
        <f t="shared" si="13"/>
        <v>257.89699999999999</v>
      </c>
      <c r="I24" s="119"/>
      <c r="J24" s="231"/>
      <c r="K24" s="150"/>
      <c r="L24" s="145"/>
      <c r="M24" s="150"/>
      <c r="N24" s="150"/>
      <c r="O24" s="145"/>
    </row>
    <row r="25" spans="2:15" s="2" customFormat="1" x14ac:dyDescent="0.2">
      <c r="B25" s="343">
        <f t="shared" si="11"/>
        <v>17</v>
      </c>
      <c r="C25" s="320" t="s">
        <v>319</v>
      </c>
      <c r="D25" s="371" t="s">
        <v>76</v>
      </c>
      <c r="E25" s="322">
        <v>3</v>
      </c>
      <c r="F25" s="124">
        <f xml:space="preserve"> SUM( '2E'!I7:I9 )</f>
        <v>14.341999999999999</v>
      </c>
      <c r="G25" s="327">
        <f xml:space="preserve"> SUM( '2E'!I15:I16)</f>
        <v>7.3220000000000001</v>
      </c>
      <c r="H25" s="190">
        <f t="shared" si="8"/>
        <v>21.663999999999998</v>
      </c>
      <c r="I25" s="119"/>
      <c r="J25" s="29">
        <f t="shared" si="9"/>
        <v>0</v>
      </c>
      <c r="K25" s="150"/>
      <c r="L25" s="145"/>
      <c r="M25" s="147"/>
      <c r="N25" s="147"/>
      <c r="O25" s="145"/>
    </row>
    <row r="26" spans="2:15" s="2" customFormat="1" ht="15" thickBot="1" x14ac:dyDescent="0.25">
      <c r="B26" s="344">
        <f t="shared" si="11"/>
        <v>18</v>
      </c>
      <c r="C26" s="334" t="s">
        <v>320</v>
      </c>
      <c r="D26" s="335" t="s">
        <v>76</v>
      </c>
      <c r="E26" s="336">
        <v>3</v>
      </c>
      <c r="F26" s="131">
        <f xml:space="preserve"> F15 + F24 - F25</f>
        <v>272.286</v>
      </c>
      <c r="G26" s="133">
        <f xml:space="preserve"> G15 + G24 - G25</f>
        <v>311.13200000000001</v>
      </c>
      <c r="H26" s="134">
        <f xml:space="preserve"> F26 + G26</f>
        <v>583.41800000000001</v>
      </c>
      <c r="I26" s="119"/>
      <c r="J26" s="136"/>
      <c r="K26" s="150"/>
      <c r="L26" s="145"/>
      <c r="M26" s="150"/>
      <c r="N26" s="150"/>
      <c r="O26" s="145"/>
    </row>
    <row r="27" spans="2:15" s="2" customFormat="1" ht="15" thickBot="1" x14ac:dyDescent="0.25">
      <c r="B27" s="520"/>
      <c r="D27" s="7"/>
      <c r="E27" s="7"/>
      <c r="F27" s="518"/>
      <c r="G27" s="518"/>
      <c r="H27" s="518"/>
      <c r="J27" s="151"/>
      <c r="K27" s="150"/>
      <c r="L27" s="145"/>
      <c r="M27" s="150"/>
      <c r="N27" s="150"/>
      <c r="O27" s="145"/>
    </row>
    <row r="28" spans="2:15" s="2" customFormat="1" ht="15" thickBot="1" x14ac:dyDescent="0.25">
      <c r="B28" s="366" t="s">
        <v>139</v>
      </c>
      <c r="C28" s="367" t="s">
        <v>321</v>
      </c>
      <c r="D28" s="7"/>
      <c r="E28" s="7"/>
      <c r="F28" s="518"/>
      <c r="G28" s="518"/>
      <c r="H28" s="518"/>
      <c r="J28" s="136"/>
      <c r="K28" s="150"/>
      <c r="L28" s="145"/>
      <c r="M28" s="150"/>
      <c r="N28" s="150"/>
      <c r="O28" s="145"/>
    </row>
    <row r="29" spans="2:15" s="2" customFormat="1" x14ac:dyDescent="0.2">
      <c r="B29" s="342">
        <f>B26+1</f>
        <v>19</v>
      </c>
      <c r="C29" s="314" t="s">
        <v>322</v>
      </c>
      <c r="D29" s="368" t="s">
        <v>76</v>
      </c>
      <c r="E29" s="316">
        <v>3</v>
      </c>
      <c r="F29" s="651">
        <v>7.5089999999999995</v>
      </c>
      <c r="G29" s="652">
        <v>9.7860000000000014</v>
      </c>
      <c r="H29" s="517">
        <f t="shared" ref="H29:H30" si="14" xml:space="preserve"> F29 + G29</f>
        <v>17.295000000000002</v>
      </c>
      <c r="I29" s="119"/>
      <c r="J29" s="29">
        <f t="shared" ref="J29:J30" si="15" xml:space="preserve"> IF( SUM( L29:O29 ) = 0, 0, $M$5 )</f>
        <v>0</v>
      </c>
      <c r="K29" s="150"/>
      <c r="L29" s="145"/>
      <c r="M29" s="120">
        <f xml:space="preserve"> IF( ISNUMBER( F29 ), 0, 1 )</f>
        <v>0</v>
      </c>
      <c r="N29" s="120">
        <f>IF(Validation!$H$3=1,0,IF(ISNUMBER(G29),0,1))</f>
        <v>0</v>
      </c>
      <c r="O29" s="145"/>
    </row>
    <row r="30" spans="2:15" s="2" customFormat="1" ht="15" thickBot="1" x14ac:dyDescent="0.25">
      <c r="B30" s="344">
        <f>+B29+1</f>
        <v>20</v>
      </c>
      <c r="C30" s="334" t="s">
        <v>323</v>
      </c>
      <c r="D30" s="335" t="s">
        <v>76</v>
      </c>
      <c r="E30" s="336">
        <v>3</v>
      </c>
      <c r="F30" s="655">
        <v>0</v>
      </c>
      <c r="G30" s="656">
        <v>0</v>
      </c>
      <c r="H30" s="134">
        <f t="shared" si="14"/>
        <v>0</v>
      </c>
      <c r="I30" s="119"/>
      <c r="J30" s="29">
        <f t="shared" si="15"/>
        <v>0</v>
      </c>
      <c r="K30" s="150"/>
      <c r="L30" s="145"/>
      <c r="M30" s="120">
        <f t="shared" ref="M30" si="16" xml:space="preserve"> IF( ISNUMBER( F30 ), 0, 1 )</f>
        <v>0</v>
      </c>
      <c r="N30" s="120">
        <f>IF(Validation!$H$3=1,0,IF(ISNUMBER(G30),0,1))</f>
        <v>0</v>
      </c>
      <c r="O30" s="145"/>
    </row>
    <row r="31" spans="2:15" s="2" customFormat="1" ht="15" thickBot="1" x14ac:dyDescent="0.25">
      <c r="B31" s="311"/>
      <c r="C31" s="177"/>
      <c r="D31" s="310"/>
      <c r="E31" s="310"/>
      <c r="F31" s="521"/>
      <c r="G31" s="521"/>
      <c r="H31" s="522"/>
      <c r="I31" s="119"/>
      <c r="J31" s="136"/>
      <c r="K31" s="150"/>
      <c r="L31" s="145"/>
      <c r="M31" s="150"/>
      <c r="N31" s="150"/>
      <c r="O31" s="145"/>
    </row>
    <row r="32" spans="2:15" s="2" customFormat="1" ht="15" thickBot="1" x14ac:dyDescent="0.25">
      <c r="B32" s="302" t="s">
        <v>148</v>
      </c>
      <c r="C32" s="32" t="s">
        <v>246</v>
      </c>
      <c r="D32" s="310"/>
      <c r="E32" s="310"/>
      <c r="F32" s="521"/>
      <c r="G32" s="521"/>
      <c r="H32" s="522"/>
      <c r="I32" s="119"/>
      <c r="J32" s="136"/>
      <c r="K32" s="144"/>
      <c r="L32" s="145"/>
      <c r="M32" s="146"/>
      <c r="N32" s="144"/>
      <c r="O32" s="145"/>
    </row>
    <row r="33" spans="1:15" s="2" customFormat="1" ht="15" thickBot="1" x14ac:dyDescent="0.25">
      <c r="B33" s="421">
        <f>+B30+1</f>
        <v>21</v>
      </c>
      <c r="C33" s="304" t="s">
        <v>324</v>
      </c>
      <c r="D33" s="422" t="s">
        <v>76</v>
      </c>
      <c r="E33" s="306">
        <v>3</v>
      </c>
      <c r="F33" s="158">
        <f xml:space="preserve"> F26 + SUM( F29:F30 )</f>
        <v>279.79500000000002</v>
      </c>
      <c r="G33" s="160">
        <f t="shared" ref="G33:H33" si="17" xml:space="preserve"> G26 + SUM( G29:G30 )</f>
        <v>320.91800000000001</v>
      </c>
      <c r="H33" s="161">
        <f t="shared" si="17"/>
        <v>600.71299999999997</v>
      </c>
      <c r="I33" s="119"/>
      <c r="J33" s="136"/>
      <c r="K33" s="144"/>
      <c r="L33" s="148"/>
      <c r="M33" s="146"/>
      <c r="N33" s="144"/>
      <c r="O33" s="148"/>
    </row>
    <row r="34" spans="1:15" s="137" customFormat="1" x14ac:dyDescent="0.2">
      <c r="C34" s="174"/>
      <c r="G34" s="187"/>
      <c r="I34" s="144"/>
      <c r="J34" s="146"/>
      <c r="K34" s="144"/>
      <c r="L34" s="148"/>
      <c r="M34" s="153"/>
      <c r="N34" s="144"/>
      <c r="O34" s="148"/>
    </row>
    <row r="35" spans="1:15" s="187" customFormat="1" x14ac:dyDescent="0.2">
      <c r="B35" s="703" t="s">
        <v>90</v>
      </c>
      <c r="C35" s="703"/>
      <c r="I35" s="150"/>
      <c r="J35" s="146"/>
      <c r="K35" s="144"/>
      <c r="L35" s="148"/>
      <c r="M35" s="146"/>
      <c r="N35" s="144"/>
      <c r="O35" s="148"/>
    </row>
    <row r="36" spans="1:15" s="187" customFormat="1" x14ac:dyDescent="0.2">
      <c r="B36" s="162"/>
      <c r="C36" s="163"/>
      <c r="I36" s="150"/>
      <c r="J36" s="146"/>
      <c r="K36" s="137"/>
      <c r="L36" s="148"/>
      <c r="M36" s="137"/>
      <c r="N36" s="137"/>
      <c r="O36" s="148"/>
    </row>
    <row r="37" spans="1:15" s="187" customFormat="1" x14ac:dyDescent="0.2">
      <c r="B37" s="30"/>
      <c r="C37" s="164" t="s">
        <v>91</v>
      </c>
      <c r="I37" s="150"/>
      <c r="J37" s="99"/>
      <c r="K37" s="137"/>
      <c r="L37" s="148"/>
      <c r="M37" s="137"/>
      <c r="N37" s="137"/>
      <c r="O37" s="148"/>
    </row>
    <row r="38" spans="1:15" s="187" customFormat="1" x14ac:dyDescent="0.2">
      <c r="B38" s="162"/>
      <c r="C38" s="163"/>
      <c r="I38" s="150"/>
      <c r="J38" s="99"/>
      <c r="K38" s="146"/>
      <c r="L38" s="148"/>
      <c r="M38" s="146"/>
      <c r="N38" s="146"/>
      <c r="O38" s="148"/>
    </row>
    <row r="39" spans="1:15" s="187" customFormat="1" x14ac:dyDescent="0.2">
      <c r="B39" s="165"/>
      <c r="C39" s="164" t="s">
        <v>92</v>
      </c>
      <c r="I39" s="150"/>
      <c r="J39" s="99"/>
      <c r="K39" s="146"/>
      <c r="L39" s="148"/>
      <c r="M39" s="146"/>
      <c r="N39" s="146"/>
      <c r="O39" s="148"/>
    </row>
    <row r="40" spans="1:15" s="187" customFormat="1" x14ac:dyDescent="0.2">
      <c r="B40" s="166"/>
      <c r="C40" s="164"/>
      <c r="I40" s="150"/>
      <c r="J40" s="99"/>
      <c r="K40" s="146"/>
      <c r="L40" s="148"/>
      <c r="M40" s="146"/>
      <c r="N40" s="146"/>
      <c r="O40" s="148"/>
    </row>
    <row r="41" spans="1:15" s="187" customFormat="1" x14ac:dyDescent="0.2">
      <c r="B41" s="167"/>
      <c r="C41" s="164" t="s">
        <v>93</v>
      </c>
      <c r="I41" s="150"/>
      <c r="J41" s="99"/>
      <c r="K41" s="95"/>
      <c r="L41" s="148"/>
      <c r="M41" s="95"/>
      <c r="N41" s="95"/>
      <c r="O41" s="148"/>
    </row>
    <row r="42" spans="1:15" s="206" customFormat="1" x14ac:dyDescent="0.2">
      <c r="A42" s="172"/>
      <c r="B42" s="172"/>
      <c r="C42" s="173"/>
      <c r="I42" s="153"/>
      <c r="J42" s="99"/>
      <c r="K42" s="95"/>
      <c r="L42" s="96"/>
      <c r="M42" s="95"/>
      <c r="N42" s="95"/>
      <c r="O42" s="96"/>
    </row>
    <row r="43" spans="1:15" s="206" customFormat="1" ht="15" thickBot="1" x14ac:dyDescent="0.25">
      <c r="C43" s="207"/>
      <c r="I43" s="153"/>
      <c r="J43" s="99"/>
      <c r="K43" s="95"/>
      <c r="L43" s="96"/>
      <c r="M43" s="95"/>
      <c r="N43" s="95"/>
      <c r="O43" s="96"/>
    </row>
    <row r="44" spans="1:15" s="137" customFormat="1" ht="16.5" thickBot="1" x14ac:dyDescent="0.25">
      <c r="B44" s="168" t="str">
        <f ca="1" xml:space="preserve"> RIGHT(CELL("filename", $A$1), LEN(CELL("filename", $A$1)) - SEARCH("]", CELL("filename", $A$1)))&amp;" - Line definitions"</f>
        <v>2B - Line definitions</v>
      </c>
      <c r="C44" s="169"/>
      <c r="D44" s="170"/>
      <c r="E44" s="170"/>
      <c r="F44" s="170"/>
      <c r="G44" s="170"/>
      <c r="H44" s="288"/>
      <c r="I44" s="153"/>
      <c r="J44" s="99"/>
      <c r="K44" s="95"/>
      <c r="L44" s="96"/>
      <c r="M44" s="95"/>
      <c r="N44" s="95"/>
      <c r="O44" s="96"/>
    </row>
    <row r="45" spans="1:15" s="137" customFormat="1" ht="15" thickBot="1" x14ac:dyDescent="0.25">
      <c r="B45" s="99"/>
      <c r="C45" s="177"/>
      <c r="D45" s="99"/>
      <c r="E45" s="99"/>
      <c r="F45" s="99"/>
      <c r="I45" s="153"/>
      <c r="J45" s="99"/>
      <c r="K45" s="95"/>
      <c r="L45" s="96"/>
      <c r="N45" s="95"/>
      <c r="O45" s="96"/>
    </row>
    <row r="46" spans="1:15" s="206" customFormat="1" ht="15" thickBot="1" x14ac:dyDescent="0.25">
      <c r="B46" s="490" t="s">
        <v>94</v>
      </c>
      <c r="C46" s="491" t="s">
        <v>95</v>
      </c>
      <c r="D46" s="492"/>
      <c r="E46" s="492"/>
      <c r="F46" s="492"/>
      <c r="G46" s="492"/>
      <c r="H46" s="523"/>
      <c r="I46" s="2"/>
      <c r="J46" s="99"/>
      <c r="K46" s="95"/>
      <c r="L46" s="96"/>
      <c r="M46" s="112" t="s">
        <v>96</v>
      </c>
      <c r="N46" s="95"/>
      <c r="O46" s="96"/>
    </row>
    <row r="47" spans="1:15" s="137" customFormat="1" x14ac:dyDescent="0.2">
      <c r="B47" s="209">
        <v>1</v>
      </c>
      <c r="C47" s="773" t="s">
        <v>325</v>
      </c>
      <c r="D47" s="774"/>
      <c r="E47" s="774"/>
      <c r="F47" s="774"/>
      <c r="G47" s="774"/>
      <c r="H47" s="775"/>
      <c r="I47" s="2"/>
      <c r="J47" s="99"/>
      <c r="K47" s="95"/>
      <c r="L47" s="96"/>
      <c r="M47" s="183">
        <v>1</v>
      </c>
      <c r="N47" s="95"/>
      <c r="O47" s="96"/>
    </row>
    <row r="48" spans="1:15" s="137" customFormat="1" x14ac:dyDescent="0.2">
      <c r="B48" s="184">
        <v>2</v>
      </c>
      <c r="C48" s="768" t="s">
        <v>326</v>
      </c>
      <c r="D48" s="769"/>
      <c r="E48" s="769"/>
      <c r="F48" s="769"/>
      <c r="G48" s="769"/>
      <c r="H48" s="770"/>
      <c r="I48" s="2"/>
      <c r="J48" s="99"/>
      <c r="K48" s="95"/>
      <c r="L48" s="96"/>
      <c r="M48" s="183">
        <v>1</v>
      </c>
      <c r="N48" s="95"/>
      <c r="O48" s="96"/>
    </row>
    <row r="49" spans="2:15" s="137" customFormat="1" x14ac:dyDescent="0.2">
      <c r="B49" s="184">
        <v>3</v>
      </c>
      <c r="C49" s="768" t="s">
        <v>327</v>
      </c>
      <c r="D49" s="769"/>
      <c r="E49" s="769"/>
      <c r="F49" s="769"/>
      <c r="G49" s="769"/>
      <c r="H49" s="770"/>
      <c r="I49" s="2"/>
      <c r="J49" s="99"/>
      <c r="K49" s="95"/>
      <c r="L49" s="96"/>
      <c r="M49" s="183">
        <v>1</v>
      </c>
      <c r="N49" s="95"/>
      <c r="O49" s="96"/>
    </row>
    <row r="50" spans="2:15" s="137" customFormat="1" ht="25.5" x14ac:dyDescent="0.2">
      <c r="B50" s="184">
        <v>4</v>
      </c>
      <c r="C50" s="768" t="s">
        <v>328</v>
      </c>
      <c r="D50" s="769"/>
      <c r="E50" s="769"/>
      <c r="F50" s="769"/>
      <c r="G50" s="769"/>
      <c r="H50" s="770"/>
      <c r="I50" s="2"/>
      <c r="J50" s="99"/>
      <c r="K50" s="95"/>
      <c r="L50" s="96"/>
      <c r="M50" s="186" t="s">
        <v>101</v>
      </c>
      <c r="N50" s="95"/>
      <c r="O50" s="96"/>
    </row>
    <row r="51" spans="2:15" s="137" customFormat="1" x14ac:dyDescent="0.2">
      <c r="B51" s="184">
        <v>5</v>
      </c>
      <c r="C51" s="768" t="s">
        <v>329</v>
      </c>
      <c r="D51" s="769"/>
      <c r="E51" s="769"/>
      <c r="F51" s="769"/>
      <c r="G51" s="769"/>
      <c r="H51" s="770"/>
      <c r="I51" s="2"/>
      <c r="J51" s="99"/>
      <c r="K51" s="95"/>
      <c r="L51" s="96"/>
      <c r="M51" s="183">
        <v>1</v>
      </c>
      <c r="N51" s="95"/>
      <c r="O51" s="96"/>
    </row>
    <row r="52" spans="2:15" s="137" customFormat="1" ht="25.5" x14ac:dyDescent="0.2">
      <c r="B52" s="184">
        <v>6</v>
      </c>
      <c r="C52" s="768" t="s">
        <v>330</v>
      </c>
      <c r="D52" s="769"/>
      <c r="E52" s="769"/>
      <c r="F52" s="769"/>
      <c r="G52" s="769"/>
      <c r="H52" s="770"/>
      <c r="I52" s="2"/>
      <c r="J52" s="99"/>
      <c r="K52" s="95"/>
      <c r="L52" s="96"/>
      <c r="M52" s="186" t="s">
        <v>101</v>
      </c>
      <c r="N52" s="95"/>
      <c r="O52" s="96"/>
    </row>
    <row r="53" spans="2:15" s="137" customFormat="1" x14ac:dyDescent="0.2">
      <c r="B53" s="184">
        <v>7</v>
      </c>
      <c r="C53" s="768" t="s">
        <v>331</v>
      </c>
      <c r="D53" s="769"/>
      <c r="E53" s="769"/>
      <c r="F53" s="769"/>
      <c r="G53" s="769"/>
      <c r="H53" s="770"/>
      <c r="I53" s="2"/>
      <c r="J53" s="99"/>
      <c r="K53" s="95"/>
      <c r="L53" s="96"/>
      <c r="M53" s="183">
        <v>1</v>
      </c>
      <c r="N53" s="95"/>
      <c r="O53" s="96"/>
    </row>
    <row r="54" spans="2:15" s="137" customFormat="1" ht="25.5" x14ac:dyDescent="0.2">
      <c r="B54" s="184">
        <v>8</v>
      </c>
      <c r="C54" s="768" t="s">
        <v>332</v>
      </c>
      <c r="D54" s="769"/>
      <c r="E54" s="769"/>
      <c r="F54" s="769"/>
      <c r="G54" s="769"/>
      <c r="H54" s="770"/>
      <c r="I54" s="2"/>
      <c r="J54" s="99"/>
      <c r="K54" s="95"/>
      <c r="L54" s="96"/>
      <c r="M54" s="186" t="s">
        <v>101</v>
      </c>
      <c r="N54" s="95"/>
      <c r="O54" s="96"/>
    </row>
    <row r="55" spans="2:15" s="137" customFormat="1" ht="25.5" x14ac:dyDescent="0.2">
      <c r="B55" s="184">
        <v>9</v>
      </c>
      <c r="C55" s="768" t="s">
        <v>333</v>
      </c>
      <c r="D55" s="769"/>
      <c r="E55" s="769"/>
      <c r="F55" s="769"/>
      <c r="G55" s="769"/>
      <c r="H55" s="770"/>
      <c r="I55" s="2"/>
      <c r="J55" s="99"/>
      <c r="K55" s="95"/>
      <c r="L55" s="96"/>
      <c r="M55" s="186" t="s">
        <v>101</v>
      </c>
      <c r="N55" s="95"/>
      <c r="O55" s="96"/>
    </row>
    <row r="56" spans="2:15" s="137" customFormat="1" ht="25.5" x14ac:dyDescent="0.2">
      <c r="B56" s="184">
        <v>10</v>
      </c>
      <c r="C56" s="768" t="s">
        <v>334</v>
      </c>
      <c r="D56" s="769"/>
      <c r="E56" s="769"/>
      <c r="F56" s="769"/>
      <c r="G56" s="769"/>
      <c r="H56" s="770"/>
      <c r="I56" s="2"/>
      <c r="J56" s="99"/>
      <c r="K56" s="95"/>
      <c r="L56" s="96"/>
      <c r="M56" s="186" t="s">
        <v>101</v>
      </c>
      <c r="N56" s="95"/>
      <c r="O56" s="96"/>
    </row>
    <row r="57" spans="2:15" s="137" customFormat="1" ht="25.5" x14ac:dyDescent="0.2">
      <c r="B57" s="184">
        <v>11</v>
      </c>
      <c r="C57" s="768" t="s">
        <v>335</v>
      </c>
      <c r="D57" s="769"/>
      <c r="E57" s="769"/>
      <c r="F57" s="769"/>
      <c r="G57" s="769"/>
      <c r="H57" s="770"/>
      <c r="I57" s="2"/>
      <c r="J57" s="99"/>
      <c r="K57" s="95"/>
      <c r="L57" s="96"/>
      <c r="M57" s="186" t="s">
        <v>101</v>
      </c>
      <c r="N57" s="95"/>
      <c r="O57" s="96"/>
    </row>
    <row r="58" spans="2:15" s="137" customFormat="1" x14ac:dyDescent="0.2">
      <c r="B58" s="184">
        <v>12</v>
      </c>
      <c r="C58" s="768" t="s">
        <v>336</v>
      </c>
      <c r="D58" s="769"/>
      <c r="E58" s="769"/>
      <c r="F58" s="769"/>
      <c r="G58" s="769"/>
      <c r="H58" s="770"/>
      <c r="I58" s="2"/>
      <c r="J58" s="99"/>
      <c r="K58" s="95"/>
      <c r="L58" s="96"/>
      <c r="M58" s="183">
        <v>1</v>
      </c>
      <c r="N58" s="95"/>
      <c r="O58" s="96"/>
    </row>
    <row r="59" spans="2:15" s="137" customFormat="1" x14ac:dyDescent="0.2">
      <c r="B59" s="184">
        <v>13</v>
      </c>
      <c r="C59" s="768" t="s">
        <v>337</v>
      </c>
      <c r="D59" s="769"/>
      <c r="E59" s="769"/>
      <c r="F59" s="769"/>
      <c r="G59" s="769"/>
      <c r="H59" s="770"/>
      <c r="I59" s="2"/>
      <c r="J59" s="99"/>
      <c r="K59" s="95"/>
      <c r="L59" s="96"/>
      <c r="M59" s="183">
        <v>1</v>
      </c>
      <c r="N59" s="95"/>
      <c r="O59" s="96"/>
    </row>
    <row r="60" spans="2:15" s="137" customFormat="1" x14ac:dyDescent="0.2">
      <c r="B60" s="184">
        <v>14</v>
      </c>
      <c r="C60" s="768" t="s">
        <v>338</v>
      </c>
      <c r="D60" s="769"/>
      <c r="E60" s="769"/>
      <c r="F60" s="769"/>
      <c r="G60" s="769"/>
      <c r="H60" s="770"/>
      <c r="I60" s="2"/>
      <c r="J60" s="99"/>
      <c r="K60" s="95"/>
      <c r="L60" s="96"/>
      <c r="M60" s="183">
        <v>1</v>
      </c>
      <c r="N60" s="95"/>
      <c r="O60" s="96"/>
    </row>
    <row r="61" spans="2:15" s="137" customFormat="1" ht="25.5" x14ac:dyDescent="0.2">
      <c r="B61" s="184">
        <v>15</v>
      </c>
      <c r="C61" s="768" t="s">
        <v>339</v>
      </c>
      <c r="D61" s="769"/>
      <c r="E61" s="769"/>
      <c r="F61" s="769"/>
      <c r="G61" s="769"/>
      <c r="H61" s="770"/>
      <c r="I61" s="2"/>
      <c r="J61" s="99"/>
      <c r="K61" s="95"/>
      <c r="L61" s="96"/>
      <c r="M61" s="186" t="s">
        <v>101</v>
      </c>
      <c r="N61" s="95"/>
      <c r="O61" s="96"/>
    </row>
    <row r="62" spans="2:15" s="137" customFormat="1" x14ac:dyDescent="0.2">
      <c r="B62" s="184">
        <v>16</v>
      </c>
      <c r="C62" s="768" t="s">
        <v>340</v>
      </c>
      <c r="D62" s="769"/>
      <c r="E62" s="769"/>
      <c r="F62" s="769"/>
      <c r="G62" s="769"/>
      <c r="H62" s="770"/>
      <c r="I62" s="2"/>
      <c r="J62" s="99"/>
      <c r="K62" s="95"/>
      <c r="L62" s="96"/>
      <c r="M62" s="183">
        <v>1</v>
      </c>
      <c r="N62" s="95"/>
      <c r="O62" s="96"/>
    </row>
    <row r="63" spans="2:15" s="137" customFormat="1" ht="25.5" x14ac:dyDescent="0.2">
      <c r="B63" s="184">
        <v>17</v>
      </c>
      <c r="C63" s="768" t="s">
        <v>341</v>
      </c>
      <c r="D63" s="769"/>
      <c r="E63" s="769"/>
      <c r="F63" s="769"/>
      <c r="G63" s="769"/>
      <c r="H63" s="770"/>
      <c r="I63" s="2"/>
      <c r="J63" s="99"/>
      <c r="K63" s="95"/>
      <c r="L63" s="96"/>
      <c r="M63" s="186" t="s">
        <v>101</v>
      </c>
      <c r="N63" s="95"/>
      <c r="O63" s="96"/>
    </row>
    <row r="64" spans="2:15" s="137" customFormat="1" x14ac:dyDescent="0.2">
      <c r="B64" s="184">
        <v>18</v>
      </c>
      <c r="C64" s="768" t="s">
        <v>342</v>
      </c>
      <c r="D64" s="769"/>
      <c r="E64" s="769"/>
      <c r="F64" s="769"/>
      <c r="G64" s="769"/>
      <c r="H64" s="770"/>
      <c r="I64" s="2"/>
      <c r="J64" s="99"/>
      <c r="K64" s="95"/>
      <c r="L64" s="96"/>
      <c r="M64" s="183">
        <v>1</v>
      </c>
      <c r="N64" s="95"/>
      <c r="O64" s="96"/>
    </row>
    <row r="65" spans="2:15" s="137" customFormat="1" x14ac:dyDescent="0.2">
      <c r="B65" s="184">
        <v>19</v>
      </c>
      <c r="C65" s="768" t="s">
        <v>343</v>
      </c>
      <c r="D65" s="769"/>
      <c r="E65" s="769"/>
      <c r="F65" s="769"/>
      <c r="G65" s="769"/>
      <c r="H65" s="770"/>
      <c r="I65" s="2"/>
      <c r="J65" s="99"/>
      <c r="K65" s="95"/>
      <c r="L65" s="96"/>
      <c r="M65" s="183">
        <v>1</v>
      </c>
      <c r="N65" s="95"/>
      <c r="O65" s="96"/>
    </row>
    <row r="66" spans="2:15" s="137" customFormat="1" x14ac:dyDescent="0.2">
      <c r="B66" s="184">
        <v>20</v>
      </c>
      <c r="C66" s="768" t="s">
        <v>344</v>
      </c>
      <c r="D66" s="769"/>
      <c r="E66" s="769"/>
      <c r="F66" s="769"/>
      <c r="G66" s="769"/>
      <c r="H66" s="770"/>
      <c r="I66" s="2"/>
      <c r="J66" s="99"/>
      <c r="K66" s="95"/>
      <c r="L66" s="96"/>
      <c r="M66" s="183">
        <v>1</v>
      </c>
      <c r="N66" s="95"/>
      <c r="O66" s="96"/>
    </row>
    <row r="67" spans="2:15" s="137" customFormat="1" ht="15" thickBot="1" x14ac:dyDescent="0.25">
      <c r="B67" s="211">
        <v>21</v>
      </c>
      <c r="C67" s="765" t="s">
        <v>345</v>
      </c>
      <c r="D67" s="766"/>
      <c r="E67" s="766"/>
      <c r="F67" s="766"/>
      <c r="G67" s="766"/>
      <c r="H67" s="767"/>
      <c r="I67" s="2"/>
      <c r="J67" s="99"/>
      <c r="K67" s="95"/>
      <c r="L67" s="96"/>
      <c r="M67" s="183">
        <v>1</v>
      </c>
      <c r="N67" s="95"/>
      <c r="O67" s="96"/>
    </row>
    <row r="68" spans="2:15" s="2" customFormat="1" x14ac:dyDescent="0.2">
      <c r="J68" s="99"/>
      <c r="K68" s="95"/>
      <c r="L68" s="96"/>
      <c r="M68" s="95"/>
      <c r="N68" s="95"/>
      <c r="O68" s="96"/>
    </row>
  </sheetData>
  <sheetProtection algorithmName="SHA-512" hashValue="78J3nipxYfk4x+EHT8Qp2JVGe7/VG0C9CRrG5jI49YawH0JZSKWQ5WaNHmD3kdN5sCKrc/fsvmECEUNOgb7s5A==" saltValue="Tmi0GlyLghC9jPptFdzTvQ==" spinCount="100000" sheet="1" objects="1" scenarios="1"/>
  <mergeCells count="24">
    <mergeCell ref="C55:H55"/>
    <mergeCell ref="B3:C3"/>
    <mergeCell ref="M3:N4"/>
    <mergeCell ref="B35:C35"/>
    <mergeCell ref="C47:H47"/>
    <mergeCell ref="C48:H48"/>
    <mergeCell ref="C49:H49"/>
    <mergeCell ref="C50:H50"/>
    <mergeCell ref="C51:H51"/>
    <mergeCell ref="C52:H52"/>
    <mergeCell ref="C53:H53"/>
    <mergeCell ref="C54:H54"/>
    <mergeCell ref="C67:H67"/>
    <mergeCell ref="C56:H56"/>
    <mergeCell ref="C57:H57"/>
    <mergeCell ref="C58:H58"/>
    <mergeCell ref="C59:H59"/>
    <mergeCell ref="C60:H60"/>
    <mergeCell ref="C61:H61"/>
    <mergeCell ref="C62:H62"/>
    <mergeCell ref="C63:H63"/>
    <mergeCell ref="C64:H64"/>
    <mergeCell ref="C65:H65"/>
    <mergeCell ref="C66:H66"/>
  </mergeCells>
  <conditionalFormatting sqref="J6:J14">
    <cfRule type="cellIs" dxfId="83" priority="6" operator="equal">
      <formula>0</formula>
    </cfRule>
  </conditionalFormatting>
  <conditionalFormatting sqref="J18:J21">
    <cfRule type="cellIs" dxfId="82" priority="5" operator="equal">
      <formula>0</formula>
    </cfRule>
  </conditionalFormatting>
  <conditionalFormatting sqref="J23">
    <cfRule type="cellIs" dxfId="81" priority="4" operator="equal">
      <formula>0</formula>
    </cfRule>
  </conditionalFormatting>
  <conditionalFormatting sqref="J25">
    <cfRule type="cellIs" dxfId="80" priority="3" operator="equal">
      <formula>0</formula>
    </cfRule>
  </conditionalFormatting>
  <conditionalFormatting sqref="J29:J30">
    <cfRule type="cellIs" dxfId="79" priority="2" operator="equal">
      <formula>0</formula>
    </cfRule>
  </conditionalFormatting>
  <printOptions horizontalCentered="1"/>
  <pageMargins left="0.39370078740157483" right="0.39370078740157483" top="0.78740157480314965" bottom="0.78740157480314965" header="0.31496062992125984" footer="0.31496062992125984"/>
  <pageSetup paperSize="8"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5" id="{12652496-AA06-4D42-9C79-16D396A94CAC}">
            <xm:f>Validation!$H$3=1</xm:f>
            <x14:dxf>
              <fill>
                <patternFill>
                  <bgColor rgb="FFE0DCD8"/>
                </patternFill>
              </fill>
            </x14:dxf>
          </x14:cfRule>
          <xm:sqref>G6:G12 G14:G15 G18:G26 G29:G30 G33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47"/>
  <sheetViews>
    <sheetView showGridLines="0" zoomScaleNormal="100" workbookViewId="0">
      <selection activeCell="D42" sqref="D42:H42"/>
    </sheetView>
  </sheetViews>
  <sheetFormatPr defaultColWidth="0" defaultRowHeight="14.25" zeroHeight="1" x14ac:dyDescent="0.2"/>
  <cols>
    <col min="1" max="1" width="2.375" style="99" customWidth="1"/>
    <col min="2" max="2" width="4.125" style="99" customWidth="1"/>
    <col min="3" max="3" width="47.375" style="99" customWidth="1"/>
    <col min="4" max="5" width="5.125" style="99" customWidth="1"/>
    <col min="6" max="8" width="13.625" style="99" customWidth="1"/>
    <col min="9" max="9" width="2.625" style="95" customWidth="1"/>
    <col min="10" max="10" width="18.875" style="95" bestFit="1" customWidth="1"/>
    <col min="11" max="11" width="1.625" style="95" customWidth="1"/>
    <col min="12" max="12" width="1.625" style="96" hidden="1" customWidth="1"/>
    <col min="13" max="14" width="8.625" style="95" hidden="1" customWidth="1"/>
    <col min="15" max="15" width="1.625" style="96" hidden="1" customWidth="1"/>
    <col min="16" max="16384" width="8" style="99" hidden="1"/>
  </cols>
  <sheetData>
    <row r="1" spans="2:15" s="95" customFormat="1" ht="20.25" x14ac:dyDescent="0.2">
      <c r="B1" s="91" t="s">
        <v>346</v>
      </c>
      <c r="C1" s="91"/>
      <c r="D1" s="91"/>
      <c r="E1" s="91"/>
      <c r="F1" s="92"/>
      <c r="G1" s="91"/>
      <c r="H1" s="93" t="str">
        <f>Validation!B3</f>
        <v>Yorkshire Water</v>
      </c>
      <c r="I1" s="91"/>
      <c r="J1" s="94" t="s">
        <v>62</v>
      </c>
      <c r="L1" s="96"/>
      <c r="O1" s="96"/>
    </row>
    <row r="2" spans="2:15" ht="19.5" thickBot="1" x14ac:dyDescent="0.25">
      <c r="B2" s="98" t="s">
        <v>48</v>
      </c>
      <c r="C2" s="379"/>
    </row>
    <row r="3" spans="2:15" ht="15" customHeight="1" thickBot="1" x14ac:dyDescent="0.25">
      <c r="B3" s="771" t="s">
        <v>63</v>
      </c>
      <c r="C3" s="772"/>
      <c r="D3" s="503" t="s">
        <v>64</v>
      </c>
      <c r="E3" s="504" t="s">
        <v>65</v>
      </c>
      <c r="F3" s="362" t="s">
        <v>279</v>
      </c>
      <c r="G3" s="363" t="s">
        <v>347</v>
      </c>
      <c r="H3" s="505" t="s">
        <v>246</v>
      </c>
      <c r="I3" s="497"/>
      <c r="J3" s="216" t="s">
        <v>69</v>
      </c>
      <c r="M3" s="702" t="s">
        <v>73</v>
      </c>
      <c r="N3" s="702"/>
    </row>
    <row r="4" spans="2:15" ht="15" thickBot="1" x14ac:dyDescent="0.25">
      <c r="C4" s="412"/>
      <c r="I4" s="99"/>
      <c r="J4" s="99"/>
      <c r="K4" s="107"/>
      <c r="M4" s="702"/>
      <c r="N4" s="702"/>
    </row>
    <row r="5" spans="2:15" ht="14.45" customHeight="1" thickBot="1" x14ac:dyDescent="0.25">
      <c r="B5" s="771" t="s">
        <v>302</v>
      </c>
      <c r="C5" s="780"/>
      <c r="M5" s="112" t="s">
        <v>74</v>
      </c>
    </row>
    <row r="6" spans="2:15" ht="14.1" customHeight="1" x14ac:dyDescent="0.2">
      <c r="B6" s="342">
        <v>1</v>
      </c>
      <c r="C6" s="314" t="s">
        <v>348</v>
      </c>
      <c r="D6" s="368" t="s">
        <v>76</v>
      </c>
      <c r="E6" s="316">
        <v>3</v>
      </c>
      <c r="F6" s="641">
        <v>16.964290609027625</v>
      </c>
      <c r="G6" s="642">
        <v>2.0116721326286475</v>
      </c>
      <c r="H6" s="506">
        <f xml:space="preserve"> F6 + G6</f>
        <v>18.975962741656272</v>
      </c>
      <c r="J6" s="29">
        <f xml:space="preserve"> IF( SUM( L6:O6 ) = 0, 0, $M$5 )</f>
        <v>0</v>
      </c>
      <c r="M6" s="120">
        <f xml:space="preserve"> IF( ISNUMBER( F6 ), 0, 1 )</f>
        <v>0</v>
      </c>
      <c r="N6" s="120">
        <f t="shared" ref="N6:N11" si="0" xml:space="preserve"> IF( ISNUMBER( G6 ), 0, 1 )</f>
        <v>0</v>
      </c>
    </row>
    <row r="7" spans="2:15" ht="14.1" customHeight="1" x14ac:dyDescent="0.2">
      <c r="B7" s="343">
        <v>2</v>
      </c>
      <c r="C7" s="320" t="s">
        <v>349</v>
      </c>
      <c r="D7" s="371" t="s">
        <v>76</v>
      </c>
      <c r="E7" s="322">
        <v>3</v>
      </c>
      <c r="F7" s="643">
        <v>3.5543569183367083</v>
      </c>
      <c r="G7" s="644">
        <v>0.3648292967487462</v>
      </c>
      <c r="H7" s="507">
        <f t="shared" ref="H7:H17" si="1" xml:space="preserve"> F7 + G7</f>
        <v>3.9191862150854546</v>
      </c>
      <c r="J7" s="29">
        <f t="shared" ref="J7:J15" si="2" xml:space="preserve"> IF( SUM( L7:O7 ) = 0, 0, $M$5 )</f>
        <v>0</v>
      </c>
      <c r="M7" s="120">
        <f t="shared" ref="M7:M11" si="3" xml:space="preserve"> IF( ISNUMBER( F7 ), 0, 1 )</f>
        <v>0</v>
      </c>
      <c r="N7" s="120">
        <f t="shared" si="0"/>
        <v>0</v>
      </c>
    </row>
    <row r="8" spans="2:15" ht="14.1" customHeight="1" x14ac:dyDescent="0.2">
      <c r="B8" s="343">
        <v>3</v>
      </c>
      <c r="C8" s="320" t="s">
        <v>350</v>
      </c>
      <c r="D8" s="371" t="s">
        <v>76</v>
      </c>
      <c r="E8" s="322">
        <v>3</v>
      </c>
      <c r="F8" s="643">
        <v>17.651549429999999</v>
      </c>
      <c r="G8" s="644">
        <v>1.06153761</v>
      </c>
      <c r="H8" s="507">
        <f t="shared" si="1"/>
        <v>18.713087039999998</v>
      </c>
      <c r="J8" s="29">
        <f t="shared" si="2"/>
        <v>0</v>
      </c>
      <c r="M8" s="120">
        <f t="shared" si="3"/>
        <v>0</v>
      </c>
      <c r="N8" s="120">
        <f t="shared" si="0"/>
        <v>0</v>
      </c>
    </row>
    <row r="9" spans="2:15" ht="14.1" customHeight="1" x14ac:dyDescent="0.2">
      <c r="B9" s="343">
        <v>4</v>
      </c>
      <c r="C9" s="320" t="s">
        <v>351</v>
      </c>
      <c r="D9" s="371" t="s">
        <v>76</v>
      </c>
      <c r="E9" s="322">
        <v>3</v>
      </c>
      <c r="F9" s="643">
        <v>2.3556930231000002</v>
      </c>
      <c r="G9" s="644">
        <v>0.27740830979999997</v>
      </c>
      <c r="H9" s="507">
        <f t="shared" si="1"/>
        <v>2.6331013328999999</v>
      </c>
      <c r="J9" s="29">
        <f t="shared" si="2"/>
        <v>0</v>
      </c>
      <c r="M9" s="120">
        <f t="shared" si="3"/>
        <v>0</v>
      </c>
      <c r="N9" s="120">
        <f t="shared" si="0"/>
        <v>0</v>
      </c>
    </row>
    <row r="10" spans="2:15" ht="14.1" customHeight="1" x14ac:dyDescent="0.2">
      <c r="B10" s="343">
        <v>5</v>
      </c>
      <c r="C10" s="320" t="s">
        <v>352</v>
      </c>
      <c r="D10" s="371" t="s">
        <v>76</v>
      </c>
      <c r="E10" s="322">
        <v>3</v>
      </c>
      <c r="F10" s="643">
        <v>0</v>
      </c>
      <c r="G10" s="644">
        <v>7.2021949500000002E-2</v>
      </c>
      <c r="H10" s="507">
        <f t="shared" si="1"/>
        <v>7.2021949500000002E-2</v>
      </c>
      <c r="J10" s="29">
        <f t="shared" si="2"/>
        <v>0</v>
      </c>
      <c r="M10" s="120">
        <f t="shared" si="3"/>
        <v>0</v>
      </c>
      <c r="N10" s="120">
        <f t="shared" si="0"/>
        <v>0</v>
      </c>
    </row>
    <row r="11" spans="2:15" ht="14.1" customHeight="1" x14ac:dyDescent="0.2">
      <c r="B11" s="343">
        <v>6</v>
      </c>
      <c r="C11" s="320" t="s">
        <v>307</v>
      </c>
      <c r="D11" s="371" t="s">
        <v>76</v>
      </c>
      <c r="E11" s="322">
        <v>3</v>
      </c>
      <c r="F11" s="643">
        <v>10.75793092564316</v>
      </c>
      <c r="G11" s="644">
        <v>1.3682479198240614</v>
      </c>
      <c r="H11" s="507">
        <f t="shared" si="1"/>
        <v>12.126178845467221</v>
      </c>
      <c r="J11" s="29">
        <f t="shared" si="2"/>
        <v>0</v>
      </c>
      <c r="M11" s="120">
        <f t="shared" si="3"/>
        <v>0</v>
      </c>
      <c r="N11" s="120">
        <f t="shared" si="0"/>
        <v>0</v>
      </c>
    </row>
    <row r="12" spans="2:15" ht="14.1" customHeight="1" x14ac:dyDescent="0.2">
      <c r="B12" s="343">
        <v>7</v>
      </c>
      <c r="C12" s="320" t="s">
        <v>309</v>
      </c>
      <c r="D12" s="371" t="s">
        <v>76</v>
      </c>
      <c r="E12" s="322">
        <v>3</v>
      </c>
      <c r="F12" s="434">
        <f xml:space="preserve"> SUM( F6:F11 )</f>
        <v>51.283820906107493</v>
      </c>
      <c r="G12" s="415">
        <f t="shared" ref="G12:H12" si="4" xml:space="preserve"> SUM( G6:G11 )</f>
        <v>5.1557172185014553</v>
      </c>
      <c r="H12" s="507">
        <f t="shared" si="4"/>
        <v>56.439538124608944</v>
      </c>
      <c r="J12" s="256"/>
    </row>
    <row r="13" spans="2:15" ht="14.1" customHeight="1" x14ac:dyDescent="0.2">
      <c r="B13" s="343">
        <v>8</v>
      </c>
      <c r="C13" s="320" t="s">
        <v>353</v>
      </c>
      <c r="D13" s="371" t="s">
        <v>76</v>
      </c>
      <c r="E13" s="322">
        <v>3</v>
      </c>
      <c r="F13" s="643">
        <v>0</v>
      </c>
      <c r="G13" s="644">
        <v>0</v>
      </c>
      <c r="H13" s="507">
        <f t="shared" si="1"/>
        <v>0</v>
      </c>
      <c r="J13" s="29">
        <f t="shared" si="2"/>
        <v>0</v>
      </c>
      <c r="M13" s="120">
        <f t="shared" ref="M13:N17" si="5" xml:space="preserve"> IF( ISNUMBER( F13 ), 0, 1 )</f>
        <v>0</v>
      </c>
      <c r="N13" s="120">
        <f t="shared" si="5"/>
        <v>0</v>
      </c>
    </row>
    <row r="14" spans="2:15" ht="14.1" customHeight="1" x14ac:dyDescent="0.2">
      <c r="B14" s="343">
        <v>9</v>
      </c>
      <c r="C14" s="320" t="s">
        <v>311</v>
      </c>
      <c r="D14" s="371" t="s">
        <v>76</v>
      </c>
      <c r="E14" s="322">
        <v>3</v>
      </c>
      <c r="F14" s="434">
        <f xml:space="preserve"> SUM( F12:F13 )</f>
        <v>51.283820906107493</v>
      </c>
      <c r="G14" s="415">
        <f t="shared" ref="G14:H14" si="6" xml:space="preserve"> SUM( G12:G13 )</f>
        <v>5.1557172185014553</v>
      </c>
      <c r="H14" s="507">
        <f t="shared" si="6"/>
        <v>56.439538124608944</v>
      </c>
      <c r="J14" s="256"/>
    </row>
    <row r="15" spans="2:15" ht="14.1" customHeight="1" x14ac:dyDescent="0.2">
      <c r="B15" s="343">
        <v>10</v>
      </c>
      <c r="C15" s="320" t="s">
        <v>354</v>
      </c>
      <c r="D15" s="371" t="s">
        <v>76</v>
      </c>
      <c r="E15" s="322">
        <v>3</v>
      </c>
      <c r="F15" s="643">
        <v>4.7770000000000001</v>
      </c>
      <c r="G15" s="644">
        <v>0.875</v>
      </c>
      <c r="H15" s="507">
        <f t="shared" si="1"/>
        <v>5.6520000000000001</v>
      </c>
      <c r="J15" s="29">
        <f t="shared" si="2"/>
        <v>0</v>
      </c>
      <c r="M15" s="120">
        <f t="shared" si="5"/>
        <v>0</v>
      </c>
      <c r="N15" s="120">
        <f t="shared" si="5"/>
        <v>0</v>
      </c>
    </row>
    <row r="16" spans="2:15" ht="14.1" customHeight="1" x14ac:dyDescent="0.2">
      <c r="B16" s="343">
        <v>11</v>
      </c>
      <c r="C16" s="320" t="s">
        <v>355</v>
      </c>
      <c r="D16" s="371" t="s">
        <v>76</v>
      </c>
      <c r="E16" s="322">
        <v>3</v>
      </c>
      <c r="F16" s="434">
        <f xml:space="preserve"> SUM( F14:F15 )</f>
        <v>56.060820906107494</v>
      </c>
      <c r="G16" s="415">
        <f xml:space="preserve"> SUM( G14:G15 )</f>
        <v>6.0307172185014553</v>
      </c>
      <c r="H16" s="507">
        <f xml:space="preserve"> SUM( H14:H15 )</f>
        <v>62.091538124608945</v>
      </c>
      <c r="J16" s="256"/>
    </row>
    <row r="17" spans="1:15" ht="14.1" customHeight="1" thickBot="1" x14ac:dyDescent="0.25">
      <c r="B17" s="344">
        <v>12</v>
      </c>
      <c r="C17" s="334" t="s">
        <v>356</v>
      </c>
      <c r="D17" s="335" t="s">
        <v>76</v>
      </c>
      <c r="E17" s="336">
        <v>3</v>
      </c>
      <c r="F17" s="645">
        <v>16.306999999999999</v>
      </c>
      <c r="G17" s="646">
        <v>1.0620000000000001</v>
      </c>
      <c r="H17" s="426">
        <f t="shared" si="1"/>
        <v>17.369</v>
      </c>
      <c r="J17" s="29">
        <f xml:space="preserve"> IF( SUM( L17:O17 ) = 0, 0, $M$5 )</f>
        <v>0</v>
      </c>
      <c r="M17" s="120">
        <f t="shared" si="5"/>
        <v>0</v>
      </c>
      <c r="N17" s="120">
        <f t="shared" si="5"/>
        <v>0</v>
      </c>
    </row>
    <row r="18" spans="1:15" s="137" customFormat="1" x14ac:dyDescent="0.2">
      <c r="C18" s="174"/>
      <c r="G18" s="187"/>
      <c r="I18" s="95"/>
      <c r="J18" s="95"/>
      <c r="K18" s="95"/>
      <c r="L18" s="96"/>
      <c r="M18" s="95"/>
      <c r="N18" s="95"/>
      <c r="O18" s="96"/>
    </row>
    <row r="19" spans="1:15" s="187" customFormat="1" x14ac:dyDescent="0.2">
      <c r="B19" s="703" t="s">
        <v>90</v>
      </c>
      <c r="C19" s="703"/>
      <c r="I19" s="95"/>
      <c r="J19" s="95"/>
      <c r="K19" s="95"/>
      <c r="L19" s="96"/>
      <c r="M19" s="95"/>
      <c r="N19" s="95"/>
      <c r="O19" s="96"/>
    </row>
    <row r="20" spans="1:15" s="187" customFormat="1" x14ac:dyDescent="0.2">
      <c r="B20" s="162"/>
      <c r="C20" s="163"/>
      <c r="I20" s="95"/>
      <c r="J20" s="95"/>
      <c r="K20" s="95"/>
      <c r="L20" s="96"/>
      <c r="M20" s="95"/>
      <c r="N20" s="95"/>
      <c r="O20" s="96"/>
    </row>
    <row r="21" spans="1:15" s="187" customFormat="1" x14ac:dyDescent="0.2">
      <c r="B21" s="30"/>
      <c r="C21" s="164" t="s">
        <v>91</v>
      </c>
      <c r="I21" s="95"/>
      <c r="J21" s="95"/>
      <c r="K21" s="95"/>
      <c r="L21" s="96"/>
      <c r="M21" s="95"/>
      <c r="N21" s="95"/>
      <c r="O21" s="96"/>
    </row>
    <row r="22" spans="1:15" s="187" customFormat="1" x14ac:dyDescent="0.2">
      <c r="B22" s="162"/>
      <c r="C22" s="163"/>
      <c r="I22" s="144"/>
      <c r="J22" s="146"/>
      <c r="K22" s="144"/>
      <c r="L22" s="96"/>
      <c r="M22" s="95"/>
      <c r="N22" s="95"/>
      <c r="O22" s="96"/>
    </row>
    <row r="23" spans="1:15" s="187" customFormat="1" ht="12" x14ac:dyDescent="0.2">
      <c r="B23" s="165"/>
      <c r="C23" s="164" t="s">
        <v>92</v>
      </c>
      <c r="I23" s="150"/>
      <c r="J23" s="150"/>
      <c r="K23" s="150"/>
      <c r="L23" s="148"/>
      <c r="M23" s="150"/>
      <c r="N23" s="150"/>
      <c r="O23" s="148"/>
    </row>
    <row r="24" spans="1:15" s="187" customFormat="1" ht="12" x14ac:dyDescent="0.2">
      <c r="B24" s="166"/>
      <c r="C24" s="164"/>
      <c r="I24" s="150"/>
      <c r="J24" s="150"/>
      <c r="K24" s="150"/>
      <c r="L24" s="145"/>
      <c r="M24" s="150"/>
      <c r="N24" s="150"/>
      <c r="O24" s="145"/>
    </row>
    <row r="25" spans="1:15" s="187" customFormat="1" ht="12" x14ac:dyDescent="0.2">
      <c r="B25" s="167"/>
      <c r="C25" s="164" t="s">
        <v>93</v>
      </c>
      <c r="I25" s="150"/>
      <c r="J25" s="150"/>
      <c r="K25" s="150"/>
      <c r="L25" s="145"/>
      <c r="M25" s="150"/>
      <c r="N25" s="150"/>
      <c r="O25" s="145"/>
    </row>
    <row r="26" spans="1:15" s="206" customFormat="1" ht="12.75" x14ac:dyDescent="0.2">
      <c r="A26" s="172"/>
      <c r="B26" s="172"/>
      <c r="C26" s="173"/>
      <c r="I26" s="150"/>
      <c r="J26" s="150"/>
      <c r="K26" s="150"/>
      <c r="L26" s="145"/>
      <c r="M26" s="150"/>
      <c r="N26" s="150"/>
      <c r="O26" s="145"/>
    </row>
    <row r="27" spans="1:15" s="206" customFormat="1" ht="13.5" thickBot="1" x14ac:dyDescent="0.25">
      <c r="C27" s="207"/>
      <c r="I27" s="150"/>
      <c r="J27" s="150"/>
      <c r="K27" s="150"/>
      <c r="L27" s="145"/>
      <c r="M27" s="150"/>
      <c r="N27" s="150"/>
      <c r="O27" s="145"/>
    </row>
    <row r="28" spans="1:15" s="137" customFormat="1" ht="16.5" thickBot="1" x14ac:dyDescent="0.25">
      <c r="B28" s="168" t="str">
        <f ca="1" xml:space="preserve"> RIGHT(CELL("filename", $A$1), LEN(CELL("filename", $A$1)) - SEARCH("]", CELL("filename", $A$1)))&amp;" - Line definitions"</f>
        <v>2C - Line definitions</v>
      </c>
      <c r="C28" s="169"/>
      <c r="D28" s="170"/>
      <c r="E28" s="170"/>
      <c r="F28" s="170"/>
      <c r="G28" s="170"/>
      <c r="H28" s="288"/>
      <c r="I28" s="150"/>
      <c r="J28" s="150"/>
      <c r="K28" s="150"/>
      <c r="L28" s="145"/>
      <c r="M28" s="150"/>
      <c r="N28" s="150"/>
      <c r="O28" s="145"/>
    </row>
    <row r="29" spans="1:15" s="137" customFormat="1" ht="15" thickBot="1" x14ac:dyDescent="0.25">
      <c r="B29" s="99"/>
      <c r="C29" s="177"/>
      <c r="D29" s="99"/>
      <c r="E29" s="99"/>
      <c r="F29" s="99"/>
      <c r="I29" s="150"/>
      <c r="J29" s="150"/>
      <c r="K29" s="150"/>
      <c r="L29" s="145"/>
      <c r="M29" s="150"/>
      <c r="N29" s="150"/>
      <c r="O29" s="145"/>
    </row>
    <row r="30" spans="1:15" s="398" customFormat="1" thickBot="1" x14ac:dyDescent="0.25">
      <c r="B30" s="178" t="s">
        <v>94</v>
      </c>
      <c r="C30" s="508" t="s">
        <v>279</v>
      </c>
      <c r="D30" s="781" t="s">
        <v>347</v>
      </c>
      <c r="E30" s="781"/>
      <c r="F30" s="781"/>
      <c r="G30" s="781"/>
      <c r="H30" s="782"/>
      <c r="I30" s="153"/>
      <c r="J30" s="150"/>
      <c r="K30" s="150"/>
      <c r="L30" s="145"/>
      <c r="M30" s="150"/>
      <c r="N30" s="150"/>
      <c r="O30" s="145"/>
    </row>
    <row r="31" spans="1:15" ht="178.5" x14ac:dyDescent="0.2">
      <c r="B31" s="509">
        <v>1</v>
      </c>
      <c r="C31" s="510" t="s">
        <v>357</v>
      </c>
      <c r="D31" s="783" t="s">
        <v>358</v>
      </c>
      <c r="E31" s="783"/>
      <c r="F31" s="783"/>
      <c r="G31" s="783"/>
      <c r="H31" s="784"/>
      <c r="I31" s="153"/>
      <c r="J31" s="150"/>
      <c r="K31" s="150"/>
      <c r="L31" s="145"/>
      <c r="M31" s="186" t="s">
        <v>359</v>
      </c>
      <c r="N31" s="150"/>
      <c r="O31" s="145"/>
    </row>
    <row r="32" spans="1:15" ht="140.25" x14ac:dyDescent="0.2">
      <c r="B32" s="511">
        <f t="shared" ref="B32:B42" si="7">+B31+1</f>
        <v>2</v>
      </c>
      <c r="C32" s="512" t="s">
        <v>360</v>
      </c>
      <c r="D32" s="776" t="s">
        <v>361</v>
      </c>
      <c r="E32" s="776"/>
      <c r="F32" s="776"/>
      <c r="G32" s="776"/>
      <c r="H32" s="777"/>
      <c r="I32" s="144"/>
      <c r="J32" s="146"/>
      <c r="K32" s="144"/>
      <c r="L32" s="145"/>
      <c r="M32" s="186" t="s">
        <v>362</v>
      </c>
      <c r="N32" s="144"/>
      <c r="O32" s="145"/>
    </row>
    <row r="33" spans="2:15" ht="51" x14ac:dyDescent="0.2">
      <c r="B33" s="511">
        <f t="shared" si="7"/>
        <v>3</v>
      </c>
      <c r="C33" s="512" t="s">
        <v>363</v>
      </c>
      <c r="D33" s="776" t="s">
        <v>364</v>
      </c>
      <c r="E33" s="776"/>
      <c r="F33" s="776"/>
      <c r="G33" s="776"/>
      <c r="H33" s="777"/>
      <c r="I33" s="144"/>
      <c r="J33" s="146"/>
      <c r="K33" s="144"/>
      <c r="L33" s="148"/>
      <c r="M33" s="501" t="s">
        <v>107</v>
      </c>
      <c r="N33" s="144"/>
      <c r="O33" s="148"/>
    </row>
    <row r="34" spans="2:15" ht="72" x14ac:dyDescent="0.2">
      <c r="B34" s="511">
        <f t="shared" si="7"/>
        <v>4</v>
      </c>
      <c r="C34" s="512" t="s">
        <v>365</v>
      </c>
      <c r="D34" s="776" t="s">
        <v>366</v>
      </c>
      <c r="E34" s="776"/>
      <c r="F34" s="776"/>
      <c r="G34" s="776"/>
      <c r="H34" s="777"/>
      <c r="I34" s="433"/>
      <c r="J34" s="153"/>
      <c r="K34" s="144"/>
      <c r="L34" s="148"/>
      <c r="M34" s="501" t="s">
        <v>367</v>
      </c>
      <c r="N34" s="144"/>
      <c r="O34" s="148"/>
    </row>
    <row r="35" spans="2:15" ht="76.5" x14ac:dyDescent="0.2">
      <c r="B35" s="511">
        <f t="shared" si="7"/>
        <v>5</v>
      </c>
      <c r="C35" s="512" t="s">
        <v>368</v>
      </c>
      <c r="D35" s="785" t="s">
        <v>369</v>
      </c>
      <c r="E35" s="785"/>
      <c r="F35" s="785"/>
      <c r="G35" s="785"/>
      <c r="H35" s="786"/>
      <c r="I35" s="436"/>
      <c r="J35" s="146"/>
      <c r="K35" s="144"/>
      <c r="L35" s="148"/>
      <c r="M35" s="501" t="s">
        <v>271</v>
      </c>
      <c r="N35" s="144"/>
      <c r="O35" s="148"/>
    </row>
    <row r="36" spans="2:15" ht="178.5" x14ac:dyDescent="0.2">
      <c r="B36" s="511">
        <f t="shared" si="7"/>
        <v>6</v>
      </c>
      <c r="C36" s="512" t="s">
        <v>370</v>
      </c>
      <c r="D36" s="776" t="s">
        <v>371</v>
      </c>
      <c r="E36" s="776"/>
      <c r="F36" s="776"/>
      <c r="G36" s="776"/>
      <c r="H36" s="777"/>
      <c r="I36" s="436"/>
      <c r="J36" s="137"/>
      <c r="K36" s="137"/>
      <c r="L36" s="148"/>
      <c r="M36" s="186" t="s">
        <v>372</v>
      </c>
      <c r="N36" s="137"/>
      <c r="O36" s="148"/>
    </row>
    <row r="37" spans="2:15" ht="14.1" customHeight="1" x14ac:dyDescent="0.2">
      <c r="B37" s="511">
        <f t="shared" si="7"/>
        <v>7</v>
      </c>
      <c r="C37" s="512" t="s">
        <v>373</v>
      </c>
      <c r="D37" s="776" t="s">
        <v>373</v>
      </c>
      <c r="E37" s="776"/>
      <c r="F37" s="776"/>
      <c r="G37" s="776"/>
      <c r="H37" s="777"/>
      <c r="I37" s="436"/>
      <c r="J37" s="137"/>
      <c r="K37" s="137"/>
      <c r="L37" s="148"/>
      <c r="M37" s="292">
        <v>1</v>
      </c>
      <c r="N37" s="137"/>
      <c r="O37" s="148"/>
    </row>
    <row r="38" spans="2:15" ht="24.95" customHeight="1" x14ac:dyDescent="0.2">
      <c r="B38" s="511">
        <f t="shared" si="7"/>
        <v>8</v>
      </c>
      <c r="C38" s="512" t="s">
        <v>374</v>
      </c>
      <c r="D38" s="776" t="s">
        <v>375</v>
      </c>
      <c r="E38" s="776"/>
      <c r="F38" s="776"/>
      <c r="G38" s="776"/>
      <c r="H38" s="777"/>
      <c r="I38" s="436"/>
      <c r="J38" s="146"/>
      <c r="K38" s="146"/>
      <c r="L38" s="148"/>
      <c r="M38" s="501" t="s">
        <v>101</v>
      </c>
      <c r="N38" s="146"/>
      <c r="O38" s="148"/>
    </row>
    <row r="39" spans="2:15" ht="38.25" x14ac:dyDescent="0.2">
      <c r="B39" s="511">
        <f t="shared" si="7"/>
        <v>9</v>
      </c>
      <c r="C39" s="512" t="s">
        <v>376</v>
      </c>
      <c r="D39" s="776" t="s">
        <v>377</v>
      </c>
      <c r="E39" s="776"/>
      <c r="F39" s="776"/>
      <c r="G39" s="776"/>
      <c r="H39" s="777"/>
      <c r="I39" s="436"/>
      <c r="J39" s="146"/>
      <c r="K39" s="146"/>
      <c r="L39" s="148"/>
      <c r="M39" s="501" t="s">
        <v>98</v>
      </c>
      <c r="N39" s="146"/>
      <c r="O39" s="148"/>
    </row>
    <row r="40" spans="2:15" ht="24.95" customHeight="1" x14ac:dyDescent="0.2">
      <c r="B40" s="511">
        <f t="shared" si="7"/>
        <v>10</v>
      </c>
      <c r="C40" s="512" t="s">
        <v>378</v>
      </c>
      <c r="D40" s="776" t="s">
        <v>379</v>
      </c>
      <c r="E40" s="776"/>
      <c r="F40" s="776"/>
      <c r="G40" s="776"/>
      <c r="H40" s="777"/>
      <c r="I40" s="436"/>
      <c r="J40" s="146"/>
      <c r="K40" s="146"/>
      <c r="L40" s="148"/>
      <c r="M40" s="501" t="s">
        <v>101</v>
      </c>
      <c r="N40" s="146"/>
      <c r="O40" s="148"/>
    </row>
    <row r="41" spans="2:15" ht="25.5" x14ac:dyDescent="0.2">
      <c r="B41" s="511">
        <f t="shared" si="7"/>
        <v>11</v>
      </c>
      <c r="C41" s="512" t="s">
        <v>380</v>
      </c>
      <c r="D41" s="776" t="s">
        <v>381</v>
      </c>
      <c r="E41" s="776"/>
      <c r="F41" s="776"/>
      <c r="G41" s="776"/>
      <c r="H41" s="777"/>
      <c r="I41" s="436"/>
      <c r="L41" s="148"/>
      <c r="M41" s="186" t="s">
        <v>101</v>
      </c>
      <c r="O41" s="148"/>
    </row>
    <row r="42" spans="2:15" ht="64.5" thickBot="1" x14ac:dyDescent="0.25">
      <c r="B42" s="513">
        <f t="shared" si="7"/>
        <v>12</v>
      </c>
      <c r="C42" s="514" t="s">
        <v>382</v>
      </c>
      <c r="D42" s="778" t="s">
        <v>383</v>
      </c>
      <c r="E42" s="778"/>
      <c r="F42" s="778"/>
      <c r="G42" s="778"/>
      <c r="H42" s="779"/>
      <c r="I42" s="436"/>
      <c r="M42" s="186" t="s">
        <v>367</v>
      </c>
    </row>
    <row r="43" spans="2:15" x14ac:dyDescent="0.2">
      <c r="F43"/>
      <c r="G43"/>
      <c r="I43" s="436"/>
      <c r="M43" s="147"/>
    </row>
    <row r="44" spans="2:15" hidden="1" x14ac:dyDescent="0.2">
      <c r="F44"/>
      <c r="G44"/>
      <c r="I44" s="436"/>
      <c r="M44" s="147"/>
    </row>
    <row r="45" spans="2:15" hidden="1" x14ac:dyDescent="0.2">
      <c r="F45"/>
      <c r="G45"/>
      <c r="I45" s="436"/>
    </row>
    <row r="46" spans="2:15" hidden="1" x14ac:dyDescent="0.2">
      <c r="F46"/>
      <c r="G46"/>
      <c r="I46" s="436"/>
    </row>
    <row r="47" spans="2:15" hidden="1" x14ac:dyDescent="0.2">
      <c r="F47"/>
      <c r="G47"/>
    </row>
  </sheetData>
  <sheetProtection algorithmName="SHA-512" hashValue="JcnmU9seGRz39tKjbolI/KmaGk7DUniAPH4aHa5Q6PdsZ0FxS+jdCK6g96F4xJQIlfen+nbRSIEu93Hjcj1RUA==" saltValue="lLrP/x3xVhMwQSkXwUm0tQ==" spinCount="100000" sheet="1" objects="1" scenarios="1"/>
  <mergeCells count="17">
    <mergeCell ref="D37:H37"/>
    <mergeCell ref="B3:C3"/>
    <mergeCell ref="M3:N4"/>
    <mergeCell ref="B5:C5"/>
    <mergeCell ref="B19:C19"/>
    <mergeCell ref="D30:H30"/>
    <mergeCell ref="D31:H31"/>
    <mergeCell ref="D32:H32"/>
    <mergeCell ref="D33:H33"/>
    <mergeCell ref="D34:H34"/>
    <mergeCell ref="D35:H35"/>
    <mergeCell ref="D36:H36"/>
    <mergeCell ref="D38:H38"/>
    <mergeCell ref="D39:H39"/>
    <mergeCell ref="D40:H40"/>
    <mergeCell ref="D41:H41"/>
    <mergeCell ref="D42:H42"/>
  </mergeCells>
  <conditionalFormatting sqref="J6:J11">
    <cfRule type="cellIs" dxfId="78" priority="5" operator="equal">
      <formula>0</formula>
    </cfRule>
  </conditionalFormatting>
  <conditionalFormatting sqref="J13">
    <cfRule type="cellIs" dxfId="77" priority="3" operator="equal">
      <formula>0</formula>
    </cfRule>
  </conditionalFormatting>
  <conditionalFormatting sqref="J15">
    <cfRule type="cellIs" dxfId="76" priority="2" operator="equal">
      <formula>0</formula>
    </cfRule>
  </conditionalFormatting>
  <conditionalFormatting sqref="J17">
    <cfRule type="cellIs" dxfId="75" priority="1" operator="equal">
      <formula>0</formula>
    </cfRule>
  </conditionalFormatting>
  <conditionalFormatting sqref="J20:J21">
    <cfRule type="cellIs" dxfId="74" priority="4" operator="equal">
      <formula>2</formula>
    </cfRule>
  </conditionalFormatting>
  <printOptions horizontalCentered="1"/>
  <pageMargins left="0.39370078740157483" right="0.39370078740157483" top="0.78740157480314965" bottom="0.78740157480314965" header="0.31496062992125984" footer="0.31496062992125984"/>
  <pageSetup paperSize="8" fitToHeight="0" orientation="portrait" r:id="rId1"/>
  <headerFooter>
    <oddHeader>&amp;L&amp;9&amp;K857362Page &amp;P of &amp;N&amp;C&amp;9 &amp;K8573622016 annual performance report tables (Jan 2016)&amp;R&amp;9&amp;G</oddHeader>
    <oddFooter>&amp;L&amp;9&amp;K857362&amp;A&amp;R&amp;9&amp;K857362Printed: &amp;D &amp;T</oddFooter>
  </headerFooter>
  <rowBreaks count="1" manualBreakCount="1">
    <brk id="27" max="17"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60"/>
  <sheetViews>
    <sheetView showGridLines="0" zoomScaleNormal="100" workbookViewId="0">
      <selection activeCell="C28" sqref="C28"/>
    </sheetView>
  </sheetViews>
  <sheetFormatPr defaultColWidth="0" defaultRowHeight="14.25" zeroHeight="1" x14ac:dyDescent="0.2"/>
  <cols>
    <col min="1" max="1" width="1.625" style="95" customWidth="1"/>
    <col min="2" max="2" width="4.125" style="95" customWidth="1"/>
    <col min="3" max="3" width="38.125" style="95" customWidth="1"/>
    <col min="4" max="5" width="5.125" style="95" customWidth="1"/>
    <col min="6" max="10" width="12.625" style="95" customWidth="1"/>
    <col min="11" max="11" width="2.625" style="95" customWidth="1"/>
    <col min="12" max="12" width="18.875" style="95" bestFit="1" customWidth="1"/>
    <col min="13" max="13" width="1.625" style="95" customWidth="1"/>
    <col min="14" max="14" width="1.625" style="96" hidden="1" customWidth="1"/>
    <col min="15" max="18" width="4.625" style="95" hidden="1" customWidth="1"/>
    <col min="19" max="19" width="1.625" style="96" hidden="1" customWidth="1"/>
    <col min="20" max="20" width="8" style="99" hidden="1" customWidth="1"/>
    <col min="21" max="16384" width="0" style="95" hidden="1"/>
  </cols>
  <sheetData>
    <row r="1" spans="2:20" ht="20.25" x14ac:dyDescent="0.2">
      <c r="B1" s="91" t="s">
        <v>384</v>
      </c>
      <c r="C1" s="91"/>
      <c r="D1" s="91"/>
      <c r="E1" s="91"/>
      <c r="F1" s="91"/>
      <c r="G1" s="91"/>
      <c r="H1" s="91"/>
      <c r="I1" s="91"/>
      <c r="J1" s="93" t="str">
        <f>Validation!B3</f>
        <v>Yorkshire Water</v>
      </c>
      <c r="K1" s="91"/>
      <c r="L1" s="94" t="s">
        <v>62</v>
      </c>
      <c r="T1" s="95"/>
    </row>
    <row r="2" spans="2:20" ht="15" thickBot="1" x14ac:dyDescent="0.25">
      <c r="B2" s="98" t="s">
        <v>48</v>
      </c>
    </row>
    <row r="3" spans="2:20" ht="14.45" customHeight="1" x14ac:dyDescent="0.2">
      <c r="B3" s="708" t="s">
        <v>63</v>
      </c>
      <c r="C3" s="709"/>
      <c r="D3" s="712" t="s">
        <v>64</v>
      </c>
      <c r="E3" s="714" t="s">
        <v>65</v>
      </c>
      <c r="F3" s="733" t="s">
        <v>276</v>
      </c>
      <c r="G3" s="735"/>
      <c r="H3" s="743" t="s">
        <v>275</v>
      </c>
      <c r="I3" s="744"/>
      <c r="J3" s="699" t="s">
        <v>246</v>
      </c>
      <c r="K3" s="497"/>
      <c r="L3" s="699" t="s">
        <v>69</v>
      </c>
      <c r="O3" s="702" t="s">
        <v>73</v>
      </c>
      <c r="P3" s="702"/>
      <c r="Q3" s="787"/>
      <c r="R3" s="787"/>
    </row>
    <row r="4" spans="2:20" ht="16.5" thickBot="1" x14ac:dyDescent="0.25">
      <c r="B4" s="710"/>
      <c r="C4" s="711"/>
      <c r="D4" s="713"/>
      <c r="E4" s="715"/>
      <c r="F4" s="498" t="s">
        <v>281</v>
      </c>
      <c r="G4" s="499" t="s">
        <v>282</v>
      </c>
      <c r="H4" s="500" t="s">
        <v>279</v>
      </c>
      <c r="I4" s="106" t="s">
        <v>280</v>
      </c>
      <c r="J4" s="701"/>
      <c r="K4" s="497"/>
      <c r="L4" s="701"/>
      <c r="M4" s="107"/>
      <c r="O4" s="702"/>
      <c r="P4" s="702"/>
      <c r="Q4" s="787"/>
      <c r="R4" s="787"/>
    </row>
    <row r="5" spans="2:20" ht="15" thickBot="1" x14ac:dyDescent="0.25">
      <c r="O5" s="112" t="s">
        <v>74</v>
      </c>
    </row>
    <row r="6" spans="2:20" ht="15" thickBot="1" x14ac:dyDescent="0.25">
      <c r="B6" s="110" t="s">
        <v>124</v>
      </c>
      <c r="C6" s="111" t="s">
        <v>385</v>
      </c>
    </row>
    <row r="7" spans="2:20" x14ac:dyDescent="0.2">
      <c r="B7" s="113">
        <v>1</v>
      </c>
      <c r="C7" s="143" t="s">
        <v>386</v>
      </c>
      <c r="D7" s="115" t="s">
        <v>76</v>
      </c>
      <c r="E7" s="116">
        <v>3</v>
      </c>
      <c r="F7" s="567">
        <v>4576.6459999999997</v>
      </c>
      <c r="G7" s="568">
        <v>5334.4430000000002</v>
      </c>
      <c r="H7" s="578">
        <v>68.650000000000006</v>
      </c>
      <c r="I7" s="637">
        <v>5.04</v>
      </c>
      <c r="J7" s="229">
        <f>SUM(F7:I7)</f>
        <v>9984.7790000000005</v>
      </c>
      <c r="L7" s="29">
        <f xml:space="preserve"> IF( SUM( N7:S7 ) = 0, 0, $O$5 )</f>
        <v>0</v>
      </c>
      <c r="O7" s="120">
        <f xml:space="preserve"> IF( ISNUMBER( F7 ), 0, 1 )</f>
        <v>0</v>
      </c>
      <c r="P7" s="120">
        <f>IF(Validation!$H$3=1,0,IF(ISNUMBER(G7),0,1))</f>
        <v>0</v>
      </c>
      <c r="Q7" s="120">
        <f t="shared" ref="Q7:R9" si="0" xml:space="preserve"> IF( ISNUMBER( H7 ), 0, 1 )</f>
        <v>0</v>
      </c>
      <c r="R7" s="120">
        <f t="shared" si="0"/>
        <v>0</v>
      </c>
    </row>
    <row r="8" spans="2:20" x14ac:dyDescent="0.2">
      <c r="B8" s="121">
        <f xml:space="preserve"> B7 + 1</f>
        <v>2</v>
      </c>
      <c r="C8" s="114" t="s">
        <v>387</v>
      </c>
      <c r="D8" s="122" t="s">
        <v>76</v>
      </c>
      <c r="E8" s="123">
        <v>3</v>
      </c>
      <c r="F8" s="565">
        <v>-27.629000000000001</v>
      </c>
      <c r="G8" s="569">
        <v>-16.359000000000002</v>
      </c>
      <c r="H8" s="580">
        <v>-2.02</v>
      </c>
      <c r="I8" s="638">
        <v>-0.83299999999999996</v>
      </c>
      <c r="J8" s="273">
        <f>SUM(F8:I8)</f>
        <v>-46.841000000000001</v>
      </c>
      <c r="L8" s="29">
        <f t="shared" ref="L8:L9" si="1" xml:space="preserve"> IF( SUM( N8:S8 ) = 0, 0, $O$5 )</f>
        <v>0</v>
      </c>
      <c r="O8" s="120">
        <f t="shared" ref="O8:O9" si="2" xml:space="preserve"> IF( ISNUMBER( F8 ), 0, 1 )</f>
        <v>0</v>
      </c>
      <c r="P8" s="120">
        <f>IF(Validation!$H$3=1,0,IF(ISNUMBER(G8),0,1))</f>
        <v>0</v>
      </c>
      <c r="Q8" s="120">
        <f t="shared" si="0"/>
        <v>0</v>
      </c>
      <c r="R8" s="120">
        <f t="shared" si="0"/>
        <v>0</v>
      </c>
    </row>
    <row r="9" spans="2:20" x14ac:dyDescent="0.2">
      <c r="B9" s="121">
        <f t="shared" ref="B9:B15" si="3" xml:space="preserve"> B8 + 1</f>
        <v>3</v>
      </c>
      <c r="C9" s="114" t="s">
        <v>388</v>
      </c>
      <c r="D9" s="122" t="s">
        <v>76</v>
      </c>
      <c r="E9" s="123">
        <v>3</v>
      </c>
      <c r="F9" s="565">
        <v>121.199</v>
      </c>
      <c r="G9" s="569">
        <v>124.752</v>
      </c>
      <c r="H9" s="580">
        <v>4.3819999999999997</v>
      </c>
      <c r="I9" s="638">
        <v>0.94</v>
      </c>
      <c r="J9" s="273">
        <f>SUM(F9:I9)</f>
        <v>251.273</v>
      </c>
      <c r="L9" s="29">
        <f t="shared" si="1"/>
        <v>0</v>
      </c>
      <c r="O9" s="120">
        <f t="shared" si="2"/>
        <v>0</v>
      </c>
      <c r="P9" s="120">
        <f>IF(Validation!$H$3=1,0,IF(ISNUMBER(G9),0,1))</f>
        <v>0</v>
      </c>
      <c r="Q9" s="120">
        <f t="shared" si="0"/>
        <v>0</v>
      </c>
      <c r="R9" s="120">
        <f t="shared" si="0"/>
        <v>0</v>
      </c>
    </row>
    <row r="10" spans="2:20" ht="15" thickBot="1" x14ac:dyDescent="0.25">
      <c r="B10" s="128">
        <f t="shared" si="3"/>
        <v>4</v>
      </c>
      <c r="C10" s="129" t="s">
        <v>389</v>
      </c>
      <c r="D10" s="130" t="s">
        <v>76</v>
      </c>
      <c r="E10" s="127">
        <v>3</v>
      </c>
      <c r="F10" s="223">
        <f>SUM(F7:F9)</f>
        <v>4670.2159999999994</v>
      </c>
      <c r="G10" s="225">
        <f>SUM(G7:G9)</f>
        <v>5442.8360000000002</v>
      </c>
      <c r="H10" s="274">
        <f>SUM(H7:H9)</f>
        <v>71.012000000000015</v>
      </c>
      <c r="I10" s="475">
        <f>SUM(I7:I9)</f>
        <v>5.1470000000000002</v>
      </c>
      <c r="J10" s="230">
        <f>SUM(F10:I10)</f>
        <v>10189.211000000001</v>
      </c>
      <c r="L10" s="256"/>
    </row>
    <row r="11" spans="2:20" ht="15" thickBot="1" x14ac:dyDescent="0.25">
      <c r="L11" s="256"/>
    </row>
    <row r="12" spans="2:20" ht="15" thickBot="1" x14ac:dyDescent="0.25">
      <c r="B12" s="110" t="s">
        <v>133</v>
      </c>
      <c r="C12" s="111" t="s">
        <v>196</v>
      </c>
      <c r="L12" s="256"/>
    </row>
    <row r="13" spans="2:20" x14ac:dyDescent="0.2">
      <c r="B13" s="113">
        <f>B10+1</f>
        <v>5</v>
      </c>
      <c r="C13" s="143" t="s">
        <v>386</v>
      </c>
      <c r="D13" s="115" t="s">
        <v>76</v>
      </c>
      <c r="E13" s="116">
        <v>3</v>
      </c>
      <c r="F13" s="567">
        <v>-1577.009</v>
      </c>
      <c r="G13" s="579">
        <v>-1529.971</v>
      </c>
      <c r="H13" s="579">
        <v>-51.96</v>
      </c>
      <c r="I13" s="637">
        <v>-4.0759999999999996</v>
      </c>
      <c r="J13" s="229">
        <f>SUM(F13:I13)</f>
        <v>-3163.0160000000001</v>
      </c>
      <c r="L13" s="29">
        <f t="shared" ref="L13:L15" si="4" xml:space="preserve"> IF( SUM( N13:S13 ) = 0, 0, $O$5 )</f>
        <v>0</v>
      </c>
      <c r="O13" s="120">
        <f t="shared" ref="O13:O15" si="5" xml:space="preserve"> IF( ISNUMBER( F13 ), 0, 1 )</f>
        <v>0</v>
      </c>
      <c r="P13" s="120">
        <f>IF(Validation!$H$3=1,0,IF(ISNUMBER(G13),0,1))</f>
        <v>0</v>
      </c>
      <c r="Q13" s="120">
        <f t="shared" ref="Q13:R14" si="6" xml:space="preserve"> IF( ISNUMBER( H13 ), 0, 1 )</f>
        <v>0</v>
      </c>
      <c r="R13" s="120">
        <f t="shared" si="6"/>
        <v>0</v>
      </c>
    </row>
    <row r="14" spans="2:20" x14ac:dyDescent="0.2">
      <c r="B14" s="121">
        <f t="shared" si="3"/>
        <v>6</v>
      </c>
      <c r="C14" s="114" t="s">
        <v>387</v>
      </c>
      <c r="D14" s="122" t="s">
        <v>76</v>
      </c>
      <c r="E14" s="123">
        <v>3</v>
      </c>
      <c r="F14" s="565">
        <v>24.835999999999999</v>
      </c>
      <c r="G14" s="566">
        <v>16.193000000000001</v>
      </c>
      <c r="H14" s="566">
        <v>2.0070000000000001</v>
      </c>
      <c r="I14" s="638">
        <v>0.82699999999999996</v>
      </c>
      <c r="J14" s="273">
        <f>SUM(F14:I14)</f>
        <v>43.862999999999992</v>
      </c>
      <c r="L14" s="29">
        <f t="shared" si="4"/>
        <v>0</v>
      </c>
      <c r="O14" s="120">
        <f t="shared" si="5"/>
        <v>0</v>
      </c>
      <c r="P14" s="120">
        <f>IF(Validation!$H$3=1,0,IF(ISNUMBER(G14),0,1))</f>
        <v>0</v>
      </c>
      <c r="Q14" s="120">
        <f t="shared" si="6"/>
        <v>0</v>
      </c>
      <c r="R14" s="120">
        <f t="shared" si="6"/>
        <v>0</v>
      </c>
    </row>
    <row r="15" spans="2:20" x14ac:dyDescent="0.2">
      <c r="B15" s="121">
        <f t="shared" si="3"/>
        <v>7</v>
      </c>
      <c r="C15" s="114" t="s">
        <v>390</v>
      </c>
      <c r="D15" s="122" t="s">
        <v>76</v>
      </c>
      <c r="E15" s="123">
        <v>3</v>
      </c>
      <c r="F15" s="565">
        <v>-111.74299999999999</v>
      </c>
      <c r="G15" s="566">
        <v>-181.559</v>
      </c>
      <c r="H15" s="566">
        <v>-4.7770000000000001</v>
      </c>
      <c r="I15" s="638">
        <v>-0.875</v>
      </c>
      <c r="J15" s="273">
        <f>SUM(F15:I15)</f>
        <v>-298.95400000000001</v>
      </c>
      <c r="L15" s="29">
        <f t="shared" si="4"/>
        <v>0</v>
      </c>
      <c r="O15" s="120">
        <f t="shared" si="5"/>
        <v>0</v>
      </c>
      <c r="P15" s="120">
        <f>IF(Validation!$H$3=1,0,IF(ISNUMBER(G15),0,1))</f>
        <v>0</v>
      </c>
      <c r="Q15" s="147"/>
      <c r="R15" s="147"/>
    </row>
    <row r="16" spans="2:20" ht="15" thickBot="1" x14ac:dyDescent="0.25">
      <c r="B16" s="128">
        <f>B15+1</f>
        <v>8</v>
      </c>
      <c r="C16" s="129" t="s">
        <v>389</v>
      </c>
      <c r="D16" s="130" t="s">
        <v>76</v>
      </c>
      <c r="E16" s="127">
        <v>3</v>
      </c>
      <c r="F16" s="223">
        <f>SUM(F13:F15)</f>
        <v>-1663.9159999999999</v>
      </c>
      <c r="G16" s="224">
        <f>SUM(G13:G15)</f>
        <v>-1695.337</v>
      </c>
      <c r="H16" s="224">
        <f>SUM(H13:H15)</f>
        <v>-54.730000000000004</v>
      </c>
      <c r="I16" s="475">
        <f>SUM(I13:I15)</f>
        <v>-4.1239999999999997</v>
      </c>
      <c r="J16" s="230">
        <f>SUM(F16:I16)</f>
        <v>-3418.1069999999995</v>
      </c>
      <c r="L16" s="256"/>
    </row>
    <row r="17" spans="2:20" ht="15" thickBot="1" x14ac:dyDescent="0.25"/>
    <row r="18" spans="2:20" x14ac:dyDescent="0.2">
      <c r="B18" s="113">
        <f xml:space="preserve"> B16 + 1</f>
        <v>9</v>
      </c>
      <c r="C18" s="143" t="s">
        <v>391</v>
      </c>
      <c r="D18" s="115" t="s">
        <v>76</v>
      </c>
      <c r="E18" s="244">
        <v>3</v>
      </c>
      <c r="F18" s="217">
        <f xml:space="preserve"> F10 + F16</f>
        <v>3006.2999999999993</v>
      </c>
      <c r="G18" s="219">
        <f t="shared" ref="G18:I18" si="7" xml:space="preserve"> G10 + G16</f>
        <v>3747.4990000000003</v>
      </c>
      <c r="H18" s="217">
        <f t="shared" si="7"/>
        <v>16.282000000000011</v>
      </c>
      <c r="I18" s="219">
        <f t="shared" si="7"/>
        <v>1.0230000000000006</v>
      </c>
      <c r="J18" s="229">
        <f xml:space="preserve"> J10 + J16</f>
        <v>6771.1040000000012</v>
      </c>
      <c r="T18" s="137"/>
    </row>
    <row r="19" spans="2:20" ht="15" thickBot="1" x14ac:dyDescent="0.25">
      <c r="B19" s="128">
        <f>B18+1</f>
        <v>10</v>
      </c>
      <c r="C19" s="129" t="s">
        <v>392</v>
      </c>
      <c r="D19" s="130" t="s">
        <v>76</v>
      </c>
      <c r="E19" s="257">
        <v>3</v>
      </c>
      <c r="F19" s="223">
        <f xml:space="preserve"> F7 + F13</f>
        <v>2999.6369999999997</v>
      </c>
      <c r="G19" s="225">
        <f xml:space="preserve"> G7 + G13</f>
        <v>3804.4720000000002</v>
      </c>
      <c r="H19" s="223">
        <f xml:space="preserve"> H7 + H13</f>
        <v>16.690000000000005</v>
      </c>
      <c r="I19" s="225">
        <f xml:space="preserve"> I7 + I13</f>
        <v>0.96400000000000041</v>
      </c>
      <c r="J19" s="230">
        <f xml:space="preserve"> J7 + J13</f>
        <v>6821.7630000000008</v>
      </c>
      <c r="T19" s="187"/>
    </row>
    <row r="20" spans="2:20" x14ac:dyDescent="0.2">
      <c r="B20" s="137"/>
      <c r="C20" s="174"/>
      <c r="D20" s="137"/>
      <c r="E20" s="137"/>
      <c r="F20" s="187"/>
      <c r="G20" s="187"/>
      <c r="H20" s="137"/>
      <c r="I20" s="144"/>
      <c r="J20" s="144"/>
      <c r="T20" s="187"/>
    </row>
    <row r="21" spans="2:20" x14ac:dyDescent="0.2">
      <c r="B21" s="703" t="s">
        <v>90</v>
      </c>
      <c r="C21" s="703"/>
      <c r="D21" s="187"/>
      <c r="E21" s="187"/>
      <c r="F21" s="187"/>
      <c r="G21" s="187"/>
      <c r="H21" s="187"/>
      <c r="I21" s="150"/>
      <c r="J21" s="150"/>
      <c r="T21" s="187"/>
    </row>
    <row r="22" spans="2:20" x14ac:dyDescent="0.2">
      <c r="B22" s="162"/>
      <c r="C22" s="163"/>
      <c r="D22" s="187"/>
      <c r="E22" s="187"/>
      <c r="F22" s="187"/>
      <c r="G22" s="187"/>
      <c r="H22" s="187"/>
      <c r="I22" s="150"/>
      <c r="J22" s="150"/>
      <c r="K22" s="144"/>
      <c r="L22" s="146"/>
      <c r="M22" s="144"/>
      <c r="T22" s="187"/>
    </row>
    <row r="23" spans="2:20" x14ac:dyDescent="0.2">
      <c r="B23" s="30"/>
      <c r="C23" s="164" t="s">
        <v>91</v>
      </c>
      <c r="D23" s="187"/>
      <c r="E23" s="187"/>
      <c r="F23" s="187"/>
      <c r="G23" s="187"/>
      <c r="H23" s="187"/>
      <c r="I23" s="150"/>
      <c r="J23" s="150"/>
      <c r="K23" s="150"/>
      <c r="L23" s="150"/>
      <c r="M23" s="150"/>
      <c r="N23" s="148"/>
      <c r="O23" s="150"/>
      <c r="P23" s="150"/>
      <c r="Q23" s="150"/>
      <c r="R23" s="150"/>
      <c r="S23" s="148"/>
      <c r="T23" s="187"/>
    </row>
    <row r="24" spans="2:20" x14ac:dyDescent="0.2">
      <c r="B24" s="162"/>
      <c r="C24" s="163"/>
      <c r="D24" s="187"/>
      <c r="E24" s="187"/>
      <c r="F24" s="187"/>
      <c r="G24" s="187"/>
      <c r="H24" s="187"/>
      <c r="I24" s="150"/>
      <c r="J24" s="150"/>
      <c r="K24" s="150"/>
      <c r="L24" s="150"/>
      <c r="M24" s="150"/>
      <c r="N24" s="145"/>
      <c r="O24" s="150"/>
      <c r="P24" s="150"/>
      <c r="Q24" s="150"/>
      <c r="R24" s="150"/>
      <c r="S24" s="145"/>
      <c r="T24" s="187"/>
    </row>
    <row r="25" spans="2:20" x14ac:dyDescent="0.2">
      <c r="B25" s="165"/>
      <c r="C25" s="164" t="s">
        <v>92</v>
      </c>
      <c r="D25" s="187"/>
      <c r="E25" s="187"/>
      <c r="F25" s="187"/>
      <c r="G25" s="187"/>
      <c r="H25" s="187"/>
      <c r="I25" s="150"/>
      <c r="J25" s="150"/>
      <c r="K25" s="150"/>
      <c r="L25" s="150"/>
      <c r="M25" s="150"/>
      <c r="N25" s="145"/>
      <c r="O25" s="150"/>
      <c r="P25" s="150"/>
      <c r="Q25" s="150"/>
      <c r="R25" s="150"/>
      <c r="S25" s="145"/>
      <c r="T25" s="187"/>
    </row>
    <row r="26" spans="2:20" x14ac:dyDescent="0.2">
      <c r="B26" s="166"/>
      <c r="C26" s="164"/>
      <c r="D26" s="187"/>
      <c r="E26" s="187"/>
      <c r="F26" s="187"/>
      <c r="G26" s="187"/>
      <c r="H26" s="187"/>
      <c r="I26" s="150"/>
      <c r="J26" s="150"/>
      <c r="K26" s="150"/>
      <c r="L26" s="150"/>
      <c r="M26" s="150"/>
      <c r="N26" s="145"/>
      <c r="O26" s="150"/>
      <c r="P26" s="150"/>
      <c r="Q26" s="150"/>
      <c r="R26" s="150"/>
      <c r="S26" s="145"/>
      <c r="T26" s="206"/>
    </row>
    <row r="27" spans="2:20" x14ac:dyDescent="0.2">
      <c r="B27" s="167"/>
      <c r="C27" s="164" t="s">
        <v>93</v>
      </c>
      <c r="D27" s="187"/>
      <c r="E27" s="187"/>
      <c r="F27" s="187"/>
      <c r="G27" s="187"/>
      <c r="H27" s="187"/>
      <c r="I27" s="150"/>
      <c r="J27" s="150"/>
      <c r="K27" s="150"/>
      <c r="L27" s="150"/>
      <c r="M27" s="150"/>
      <c r="N27" s="145"/>
      <c r="O27" s="150"/>
      <c r="P27" s="150"/>
      <c r="Q27" s="150"/>
      <c r="R27" s="150"/>
      <c r="S27" s="145"/>
      <c r="T27" s="206"/>
    </row>
    <row r="28" spans="2:20" x14ac:dyDescent="0.2">
      <c r="B28" s="172"/>
      <c r="C28" s="173"/>
      <c r="D28" s="206"/>
      <c r="E28" s="206"/>
      <c r="F28" s="206"/>
      <c r="G28" s="206"/>
      <c r="H28" s="206"/>
      <c r="I28" s="153"/>
      <c r="J28" s="153"/>
      <c r="K28" s="150"/>
      <c r="L28" s="150"/>
      <c r="M28" s="150"/>
      <c r="N28" s="145"/>
      <c r="O28" s="150"/>
      <c r="P28" s="150"/>
      <c r="Q28" s="150"/>
      <c r="R28" s="150"/>
      <c r="S28" s="145"/>
      <c r="T28" s="137"/>
    </row>
    <row r="29" spans="2:20" ht="15" thickBot="1" x14ac:dyDescent="0.25">
      <c r="B29" s="206"/>
      <c r="C29" s="207"/>
      <c r="D29" s="206"/>
      <c r="E29" s="206"/>
      <c r="F29" s="206"/>
      <c r="G29" s="206"/>
      <c r="H29" s="206"/>
      <c r="I29" s="153"/>
      <c r="J29" s="153"/>
      <c r="K29" s="150"/>
      <c r="L29" s="150"/>
      <c r="M29" s="150"/>
      <c r="N29" s="145"/>
      <c r="O29" s="150"/>
      <c r="P29" s="150"/>
      <c r="Q29" s="150"/>
      <c r="R29" s="150"/>
      <c r="S29" s="145"/>
      <c r="T29" s="137"/>
    </row>
    <row r="30" spans="2:20" s="137" customFormat="1" ht="20.45" customHeight="1" thickBot="1" x14ac:dyDescent="0.25">
      <c r="B30" s="168" t="str">
        <f ca="1" xml:space="preserve"> RIGHT(CELL("filename", $A$1), LEN(CELL("filename", $A$1)) - SEARCH("]", CELL("filename", $A$1)))&amp;" - Line definitions"</f>
        <v>2D - Line definitions</v>
      </c>
      <c r="C30" s="169"/>
      <c r="D30" s="170"/>
      <c r="E30" s="170"/>
      <c r="F30" s="170"/>
      <c r="G30" s="170"/>
      <c r="H30" s="170"/>
      <c r="I30" s="170"/>
      <c r="J30" s="176"/>
      <c r="K30" s="153"/>
      <c r="L30" s="150"/>
      <c r="M30" s="150"/>
      <c r="N30" s="145"/>
      <c r="O30" s="150"/>
      <c r="P30" s="150"/>
      <c r="Q30" s="150"/>
      <c r="R30" s="150"/>
      <c r="S30" s="145"/>
      <c r="T30" s="398"/>
    </row>
    <row r="31" spans="2:20" s="187" customFormat="1" ht="14.45" customHeight="1" thickBot="1" x14ac:dyDescent="0.25">
      <c r="B31" s="99"/>
      <c r="C31" s="177"/>
      <c r="D31" s="99"/>
      <c r="E31" s="99"/>
      <c r="F31" s="137"/>
      <c r="G31" s="137"/>
      <c r="H31" s="137"/>
      <c r="I31" s="144"/>
      <c r="J31" s="144"/>
      <c r="K31" s="153"/>
      <c r="L31" s="150"/>
      <c r="M31" s="150"/>
      <c r="N31" s="145"/>
      <c r="O31" s="150"/>
      <c r="P31" s="150"/>
      <c r="Q31" s="150"/>
      <c r="R31" s="150"/>
      <c r="S31" s="145"/>
      <c r="T31" s="99"/>
    </row>
    <row r="32" spans="2:20" s="187" customFormat="1" ht="15" thickBot="1" x14ac:dyDescent="0.25">
      <c r="B32" s="490" t="s">
        <v>94</v>
      </c>
      <c r="C32" s="491" t="s">
        <v>95</v>
      </c>
      <c r="D32" s="492"/>
      <c r="E32" s="492"/>
      <c r="F32" s="492"/>
      <c r="G32" s="492"/>
      <c r="H32" s="492"/>
      <c r="I32" s="492"/>
      <c r="J32" s="493"/>
      <c r="K32" s="144"/>
      <c r="L32" s="146"/>
      <c r="M32" s="144"/>
      <c r="N32" s="145"/>
      <c r="O32" s="112" t="s">
        <v>96</v>
      </c>
      <c r="P32" s="144"/>
      <c r="Q32" s="144"/>
      <c r="R32" s="144"/>
      <c r="S32" s="145"/>
      <c r="T32" s="99"/>
    </row>
    <row r="33" spans="1:20" s="187" customFormat="1" ht="14.1" customHeight="1" x14ac:dyDescent="0.2">
      <c r="B33" s="209">
        <f>B7</f>
        <v>1</v>
      </c>
      <c r="C33" s="704" t="s">
        <v>393</v>
      </c>
      <c r="D33" s="704"/>
      <c r="E33" s="704"/>
      <c r="F33" s="704"/>
      <c r="G33" s="704"/>
      <c r="H33" s="704"/>
      <c r="I33" s="704"/>
      <c r="J33" s="705"/>
      <c r="K33" s="144"/>
      <c r="L33" s="146"/>
      <c r="M33" s="144"/>
      <c r="N33" s="148"/>
      <c r="O33" s="186">
        <v>1</v>
      </c>
      <c r="P33" s="292"/>
      <c r="Q33" s="144"/>
      <c r="R33" s="144"/>
      <c r="S33" s="148"/>
      <c r="T33" s="99"/>
    </row>
    <row r="34" spans="1:20" s="187" customFormat="1" ht="14.1" customHeight="1" x14ac:dyDescent="0.2">
      <c r="B34" s="184">
        <f>B8</f>
        <v>2</v>
      </c>
      <c r="C34" s="695" t="s">
        <v>394</v>
      </c>
      <c r="D34" s="695"/>
      <c r="E34" s="695"/>
      <c r="F34" s="695"/>
      <c r="G34" s="695"/>
      <c r="H34" s="695"/>
      <c r="I34" s="695"/>
      <c r="J34" s="696"/>
      <c r="K34" s="433"/>
      <c r="L34" s="153"/>
      <c r="M34" s="144"/>
      <c r="N34" s="148"/>
      <c r="O34" s="292">
        <v>1</v>
      </c>
      <c r="P34" s="292"/>
      <c r="Q34" s="144"/>
      <c r="R34" s="144"/>
      <c r="S34" s="148"/>
      <c r="T34" s="99"/>
    </row>
    <row r="35" spans="1:20" s="187" customFormat="1" ht="14.1" customHeight="1" x14ac:dyDescent="0.2">
      <c r="B35" s="184">
        <f>B9</f>
        <v>3</v>
      </c>
      <c r="C35" s="695" t="s">
        <v>395</v>
      </c>
      <c r="D35" s="695"/>
      <c r="E35" s="695"/>
      <c r="F35" s="695"/>
      <c r="G35" s="695"/>
      <c r="H35" s="695"/>
      <c r="I35" s="695"/>
      <c r="J35" s="696"/>
      <c r="K35" s="436"/>
      <c r="L35" s="146"/>
      <c r="M35" s="144"/>
      <c r="N35" s="148"/>
      <c r="O35" s="292">
        <v>1</v>
      </c>
      <c r="P35" s="292"/>
      <c r="Q35" s="144"/>
      <c r="R35" s="144"/>
      <c r="S35" s="148"/>
      <c r="T35" s="99"/>
    </row>
    <row r="36" spans="1:20" s="187" customFormat="1" x14ac:dyDescent="0.2">
      <c r="B36" s="184">
        <f>B10</f>
        <v>4</v>
      </c>
      <c r="C36" s="695" t="s">
        <v>396</v>
      </c>
      <c r="D36" s="695"/>
      <c r="E36" s="695"/>
      <c r="F36" s="695"/>
      <c r="G36" s="695"/>
      <c r="H36" s="695"/>
      <c r="I36" s="695"/>
      <c r="J36" s="696"/>
      <c r="K36" s="436"/>
      <c r="L36" s="137"/>
      <c r="M36" s="137"/>
      <c r="N36" s="148"/>
      <c r="O36" s="292">
        <v>1</v>
      </c>
      <c r="P36" s="345"/>
      <c r="Q36" s="137"/>
      <c r="R36" s="137"/>
      <c r="S36" s="148"/>
      <c r="T36" s="99"/>
    </row>
    <row r="37" spans="1:20" s="187" customFormat="1" x14ac:dyDescent="0.2">
      <c r="B37" s="184">
        <f>B13</f>
        <v>5</v>
      </c>
      <c r="C37" s="695" t="s">
        <v>397</v>
      </c>
      <c r="D37" s="695"/>
      <c r="E37" s="695"/>
      <c r="F37" s="695"/>
      <c r="G37" s="695"/>
      <c r="H37" s="695"/>
      <c r="I37" s="695"/>
      <c r="J37" s="696"/>
      <c r="K37" s="436"/>
      <c r="L37" s="137"/>
      <c r="M37" s="137"/>
      <c r="N37" s="148"/>
      <c r="O37" s="501">
        <v>1</v>
      </c>
      <c r="P37" s="345"/>
      <c r="Q37" s="137"/>
      <c r="R37" s="137"/>
      <c r="S37" s="148"/>
      <c r="T37" s="99"/>
    </row>
    <row r="38" spans="1:20" s="206" customFormat="1" x14ac:dyDescent="0.2">
      <c r="A38" s="172"/>
      <c r="B38" s="184">
        <f>B14</f>
        <v>6</v>
      </c>
      <c r="C38" s="695" t="s">
        <v>398</v>
      </c>
      <c r="D38" s="695"/>
      <c r="E38" s="695"/>
      <c r="F38" s="695"/>
      <c r="G38" s="695"/>
      <c r="H38" s="695"/>
      <c r="I38" s="695"/>
      <c r="J38" s="696"/>
      <c r="K38" s="436"/>
      <c r="L38" s="146"/>
      <c r="M38" s="146"/>
      <c r="N38" s="148"/>
      <c r="O38" s="292">
        <v>1</v>
      </c>
      <c r="P38" s="292"/>
      <c r="Q38" s="146"/>
      <c r="R38" s="146"/>
      <c r="S38" s="148"/>
      <c r="T38" s="99"/>
    </row>
    <row r="39" spans="1:20" s="206" customFormat="1" ht="14.1" customHeight="1" x14ac:dyDescent="0.2">
      <c r="B39" s="184">
        <f>B15</f>
        <v>7</v>
      </c>
      <c r="C39" s="695" t="s">
        <v>399</v>
      </c>
      <c r="D39" s="695"/>
      <c r="E39" s="695"/>
      <c r="F39" s="695"/>
      <c r="G39" s="695"/>
      <c r="H39" s="695"/>
      <c r="I39" s="695"/>
      <c r="J39" s="696"/>
      <c r="K39" s="436"/>
      <c r="L39" s="146"/>
      <c r="M39" s="146"/>
      <c r="N39" s="148"/>
      <c r="O39" s="292">
        <v>1</v>
      </c>
      <c r="P39" s="292"/>
      <c r="Q39" s="146"/>
      <c r="R39" s="146"/>
      <c r="S39" s="148"/>
      <c r="T39" s="99"/>
    </row>
    <row r="40" spans="1:20" s="137" customFormat="1" ht="14.1" customHeight="1" x14ac:dyDescent="0.2">
      <c r="B40" s="184">
        <f>B16</f>
        <v>8</v>
      </c>
      <c r="C40" s="695" t="s">
        <v>400</v>
      </c>
      <c r="D40" s="695"/>
      <c r="E40" s="695"/>
      <c r="F40" s="695"/>
      <c r="G40" s="695"/>
      <c r="H40" s="695"/>
      <c r="I40" s="695"/>
      <c r="J40" s="696"/>
      <c r="K40" s="436"/>
      <c r="L40" s="146"/>
      <c r="M40" s="146"/>
      <c r="N40" s="148"/>
      <c r="O40" s="292">
        <v>1</v>
      </c>
      <c r="P40" s="292"/>
      <c r="Q40" s="146"/>
      <c r="R40" s="146"/>
      <c r="S40" s="148"/>
      <c r="T40" s="99"/>
    </row>
    <row r="41" spans="1:20" s="137" customFormat="1" x14ac:dyDescent="0.2">
      <c r="B41" s="184">
        <f>B18</f>
        <v>9</v>
      </c>
      <c r="C41" s="695" t="s">
        <v>401</v>
      </c>
      <c r="D41" s="695"/>
      <c r="E41" s="695"/>
      <c r="F41" s="695"/>
      <c r="G41" s="695"/>
      <c r="H41" s="695"/>
      <c r="I41" s="695"/>
      <c r="J41" s="696"/>
      <c r="K41" s="436"/>
      <c r="L41" s="95"/>
      <c r="M41" s="95"/>
      <c r="N41" s="148"/>
      <c r="O41" s="186">
        <v>1</v>
      </c>
      <c r="P41" s="502"/>
      <c r="Q41" s="95"/>
      <c r="R41" s="95"/>
      <c r="S41" s="148"/>
      <c r="T41" s="99"/>
    </row>
    <row r="42" spans="1:20" s="137" customFormat="1" ht="14.1" customHeight="1" thickBot="1" x14ac:dyDescent="0.25">
      <c r="B42" s="211">
        <f>B19</f>
        <v>10</v>
      </c>
      <c r="C42" s="697" t="s">
        <v>402</v>
      </c>
      <c r="D42" s="697"/>
      <c r="E42" s="697"/>
      <c r="F42" s="697"/>
      <c r="G42" s="697"/>
      <c r="H42" s="697"/>
      <c r="I42" s="697"/>
      <c r="J42" s="698"/>
      <c r="K42" s="436"/>
      <c r="L42" s="95"/>
      <c r="M42" s="95"/>
      <c r="N42" s="96"/>
      <c r="O42" s="183">
        <v>1</v>
      </c>
      <c r="P42" s="502"/>
      <c r="Q42" s="95"/>
      <c r="R42" s="95"/>
      <c r="S42" s="96"/>
      <c r="T42" s="99"/>
    </row>
    <row r="43" spans="1:20" s="137" customFormat="1" ht="14.1" customHeight="1" x14ac:dyDescent="0.2">
      <c r="B43" s="95"/>
      <c r="C43" s="95"/>
      <c r="D43" s="95"/>
      <c r="E43" s="95"/>
      <c r="F43" s="95"/>
      <c r="G43" s="95"/>
      <c r="H43" s="95"/>
      <c r="I43" s="95"/>
      <c r="J43" s="95"/>
      <c r="K43" s="436"/>
      <c r="L43" s="95"/>
      <c r="M43" s="95"/>
      <c r="N43" s="96"/>
      <c r="O43" s="183"/>
      <c r="P43" s="502"/>
      <c r="Q43" s="95"/>
      <c r="R43" s="95"/>
      <c r="S43" s="96"/>
      <c r="T43" s="99"/>
    </row>
    <row r="44" spans="1:20" s="137" customFormat="1" ht="14.1" hidden="1" customHeight="1" x14ac:dyDescent="0.2">
      <c r="B44" s="95"/>
      <c r="C44" s="95"/>
      <c r="D44" s="95"/>
      <c r="E44" s="95"/>
      <c r="F44" s="95"/>
      <c r="G44" s="95"/>
      <c r="H44" s="95"/>
      <c r="I44" s="95"/>
      <c r="J44" s="95"/>
      <c r="K44" s="436"/>
      <c r="L44" s="95"/>
      <c r="M44" s="95"/>
      <c r="N44" s="96"/>
      <c r="O44" s="147"/>
      <c r="P44" s="95"/>
      <c r="Q44" s="95"/>
      <c r="R44" s="95"/>
      <c r="S44" s="96"/>
      <c r="T44" s="99"/>
    </row>
    <row r="45" spans="1:20" s="137" customFormat="1" hidden="1" x14ac:dyDescent="0.2">
      <c r="B45" s="95"/>
      <c r="C45" s="95"/>
      <c r="D45" s="95"/>
      <c r="E45" s="95"/>
      <c r="F45" s="95"/>
      <c r="G45" s="95"/>
      <c r="H45" s="95"/>
      <c r="I45" s="95"/>
      <c r="J45" s="95"/>
      <c r="K45" s="436"/>
      <c r="L45" s="95"/>
      <c r="M45" s="95"/>
      <c r="N45" s="96"/>
      <c r="O45" s="147"/>
      <c r="P45" s="95"/>
      <c r="Q45" s="95"/>
      <c r="R45" s="95"/>
      <c r="S45" s="96"/>
      <c r="T45" s="99"/>
    </row>
    <row r="46" spans="1:20" s="137" customFormat="1" hidden="1" x14ac:dyDescent="0.2">
      <c r="B46" s="95"/>
      <c r="C46" s="95"/>
      <c r="D46" s="95"/>
      <c r="E46" s="95"/>
      <c r="F46" s="95"/>
      <c r="G46" s="95"/>
      <c r="H46" s="95"/>
      <c r="I46" s="95"/>
      <c r="J46" s="95"/>
      <c r="K46" s="436"/>
      <c r="L46" s="95"/>
      <c r="M46" s="95"/>
      <c r="N46" s="96"/>
      <c r="O46" s="147"/>
      <c r="P46" s="95"/>
      <c r="Q46" s="95"/>
      <c r="R46" s="95"/>
      <c r="S46" s="96"/>
      <c r="T46" s="99"/>
    </row>
    <row r="47" spans="1:20" s="206" customFormat="1" hidden="1" x14ac:dyDescent="0.2">
      <c r="B47" s="95"/>
      <c r="C47" s="95"/>
      <c r="D47" s="95"/>
      <c r="E47" s="95"/>
      <c r="F47" s="95"/>
      <c r="G47" s="95"/>
      <c r="H47" s="95"/>
      <c r="I47" s="95"/>
      <c r="J47" s="95"/>
      <c r="K47" s="95"/>
      <c r="L47" s="95"/>
      <c r="M47" s="95"/>
      <c r="N47" s="96"/>
      <c r="O47" s="147"/>
      <c r="P47" s="95"/>
      <c r="Q47" s="95"/>
      <c r="R47" s="95"/>
      <c r="S47" s="96"/>
      <c r="T47" s="99"/>
    </row>
    <row r="48" spans="1:20" s="137" customFormat="1" hidden="1" x14ac:dyDescent="0.2">
      <c r="B48" s="95"/>
      <c r="C48" s="95"/>
      <c r="D48" s="95"/>
      <c r="E48" s="95"/>
      <c r="F48" s="95"/>
      <c r="G48" s="95"/>
      <c r="H48" s="95"/>
      <c r="I48" s="95"/>
      <c r="J48" s="95"/>
      <c r="K48" s="95"/>
      <c r="L48" s="95"/>
      <c r="M48" s="95"/>
      <c r="N48" s="96"/>
      <c r="O48" s="147"/>
      <c r="P48" s="95"/>
      <c r="Q48" s="95"/>
      <c r="R48" s="95"/>
      <c r="S48" s="96"/>
      <c r="T48" s="99"/>
    </row>
    <row r="49" spans="2:20" s="137" customFormat="1" hidden="1" x14ac:dyDescent="0.2">
      <c r="B49" s="95"/>
      <c r="C49" s="95"/>
      <c r="D49" s="95"/>
      <c r="E49" s="95"/>
      <c r="F49" s="95"/>
      <c r="G49" s="95"/>
      <c r="H49" s="95"/>
      <c r="I49" s="95"/>
      <c r="J49" s="95"/>
      <c r="K49" s="95"/>
      <c r="L49" s="95"/>
      <c r="M49" s="95"/>
      <c r="N49" s="96"/>
      <c r="O49" s="147"/>
      <c r="P49" s="95"/>
      <c r="Q49" s="95"/>
      <c r="R49" s="95"/>
      <c r="S49" s="96"/>
      <c r="T49" s="99"/>
    </row>
    <row r="50" spans="2:20" s="137" customFormat="1" hidden="1" x14ac:dyDescent="0.2">
      <c r="B50" s="95"/>
      <c r="C50" s="95"/>
      <c r="D50" s="95"/>
      <c r="E50" s="95"/>
      <c r="F50" s="95"/>
      <c r="G50" s="95"/>
      <c r="H50" s="95"/>
      <c r="I50" s="95"/>
      <c r="J50" s="95"/>
      <c r="K50" s="95"/>
      <c r="L50" s="95"/>
      <c r="M50" s="95"/>
      <c r="N50" s="96"/>
      <c r="O50" s="147"/>
      <c r="P50" s="95"/>
      <c r="Q50" s="95"/>
      <c r="R50" s="95"/>
      <c r="S50" s="96"/>
      <c r="T50" s="99"/>
    </row>
    <row r="51" spans="2:20" s="146" customFormat="1" hidden="1" x14ac:dyDescent="0.2">
      <c r="B51" s="95"/>
      <c r="C51" s="95"/>
      <c r="D51" s="95"/>
      <c r="E51" s="95"/>
      <c r="F51" s="95"/>
      <c r="G51" s="95"/>
      <c r="H51" s="95"/>
      <c r="I51" s="95"/>
      <c r="J51" s="95"/>
      <c r="K51" s="95"/>
      <c r="L51" s="95"/>
      <c r="M51" s="95"/>
      <c r="N51" s="96"/>
      <c r="O51" s="147"/>
      <c r="P51" s="95"/>
      <c r="Q51" s="95"/>
      <c r="R51" s="95"/>
      <c r="S51" s="96"/>
      <c r="T51" s="99"/>
    </row>
    <row r="52" spans="2:20" s="146" customFormat="1" hidden="1" x14ac:dyDescent="0.2">
      <c r="B52" s="95"/>
      <c r="C52" s="95"/>
      <c r="D52" s="95"/>
      <c r="E52" s="95"/>
      <c r="F52" s="95"/>
      <c r="G52" s="95"/>
      <c r="H52" s="95"/>
      <c r="I52" s="95"/>
      <c r="J52" s="95"/>
      <c r="K52" s="95"/>
      <c r="L52" s="95"/>
      <c r="M52" s="95"/>
      <c r="N52" s="96"/>
      <c r="O52" s="147"/>
      <c r="P52" s="95"/>
      <c r="Q52" s="95"/>
      <c r="R52" s="95"/>
      <c r="S52" s="96"/>
      <c r="T52" s="99"/>
    </row>
    <row r="53" spans="2:20" s="146" customFormat="1" hidden="1" x14ac:dyDescent="0.2">
      <c r="B53" s="95"/>
      <c r="C53" s="95"/>
      <c r="D53" s="95"/>
      <c r="E53" s="95"/>
      <c r="F53" s="95"/>
      <c r="G53" s="95"/>
      <c r="H53" s="95"/>
      <c r="I53" s="95"/>
      <c r="J53" s="95"/>
      <c r="K53" s="95"/>
      <c r="L53" s="95"/>
      <c r="M53" s="95"/>
      <c r="N53" s="96"/>
      <c r="O53" s="147"/>
      <c r="P53" s="95"/>
      <c r="Q53" s="95"/>
      <c r="R53" s="95"/>
      <c r="S53" s="96"/>
      <c r="T53" s="99"/>
    </row>
    <row r="54" spans="2:20" hidden="1" x14ac:dyDescent="0.2">
      <c r="O54" s="147"/>
    </row>
    <row r="55" spans="2:20" hidden="1" x14ac:dyDescent="0.2">
      <c r="O55" s="147"/>
    </row>
    <row r="56" spans="2:20" hidden="1" x14ac:dyDescent="0.2">
      <c r="O56" s="147"/>
    </row>
    <row r="57" spans="2:20" hidden="1" x14ac:dyDescent="0.2">
      <c r="O57" s="147"/>
    </row>
    <row r="58" spans="2:20" hidden="1" x14ac:dyDescent="0.2">
      <c r="O58" s="147"/>
    </row>
    <row r="59" spans="2:20" hidden="1" x14ac:dyDescent="0.2">
      <c r="O59" s="147"/>
    </row>
    <row r="60" spans="2:20" hidden="1" x14ac:dyDescent="0.2">
      <c r="O60" s="147"/>
    </row>
  </sheetData>
  <sheetProtection algorithmName="SHA-512" hashValue="dQVBdVdp4o+4WIcXO5IE2JoxqgnTwe4ZTgclVfHBTjdT0IdAoQOqpySBkx+/eATz2a2WNSC8TtTJ9f5IpJ17dw==" saltValue="yenUcnNiT7/bKdyauTAc3w==" spinCount="100000" sheet="1" objects="1" scenarios="1"/>
  <mergeCells count="19">
    <mergeCell ref="C35:J35"/>
    <mergeCell ref="B3:C4"/>
    <mergeCell ref="D3:D4"/>
    <mergeCell ref="E3:E4"/>
    <mergeCell ref="F3:G3"/>
    <mergeCell ref="H3:I3"/>
    <mergeCell ref="J3:J4"/>
    <mergeCell ref="L3:L4"/>
    <mergeCell ref="O3:R4"/>
    <mergeCell ref="B21:C21"/>
    <mergeCell ref="C33:J33"/>
    <mergeCell ref="C34:J34"/>
    <mergeCell ref="C42:J42"/>
    <mergeCell ref="C36:J36"/>
    <mergeCell ref="C37:J37"/>
    <mergeCell ref="C38:J38"/>
    <mergeCell ref="C39:J39"/>
    <mergeCell ref="C40:J40"/>
    <mergeCell ref="C41:J41"/>
  </mergeCells>
  <conditionalFormatting sqref="L7:L11">
    <cfRule type="cellIs" dxfId="72" priority="6" operator="equal">
      <formula>0</formula>
    </cfRule>
  </conditionalFormatting>
  <conditionalFormatting sqref="L13:L15">
    <cfRule type="cellIs" dxfId="71" priority="2" operator="equal">
      <formula>0</formula>
    </cfRule>
  </conditionalFormatting>
  <conditionalFormatting sqref="L16:L17">
    <cfRule type="cellIs" dxfId="70" priority="3" operator="equal">
      <formula>2</formula>
    </cfRule>
  </conditionalFormatting>
  <conditionalFormatting sqref="L20:L21">
    <cfRule type="cellIs" dxfId="69" priority="5" operator="equal">
      <formula>2</formula>
    </cfRule>
  </conditionalFormatting>
  <printOptions horizontalCentered="1"/>
  <pageMargins left="0.39370078740157483" right="0.39370078740157483" top="0.78740157480314965" bottom="0.78740157480314965" header="0.31496062992125984" footer="0.31496062992125984"/>
  <pageSetup paperSize="8" scale="91"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20" id="{CA1E7E2E-419B-41CD-BA1D-EECCF95A25AD}">
            <xm:f>Validation!$H$3=1</xm:f>
            <x14:dxf>
              <fill>
                <patternFill>
                  <bgColor rgb="FFE0DCD8"/>
                </patternFill>
              </fill>
            </x14:dxf>
          </x14:cfRule>
          <xm:sqref>G7:G10 G13:G16 G18:G19</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U77"/>
  <sheetViews>
    <sheetView showGridLines="0" topLeftCell="A4" zoomScaleNormal="100" workbookViewId="0">
      <selection activeCell="G16" sqref="G16"/>
    </sheetView>
  </sheetViews>
  <sheetFormatPr defaultColWidth="0" defaultRowHeight="14.25" zeroHeight="1" x14ac:dyDescent="0.2"/>
  <cols>
    <col min="1" max="1" width="1.625" style="95" customWidth="1"/>
    <col min="2" max="2" width="4.125" style="95" customWidth="1"/>
    <col min="3" max="3" width="38.125" style="95" customWidth="1"/>
    <col min="4" max="5" width="5.125" style="95" customWidth="1"/>
    <col min="6" max="13" width="14.625" style="95" customWidth="1"/>
    <col min="14" max="14" width="2.625" style="95" customWidth="1"/>
    <col min="15" max="15" width="18.875" style="95" bestFit="1" customWidth="1"/>
    <col min="16" max="16" width="1.625" style="95" customWidth="1"/>
    <col min="17" max="17" width="1.625" style="96" hidden="1" customWidth="1"/>
    <col min="18" max="20" width="5.625" style="95" hidden="1" customWidth="1"/>
    <col min="21" max="21" width="1.625" style="96" hidden="1" customWidth="1"/>
    <col min="22" max="16384" width="8.75" hidden="1"/>
  </cols>
  <sheetData>
    <row r="1" spans="2:20" ht="20.25" x14ac:dyDescent="0.2">
      <c r="B1" s="91" t="s">
        <v>403</v>
      </c>
      <c r="C1" s="91"/>
      <c r="D1" s="91"/>
      <c r="E1" s="91"/>
      <c r="F1" s="91"/>
      <c r="G1" s="91"/>
      <c r="H1" s="91"/>
      <c r="I1" s="93"/>
      <c r="J1" s="91"/>
      <c r="K1" s="91"/>
      <c r="L1" s="91"/>
      <c r="M1" s="93" t="str">
        <f>Validation!B3</f>
        <v>Yorkshire Water</v>
      </c>
      <c r="N1" s="91"/>
      <c r="O1" s="94" t="s">
        <v>62</v>
      </c>
    </row>
    <row r="2" spans="2:20" ht="15" thickBot="1" x14ac:dyDescent="0.25">
      <c r="B2" s="98" t="s">
        <v>48</v>
      </c>
    </row>
    <row r="3" spans="2:20" ht="14.45" customHeight="1" x14ac:dyDescent="0.2">
      <c r="B3" s="794" t="s">
        <v>63</v>
      </c>
      <c r="C3" s="795"/>
      <c r="D3" s="798" t="s">
        <v>64</v>
      </c>
      <c r="E3" s="800" t="s">
        <v>65</v>
      </c>
      <c r="F3" s="733" t="s">
        <v>404</v>
      </c>
      <c r="G3" s="734"/>
      <c r="H3" s="734"/>
      <c r="I3" s="735"/>
      <c r="J3" s="790" t="s">
        <v>405</v>
      </c>
      <c r="K3" s="791"/>
      <c r="L3" s="791"/>
      <c r="M3" s="792"/>
      <c r="O3" s="699" t="s">
        <v>69</v>
      </c>
      <c r="R3" s="702" t="s">
        <v>73</v>
      </c>
      <c r="S3" s="702"/>
      <c r="T3" s="787"/>
    </row>
    <row r="4" spans="2:20" ht="41.25" thickBot="1" x14ac:dyDescent="0.25">
      <c r="B4" s="796"/>
      <c r="C4" s="797"/>
      <c r="D4" s="799"/>
      <c r="E4" s="801"/>
      <c r="F4" s="104" t="s">
        <v>406</v>
      </c>
      <c r="G4" s="105" t="s">
        <v>407</v>
      </c>
      <c r="H4" s="105" t="s">
        <v>408</v>
      </c>
      <c r="I4" s="106" t="s">
        <v>246</v>
      </c>
      <c r="J4" s="463" t="s">
        <v>406</v>
      </c>
      <c r="K4" s="464" t="s">
        <v>407</v>
      </c>
      <c r="L4" s="464" t="s">
        <v>408</v>
      </c>
      <c r="M4" s="465" t="s">
        <v>246</v>
      </c>
      <c r="O4" s="701"/>
      <c r="P4" s="107"/>
      <c r="R4" s="702"/>
      <c r="S4" s="702"/>
      <c r="T4" s="787"/>
    </row>
    <row r="5" spans="2:20" ht="15" thickBot="1" x14ac:dyDescent="0.25">
      <c r="J5" s="466"/>
      <c r="K5" s="466"/>
      <c r="L5" s="466"/>
      <c r="M5" s="466"/>
      <c r="R5" s="112" t="s">
        <v>74</v>
      </c>
    </row>
    <row r="6" spans="2:20" ht="15" thickBot="1" x14ac:dyDescent="0.25">
      <c r="B6" s="110" t="s">
        <v>124</v>
      </c>
      <c r="C6" s="111" t="s">
        <v>409</v>
      </c>
      <c r="J6" s="466"/>
      <c r="K6" s="466"/>
      <c r="L6" s="466"/>
      <c r="M6" s="466"/>
    </row>
    <row r="7" spans="2:20" x14ac:dyDescent="0.2">
      <c r="B7" s="113">
        <v>1</v>
      </c>
      <c r="C7" s="143" t="s">
        <v>410</v>
      </c>
      <c r="D7" s="115" t="s">
        <v>76</v>
      </c>
      <c r="E7" s="116">
        <v>3</v>
      </c>
      <c r="F7" s="567">
        <v>0</v>
      </c>
      <c r="G7" s="579">
        <v>6.9969999999999999</v>
      </c>
      <c r="H7" s="637">
        <v>0</v>
      </c>
      <c r="I7" s="219">
        <f>SUM(F7:H7)</f>
        <v>6.9969999999999999</v>
      </c>
      <c r="J7" s="467"/>
      <c r="K7" s="468"/>
      <c r="L7" s="469"/>
      <c r="M7" s="470">
        <f>SUM(J7:L7)</f>
        <v>0</v>
      </c>
      <c r="O7" s="29">
        <f xml:space="preserve"> IF( SUM( Q7:U7 ) = 0, 0, $R$5 )</f>
        <v>0</v>
      </c>
      <c r="R7" s="120">
        <f xml:space="preserve"> IF( ISNUMBER( F7 ), 0, 1 )</f>
        <v>0</v>
      </c>
      <c r="S7" s="120">
        <f t="shared" ref="S7:T11" si="0" xml:space="preserve"> IF( ISNUMBER( G7 ), 0, 1 )</f>
        <v>0</v>
      </c>
      <c r="T7" s="120">
        <f t="shared" si="0"/>
        <v>0</v>
      </c>
    </row>
    <row r="8" spans="2:20" x14ac:dyDescent="0.2">
      <c r="B8" s="121">
        <f xml:space="preserve"> B7 + 1</f>
        <v>2</v>
      </c>
      <c r="C8" s="114" t="s">
        <v>411</v>
      </c>
      <c r="D8" s="122" t="s">
        <v>76</v>
      </c>
      <c r="E8" s="123">
        <v>3</v>
      </c>
      <c r="F8" s="565">
        <v>0</v>
      </c>
      <c r="G8" s="566">
        <v>5.0460000000000003</v>
      </c>
      <c r="H8" s="638">
        <v>0</v>
      </c>
      <c r="I8" s="222">
        <f t="shared" ref="I8:I12" si="1">SUM(F8:H8)</f>
        <v>5.0460000000000003</v>
      </c>
      <c r="J8" s="471"/>
      <c r="K8" s="472"/>
      <c r="L8" s="473"/>
      <c r="M8" s="474">
        <f t="shared" ref="M8:M12" si="2">SUM(J8:L8)</f>
        <v>0</v>
      </c>
      <c r="O8" s="29">
        <f t="shared" ref="O8:O11" si="3" xml:space="preserve"> IF( SUM( Q8:U8 ) = 0, 0, $R$5 )</f>
        <v>0</v>
      </c>
      <c r="R8" s="120">
        <f t="shared" ref="R8:R11" si="4" xml:space="preserve"> IF( ISNUMBER( F8 ), 0, 1 )</f>
        <v>0</v>
      </c>
      <c r="S8" s="120">
        <f t="shared" si="0"/>
        <v>0</v>
      </c>
      <c r="T8" s="120">
        <f t="shared" si="0"/>
        <v>0</v>
      </c>
    </row>
    <row r="9" spans="2:20" x14ac:dyDescent="0.2">
      <c r="B9" s="121">
        <f xml:space="preserve"> B8 + 1</f>
        <v>3</v>
      </c>
      <c r="C9" s="114" t="s">
        <v>412</v>
      </c>
      <c r="D9" s="122" t="s">
        <v>76</v>
      </c>
      <c r="E9" s="123">
        <v>3</v>
      </c>
      <c r="F9" s="565">
        <v>0</v>
      </c>
      <c r="G9" s="566">
        <v>2.2989999999999999</v>
      </c>
      <c r="H9" s="638">
        <v>0</v>
      </c>
      <c r="I9" s="222">
        <f t="shared" si="1"/>
        <v>2.2989999999999999</v>
      </c>
      <c r="J9" s="471"/>
      <c r="K9" s="472"/>
      <c r="L9" s="473"/>
      <c r="M9" s="474">
        <f t="shared" si="2"/>
        <v>0</v>
      </c>
      <c r="O9" s="29">
        <f t="shared" si="3"/>
        <v>0</v>
      </c>
      <c r="R9" s="120">
        <f t="shared" si="4"/>
        <v>0</v>
      </c>
      <c r="S9" s="120">
        <f t="shared" si="0"/>
        <v>0</v>
      </c>
      <c r="T9" s="120">
        <f t="shared" si="0"/>
        <v>0</v>
      </c>
    </row>
    <row r="10" spans="2:20" x14ac:dyDescent="0.2">
      <c r="B10" s="121">
        <f xml:space="preserve"> B9 + 1</f>
        <v>4</v>
      </c>
      <c r="C10" s="114" t="s">
        <v>413</v>
      </c>
      <c r="D10" s="122" t="s">
        <v>76</v>
      </c>
      <c r="E10" s="123">
        <v>3</v>
      </c>
      <c r="F10" s="565">
        <v>0</v>
      </c>
      <c r="G10" s="566">
        <v>2.855</v>
      </c>
      <c r="H10" s="638">
        <v>0</v>
      </c>
      <c r="I10" s="222">
        <f t="shared" si="1"/>
        <v>2.855</v>
      </c>
      <c r="J10" s="471"/>
      <c r="K10" s="472"/>
      <c r="L10" s="473"/>
      <c r="M10" s="474">
        <f t="shared" si="2"/>
        <v>0</v>
      </c>
      <c r="O10" s="29">
        <f t="shared" si="3"/>
        <v>0</v>
      </c>
      <c r="R10" s="120">
        <f t="shared" si="4"/>
        <v>0</v>
      </c>
      <c r="S10" s="120">
        <f t="shared" si="0"/>
        <v>0</v>
      </c>
      <c r="T10" s="120">
        <f t="shared" si="0"/>
        <v>0</v>
      </c>
    </row>
    <row r="11" spans="2:20" x14ac:dyDescent="0.2">
      <c r="B11" s="121">
        <f>B10+1</f>
        <v>5</v>
      </c>
      <c r="C11" s="114" t="s">
        <v>414</v>
      </c>
      <c r="D11" s="122" t="s">
        <v>76</v>
      </c>
      <c r="E11" s="123">
        <v>3</v>
      </c>
      <c r="F11" s="565">
        <v>0</v>
      </c>
      <c r="G11" s="566">
        <v>1.645</v>
      </c>
      <c r="H11" s="638">
        <v>0</v>
      </c>
      <c r="I11" s="222">
        <f t="shared" si="1"/>
        <v>1.645</v>
      </c>
      <c r="J11" s="471"/>
      <c r="K11" s="472"/>
      <c r="L11" s="473"/>
      <c r="M11" s="474">
        <f t="shared" si="2"/>
        <v>0</v>
      </c>
      <c r="O11" s="29">
        <f t="shared" si="3"/>
        <v>0</v>
      </c>
      <c r="R11" s="120">
        <f t="shared" si="4"/>
        <v>0</v>
      </c>
      <c r="S11" s="120">
        <f t="shared" si="0"/>
        <v>0</v>
      </c>
      <c r="T11" s="120">
        <f t="shared" si="0"/>
        <v>0</v>
      </c>
    </row>
    <row r="12" spans="2:20" ht="15" thickBot="1" x14ac:dyDescent="0.25">
      <c r="B12" s="128">
        <f>B11+1</f>
        <v>6</v>
      </c>
      <c r="C12" s="129" t="s">
        <v>246</v>
      </c>
      <c r="D12" s="130" t="s">
        <v>76</v>
      </c>
      <c r="E12" s="127">
        <v>3</v>
      </c>
      <c r="F12" s="223">
        <f>SUM(F7:F11)</f>
        <v>0</v>
      </c>
      <c r="G12" s="224">
        <f>SUM(G7:G11)</f>
        <v>18.841999999999999</v>
      </c>
      <c r="H12" s="475">
        <f>SUM(H7:H11)</f>
        <v>0</v>
      </c>
      <c r="I12" s="225">
        <f t="shared" si="1"/>
        <v>18.841999999999999</v>
      </c>
      <c r="J12" s="476">
        <f>SUM(J7:J11)</f>
        <v>0</v>
      </c>
      <c r="K12" s="477">
        <f>SUM(K7:K11)</f>
        <v>0</v>
      </c>
      <c r="L12" s="478">
        <f>SUM(L7:L11)</f>
        <v>0</v>
      </c>
      <c r="M12" s="479">
        <f t="shared" si="2"/>
        <v>0</v>
      </c>
      <c r="O12" s="256"/>
    </row>
    <row r="13" spans="2:20" ht="15" thickBot="1" x14ac:dyDescent="0.25">
      <c r="J13" s="466"/>
      <c r="K13" s="466"/>
      <c r="L13" s="466"/>
      <c r="M13" s="466"/>
      <c r="O13" s="256"/>
    </row>
    <row r="14" spans="2:20" ht="15" thickBot="1" x14ac:dyDescent="0.25">
      <c r="B14" s="110" t="s">
        <v>133</v>
      </c>
      <c r="C14" s="111" t="s">
        <v>415</v>
      </c>
      <c r="J14" s="466"/>
      <c r="K14" s="466"/>
      <c r="L14" s="466"/>
      <c r="M14" s="466"/>
      <c r="O14" s="256"/>
    </row>
    <row r="15" spans="2:20" x14ac:dyDescent="0.2">
      <c r="B15" s="113">
        <f>B12+1</f>
        <v>7</v>
      </c>
      <c r="C15" s="143" t="s">
        <v>411</v>
      </c>
      <c r="D15" s="115" t="s">
        <v>76</v>
      </c>
      <c r="E15" s="116">
        <v>3</v>
      </c>
      <c r="F15" s="567">
        <v>0</v>
      </c>
      <c r="G15" s="579">
        <v>5.0049999999999999</v>
      </c>
      <c r="H15" s="637">
        <v>0</v>
      </c>
      <c r="I15" s="219">
        <f t="shared" ref="I15:I19" si="5">SUM(F15:H15)</f>
        <v>5.0049999999999999</v>
      </c>
      <c r="J15" s="467"/>
      <c r="K15" s="468"/>
      <c r="L15" s="469"/>
      <c r="M15" s="470">
        <f>SUM(J15:L15)</f>
        <v>0</v>
      </c>
      <c r="O15" s="29">
        <f t="shared" ref="O15:O18" si="6" xml:space="preserve"> IF( SUM( Q15:U15 ) = 0, 0, $R$5 )</f>
        <v>0</v>
      </c>
      <c r="R15" s="120">
        <f t="shared" ref="R15:T18" si="7" xml:space="preserve"> IF( ISNUMBER( F15 ), 0, 1 )</f>
        <v>0</v>
      </c>
      <c r="S15" s="120">
        <f t="shared" si="7"/>
        <v>0</v>
      </c>
      <c r="T15" s="120">
        <f t="shared" si="7"/>
        <v>0</v>
      </c>
    </row>
    <row r="16" spans="2:20" x14ac:dyDescent="0.2">
      <c r="B16" s="121">
        <f xml:space="preserve"> B15 + 1</f>
        <v>8</v>
      </c>
      <c r="C16" s="114" t="s">
        <v>416</v>
      </c>
      <c r="D16" s="122" t="s">
        <v>76</v>
      </c>
      <c r="E16" s="123">
        <v>3</v>
      </c>
      <c r="F16" s="565">
        <v>0</v>
      </c>
      <c r="G16" s="566">
        <v>2.3170000000000002</v>
      </c>
      <c r="H16" s="638">
        <v>0</v>
      </c>
      <c r="I16" s="222">
        <f t="shared" si="5"/>
        <v>2.3170000000000002</v>
      </c>
      <c r="J16" s="471"/>
      <c r="K16" s="472"/>
      <c r="L16" s="473"/>
      <c r="M16" s="474">
        <f t="shared" ref="M16:M19" si="8">SUM(J16:L16)</f>
        <v>0</v>
      </c>
      <c r="O16" s="29">
        <f t="shared" si="6"/>
        <v>0</v>
      </c>
      <c r="R16" s="120">
        <f t="shared" si="7"/>
        <v>0</v>
      </c>
      <c r="S16" s="120">
        <f t="shared" si="7"/>
        <v>0</v>
      </c>
      <c r="T16" s="120">
        <f t="shared" si="7"/>
        <v>0</v>
      </c>
    </row>
    <row r="17" spans="2:21" x14ac:dyDescent="0.2">
      <c r="B17" s="121">
        <f xml:space="preserve"> B16 + 1</f>
        <v>9</v>
      </c>
      <c r="C17" s="114" t="s">
        <v>413</v>
      </c>
      <c r="D17" s="122" t="s">
        <v>76</v>
      </c>
      <c r="E17" s="123">
        <v>3</v>
      </c>
      <c r="F17" s="565">
        <v>0</v>
      </c>
      <c r="G17" s="566">
        <v>1.6830000000000001</v>
      </c>
      <c r="H17" s="638">
        <v>0</v>
      </c>
      <c r="I17" s="222">
        <f t="shared" si="5"/>
        <v>1.6830000000000001</v>
      </c>
      <c r="J17" s="471"/>
      <c r="K17" s="472"/>
      <c r="L17" s="473"/>
      <c r="M17" s="474">
        <f t="shared" si="8"/>
        <v>0</v>
      </c>
      <c r="O17" s="29">
        <f t="shared" si="6"/>
        <v>0</v>
      </c>
      <c r="R17" s="120">
        <f t="shared" si="7"/>
        <v>0</v>
      </c>
      <c r="S17" s="120">
        <f t="shared" si="7"/>
        <v>0</v>
      </c>
      <c r="T17" s="120">
        <f t="shared" si="7"/>
        <v>0</v>
      </c>
    </row>
    <row r="18" spans="2:21" x14ac:dyDescent="0.2">
      <c r="B18" s="480">
        <f>B17+1</f>
        <v>10</v>
      </c>
      <c r="C18" s="248" t="s">
        <v>414</v>
      </c>
      <c r="D18" s="122" t="s">
        <v>76</v>
      </c>
      <c r="E18" s="123">
        <v>3</v>
      </c>
      <c r="F18" s="565">
        <v>0</v>
      </c>
      <c r="G18" s="566">
        <v>0.22600000000000001</v>
      </c>
      <c r="H18" s="638">
        <v>0</v>
      </c>
      <c r="I18" s="222">
        <f t="shared" si="5"/>
        <v>0.22600000000000001</v>
      </c>
      <c r="J18" s="471"/>
      <c r="K18" s="472"/>
      <c r="L18" s="473"/>
      <c r="M18" s="474">
        <f t="shared" si="8"/>
        <v>0</v>
      </c>
      <c r="O18" s="29">
        <f t="shared" si="6"/>
        <v>0</v>
      </c>
      <c r="R18" s="120">
        <f t="shared" si="7"/>
        <v>0</v>
      </c>
      <c r="S18" s="120">
        <f t="shared" si="7"/>
        <v>0</v>
      </c>
      <c r="T18" s="120">
        <f t="shared" si="7"/>
        <v>0</v>
      </c>
    </row>
    <row r="19" spans="2:21" ht="15" thickBot="1" x14ac:dyDescent="0.25">
      <c r="B19" s="128">
        <f>B18+1</f>
        <v>11</v>
      </c>
      <c r="C19" s="129" t="s">
        <v>246</v>
      </c>
      <c r="D19" s="130" t="s">
        <v>76</v>
      </c>
      <c r="E19" s="127">
        <v>3</v>
      </c>
      <c r="F19" s="223">
        <f>SUM(F15:F18)</f>
        <v>0</v>
      </c>
      <c r="G19" s="224">
        <f>SUM(G15:G18)</f>
        <v>9.2310000000000016</v>
      </c>
      <c r="H19" s="475">
        <f>SUM(H15:H18)</f>
        <v>0</v>
      </c>
      <c r="I19" s="225">
        <f t="shared" si="5"/>
        <v>9.2310000000000016</v>
      </c>
      <c r="J19" s="476">
        <f>SUM(J15:J18)</f>
        <v>0</v>
      </c>
      <c r="K19" s="477">
        <f>SUM(K15:K18)</f>
        <v>0</v>
      </c>
      <c r="L19" s="478">
        <f>SUM(L15:L18)</f>
        <v>0</v>
      </c>
      <c r="M19" s="479">
        <f t="shared" si="8"/>
        <v>0</v>
      </c>
      <c r="O19" s="256"/>
    </row>
    <row r="20" spans="2:21" x14ac:dyDescent="0.2">
      <c r="J20" s="466"/>
      <c r="K20" s="466"/>
      <c r="L20" s="466"/>
      <c r="M20" s="466"/>
      <c r="O20" s="256"/>
    </row>
    <row r="21" spans="2:21" ht="15" thickBot="1" x14ac:dyDescent="0.25">
      <c r="J21" s="466"/>
      <c r="K21" s="466"/>
      <c r="L21" s="466"/>
      <c r="M21" s="466"/>
      <c r="O21" s="256"/>
    </row>
    <row r="22" spans="2:21" x14ac:dyDescent="0.2">
      <c r="G22" s="733" t="str">
        <f>F3</f>
        <v>Current year</v>
      </c>
      <c r="H22" s="734"/>
      <c r="I22" s="735"/>
      <c r="J22" s="466"/>
      <c r="K22" s="790" t="str">
        <f>J3</f>
        <v>Prior year</v>
      </c>
      <c r="L22" s="791"/>
      <c r="M22" s="792"/>
      <c r="N22" s="144"/>
      <c r="O22" s="256"/>
      <c r="P22" s="144"/>
    </row>
    <row r="23" spans="2:21" ht="15" thickBot="1" x14ac:dyDescent="0.25">
      <c r="G23" s="104" t="s">
        <v>281</v>
      </c>
      <c r="H23" s="105" t="s">
        <v>282</v>
      </c>
      <c r="I23" s="106" t="s">
        <v>246</v>
      </c>
      <c r="J23" s="466"/>
      <c r="K23" s="463" t="s">
        <v>281</v>
      </c>
      <c r="L23" s="464" t="s">
        <v>282</v>
      </c>
      <c r="M23" s="465" t="s">
        <v>246</v>
      </c>
      <c r="N23" s="150"/>
      <c r="O23" s="256"/>
      <c r="P23" s="150"/>
      <c r="Q23" s="148"/>
      <c r="R23" s="150"/>
      <c r="S23" s="150"/>
      <c r="T23" s="150"/>
      <c r="U23" s="148"/>
    </row>
    <row r="24" spans="2:21" ht="15" thickBot="1" x14ac:dyDescent="0.25">
      <c r="B24" s="140" t="s">
        <v>139</v>
      </c>
      <c r="C24" s="141" t="s">
        <v>417</v>
      </c>
      <c r="J24" s="466"/>
      <c r="K24" s="466"/>
      <c r="L24" s="466"/>
      <c r="M24" s="466"/>
      <c r="N24" s="150"/>
      <c r="O24" s="256"/>
      <c r="P24" s="150"/>
      <c r="Q24" s="145"/>
      <c r="R24" s="150"/>
      <c r="S24" s="150"/>
      <c r="T24" s="150"/>
      <c r="U24" s="145"/>
    </row>
    <row r="25" spans="2:21" x14ac:dyDescent="0.2">
      <c r="B25" s="113">
        <f xml:space="preserve"> B19 + 1</f>
        <v>12</v>
      </c>
      <c r="C25" s="143" t="s">
        <v>418</v>
      </c>
      <c r="D25" s="115" t="s">
        <v>76</v>
      </c>
      <c r="E25" s="116">
        <v>3</v>
      </c>
      <c r="F25" s="481"/>
      <c r="G25" s="567">
        <v>122.565</v>
      </c>
      <c r="H25" s="579">
        <v>258.435</v>
      </c>
      <c r="I25" s="219">
        <f>SUM(G25:H25)</f>
        <v>381</v>
      </c>
      <c r="J25" s="466"/>
      <c r="K25" s="467"/>
      <c r="L25" s="482"/>
      <c r="M25" s="470">
        <f>SUM(K25:L25)</f>
        <v>0</v>
      </c>
      <c r="N25" s="150"/>
      <c r="O25" s="29">
        <f t="shared" ref="O25" si="9" xml:space="preserve"> IF( SUM( Q25:U25 ) = 0, 0, $R$5 )</f>
        <v>0</v>
      </c>
      <c r="P25" s="150"/>
      <c r="Q25" s="145"/>
      <c r="R25" s="147"/>
      <c r="S25" s="120">
        <f t="shared" ref="S25" si="10" xml:space="preserve"> IF( ISNUMBER( G25 ), 0, 1 )</f>
        <v>0</v>
      </c>
      <c r="T25" s="120">
        <f>IF(Validation!$H$3=1,0,IF(ISNUMBER(H25),0,1))</f>
        <v>0</v>
      </c>
      <c r="U25" s="145"/>
    </row>
    <row r="26" spans="2:21" x14ac:dyDescent="0.2">
      <c r="B26" s="121">
        <f>B25+1</f>
        <v>13</v>
      </c>
      <c r="C26" s="114" t="s">
        <v>419</v>
      </c>
      <c r="D26" s="122" t="s">
        <v>76</v>
      </c>
      <c r="E26" s="123">
        <v>3</v>
      </c>
      <c r="G26" s="220">
        <f>G12</f>
        <v>18.841999999999999</v>
      </c>
      <c r="H26" s="221">
        <f>G19</f>
        <v>9.2310000000000016</v>
      </c>
      <c r="I26" s="222">
        <f t="shared" ref="I26:I28" si="11">SUM(G26:H26)</f>
        <v>28.073</v>
      </c>
      <c r="J26" s="466"/>
      <c r="K26" s="471"/>
      <c r="L26" s="483"/>
      <c r="M26" s="474">
        <f t="shared" ref="M26" si="12">SUM(K26:L26)</f>
        <v>0</v>
      </c>
      <c r="N26" s="150"/>
      <c r="O26" s="31"/>
      <c r="P26" s="150"/>
      <c r="Q26" s="145"/>
      <c r="R26" s="147"/>
      <c r="S26" s="147"/>
      <c r="T26" s="147"/>
      <c r="U26" s="145"/>
    </row>
    <row r="27" spans="2:21" x14ac:dyDescent="0.2">
      <c r="B27" s="121">
        <f>B26+1</f>
        <v>14</v>
      </c>
      <c r="C27" s="114" t="s">
        <v>420</v>
      </c>
      <c r="D27" s="122" t="s">
        <v>76</v>
      </c>
      <c r="E27" s="123">
        <v>3</v>
      </c>
      <c r="G27" s="565">
        <v>-4.3949999999999996</v>
      </c>
      <c r="H27" s="566">
        <v>-4.6559999999999997</v>
      </c>
      <c r="I27" s="222">
        <f t="shared" si="11"/>
        <v>-9.0509999999999984</v>
      </c>
      <c r="J27" s="466"/>
      <c r="K27" s="471"/>
      <c r="L27" s="483"/>
      <c r="M27" s="474">
        <f>SUM(K27:L27)</f>
        <v>0</v>
      </c>
      <c r="N27" s="150"/>
      <c r="O27" s="29">
        <f t="shared" ref="O27" si="13" xml:space="preserve"> IF( SUM( Q27:U27 ) = 0, 0, $R$5 )</f>
        <v>0</v>
      </c>
      <c r="P27" s="150"/>
      <c r="Q27" s="145"/>
      <c r="R27" s="147"/>
      <c r="S27" s="120">
        <f t="shared" ref="S27" si="14" xml:space="preserve"> IF( ISNUMBER( G27 ), 0, 1 )</f>
        <v>0</v>
      </c>
      <c r="T27" s="120">
        <f>IF(Validation!$H$3=1,0,IF(ISNUMBER(H27),0,1))</f>
        <v>0</v>
      </c>
      <c r="U27" s="145"/>
    </row>
    <row r="28" spans="2:21" ht="15" thickBot="1" x14ac:dyDescent="0.25">
      <c r="B28" s="128">
        <f>B27+1</f>
        <v>15</v>
      </c>
      <c r="C28" s="129" t="s">
        <v>421</v>
      </c>
      <c r="D28" s="130" t="s">
        <v>76</v>
      </c>
      <c r="E28" s="127">
        <v>3</v>
      </c>
      <c r="G28" s="223">
        <f>SUM(G25:G27)</f>
        <v>137.01199999999997</v>
      </c>
      <c r="H28" s="224">
        <f>SUM(H25:H27)</f>
        <v>263.01</v>
      </c>
      <c r="I28" s="225">
        <f t="shared" si="11"/>
        <v>400.02199999999993</v>
      </c>
      <c r="J28" s="466"/>
      <c r="K28" s="476">
        <f>SUM(K25:K27)</f>
        <v>0</v>
      </c>
      <c r="L28" s="484">
        <f>SUM(L25:L27)</f>
        <v>0</v>
      </c>
      <c r="M28" s="479">
        <f>SUM(K28:L28)</f>
        <v>0</v>
      </c>
      <c r="N28" s="150"/>
      <c r="O28" s="256"/>
      <c r="P28" s="150"/>
      <c r="Q28" s="145"/>
      <c r="R28" s="150"/>
      <c r="S28" s="150"/>
      <c r="T28" s="150"/>
      <c r="U28" s="145"/>
    </row>
    <row r="29" spans="2:21" ht="15" thickBot="1" x14ac:dyDescent="0.25">
      <c r="B29" s="137"/>
      <c r="C29" s="174"/>
      <c r="D29" s="137"/>
      <c r="E29" s="137"/>
      <c r="G29" s="187"/>
      <c r="H29" s="187"/>
      <c r="I29" s="144"/>
      <c r="J29" s="466"/>
      <c r="K29" s="485"/>
      <c r="L29" s="485"/>
      <c r="M29" s="486"/>
      <c r="N29" s="150"/>
      <c r="O29" s="256"/>
      <c r="P29" s="150"/>
      <c r="Q29" s="145"/>
      <c r="R29" s="150"/>
      <c r="S29" s="150"/>
      <c r="T29" s="150"/>
      <c r="U29" s="145"/>
    </row>
    <row r="30" spans="2:21" ht="15" thickBot="1" x14ac:dyDescent="0.25">
      <c r="B30" s="110" t="s">
        <v>148</v>
      </c>
      <c r="C30" s="111" t="s">
        <v>422</v>
      </c>
      <c r="J30" s="466"/>
      <c r="K30" s="466"/>
      <c r="L30" s="466"/>
      <c r="M30" s="466"/>
      <c r="N30" s="153"/>
      <c r="O30" s="256"/>
      <c r="P30" s="150"/>
      <c r="Q30" s="145"/>
      <c r="R30" s="150"/>
      <c r="S30" s="150"/>
      <c r="T30" s="150"/>
      <c r="U30" s="145"/>
    </row>
    <row r="31" spans="2:21" ht="15" thickBot="1" x14ac:dyDescent="0.25">
      <c r="B31" s="154">
        <f>B28+1</f>
        <v>16</v>
      </c>
      <c r="C31" s="155" t="s">
        <v>423</v>
      </c>
      <c r="D31" s="156" t="s">
        <v>76</v>
      </c>
      <c r="E31" s="157">
        <v>3</v>
      </c>
      <c r="G31" s="639">
        <v>1.74</v>
      </c>
      <c r="H31" s="640">
        <v>0.4</v>
      </c>
      <c r="I31" s="281">
        <f>G31+H31</f>
        <v>2.14</v>
      </c>
      <c r="J31" s="466"/>
      <c r="K31" s="487"/>
      <c r="L31" s="488"/>
      <c r="M31" s="489">
        <f>K31+L31</f>
        <v>0</v>
      </c>
      <c r="N31" s="153"/>
      <c r="O31" s="29">
        <f t="shared" ref="O31" si="15" xml:space="preserve"> IF( SUM( Q31:U31 ) = 0, 0, $R$5 )</f>
        <v>0</v>
      </c>
      <c r="P31" s="150"/>
      <c r="Q31" s="145"/>
      <c r="R31" s="147"/>
      <c r="S31" s="120">
        <f t="shared" ref="S31" si="16" xml:space="preserve"> IF( ISNUMBER( G31 ), 0, 1 )</f>
        <v>0</v>
      </c>
      <c r="T31" s="120">
        <f>IF(Validation!$H$3=1,0,IF(ISNUMBER(H31),0,1))</f>
        <v>0</v>
      </c>
      <c r="U31" s="145"/>
    </row>
    <row r="32" spans="2:21" x14ac:dyDescent="0.2">
      <c r="B32" s="137"/>
      <c r="C32" s="174"/>
      <c r="D32" s="137"/>
      <c r="E32" s="137"/>
      <c r="G32" s="187"/>
      <c r="H32" s="187"/>
      <c r="I32" s="144"/>
      <c r="N32" s="144"/>
      <c r="O32" s="146"/>
      <c r="P32" s="144"/>
      <c r="Q32" s="145"/>
      <c r="R32" s="146"/>
      <c r="S32" s="144"/>
      <c r="T32" s="144"/>
      <c r="U32" s="145"/>
    </row>
    <row r="33" spans="1:21" x14ac:dyDescent="0.2">
      <c r="B33" s="703" t="s">
        <v>90</v>
      </c>
      <c r="C33" s="703"/>
      <c r="D33" s="187"/>
      <c r="E33" s="187"/>
      <c r="F33" s="187"/>
      <c r="G33" s="187"/>
      <c r="H33" s="187"/>
      <c r="I33" s="150"/>
      <c r="K33" s="198"/>
      <c r="L33" s="198"/>
      <c r="N33" s="144"/>
      <c r="O33" s="146"/>
      <c r="P33" s="144"/>
      <c r="Q33" s="148"/>
      <c r="R33" s="146"/>
      <c r="S33" s="144"/>
      <c r="T33" s="144"/>
      <c r="U33" s="148"/>
    </row>
    <row r="34" spans="1:21" x14ac:dyDescent="0.2">
      <c r="B34" s="162"/>
      <c r="C34" s="163"/>
      <c r="D34" s="187"/>
      <c r="E34" s="187"/>
      <c r="F34" s="187"/>
      <c r="G34" s="187"/>
      <c r="H34" s="187"/>
      <c r="I34" s="150"/>
      <c r="N34" s="433"/>
      <c r="O34" s="153"/>
      <c r="P34" s="144"/>
      <c r="Q34" s="148"/>
      <c r="R34" s="153"/>
      <c r="S34" s="144"/>
      <c r="T34" s="144"/>
      <c r="U34" s="148"/>
    </row>
    <row r="35" spans="1:21" x14ac:dyDescent="0.2">
      <c r="B35" s="30"/>
      <c r="C35" s="164" t="s">
        <v>91</v>
      </c>
      <c r="D35" s="187"/>
      <c r="E35" s="187"/>
      <c r="F35" s="187"/>
      <c r="G35" s="187"/>
      <c r="H35" s="187"/>
      <c r="I35" s="150"/>
      <c r="N35" s="436"/>
      <c r="O35" s="146"/>
      <c r="P35" s="144"/>
      <c r="Q35" s="148"/>
      <c r="R35" s="146"/>
      <c r="S35" s="144"/>
      <c r="T35" s="144"/>
      <c r="U35" s="148"/>
    </row>
    <row r="36" spans="1:21" x14ac:dyDescent="0.2">
      <c r="B36" s="162"/>
      <c r="C36" s="163"/>
      <c r="D36" s="187"/>
      <c r="E36" s="187"/>
      <c r="F36" s="187"/>
      <c r="G36" s="187"/>
      <c r="H36" s="187"/>
      <c r="I36" s="150"/>
      <c r="N36" s="436"/>
      <c r="O36" s="137"/>
      <c r="P36" s="137"/>
      <c r="Q36" s="148"/>
      <c r="R36" s="137"/>
      <c r="S36" s="137"/>
      <c r="T36" s="137"/>
      <c r="U36" s="148"/>
    </row>
    <row r="37" spans="1:21" x14ac:dyDescent="0.2">
      <c r="B37" s="165"/>
      <c r="C37" s="164" t="s">
        <v>92</v>
      </c>
      <c r="D37" s="187"/>
      <c r="E37" s="187"/>
      <c r="F37" s="187"/>
      <c r="G37" s="187"/>
      <c r="H37" s="187"/>
      <c r="I37" s="150"/>
      <c r="N37" s="436"/>
      <c r="O37" s="137"/>
      <c r="P37" s="137"/>
      <c r="Q37" s="148"/>
      <c r="R37" s="137"/>
      <c r="S37" s="137"/>
      <c r="T37" s="137"/>
      <c r="U37" s="148"/>
    </row>
    <row r="38" spans="1:21" x14ac:dyDescent="0.2">
      <c r="B38" s="166"/>
      <c r="C38" s="164"/>
      <c r="D38" s="187"/>
      <c r="E38" s="187"/>
      <c r="F38" s="187"/>
      <c r="G38" s="187"/>
      <c r="H38" s="187"/>
      <c r="I38" s="150"/>
      <c r="J38" s="144"/>
      <c r="K38" s="144"/>
      <c r="L38" s="144"/>
      <c r="M38" s="144"/>
      <c r="N38" s="436"/>
      <c r="O38" s="146"/>
      <c r="P38" s="146"/>
      <c r="Q38" s="148"/>
      <c r="R38" s="146"/>
      <c r="S38" s="146"/>
      <c r="T38" s="146"/>
      <c r="U38" s="148"/>
    </row>
    <row r="39" spans="1:21" x14ac:dyDescent="0.2">
      <c r="A39" s="137"/>
      <c r="B39" s="167"/>
      <c r="C39" s="164" t="s">
        <v>93</v>
      </c>
      <c r="D39" s="187"/>
      <c r="E39" s="187"/>
      <c r="F39" s="187"/>
      <c r="G39" s="187"/>
      <c r="H39" s="187"/>
      <c r="I39" s="150"/>
      <c r="J39" s="150"/>
      <c r="K39" s="150"/>
      <c r="L39" s="150"/>
      <c r="M39" s="150"/>
      <c r="N39" s="436"/>
      <c r="O39" s="146"/>
      <c r="P39" s="146"/>
      <c r="Q39" s="148"/>
      <c r="R39" s="146"/>
      <c r="S39" s="146"/>
      <c r="T39" s="146"/>
      <c r="U39" s="148"/>
    </row>
    <row r="40" spans="1:21" x14ac:dyDescent="0.2">
      <c r="A40" s="187"/>
      <c r="B40" s="172"/>
      <c r="C40" s="173"/>
      <c r="D40" s="206"/>
      <c r="E40" s="206"/>
      <c r="F40" s="206"/>
      <c r="G40" s="206"/>
      <c r="H40" s="206"/>
      <c r="I40" s="153"/>
      <c r="J40" s="150"/>
      <c r="K40" s="150"/>
      <c r="L40" s="150"/>
      <c r="M40" s="150"/>
      <c r="N40" s="436"/>
      <c r="O40" s="146"/>
      <c r="P40" s="146"/>
      <c r="Q40" s="148"/>
      <c r="R40" s="146"/>
      <c r="S40" s="146"/>
      <c r="T40" s="146"/>
      <c r="U40" s="148"/>
    </row>
    <row r="41" spans="1:21" ht="15" thickBot="1" x14ac:dyDescent="0.25">
      <c r="A41" s="187"/>
      <c r="B41" s="206"/>
      <c r="C41" s="207"/>
      <c r="D41" s="206"/>
      <c r="E41" s="206"/>
      <c r="F41" s="206"/>
      <c r="G41" s="206"/>
      <c r="H41" s="206"/>
      <c r="I41" s="153"/>
      <c r="J41" s="150"/>
      <c r="K41" s="150"/>
      <c r="L41" s="150"/>
      <c r="M41" s="150"/>
      <c r="N41" s="436"/>
      <c r="Q41" s="148"/>
      <c r="U41" s="148"/>
    </row>
    <row r="42" spans="1:21" ht="20.45" customHeight="1" thickBot="1" x14ac:dyDescent="0.25">
      <c r="A42" s="172"/>
      <c r="B42" s="168" t="str">
        <f ca="1" xml:space="preserve"> RIGHT(CELL("filename", $A$1), LEN(CELL("filename", $A$1)) - SEARCH("]", CELL("filename", $A$1)))&amp;" - Line definitions"</f>
        <v>2E - Line definitions</v>
      </c>
      <c r="C42" s="169"/>
      <c r="D42" s="170"/>
      <c r="E42" s="170"/>
      <c r="F42" s="170"/>
      <c r="G42" s="170"/>
      <c r="H42" s="170"/>
      <c r="I42" s="170"/>
      <c r="J42" s="170"/>
      <c r="K42" s="170"/>
      <c r="L42" s="170"/>
      <c r="M42" s="176"/>
      <c r="N42" s="436"/>
    </row>
    <row r="43" spans="1:21" ht="14.45" customHeight="1" thickBot="1" x14ac:dyDescent="0.25">
      <c r="A43" s="206"/>
      <c r="B43" s="99"/>
      <c r="C43" s="177"/>
      <c r="D43" s="99"/>
      <c r="E43" s="99"/>
      <c r="F43" s="137"/>
      <c r="G43" s="137"/>
      <c r="H43" s="137"/>
      <c r="I43" s="144"/>
      <c r="J43" s="137"/>
      <c r="K43" s="137"/>
      <c r="L43" s="137"/>
      <c r="M43" s="137"/>
      <c r="N43" s="436"/>
    </row>
    <row r="44" spans="1:21" ht="15" thickBot="1" x14ac:dyDescent="0.25">
      <c r="A44" s="137"/>
      <c r="B44" s="490" t="s">
        <v>94</v>
      </c>
      <c r="C44" s="491" t="s">
        <v>95</v>
      </c>
      <c r="D44" s="492"/>
      <c r="E44" s="492"/>
      <c r="F44" s="492"/>
      <c r="G44" s="492"/>
      <c r="H44" s="492"/>
      <c r="I44" s="492"/>
      <c r="J44" s="492"/>
      <c r="K44" s="492"/>
      <c r="L44" s="492"/>
      <c r="M44" s="493"/>
      <c r="N44" s="436"/>
      <c r="R44" s="112" t="s">
        <v>96</v>
      </c>
    </row>
    <row r="45" spans="1:21" ht="14.1" customHeight="1" x14ac:dyDescent="0.2">
      <c r="A45" s="137"/>
      <c r="B45" s="494">
        <f t="shared" ref="B45:B50" si="17">B7</f>
        <v>1</v>
      </c>
      <c r="C45" s="793" t="s">
        <v>424</v>
      </c>
      <c r="D45" s="748"/>
      <c r="E45" s="748"/>
      <c r="F45" s="748"/>
      <c r="G45" s="748"/>
      <c r="H45" s="748"/>
      <c r="I45" s="748"/>
      <c r="J45" s="748"/>
      <c r="K45" s="748"/>
      <c r="L45" s="748"/>
      <c r="M45" s="749"/>
      <c r="N45" s="436"/>
      <c r="R45" s="186">
        <v>1</v>
      </c>
    </row>
    <row r="46" spans="1:21" ht="14.1" customHeight="1" x14ac:dyDescent="0.2">
      <c r="A46" s="137"/>
      <c r="B46" s="495">
        <f t="shared" si="17"/>
        <v>2</v>
      </c>
      <c r="C46" s="788" t="s">
        <v>425</v>
      </c>
      <c r="D46" s="737"/>
      <c r="E46" s="737"/>
      <c r="F46" s="737"/>
      <c r="G46" s="737"/>
      <c r="H46" s="737"/>
      <c r="I46" s="737"/>
      <c r="J46" s="737"/>
      <c r="K46" s="737"/>
      <c r="L46" s="737"/>
      <c r="M46" s="738"/>
      <c r="N46" s="436"/>
      <c r="R46" s="183">
        <v>1</v>
      </c>
    </row>
    <row r="47" spans="1:21" ht="14.1" customHeight="1" x14ac:dyDescent="0.2">
      <c r="A47" s="137"/>
      <c r="B47" s="495">
        <f t="shared" si="17"/>
        <v>3</v>
      </c>
      <c r="C47" s="788" t="s">
        <v>426</v>
      </c>
      <c r="D47" s="737"/>
      <c r="E47" s="737"/>
      <c r="F47" s="737"/>
      <c r="G47" s="737"/>
      <c r="H47" s="737"/>
      <c r="I47" s="737"/>
      <c r="J47" s="737"/>
      <c r="K47" s="737"/>
      <c r="L47" s="737"/>
      <c r="M47" s="738"/>
      <c r="R47" s="183">
        <v>1</v>
      </c>
    </row>
    <row r="48" spans="1:21" ht="14.1" customHeight="1" x14ac:dyDescent="0.2">
      <c r="A48" s="137"/>
      <c r="B48" s="495">
        <f t="shared" si="17"/>
        <v>4</v>
      </c>
      <c r="C48" s="788" t="s">
        <v>427</v>
      </c>
      <c r="D48" s="737"/>
      <c r="E48" s="737"/>
      <c r="F48" s="737"/>
      <c r="G48" s="737"/>
      <c r="H48" s="737"/>
      <c r="I48" s="737"/>
      <c r="J48" s="737"/>
      <c r="K48" s="737"/>
      <c r="L48" s="737"/>
      <c r="M48" s="738"/>
      <c r="R48" s="183">
        <v>1</v>
      </c>
    </row>
    <row r="49" spans="1:18" x14ac:dyDescent="0.2">
      <c r="A49" s="137"/>
      <c r="B49" s="495">
        <f t="shared" si="17"/>
        <v>5</v>
      </c>
      <c r="C49" s="788" t="s">
        <v>428</v>
      </c>
      <c r="D49" s="737"/>
      <c r="E49" s="737"/>
      <c r="F49" s="737"/>
      <c r="G49" s="737"/>
      <c r="H49" s="737"/>
      <c r="I49" s="737"/>
      <c r="J49" s="737"/>
      <c r="K49" s="737"/>
      <c r="L49" s="737"/>
      <c r="M49" s="738"/>
      <c r="R49" s="183">
        <v>1</v>
      </c>
    </row>
    <row r="50" spans="1:18" ht="14.1" customHeight="1" x14ac:dyDescent="0.2">
      <c r="A50" s="137"/>
      <c r="B50" s="495">
        <f t="shared" si="17"/>
        <v>6</v>
      </c>
      <c r="C50" s="788" t="s">
        <v>429</v>
      </c>
      <c r="D50" s="737"/>
      <c r="E50" s="737"/>
      <c r="F50" s="737"/>
      <c r="G50" s="737"/>
      <c r="H50" s="737"/>
      <c r="I50" s="737"/>
      <c r="J50" s="737"/>
      <c r="K50" s="737"/>
      <c r="L50" s="737"/>
      <c r="M50" s="738"/>
      <c r="R50" s="183">
        <v>1</v>
      </c>
    </row>
    <row r="51" spans="1:18" ht="14.1" customHeight="1" x14ac:dyDescent="0.2">
      <c r="A51" s="206"/>
      <c r="B51" s="495">
        <f>B15</f>
        <v>7</v>
      </c>
      <c r="C51" s="788" t="s">
        <v>430</v>
      </c>
      <c r="D51" s="737"/>
      <c r="E51" s="737"/>
      <c r="F51" s="737"/>
      <c r="G51" s="737"/>
      <c r="H51" s="737"/>
      <c r="I51" s="737"/>
      <c r="J51" s="737"/>
      <c r="K51" s="737"/>
      <c r="L51" s="737"/>
      <c r="M51" s="738"/>
      <c r="R51" s="183">
        <v>1</v>
      </c>
    </row>
    <row r="52" spans="1:18" ht="14.1" customHeight="1" x14ac:dyDescent="0.2">
      <c r="A52" s="137"/>
      <c r="B52" s="495">
        <f>B16</f>
        <v>8</v>
      </c>
      <c r="C52" s="788" t="s">
        <v>431</v>
      </c>
      <c r="D52" s="737"/>
      <c r="E52" s="737"/>
      <c r="F52" s="737"/>
      <c r="G52" s="737"/>
      <c r="H52" s="737"/>
      <c r="I52" s="737"/>
      <c r="J52" s="737"/>
      <c r="K52" s="737"/>
      <c r="L52" s="737"/>
      <c r="M52" s="738"/>
      <c r="R52" s="183">
        <v>1</v>
      </c>
    </row>
    <row r="53" spans="1:18" x14ac:dyDescent="0.2">
      <c r="A53" s="137"/>
      <c r="B53" s="495">
        <f>B17</f>
        <v>9</v>
      </c>
      <c r="C53" s="788" t="s">
        <v>432</v>
      </c>
      <c r="D53" s="737"/>
      <c r="E53" s="737"/>
      <c r="F53" s="737"/>
      <c r="G53" s="737"/>
      <c r="H53" s="737"/>
      <c r="I53" s="737"/>
      <c r="J53" s="737"/>
      <c r="K53" s="737"/>
      <c r="L53" s="737"/>
      <c r="M53" s="738"/>
      <c r="R53" s="183">
        <v>1</v>
      </c>
    </row>
    <row r="54" spans="1:18" ht="23.1" customHeight="1" x14ac:dyDescent="0.2">
      <c r="A54" s="137"/>
      <c r="B54" s="495">
        <f>B18</f>
        <v>10</v>
      </c>
      <c r="C54" s="788" t="s">
        <v>433</v>
      </c>
      <c r="D54" s="737"/>
      <c r="E54" s="737"/>
      <c r="F54" s="737"/>
      <c r="G54" s="737"/>
      <c r="H54" s="737"/>
      <c r="I54" s="737"/>
      <c r="J54" s="737"/>
      <c r="K54" s="737"/>
      <c r="L54" s="737"/>
      <c r="M54" s="738"/>
      <c r="R54" s="186" t="s">
        <v>101</v>
      </c>
    </row>
    <row r="55" spans="1:18" x14ac:dyDescent="0.2">
      <c r="A55" s="137"/>
      <c r="B55" s="495">
        <f>B19</f>
        <v>11</v>
      </c>
      <c r="C55" s="788" t="s">
        <v>434</v>
      </c>
      <c r="D55" s="737"/>
      <c r="E55" s="737"/>
      <c r="F55" s="737"/>
      <c r="G55" s="737"/>
      <c r="H55" s="737"/>
      <c r="I55" s="737"/>
      <c r="J55" s="737"/>
      <c r="K55" s="737"/>
      <c r="L55" s="737"/>
      <c r="M55" s="738"/>
      <c r="R55" s="183">
        <v>1</v>
      </c>
    </row>
    <row r="56" spans="1:18" x14ac:dyDescent="0.2">
      <c r="A56" s="137"/>
      <c r="B56" s="495">
        <f>B25</f>
        <v>12</v>
      </c>
      <c r="C56" s="788" t="s">
        <v>435</v>
      </c>
      <c r="D56" s="737"/>
      <c r="E56" s="737"/>
      <c r="F56" s="737"/>
      <c r="G56" s="737"/>
      <c r="H56" s="737"/>
      <c r="I56" s="737"/>
      <c r="J56" s="737"/>
      <c r="K56" s="737"/>
      <c r="L56" s="737"/>
      <c r="M56" s="738"/>
      <c r="R56" s="183">
        <v>1</v>
      </c>
    </row>
    <row r="57" spans="1:18" x14ac:dyDescent="0.2">
      <c r="A57" s="137"/>
      <c r="B57" s="495">
        <f>B26</f>
        <v>13</v>
      </c>
      <c r="C57" s="788" t="s">
        <v>436</v>
      </c>
      <c r="D57" s="737"/>
      <c r="E57" s="737"/>
      <c r="F57" s="737"/>
      <c r="G57" s="737"/>
      <c r="H57" s="737"/>
      <c r="I57" s="737"/>
      <c r="J57" s="737"/>
      <c r="K57" s="737"/>
      <c r="L57" s="737"/>
      <c r="M57" s="738"/>
      <c r="R57" s="183">
        <v>1</v>
      </c>
    </row>
    <row r="58" spans="1:18" x14ac:dyDescent="0.2">
      <c r="A58" s="137"/>
      <c r="B58" s="495">
        <f>B27</f>
        <v>14</v>
      </c>
      <c r="C58" s="788" t="s">
        <v>437</v>
      </c>
      <c r="D58" s="737"/>
      <c r="E58" s="737"/>
      <c r="F58" s="737"/>
      <c r="G58" s="737"/>
      <c r="H58" s="737"/>
      <c r="I58" s="737"/>
      <c r="J58" s="737"/>
      <c r="K58" s="737"/>
      <c r="L58" s="737"/>
      <c r="M58" s="738"/>
      <c r="R58" s="183">
        <v>1</v>
      </c>
    </row>
    <row r="59" spans="1:18" x14ac:dyDescent="0.2">
      <c r="A59" s="137"/>
      <c r="B59" s="495">
        <f>B28</f>
        <v>15</v>
      </c>
      <c r="C59" s="788" t="s">
        <v>438</v>
      </c>
      <c r="D59" s="737"/>
      <c r="E59" s="737"/>
      <c r="F59" s="737"/>
      <c r="G59" s="737"/>
      <c r="H59" s="737"/>
      <c r="I59" s="737"/>
      <c r="J59" s="737"/>
      <c r="K59" s="737"/>
      <c r="L59" s="737"/>
      <c r="M59" s="738"/>
      <c r="R59" s="183">
        <v>1</v>
      </c>
    </row>
    <row r="60" spans="1:18" ht="14.45" customHeight="1" thickBot="1" x14ac:dyDescent="0.25">
      <c r="A60" s="137"/>
      <c r="B60" s="496">
        <f>B31</f>
        <v>16</v>
      </c>
      <c r="C60" s="789" t="s">
        <v>439</v>
      </c>
      <c r="D60" s="740"/>
      <c r="E60" s="740"/>
      <c r="F60" s="740"/>
      <c r="G60" s="740"/>
      <c r="H60" s="740"/>
      <c r="I60" s="740"/>
      <c r="J60" s="740"/>
      <c r="K60" s="740"/>
      <c r="L60" s="740"/>
      <c r="M60" s="741"/>
      <c r="R60" s="183">
        <v>1</v>
      </c>
    </row>
    <row r="61" spans="1:18" x14ac:dyDescent="0.2">
      <c r="A61" s="146"/>
      <c r="J61" s="436">
        <v>1</v>
      </c>
      <c r="K61" s="436"/>
      <c r="L61" s="436"/>
      <c r="M61" s="436"/>
    </row>
    <row r="62" spans="1:18" hidden="1" x14ac:dyDescent="0.2">
      <c r="A62" s="146"/>
      <c r="J62" s="436"/>
      <c r="K62" s="436"/>
      <c r="L62" s="436"/>
      <c r="M62" s="436"/>
    </row>
    <row r="63" spans="1:18" hidden="1" x14ac:dyDescent="0.2">
      <c r="A63" s="146"/>
      <c r="J63" s="436"/>
      <c r="K63" s="436"/>
      <c r="L63" s="436"/>
      <c r="M63" s="436"/>
    </row>
    <row r="64" spans="1:18" hidden="1" x14ac:dyDescent="0.2">
      <c r="J64" s="436"/>
      <c r="K64" s="436"/>
      <c r="L64" s="436"/>
      <c r="M64" s="436"/>
    </row>
    <row r="65" spans="10:13" hidden="1" x14ac:dyDescent="0.2">
      <c r="J65" s="436"/>
      <c r="K65" s="436"/>
      <c r="L65" s="436"/>
      <c r="M65" s="436"/>
    </row>
    <row r="66" spans="10:13" hidden="1" x14ac:dyDescent="0.2">
      <c r="J66" s="436"/>
      <c r="K66" s="436"/>
      <c r="L66" s="436"/>
      <c r="M66" s="436"/>
    </row>
    <row r="67" spans="10:13" hidden="1" x14ac:dyDescent="0.2">
      <c r="J67" s="436"/>
      <c r="K67" s="436"/>
      <c r="L67" s="436"/>
      <c r="M67" s="436"/>
    </row>
    <row r="68" spans="10:13" hidden="1" x14ac:dyDescent="0.2">
      <c r="J68" s="436"/>
      <c r="K68" s="436"/>
      <c r="L68" s="436"/>
      <c r="M68" s="436"/>
    </row>
    <row r="69" spans="10:13" hidden="1" x14ac:dyDescent="0.2">
      <c r="J69" s="436"/>
      <c r="K69" s="436"/>
      <c r="L69" s="436"/>
      <c r="M69" s="436"/>
    </row>
    <row r="70" spans="10:13" hidden="1" x14ac:dyDescent="0.2">
      <c r="J70" s="436"/>
      <c r="K70" s="436"/>
      <c r="L70" s="436"/>
      <c r="M70" s="436"/>
    </row>
    <row r="71" spans="10:13" hidden="1" x14ac:dyDescent="0.2">
      <c r="J71" s="436"/>
      <c r="K71" s="436"/>
      <c r="L71" s="436"/>
      <c r="M71" s="436"/>
    </row>
    <row r="72" spans="10:13" hidden="1" x14ac:dyDescent="0.2">
      <c r="J72" s="436"/>
      <c r="K72" s="436"/>
      <c r="L72" s="436"/>
      <c r="M72" s="436"/>
    </row>
    <row r="73" spans="10:13" hidden="1" x14ac:dyDescent="0.2">
      <c r="J73" s="436"/>
      <c r="K73" s="436"/>
      <c r="L73" s="436"/>
      <c r="M73" s="436"/>
    </row>
    <row r="74" spans="10:13" hidden="1" x14ac:dyDescent="0.2">
      <c r="J74" s="436"/>
      <c r="K74" s="436"/>
      <c r="L74" s="436"/>
      <c r="M74" s="436"/>
    </row>
    <row r="75" spans="10:13" hidden="1" x14ac:dyDescent="0.2">
      <c r="J75" s="436"/>
      <c r="K75" s="436"/>
      <c r="L75" s="436"/>
      <c r="M75" s="436"/>
    </row>
    <row r="76" spans="10:13" hidden="1" x14ac:dyDescent="0.2">
      <c r="J76" s="436"/>
      <c r="K76" s="436"/>
      <c r="L76" s="436"/>
      <c r="M76" s="436"/>
    </row>
    <row r="77" spans="10:13" hidden="1" x14ac:dyDescent="0.2">
      <c r="J77" s="436"/>
      <c r="K77" s="436"/>
      <c r="L77" s="436"/>
      <c r="M77" s="436"/>
    </row>
  </sheetData>
  <sheetProtection algorithmName="SHA-512" hashValue="/nX6gih83fp0WMNcucHqxvRNIgY95nE53F2eJtqZAwQ0eHgK9GL3+pwiAA/BnWsdlAO63euabSslSmmo9vFbew==" saltValue="mlJixihyt1/PL3OBKPMNiQ==" spinCount="100000" sheet="1" objects="1" scenarios="1"/>
  <mergeCells count="26">
    <mergeCell ref="C47:M47"/>
    <mergeCell ref="C48:M48"/>
    <mergeCell ref="C49:M49"/>
    <mergeCell ref="C46:M46"/>
    <mergeCell ref="B3:C4"/>
    <mergeCell ref="D3:D4"/>
    <mergeCell ref="E3:E4"/>
    <mergeCell ref="F3:I3"/>
    <mergeCell ref="J3:M3"/>
    <mergeCell ref="R3:T4"/>
    <mergeCell ref="G22:I22"/>
    <mergeCell ref="K22:M22"/>
    <mergeCell ref="B33:C33"/>
    <mergeCell ref="C45:M45"/>
    <mergeCell ref="O3:O4"/>
    <mergeCell ref="C50:M50"/>
    <mergeCell ref="C51:M51"/>
    <mergeCell ref="C59:M59"/>
    <mergeCell ref="C60:M60"/>
    <mergeCell ref="C53:M53"/>
    <mergeCell ref="C54:M54"/>
    <mergeCell ref="C55:M55"/>
    <mergeCell ref="C56:M56"/>
    <mergeCell ref="C57:M57"/>
    <mergeCell ref="C58:M58"/>
    <mergeCell ref="C52:M52"/>
  </mergeCells>
  <conditionalFormatting sqref="O7:O11">
    <cfRule type="cellIs" dxfId="67" priority="9" operator="equal">
      <formula>0</formula>
    </cfRule>
  </conditionalFormatting>
  <conditionalFormatting sqref="O15:O18">
    <cfRule type="cellIs" dxfId="66" priority="6" operator="equal">
      <formula>0</formula>
    </cfRule>
  </conditionalFormatting>
  <conditionalFormatting sqref="O25:O27">
    <cfRule type="cellIs" dxfId="65" priority="2" operator="equal">
      <formula>0</formula>
    </cfRule>
  </conditionalFormatting>
  <conditionalFormatting sqref="O31">
    <cfRule type="cellIs" dxfId="64" priority="4" operator="equal">
      <formula>0</formula>
    </cfRule>
  </conditionalFormatting>
  <printOptions horizontalCentered="1"/>
  <pageMargins left="0.39370078740157483" right="0.39370078740157483" top="0.78740157480314965" bottom="0.78740157480314965" header="0.31496062992125984" footer="0.31496062992125984"/>
  <pageSetup paperSize="8" scale="65"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23" id="{8CBECD36-7E8D-491A-87AA-A7EE4D10527A}">
            <xm:f>Validation!$H$3=1</xm:f>
            <x14:dxf>
              <fill>
                <patternFill>
                  <bgColor rgb="FFE0DCD8"/>
                </patternFill>
              </fill>
            </x14:dxf>
          </x14:cfRule>
          <xm:sqref>H25:H28 H31</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48"/>
  <sheetViews>
    <sheetView showGridLines="0" zoomScaleNormal="100" workbookViewId="0">
      <selection activeCell="G8" activeCellId="1" sqref="G10 G8"/>
    </sheetView>
  </sheetViews>
  <sheetFormatPr defaultColWidth="0" defaultRowHeight="14.25" zeroHeight="1" x14ac:dyDescent="0.2"/>
  <cols>
    <col min="1" max="1" width="2.375" customWidth="1"/>
    <col min="2" max="2" width="4.125" customWidth="1"/>
    <col min="3" max="3" width="38.125" customWidth="1"/>
    <col min="4" max="8" width="14.625" customWidth="1"/>
    <col min="9" max="9" width="2.625" style="95" customWidth="1"/>
    <col min="10" max="10" width="18.875" style="95" bestFit="1" customWidth="1"/>
    <col min="11" max="11" width="1.625" style="95" customWidth="1"/>
    <col min="12" max="12" width="1.625" style="96" hidden="1" customWidth="1"/>
    <col min="13" max="15" width="5.625" style="95" hidden="1" customWidth="1"/>
    <col min="16" max="16" width="1.625" style="96" hidden="1" customWidth="1"/>
    <col min="17" max="17" width="8.875" style="95" hidden="1" customWidth="1"/>
    <col min="18" max="16384" width="8.75" hidden="1"/>
  </cols>
  <sheetData>
    <row r="1" spans="2:15" ht="20.25" x14ac:dyDescent="0.2">
      <c r="B1" s="91" t="s">
        <v>440</v>
      </c>
      <c r="C1" s="91"/>
      <c r="D1" s="91"/>
      <c r="E1" s="91"/>
      <c r="F1" s="93"/>
      <c r="G1" s="91"/>
      <c r="H1" s="93" t="str">
        <f>Validation!B3</f>
        <v>Yorkshire Water</v>
      </c>
      <c r="I1" s="91"/>
      <c r="J1" s="94" t="s">
        <v>62</v>
      </c>
    </row>
    <row r="2" spans="2:15" ht="15" thickBot="1" x14ac:dyDescent="0.25">
      <c r="B2" s="98" t="s">
        <v>48</v>
      </c>
      <c r="C2" s="95"/>
      <c r="D2" s="95"/>
      <c r="E2" s="95"/>
      <c r="F2" s="95"/>
      <c r="G2" s="95"/>
      <c r="H2" s="95"/>
    </row>
    <row r="3" spans="2:15" ht="41.25" thickBot="1" x14ac:dyDescent="0.25">
      <c r="B3" s="802" t="s">
        <v>63</v>
      </c>
      <c r="C3" s="803"/>
      <c r="D3" s="214" t="s">
        <v>441</v>
      </c>
      <c r="E3" s="459" t="s">
        <v>442</v>
      </c>
      <c r="F3" s="215" t="s">
        <v>443</v>
      </c>
      <c r="G3" s="214" t="s">
        <v>444</v>
      </c>
      <c r="H3" s="215" t="s">
        <v>445</v>
      </c>
      <c r="J3" s="216" t="s">
        <v>69</v>
      </c>
      <c r="M3" s="702" t="s">
        <v>73</v>
      </c>
      <c r="N3" s="787"/>
      <c r="O3" s="787"/>
    </row>
    <row r="4" spans="2:15" ht="14.45" customHeight="1" thickBot="1" x14ac:dyDescent="0.25">
      <c r="B4" s="95"/>
      <c r="C4" s="95"/>
      <c r="D4" s="95"/>
      <c r="E4" s="95"/>
      <c r="F4" s="95"/>
      <c r="G4" s="95"/>
      <c r="H4" s="95"/>
      <c r="M4" s="112" t="s">
        <v>74</v>
      </c>
      <c r="N4" s="147"/>
      <c r="O4" s="147"/>
    </row>
    <row r="5" spans="2:15" x14ac:dyDescent="0.2">
      <c r="B5" s="113">
        <v>1</v>
      </c>
      <c r="C5" s="460" t="s">
        <v>446</v>
      </c>
      <c r="D5" s="567">
        <v>12.250999999999999</v>
      </c>
      <c r="E5" s="579">
        <v>0.72299999999999998</v>
      </c>
      <c r="F5" s="219">
        <f>SUM(D5:E5)</f>
        <v>12.974</v>
      </c>
      <c r="G5" s="567">
        <v>59.317999999999998</v>
      </c>
      <c r="H5" s="219">
        <f t="shared" ref="H5:H11" si="0">IF(G5=0,0,E5/G5 * 1000)</f>
        <v>12.188543106645538</v>
      </c>
      <c r="J5" s="29">
        <f t="shared" ref="J5:J10" si="1" xml:space="preserve"> IF( SUM( L5:P5 ) = 0, 0, $M$4 )</f>
        <v>0</v>
      </c>
      <c r="M5" s="120">
        <f xml:space="preserve"> IF( ISNUMBER( D5 ), 0, 1 )</f>
        <v>0</v>
      </c>
      <c r="N5" s="120">
        <f xml:space="preserve"> IF( ISNUMBER( E5 ), 0, 1 )</f>
        <v>0</v>
      </c>
      <c r="O5" s="120">
        <f xml:space="preserve"> IF( ISNUMBER( G5 ), 0, 1 )</f>
        <v>0</v>
      </c>
    </row>
    <row r="6" spans="2:15" x14ac:dyDescent="0.2">
      <c r="B6" s="121">
        <f xml:space="preserve"> B5 + 1</f>
        <v>2</v>
      </c>
      <c r="C6" s="461" t="s">
        <v>447</v>
      </c>
      <c r="D6" s="565">
        <v>15.82</v>
      </c>
      <c r="E6" s="566">
        <v>0.94799999999999995</v>
      </c>
      <c r="F6" s="222">
        <f t="shared" ref="F6:F10" si="2">SUM(D6:E6)</f>
        <v>16.768000000000001</v>
      </c>
      <c r="G6" s="565">
        <v>68.513999999999996</v>
      </c>
      <c r="H6" s="222">
        <f t="shared" si="0"/>
        <v>13.836588142569402</v>
      </c>
      <c r="J6" s="29">
        <f t="shared" si="1"/>
        <v>0</v>
      </c>
      <c r="M6" s="120">
        <f>IF(Validation!$H$3=1,0,IF(ISNUMBER(D6),0,1))</f>
        <v>0</v>
      </c>
      <c r="N6" s="120">
        <f>IF(Validation!$H$3=1,0,IF(ISNUMBER(E6),0,1))</f>
        <v>0</v>
      </c>
      <c r="O6" s="120">
        <f>IF(Validation!$H$3=1,0,IF(ISNUMBER(F6),0,1))</f>
        <v>0</v>
      </c>
    </row>
    <row r="7" spans="2:15" x14ac:dyDescent="0.2">
      <c r="B7" s="121">
        <f t="shared" ref="B7:B11" si="3" xml:space="preserve"> B6 + 1</f>
        <v>3</v>
      </c>
      <c r="C7" s="461" t="s">
        <v>448</v>
      </c>
      <c r="D7" s="565">
        <v>378.74299999999999</v>
      </c>
      <c r="E7" s="566">
        <v>25.619</v>
      </c>
      <c r="F7" s="222">
        <f t="shared" si="2"/>
        <v>404.36199999999997</v>
      </c>
      <c r="G7" s="565">
        <v>960.75199999999995</v>
      </c>
      <c r="H7" s="222">
        <f t="shared" si="0"/>
        <v>26.665570303262445</v>
      </c>
      <c r="J7" s="29">
        <f t="shared" si="1"/>
        <v>0</v>
      </c>
      <c r="M7" s="120">
        <f>IF(Validation!$H$3=1,0,IF(ISNUMBER(D7),0,1))</f>
        <v>0</v>
      </c>
      <c r="N7" s="120">
        <f>IF(Validation!$H$3=1,0,IF(ISNUMBER(E7),0,1))</f>
        <v>0</v>
      </c>
      <c r="O7" s="120">
        <f>IF(Validation!$H$3=1,0,IF(ISNUMBER(F7),0,1))</f>
        <v>0</v>
      </c>
    </row>
    <row r="8" spans="2:15" x14ac:dyDescent="0.2">
      <c r="B8" s="121">
        <f t="shared" si="3"/>
        <v>4</v>
      </c>
      <c r="C8" s="461" t="s">
        <v>449</v>
      </c>
      <c r="D8" s="565">
        <v>6.2350000000000003</v>
      </c>
      <c r="E8" s="566">
        <v>0.59199999999999997</v>
      </c>
      <c r="F8" s="222">
        <f t="shared" si="2"/>
        <v>6.827</v>
      </c>
      <c r="G8" s="565">
        <v>45.643000000000001</v>
      </c>
      <c r="H8" s="222">
        <f t="shared" si="0"/>
        <v>12.97022544530377</v>
      </c>
      <c r="J8" s="29">
        <f t="shared" si="1"/>
        <v>0</v>
      </c>
      <c r="M8" s="120">
        <f t="shared" ref="M8:N8" si="4" xml:space="preserve"> IF( ISNUMBER( D8 ), 0, 1 )</f>
        <v>0</v>
      </c>
      <c r="N8" s="120">
        <f t="shared" si="4"/>
        <v>0</v>
      </c>
      <c r="O8" s="120">
        <f t="shared" ref="O8" si="5" xml:space="preserve"> IF( ISNUMBER( G8 ), 0, 1 )</f>
        <v>0</v>
      </c>
    </row>
    <row r="9" spans="2:15" x14ac:dyDescent="0.2">
      <c r="B9" s="121">
        <f t="shared" si="3"/>
        <v>5</v>
      </c>
      <c r="C9" s="461" t="s">
        <v>450</v>
      </c>
      <c r="D9" s="565">
        <v>6.4210000000000003</v>
      </c>
      <c r="E9" s="566">
        <v>1.488</v>
      </c>
      <c r="F9" s="222">
        <f t="shared" si="2"/>
        <v>7.9090000000000007</v>
      </c>
      <c r="G9" s="565">
        <v>47.182000000000002</v>
      </c>
      <c r="H9" s="222">
        <f t="shared" si="0"/>
        <v>31.537450722733244</v>
      </c>
      <c r="J9" s="29">
        <f t="shared" si="1"/>
        <v>0</v>
      </c>
      <c r="M9" s="120">
        <f>IF(Validation!$H$3=1,0,IF(ISNUMBER(D9),0,1))</f>
        <v>0</v>
      </c>
      <c r="N9" s="120">
        <f>IF(Validation!$H$3=1,0,IF(ISNUMBER(E9),0,1))</f>
        <v>0</v>
      </c>
      <c r="O9" s="120">
        <f>IF(Validation!$H$3=1,0,IF(ISNUMBER(F9),0,1))</f>
        <v>0</v>
      </c>
    </row>
    <row r="10" spans="2:15" x14ac:dyDescent="0.2">
      <c r="B10" s="121">
        <f t="shared" si="3"/>
        <v>6</v>
      </c>
      <c r="C10" s="461" t="s">
        <v>451</v>
      </c>
      <c r="D10" s="565">
        <v>255.13200000000001</v>
      </c>
      <c r="E10" s="566">
        <v>31.004999999999999</v>
      </c>
      <c r="F10" s="222">
        <f t="shared" si="2"/>
        <v>286.137</v>
      </c>
      <c r="G10" s="565">
        <v>952.06600000000003</v>
      </c>
      <c r="H10" s="222">
        <f t="shared" si="0"/>
        <v>32.566019582675985</v>
      </c>
      <c r="J10" s="29">
        <f t="shared" si="1"/>
        <v>0</v>
      </c>
      <c r="M10" s="120">
        <f>IF(Validation!$H$3=1,0,IF(ISNUMBER(D10),0,1))</f>
        <v>0</v>
      </c>
      <c r="N10" s="120">
        <f>IF(Validation!$H$3=1,0,IF(ISNUMBER(E10),0,1))</f>
        <v>0</v>
      </c>
      <c r="O10" s="120">
        <f>IF(Validation!$H$3=1,0,IF(ISNUMBER(F10),0,1))</f>
        <v>0</v>
      </c>
    </row>
    <row r="11" spans="2:15" ht="15" thickBot="1" x14ac:dyDescent="0.25">
      <c r="B11" s="128">
        <f t="shared" si="3"/>
        <v>7</v>
      </c>
      <c r="C11" s="462" t="s">
        <v>246</v>
      </c>
      <c r="D11" s="223">
        <f>SUM(D5:D10)</f>
        <v>674.60199999999998</v>
      </c>
      <c r="E11" s="224">
        <f>SUM(E5:E10)</f>
        <v>60.375</v>
      </c>
      <c r="F11" s="225">
        <f>SUM(F5:F10)</f>
        <v>734.97699999999998</v>
      </c>
      <c r="G11" s="223">
        <f>SUM(G5:G10)</f>
        <v>2133.4749999999999</v>
      </c>
      <c r="H11" s="225">
        <f t="shared" si="0"/>
        <v>28.298902026037336</v>
      </c>
      <c r="J11" s="146"/>
      <c r="M11" s="332"/>
      <c r="N11" s="137"/>
      <c r="O11" s="137"/>
    </row>
    <row r="12" spans="2:15" x14ac:dyDescent="0.2">
      <c r="B12" s="95"/>
      <c r="C12" s="95"/>
      <c r="D12" s="95"/>
      <c r="E12" s="95"/>
      <c r="F12" s="95"/>
      <c r="G12" s="95"/>
      <c r="H12" s="95"/>
      <c r="J12" s="146"/>
      <c r="M12" s="332"/>
      <c r="N12" s="137"/>
      <c r="O12" s="137"/>
    </row>
    <row r="13" spans="2:15" x14ac:dyDescent="0.2">
      <c r="B13" s="703" t="s">
        <v>90</v>
      </c>
      <c r="C13" s="703"/>
      <c r="D13" s="187"/>
      <c r="E13" s="187"/>
      <c r="F13" s="187"/>
      <c r="G13" s="150"/>
      <c r="H13" s="95"/>
      <c r="J13" s="146"/>
      <c r="M13" s="332"/>
      <c r="N13" s="137"/>
      <c r="O13" s="137"/>
    </row>
    <row r="14" spans="2:15" x14ac:dyDescent="0.2">
      <c r="B14" s="162"/>
      <c r="C14" s="163"/>
      <c r="D14" s="187"/>
      <c r="E14" s="187"/>
      <c r="F14" s="187"/>
      <c r="G14" s="150"/>
      <c r="H14" s="95"/>
      <c r="J14" s="146"/>
      <c r="M14" s="332"/>
      <c r="N14" s="137"/>
      <c r="O14" s="137"/>
    </row>
    <row r="15" spans="2:15" x14ac:dyDescent="0.2">
      <c r="B15" s="30"/>
      <c r="C15" s="164" t="s">
        <v>91</v>
      </c>
      <c r="D15" s="187"/>
      <c r="E15" s="187"/>
      <c r="F15" s="187"/>
      <c r="G15" s="150"/>
      <c r="H15" s="95"/>
      <c r="J15" s="146"/>
      <c r="M15" s="332"/>
      <c r="N15" s="137"/>
      <c r="O15" s="137"/>
    </row>
    <row r="16" spans="2:15" x14ac:dyDescent="0.2">
      <c r="B16" s="162"/>
      <c r="C16" s="163"/>
      <c r="D16" s="187"/>
      <c r="E16" s="187"/>
      <c r="F16" s="187"/>
      <c r="G16" s="150"/>
      <c r="H16" s="95"/>
      <c r="J16" s="146"/>
      <c r="M16" s="332"/>
      <c r="N16" s="137"/>
      <c r="O16" s="137"/>
    </row>
    <row r="17" spans="2:17" x14ac:dyDescent="0.2">
      <c r="B17" s="165"/>
      <c r="C17" s="164" t="s">
        <v>92</v>
      </c>
      <c r="D17" s="187"/>
      <c r="E17" s="187"/>
      <c r="F17" s="187"/>
      <c r="G17" s="150"/>
      <c r="H17" s="95"/>
      <c r="J17" s="146"/>
      <c r="M17" s="332"/>
      <c r="N17" s="137"/>
      <c r="O17" s="137"/>
    </row>
    <row r="18" spans="2:17" x14ac:dyDescent="0.2">
      <c r="B18" s="166"/>
      <c r="C18" s="164"/>
      <c r="D18" s="187"/>
      <c r="E18" s="187"/>
      <c r="F18" s="187"/>
      <c r="G18" s="150"/>
      <c r="H18" s="144"/>
      <c r="J18" s="146"/>
      <c r="M18" s="332"/>
      <c r="N18" s="137"/>
      <c r="O18" s="137"/>
    </row>
    <row r="19" spans="2:17" x14ac:dyDescent="0.2">
      <c r="B19" s="167"/>
      <c r="C19" s="164" t="s">
        <v>93</v>
      </c>
      <c r="D19" s="187"/>
      <c r="E19" s="187"/>
      <c r="F19" s="187"/>
      <c r="G19" s="150"/>
      <c r="H19" s="150"/>
      <c r="J19" s="146"/>
      <c r="M19" s="332"/>
      <c r="N19" s="137"/>
      <c r="O19" s="137"/>
    </row>
    <row r="20" spans="2:17" x14ac:dyDescent="0.2">
      <c r="B20" s="172"/>
      <c r="C20" s="173"/>
      <c r="D20" s="206"/>
      <c r="E20" s="206"/>
      <c r="F20" s="206"/>
      <c r="G20" s="153"/>
      <c r="H20" s="150"/>
      <c r="J20" s="146"/>
      <c r="M20" s="332"/>
      <c r="N20" s="137"/>
      <c r="O20" s="137"/>
    </row>
    <row r="21" spans="2:17" ht="15" thickBot="1" x14ac:dyDescent="0.25">
      <c r="B21" s="206"/>
      <c r="C21" s="207"/>
      <c r="D21" s="206"/>
      <c r="E21" s="206"/>
      <c r="F21" s="206"/>
      <c r="G21" s="153"/>
      <c r="H21" s="150"/>
      <c r="J21" s="146"/>
      <c r="M21" s="332"/>
      <c r="N21" s="137"/>
      <c r="O21" s="137"/>
    </row>
    <row r="22" spans="2:17" ht="16.5" thickBot="1" x14ac:dyDescent="0.25">
      <c r="B22" s="168" t="str">
        <f ca="1" xml:space="preserve"> RIGHT(CELL("filename", $A$1), LEN(CELL("filename", $A$1)) - SEARCH("]", CELL("filename", $A$1)))&amp;" - Line definitions"</f>
        <v>2F - Line definitions</v>
      </c>
      <c r="C22" s="169"/>
      <c r="D22" s="170"/>
      <c r="E22" s="170"/>
      <c r="F22" s="170"/>
      <c r="G22" s="170"/>
      <c r="H22" s="288"/>
      <c r="I22" s="144"/>
      <c r="J22" s="146"/>
      <c r="K22" s="144"/>
      <c r="L22" s="148"/>
      <c r="M22" s="332"/>
      <c r="N22" s="137"/>
      <c r="O22" s="137"/>
      <c r="P22" s="148"/>
      <c r="Q22" s="137"/>
    </row>
    <row r="23" spans="2:17" ht="15" thickBot="1" x14ac:dyDescent="0.25">
      <c r="B23" s="99"/>
      <c r="C23" s="177"/>
      <c r="D23" s="137"/>
      <c r="E23" s="137"/>
      <c r="F23" s="137"/>
      <c r="G23" s="144"/>
      <c r="H23" s="137"/>
      <c r="I23" s="150"/>
      <c r="J23" s="150"/>
      <c r="K23" s="150"/>
      <c r="L23" s="145"/>
      <c r="M23" s="232"/>
      <c r="N23" s="187"/>
      <c r="O23" s="187"/>
      <c r="P23" s="145"/>
      <c r="Q23" s="187"/>
    </row>
    <row r="24" spans="2:17" ht="15" thickBot="1" x14ac:dyDescent="0.25">
      <c r="B24" s="178" t="s">
        <v>94</v>
      </c>
      <c r="C24" s="179" t="s">
        <v>95</v>
      </c>
      <c r="D24" s="180"/>
      <c r="E24" s="180"/>
      <c r="F24" s="180"/>
      <c r="G24" s="180"/>
      <c r="H24" s="341"/>
      <c r="I24" s="150"/>
      <c r="J24" s="150"/>
      <c r="K24" s="150"/>
      <c r="L24" s="145"/>
      <c r="M24" s="112" t="s">
        <v>96</v>
      </c>
      <c r="N24" s="187"/>
      <c r="O24" s="187"/>
      <c r="P24" s="145"/>
      <c r="Q24" s="187"/>
    </row>
    <row r="25" spans="2:17" s="12" customFormat="1" ht="14.1" customHeight="1" x14ac:dyDescent="0.2">
      <c r="B25" s="407">
        <f>B5</f>
        <v>1</v>
      </c>
      <c r="C25" s="804" t="s">
        <v>452</v>
      </c>
      <c r="D25" s="804"/>
      <c r="E25" s="804"/>
      <c r="F25" s="804"/>
      <c r="G25" s="804"/>
      <c r="H25" s="805"/>
      <c r="I25" s="150"/>
      <c r="J25" s="150"/>
      <c r="K25" s="150"/>
      <c r="L25" s="145"/>
      <c r="M25" s="186">
        <v>1</v>
      </c>
      <c r="N25" s="187"/>
      <c r="O25" s="187"/>
      <c r="P25" s="145"/>
      <c r="Q25" s="187"/>
    </row>
    <row r="26" spans="2:17" s="12" customFormat="1" ht="14.1" customHeight="1" x14ac:dyDescent="0.2">
      <c r="B26" s="343">
        <f t="shared" ref="B26:B31" si="6">B6</f>
        <v>2</v>
      </c>
      <c r="C26" s="695" t="s">
        <v>453</v>
      </c>
      <c r="D26" s="695"/>
      <c r="E26" s="695"/>
      <c r="F26" s="695"/>
      <c r="G26" s="695"/>
      <c r="H26" s="696"/>
      <c r="I26" s="150"/>
      <c r="J26" s="150"/>
      <c r="K26" s="150"/>
      <c r="L26" s="145"/>
      <c r="M26" s="186">
        <v>1</v>
      </c>
      <c r="N26" s="187"/>
      <c r="O26" s="187"/>
      <c r="P26" s="145"/>
      <c r="Q26" s="187"/>
    </row>
    <row r="27" spans="2:17" s="12" customFormat="1" x14ac:dyDescent="0.2">
      <c r="B27" s="343">
        <f t="shared" si="6"/>
        <v>3</v>
      </c>
      <c r="C27" s="695" t="s">
        <v>454</v>
      </c>
      <c r="D27" s="695"/>
      <c r="E27" s="695"/>
      <c r="F27" s="695"/>
      <c r="G27" s="695"/>
      <c r="H27" s="696"/>
      <c r="I27" s="150"/>
      <c r="J27" s="150"/>
      <c r="K27" s="150"/>
      <c r="L27" s="145"/>
      <c r="M27" s="186">
        <v>1</v>
      </c>
      <c r="N27" s="187"/>
      <c r="O27" s="187"/>
      <c r="P27" s="145"/>
      <c r="Q27" s="187"/>
    </row>
    <row r="28" spans="2:17" s="12" customFormat="1" ht="14.1" customHeight="1" x14ac:dyDescent="0.2">
      <c r="B28" s="343">
        <f t="shared" si="6"/>
        <v>4</v>
      </c>
      <c r="C28" s="695" t="s">
        <v>455</v>
      </c>
      <c r="D28" s="695"/>
      <c r="E28" s="695"/>
      <c r="F28" s="695"/>
      <c r="G28" s="695"/>
      <c r="H28" s="696"/>
      <c r="I28" s="150"/>
      <c r="J28" s="150"/>
      <c r="K28" s="150"/>
      <c r="L28" s="145"/>
      <c r="M28" s="186">
        <v>1</v>
      </c>
      <c r="N28" s="187"/>
      <c r="O28" s="187"/>
      <c r="P28" s="145"/>
      <c r="Q28" s="187"/>
    </row>
    <row r="29" spans="2:17" s="12" customFormat="1" ht="14.1" customHeight="1" x14ac:dyDescent="0.2">
      <c r="B29" s="343">
        <f t="shared" si="6"/>
        <v>5</v>
      </c>
      <c r="C29" s="695" t="s">
        <v>456</v>
      </c>
      <c r="D29" s="695"/>
      <c r="E29" s="695"/>
      <c r="F29" s="695"/>
      <c r="G29" s="695"/>
      <c r="H29" s="696"/>
      <c r="I29" s="150"/>
      <c r="J29" s="150"/>
      <c r="K29" s="150"/>
      <c r="L29" s="145"/>
      <c r="M29" s="186">
        <v>1</v>
      </c>
      <c r="N29" s="187"/>
      <c r="O29" s="187"/>
      <c r="P29" s="145"/>
      <c r="Q29" s="187"/>
    </row>
    <row r="30" spans="2:17" s="12" customFormat="1" x14ac:dyDescent="0.2">
      <c r="B30" s="343">
        <f t="shared" si="6"/>
        <v>6</v>
      </c>
      <c r="C30" s="695" t="s">
        <v>457</v>
      </c>
      <c r="D30" s="695"/>
      <c r="E30" s="695"/>
      <c r="F30" s="695"/>
      <c r="G30" s="695"/>
      <c r="H30" s="696"/>
      <c r="I30" s="153"/>
      <c r="J30" s="150"/>
      <c r="K30" s="150"/>
      <c r="L30" s="145"/>
      <c r="M30" s="186">
        <v>1</v>
      </c>
      <c r="N30" s="206"/>
      <c r="O30" s="206"/>
      <c r="P30" s="145"/>
      <c r="Q30" s="206"/>
    </row>
    <row r="31" spans="2:17" s="12" customFormat="1" ht="15" thickBot="1" x14ac:dyDescent="0.25">
      <c r="B31" s="344">
        <f t="shared" si="6"/>
        <v>7</v>
      </c>
      <c r="C31" s="697" t="s">
        <v>458</v>
      </c>
      <c r="D31" s="697"/>
      <c r="E31" s="697"/>
      <c r="F31" s="697"/>
      <c r="G31" s="697"/>
      <c r="H31" s="698"/>
      <c r="I31" s="153"/>
      <c r="J31" s="150"/>
      <c r="K31" s="150"/>
      <c r="L31" s="145"/>
      <c r="M31" s="186">
        <v>1</v>
      </c>
      <c r="N31" s="206"/>
      <c r="O31" s="206"/>
      <c r="P31" s="145"/>
      <c r="Q31" s="206"/>
    </row>
    <row r="32" spans="2:17" x14ac:dyDescent="0.2">
      <c r="I32" s="144"/>
      <c r="J32" s="146"/>
      <c r="K32" s="144"/>
      <c r="L32" s="148"/>
      <c r="M32" s="295"/>
      <c r="N32" s="137"/>
      <c r="O32" s="137"/>
      <c r="P32" s="148"/>
      <c r="Q32" s="137"/>
    </row>
    <row r="33" spans="9:17" hidden="1" x14ac:dyDescent="0.2">
      <c r="I33" s="144"/>
      <c r="J33" s="146"/>
      <c r="K33" s="144"/>
      <c r="L33" s="148"/>
      <c r="M33" s="295"/>
      <c r="N33" s="137"/>
      <c r="O33" s="137"/>
      <c r="P33" s="148"/>
      <c r="Q33" s="137"/>
    </row>
    <row r="34" spans="9:17" hidden="1" x14ac:dyDescent="0.2">
      <c r="I34" s="433"/>
      <c r="J34" s="153"/>
      <c r="K34" s="144"/>
      <c r="L34" s="148"/>
      <c r="M34" s="206"/>
      <c r="N34" s="206"/>
      <c r="O34" s="206"/>
      <c r="P34" s="148"/>
      <c r="Q34" s="206"/>
    </row>
    <row r="35" spans="9:17" hidden="1" x14ac:dyDescent="0.2">
      <c r="I35" s="436"/>
      <c r="J35" s="146"/>
      <c r="K35" s="144"/>
      <c r="L35" s="148"/>
      <c r="M35" s="332"/>
      <c r="N35" s="137"/>
      <c r="O35" s="137"/>
      <c r="P35" s="148"/>
      <c r="Q35" s="137"/>
    </row>
    <row r="36" spans="9:17" hidden="1" x14ac:dyDescent="0.2">
      <c r="I36" s="437"/>
      <c r="J36" s="146"/>
      <c r="K36" s="144"/>
      <c r="L36" s="148"/>
      <c r="M36" s="332"/>
      <c r="N36" s="137"/>
      <c r="O36" s="137"/>
      <c r="P36" s="148"/>
      <c r="Q36" s="137"/>
    </row>
    <row r="37" spans="9:17" hidden="1" x14ac:dyDescent="0.2">
      <c r="I37" s="436"/>
      <c r="J37" s="146"/>
      <c r="K37" s="144"/>
      <c r="L37" s="148"/>
      <c r="M37" s="332"/>
      <c r="N37" s="137"/>
      <c r="O37" s="137"/>
      <c r="P37" s="148"/>
      <c r="Q37" s="137"/>
    </row>
    <row r="38" spans="9:17" hidden="1" x14ac:dyDescent="0.2">
      <c r="I38" s="437"/>
      <c r="J38" s="146"/>
      <c r="K38" s="144"/>
      <c r="L38" s="148"/>
      <c r="M38" s="332"/>
      <c r="N38" s="146"/>
      <c r="O38" s="146"/>
      <c r="P38" s="148"/>
      <c r="Q38" s="146"/>
    </row>
    <row r="39" spans="9:17" hidden="1" x14ac:dyDescent="0.2">
      <c r="I39" s="437"/>
      <c r="J39" s="146"/>
      <c r="K39" s="144"/>
      <c r="L39" s="148"/>
      <c r="M39" s="332"/>
      <c r="N39" s="146"/>
      <c r="O39" s="146"/>
      <c r="P39" s="148"/>
      <c r="Q39" s="146"/>
    </row>
    <row r="40" spans="9:17" hidden="1" x14ac:dyDescent="0.2">
      <c r="I40" s="437"/>
      <c r="J40" s="146"/>
      <c r="K40" s="144"/>
      <c r="L40" s="148"/>
      <c r="M40" s="332"/>
      <c r="N40" s="146"/>
      <c r="O40" s="146"/>
      <c r="P40" s="148"/>
      <c r="Q40" s="146"/>
    </row>
    <row r="41" spans="9:17" hidden="1" x14ac:dyDescent="0.2">
      <c r="I41" s="400"/>
    </row>
    <row r="42" spans="9:17" hidden="1" x14ac:dyDescent="0.2">
      <c r="I42" s="399"/>
    </row>
    <row r="43" spans="9:17" hidden="1" x14ac:dyDescent="0.2">
      <c r="I43" s="400"/>
    </row>
    <row r="44" spans="9:17" hidden="1" x14ac:dyDescent="0.2">
      <c r="I44" s="400"/>
    </row>
    <row r="45" spans="9:17" hidden="1" x14ac:dyDescent="0.2">
      <c r="I45" s="400"/>
    </row>
    <row r="46" spans="9:17" hidden="1" x14ac:dyDescent="0.2">
      <c r="I46" s="399"/>
    </row>
    <row r="47" spans="9:17" hidden="1" x14ac:dyDescent="0.2">
      <c r="I47" s="400"/>
    </row>
    <row r="48" spans="9:17" hidden="1" x14ac:dyDescent="0.2">
      <c r="I48" s="400"/>
    </row>
  </sheetData>
  <sheetProtection algorithmName="SHA-512" hashValue="revwMDRjdq5V+q+tNyJoKeiwUPMAdgwsmJmHtIVN6lrlhlyjrW2I9nzAtp4c4u0tOl6arHfzFGelIVUjY1m7sg==" saltValue="hhGV8k8GF/TAmMgM+JoPtA==" spinCount="100000" sheet="1" objects="1" scenarios="1"/>
  <mergeCells count="10">
    <mergeCell ref="M3:O3"/>
    <mergeCell ref="B13:C13"/>
    <mergeCell ref="C25:H25"/>
    <mergeCell ref="C26:H26"/>
    <mergeCell ref="C27:H27"/>
    <mergeCell ref="C28:H28"/>
    <mergeCell ref="C29:H29"/>
    <mergeCell ref="C30:H30"/>
    <mergeCell ref="C31:H31"/>
    <mergeCell ref="B3:C3"/>
  </mergeCells>
  <conditionalFormatting sqref="J5:J21">
    <cfRule type="cellIs" dxfId="63" priority="1" operator="equal">
      <formula>0</formula>
    </cfRule>
  </conditionalFormatting>
  <printOptions horizontalCentered="1"/>
  <pageMargins left="0.39370078740157483" right="0.39370078740157483" top="0.78740157480314965" bottom="0.78740157480314965" header="0.31496062992125984" footer="0.31496062992125984"/>
  <pageSetup paperSize="8" scale="90"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X73"/>
  <sheetViews>
    <sheetView showGridLines="0" zoomScale="85" zoomScaleNormal="85" workbookViewId="0">
      <selection activeCell="H34" sqref="H34"/>
    </sheetView>
  </sheetViews>
  <sheetFormatPr defaultColWidth="0" defaultRowHeight="14.25" zeroHeight="1" x14ac:dyDescent="0.2"/>
  <cols>
    <col min="1" max="1" width="1.625" customWidth="1"/>
    <col min="2" max="2" width="5.375" customWidth="1"/>
    <col min="3" max="3" width="44" bestFit="1" customWidth="1"/>
    <col min="4" max="8" width="12.625" customWidth="1"/>
    <col min="9" max="9" width="2.625" style="95" customWidth="1"/>
    <col min="10" max="10" width="22.625" style="99" customWidth="1"/>
    <col min="11" max="11" width="18.875" style="95" bestFit="1" customWidth="1"/>
    <col min="12" max="12" width="1.625" style="95" customWidth="1"/>
    <col min="13" max="13" width="1.625" style="96" hidden="1" customWidth="1"/>
    <col min="14" max="16" width="5.625" style="95" hidden="1" customWidth="1"/>
    <col min="17" max="17" width="1.625" style="96" hidden="1" customWidth="1"/>
    <col min="18" max="18" width="8.875" style="99" hidden="1" customWidth="1"/>
    <col min="19" max="19" width="1.625" style="96" hidden="1" customWidth="1"/>
    <col min="20" max="21" width="8.875" style="99" hidden="1" customWidth="1"/>
    <col min="22" max="22" width="56.125" style="99" hidden="1" customWidth="1"/>
    <col min="23" max="23" width="1.625" style="96" hidden="1" customWidth="1"/>
    <col min="24" max="24" width="8.875" style="95" hidden="1" customWidth="1"/>
    <col min="25" max="16384" width="8.75" hidden="1"/>
  </cols>
  <sheetData>
    <row r="1" spans="1:24" s="100" customFormat="1" ht="20.25" x14ac:dyDescent="0.2">
      <c r="A1" s="99"/>
      <c r="B1" s="91" t="s">
        <v>459</v>
      </c>
      <c r="C1" s="91"/>
      <c r="D1" s="91"/>
      <c r="E1" s="91"/>
      <c r="F1" s="91"/>
      <c r="G1" s="91"/>
      <c r="H1" s="93" t="str">
        <f>Validation!B3</f>
        <v>Yorkshire Water</v>
      </c>
      <c r="I1" s="91"/>
      <c r="J1" s="94"/>
      <c r="K1" s="94" t="s">
        <v>62</v>
      </c>
      <c r="L1" s="95"/>
      <c r="M1" s="96"/>
      <c r="N1" s="95"/>
      <c r="O1" s="95"/>
      <c r="P1" s="95"/>
      <c r="Q1" s="96"/>
      <c r="R1" s="95"/>
      <c r="S1" s="96"/>
      <c r="T1"/>
      <c r="U1"/>
      <c r="V1"/>
      <c r="W1" s="96"/>
      <c r="X1" s="95"/>
    </row>
    <row r="2" spans="1:24" s="100" customFormat="1" ht="15" customHeight="1" thickBot="1" x14ac:dyDescent="0.25">
      <c r="A2" s="99"/>
      <c r="B2" s="98" t="s">
        <v>48</v>
      </c>
      <c r="C2" s="379"/>
      <c r="D2" s="99"/>
      <c r="E2" s="99"/>
      <c r="F2" s="99"/>
      <c r="G2" s="99"/>
      <c r="H2" s="99"/>
      <c r="I2" s="95"/>
      <c r="J2" s="95"/>
      <c r="K2" s="95"/>
      <c r="L2" s="95"/>
      <c r="M2" s="96"/>
      <c r="N2" s="95"/>
      <c r="O2" s="95"/>
      <c r="P2" s="95"/>
      <c r="Q2" s="96"/>
      <c r="R2" s="95"/>
      <c r="S2" s="96"/>
      <c r="T2" s="99"/>
      <c r="U2" s="99"/>
      <c r="V2" s="99"/>
      <c r="W2" s="96"/>
      <c r="X2" s="95"/>
    </row>
    <row r="3" spans="1:24" s="100" customFormat="1" ht="54.75" thickBot="1" x14ac:dyDescent="0.25">
      <c r="A3" s="99"/>
      <c r="B3" s="771" t="s">
        <v>63</v>
      </c>
      <c r="C3" s="772"/>
      <c r="D3" s="362" t="s">
        <v>460</v>
      </c>
      <c r="E3" s="383" t="s">
        <v>442</v>
      </c>
      <c r="F3" s="363" t="s">
        <v>443</v>
      </c>
      <c r="G3" s="438" t="s">
        <v>461</v>
      </c>
      <c r="H3" s="438" t="s">
        <v>462</v>
      </c>
      <c r="I3" s="439"/>
      <c r="J3" s="214" t="s">
        <v>277</v>
      </c>
      <c r="K3" s="216" t="s">
        <v>69</v>
      </c>
      <c r="L3" s="95"/>
      <c r="M3" s="96"/>
      <c r="N3" s="702" t="s">
        <v>73</v>
      </c>
      <c r="O3" s="787"/>
      <c r="P3" s="787"/>
      <c r="Q3" s="96"/>
      <c r="R3" s="103" t="s">
        <v>54</v>
      </c>
      <c r="S3" s="96"/>
      <c r="T3" s="103" t="s">
        <v>278</v>
      </c>
      <c r="U3" s="103"/>
      <c r="V3" s="103"/>
      <c r="W3" s="96"/>
      <c r="X3" s="95"/>
    </row>
    <row r="4" spans="1:24" s="100" customFormat="1" ht="15" customHeight="1" thickBot="1" x14ac:dyDescent="0.25">
      <c r="A4" s="99"/>
      <c r="B4" s="99"/>
      <c r="C4" s="440"/>
      <c r="D4" s="99"/>
      <c r="E4" s="99"/>
      <c r="F4" s="99"/>
      <c r="G4" s="99"/>
      <c r="H4" s="99"/>
      <c r="I4" s="95"/>
      <c r="J4" s="95"/>
      <c r="K4" s="95"/>
      <c r="L4" s="95"/>
      <c r="M4" s="96"/>
      <c r="Q4" s="96"/>
      <c r="R4" s="278"/>
      <c r="S4" s="96"/>
      <c r="T4" s="278"/>
      <c r="U4" s="278"/>
      <c r="V4" s="278"/>
      <c r="W4" s="96"/>
      <c r="X4" s="95"/>
    </row>
    <row r="5" spans="1:24" s="100" customFormat="1" ht="17.100000000000001" customHeight="1" thickBot="1" x14ac:dyDescent="0.25">
      <c r="A5" s="99"/>
      <c r="B5" s="302" t="s">
        <v>124</v>
      </c>
      <c r="C5" s="32" t="s">
        <v>463</v>
      </c>
      <c r="D5" s="99"/>
      <c r="E5" s="99"/>
      <c r="F5" s="99"/>
      <c r="G5" s="99"/>
      <c r="H5" s="99"/>
      <c r="I5" s="95"/>
      <c r="J5" s="99"/>
      <c r="K5" s="95"/>
      <c r="L5" s="95"/>
      <c r="M5" s="96"/>
      <c r="N5" s="112" t="s">
        <v>74</v>
      </c>
      <c r="O5" s="147"/>
      <c r="P5" s="147"/>
      <c r="Q5" s="96"/>
      <c r="R5"/>
      <c r="S5" s="96"/>
      <c r="T5" s="99"/>
      <c r="U5" s="99"/>
      <c r="V5" s="99"/>
      <c r="W5" s="96"/>
      <c r="X5" s="95"/>
    </row>
    <row r="6" spans="1:24" s="100" customFormat="1" ht="17.100000000000001" customHeight="1" thickBot="1" x14ac:dyDescent="0.25">
      <c r="A6" s="99"/>
      <c r="B6" s="441">
        <v>1</v>
      </c>
      <c r="C6" s="33" t="s">
        <v>464</v>
      </c>
      <c r="D6" s="628">
        <v>0</v>
      </c>
      <c r="E6" s="629">
        <v>0</v>
      </c>
      <c r="F6" s="425">
        <f xml:space="preserve"> E6 + D6</f>
        <v>0</v>
      </c>
      <c r="G6" s="630">
        <v>0</v>
      </c>
      <c r="H6" s="452">
        <f xml:space="preserve"> IF( G6 = 0, 0, E6 / G6 * 1000000 )</f>
        <v>0</v>
      </c>
      <c r="I6" s="95"/>
      <c r="J6" s="77"/>
      <c r="K6" s="29">
        <f xml:space="preserve"> IF( SUM( M6:Q6 ) = 0, 0, $N$5 )</f>
        <v>0</v>
      </c>
      <c r="L6" s="95"/>
      <c r="M6" s="96"/>
      <c r="N6" s="120">
        <f>IF($C6="",0,IF(ISNUMBER(D6),0,1))</f>
        <v>0</v>
      </c>
      <c r="O6" s="120">
        <f>IF($C6="",0,IF(ISNUMBER(E6),0,1))</f>
        <v>0</v>
      </c>
      <c r="P6" s="120">
        <f>IF($C6="",0,IF(ISNUMBER(G6),0,1))</f>
        <v>0</v>
      </c>
      <c r="Q6" s="96"/>
      <c r="R6"/>
      <c r="S6" s="96"/>
      <c r="T6" s="99"/>
      <c r="U6" s="99"/>
      <c r="V6" s="99"/>
      <c r="W6" s="96"/>
      <c r="X6" s="95"/>
    </row>
    <row r="7" spans="1:24" s="100" customFormat="1" ht="15" customHeight="1" thickBot="1" x14ac:dyDescent="0.25">
      <c r="A7" s="99"/>
      <c r="B7" s="99"/>
      <c r="C7" s="453"/>
      <c r="D7" s="162"/>
      <c r="E7" s="162"/>
      <c r="F7" s="162"/>
      <c r="G7" s="162"/>
      <c r="H7" s="443"/>
      <c r="I7" s="162"/>
      <c r="J7" s="77"/>
      <c r="K7" s="162"/>
      <c r="L7" s="95"/>
      <c r="M7" s="96"/>
      <c r="Q7" s="96"/>
      <c r="R7"/>
      <c r="S7" s="96"/>
      <c r="T7" s="99"/>
      <c r="U7" s="99"/>
      <c r="V7" s="99"/>
      <c r="W7" s="96"/>
      <c r="X7" s="95"/>
    </row>
    <row r="8" spans="1:24" s="100" customFormat="1" ht="15" customHeight="1" thickBot="1" x14ac:dyDescent="0.25">
      <c r="A8" s="99"/>
      <c r="B8" s="302" t="s">
        <v>133</v>
      </c>
      <c r="C8" s="32" t="s">
        <v>465</v>
      </c>
      <c r="D8" s="162"/>
      <c r="E8" s="162"/>
      <c r="F8" s="162"/>
      <c r="G8" s="162"/>
      <c r="H8" s="443"/>
      <c r="I8" s="162"/>
      <c r="J8" s="77"/>
      <c r="K8" s="162"/>
      <c r="L8" s="95"/>
      <c r="M8" s="96"/>
      <c r="Q8" s="96"/>
      <c r="R8"/>
      <c r="S8" s="96"/>
      <c r="T8" s="99"/>
      <c r="U8" s="99"/>
      <c r="V8" s="99"/>
      <c r="W8" s="96"/>
      <c r="X8" s="95"/>
    </row>
    <row r="9" spans="1:24" s="100" customFormat="1" ht="15" customHeight="1" x14ac:dyDescent="0.2">
      <c r="A9" s="99"/>
      <c r="B9" s="444">
        <f xml:space="preserve"> B6 + 1</f>
        <v>2</v>
      </c>
      <c r="C9" s="34" t="str">
        <f>IF($H$1="Select company","",IF(HLOOKUP((VLOOKUP($H$1,Lists!$B$4:$C$22,2,FALSE)),Water!$A$1:$S$20,'2G'!B9+1,FALSE)=0,"",HLOOKUP((VLOOKUP($H$1,Lists!$B$4:$C$22,2,FALSE)),Water!$A$1:$S$20,'2G'!B9+1,FALSE)))</f>
        <v>Tariff band 1  ≤50 Ml/a water metered</v>
      </c>
      <c r="D9" s="631">
        <v>72.856999999999999</v>
      </c>
      <c r="E9" s="596">
        <v>4.6669999999999998</v>
      </c>
      <c r="F9" s="414">
        <f xml:space="preserve"> E9 + D9</f>
        <v>77.524000000000001</v>
      </c>
      <c r="G9" s="632">
        <v>111843</v>
      </c>
      <c r="H9" s="454">
        <f xml:space="preserve"> IF( G9 = 0, 0, E9 / G9 * 1000000 )</f>
        <v>41.728136763141187</v>
      </c>
      <c r="I9" s="95"/>
      <c r="J9" s="77"/>
      <c r="K9" s="29">
        <f xml:space="preserve"> IF( SUM( M9:Q9 ) = 0, 0, $N$5 )</f>
        <v>0</v>
      </c>
      <c r="L9" s="95"/>
      <c r="M9" s="96"/>
      <c r="N9" s="120">
        <f t="shared" ref="N9:O26" si="0">IF($C9="",0,IF(ISNUMBER(D9),0,1))</f>
        <v>0</v>
      </c>
      <c r="O9" s="120">
        <f t="shared" si="0"/>
        <v>0</v>
      </c>
      <c r="P9" s="120">
        <f t="shared" ref="P9:P26" si="1">IF($C9="",0,IF(ISNUMBER(G9),0,1))</f>
        <v>0</v>
      </c>
      <c r="Q9" s="96"/>
      <c r="R9"/>
      <c r="S9" s="96"/>
      <c r="T9" s="99"/>
      <c r="U9" s="99"/>
      <c r="V9" s="99"/>
      <c r="W9" s="96"/>
      <c r="X9" s="95"/>
    </row>
    <row r="10" spans="1:24" s="100" customFormat="1" ht="15" customHeight="1" x14ac:dyDescent="0.2">
      <c r="A10" s="99"/>
      <c r="B10" s="446">
        <f xml:space="preserve"> B9 + 1</f>
        <v>3</v>
      </c>
      <c r="C10" s="35" t="str">
        <f>IF($H$1="Select company","",IF(HLOOKUP((VLOOKUP($H$1,Lists!$B$4:$C$22,2,FALSE)),Water!$A$1:$S$20,'2G'!B10+1,FALSE)=0,"",HLOOKUP((VLOOKUP($H$1,Lists!$B$4:$C$22,2,FALSE)),Water!$A$1:$S$20,'2G'!B10+1,FALSE)))</f>
        <v>Tariff band 2 &gt; 50 ≤ 250 Ml/a water metered</v>
      </c>
      <c r="D10" s="633">
        <v>13.695</v>
      </c>
      <c r="E10" s="601">
        <v>0.20799999999999999</v>
      </c>
      <c r="F10" s="415">
        <f t="shared" ref="F10:F26" si="2" xml:space="preserve"> E10 + D10</f>
        <v>13.903</v>
      </c>
      <c r="G10" s="634">
        <v>110</v>
      </c>
      <c r="H10" s="455">
        <f xml:space="preserve"> IF( G10 = 0, 0, E10 / G10 * 1000000 )</f>
        <v>1890.909090909091</v>
      </c>
      <c r="I10" s="95"/>
      <c r="J10" s="77"/>
      <c r="K10" s="29">
        <f xml:space="preserve"> IF( SUM( M10:Q10 ) = 0, 0, $N$5 )</f>
        <v>0</v>
      </c>
      <c r="L10" s="95"/>
      <c r="M10" s="96"/>
      <c r="N10" s="120">
        <f t="shared" si="0"/>
        <v>0</v>
      </c>
      <c r="O10" s="120">
        <f t="shared" si="0"/>
        <v>0</v>
      </c>
      <c r="P10" s="120">
        <f t="shared" si="1"/>
        <v>0</v>
      </c>
      <c r="Q10" s="96"/>
      <c r="R10"/>
      <c r="S10" s="96"/>
      <c r="T10" s="99"/>
      <c r="U10" s="99"/>
      <c r="V10" s="99"/>
      <c r="W10" s="96"/>
      <c r="X10" s="95"/>
    </row>
    <row r="11" spans="1:24" s="100" customFormat="1" ht="15" customHeight="1" x14ac:dyDescent="0.2">
      <c r="A11" s="99"/>
      <c r="B11" s="446">
        <f t="shared" ref="B11:B26" si="3" xml:space="preserve"> B10 + 1</f>
        <v>4</v>
      </c>
      <c r="C11" s="36" t="str">
        <f>IF($H$1="Select company","",IF(HLOOKUP((VLOOKUP($H$1,Lists!$B$4:$C$22,2,FALSE)),Water!$A$1:$S$20,'2G'!B11+1,FALSE)=0,"",HLOOKUP((VLOOKUP($H$1,Lists!$B$4:$C$22,2,FALSE)),Water!$A$1:$S$20,'2G'!B11+1,FALSE)))</f>
        <v>Tariff band 3  &gt; 250 Ml/a water metered</v>
      </c>
      <c r="D11" s="633">
        <v>13.282999999999999</v>
      </c>
      <c r="E11" s="601">
        <v>0.13900000000000001</v>
      </c>
      <c r="F11" s="415">
        <f t="shared" si="2"/>
        <v>13.421999999999999</v>
      </c>
      <c r="G11" s="634">
        <v>28</v>
      </c>
      <c r="H11" s="455">
        <f t="shared" ref="H11:H25" si="4" xml:space="preserve"> IF( G11 = 0, 0, E11 / G11 * 1000000 )</f>
        <v>4964.2857142857147</v>
      </c>
      <c r="I11" s="95"/>
      <c r="J11" s="77"/>
      <c r="K11" s="29">
        <f t="shared" ref="K11:K23" si="5" xml:space="preserve"> IF( SUM( M11:Q11 ) = 0, 0, $N$5 )</f>
        <v>0</v>
      </c>
      <c r="L11" s="95"/>
      <c r="M11" s="96"/>
      <c r="N11" s="120">
        <f t="shared" si="0"/>
        <v>0</v>
      </c>
      <c r="O11" s="120">
        <f t="shared" si="0"/>
        <v>0</v>
      </c>
      <c r="P11" s="120">
        <f t="shared" si="1"/>
        <v>0</v>
      </c>
      <c r="Q11" s="96"/>
      <c r="R11"/>
      <c r="S11" s="96"/>
      <c r="T11" s="99"/>
      <c r="U11" s="99"/>
      <c r="V11" s="99"/>
      <c r="W11" s="96"/>
      <c r="X11" s="95"/>
    </row>
    <row r="12" spans="1:24" s="100" customFormat="1" ht="15" customHeight="1" x14ac:dyDescent="0.2">
      <c r="A12" s="99"/>
      <c r="B12" s="446">
        <f t="shared" si="3"/>
        <v>5</v>
      </c>
      <c r="C12" s="36" t="str">
        <f>IF($H$1="Select company","",IF(HLOOKUP((VLOOKUP($H$1,Lists!$B$4:$C$22,2,FALSE)),Water!$A$1:$S$20,'2G'!B12+1,FALSE)=0,"",HLOOKUP((VLOOKUP($H$1,Lists!$B$4:$C$22,2,FALSE)),Water!$A$1:$S$20,'2G'!B12+1,FALSE)))</f>
        <v>Tariff band 4 water unmetered</v>
      </c>
      <c r="D12" s="633">
        <v>1.07</v>
      </c>
      <c r="E12" s="601">
        <v>0.35599999999999998</v>
      </c>
      <c r="F12" s="415">
        <f t="shared" si="2"/>
        <v>1.4260000000000002</v>
      </c>
      <c r="G12" s="634">
        <v>15067.5</v>
      </c>
      <c r="H12" s="455">
        <f t="shared" si="4"/>
        <v>23.627011780321887</v>
      </c>
      <c r="I12" s="95"/>
      <c r="J12" s="77"/>
      <c r="K12" s="29">
        <f t="shared" si="5"/>
        <v>0</v>
      </c>
      <c r="L12" s="95"/>
      <c r="M12" s="96"/>
      <c r="N12" s="120">
        <f t="shared" si="0"/>
        <v>0</v>
      </c>
      <c r="O12" s="120">
        <f t="shared" si="0"/>
        <v>0</v>
      </c>
      <c r="P12" s="120">
        <f t="shared" si="1"/>
        <v>0</v>
      </c>
      <c r="Q12" s="96"/>
      <c r="R12"/>
      <c r="S12" s="96"/>
      <c r="T12" s="99"/>
      <c r="U12" s="99"/>
      <c r="V12" s="99"/>
      <c r="W12" s="96"/>
      <c r="X12" s="95"/>
    </row>
    <row r="13" spans="1:24" s="100" customFormat="1" ht="15" customHeight="1" x14ac:dyDescent="0.2">
      <c r="A13" s="99"/>
      <c r="B13" s="446">
        <f t="shared" si="3"/>
        <v>6</v>
      </c>
      <c r="C13" s="36" t="str">
        <f>IF($H$1="Select company","",IF(HLOOKUP((VLOOKUP($H$1,Lists!$B$4:$C$22,2,FALSE)),Water!$A$1:$S$20,'2G'!B13+1,FALSE)=0,"",HLOOKUP((VLOOKUP($H$1,Lists!$B$4:$C$22,2,FALSE)),Water!$A$1:$S$20,'2G'!B13+1,FALSE)))</f>
        <v/>
      </c>
      <c r="D13" s="633"/>
      <c r="E13" s="601"/>
      <c r="F13" s="415">
        <f t="shared" si="2"/>
        <v>0</v>
      </c>
      <c r="G13" s="634"/>
      <c r="H13" s="455">
        <f xml:space="preserve"> IF( G13 = 0, 0, E13 / G13 * 1000000 )</f>
        <v>0</v>
      </c>
      <c r="I13" s="95"/>
      <c r="J13" s="77"/>
      <c r="K13" s="29">
        <f t="shared" si="5"/>
        <v>0</v>
      </c>
      <c r="L13" s="95"/>
      <c r="M13" s="96"/>
      <c r="N13" s="120">
        <f t="shared" si="0"/>
        <v>0</v>
      </c>
      <c r="O13" s="120">
        <f t="shared" si="0"/>
        <v>0</v>
      </c>
      <c r="P13" s="120">
        <f t="shared" si="1"/>
        <v>0</v>
      </c>
      <c r="Q13" s="96"/>
      <c r="R13"/>
      <c r="S13" s="96"/>
      <c r="T13" s="99"/>
      <c r="U13" s="99"/>
      <c r="V13" s="99"/>
      <c r="W13" s="96"/>
      <c r="X13" s="95"/>
    </row>
    <row r="14" spans="1:24" s="100" customFormat="1" ht="15" customHeight="1" x14ac:dyDescent="0.2">
      <c r="A14" s="99"/>
      <c r="B14" s="446">
        <f t="shared" si="3"/>
        <v>7</v>
      </c>
      <c r="C14" s="36" t="str">
        <f>IF($H$1="Select company","",IF(HLOOKUP((VLOOKUP($H$1,Lists!$B$4:$C$22,2,FALSE)),Water!$A$1:$S$20,'2G'!B14+1,FALSE)=0,"",HLOOKUP((VLOOKUP($H$1,Lists!$B$4:$C$22,2,FALSE)),Water!$A$1:$S$20,'2G'!B14+1,FALSE)))</f>
        <v/>
      </c>
      <c r="D14" s="633"/>
      <c r="E14" s="601"/>
      <c r="F14" s="415">
        <f t="shared" si="2"/>
        <v>0</v>
      </c>
      <c r="G14" s="634"/>
      <c r="H14" s="455">
        <f t="shared" si="4"/>
        <v>0</v>
      </c>
      <c r="I14" s="95"/>
      <c r="J14" s="77"/>
      <c r="K14" s="29">
        <f t="shared" si="5"/>
        <v>0</v>
      </c>
      <c r="L14" s="95"/>
      <c r="M14" s="96"/>
      <c r="N14" s="120">
        <f t="shared" si="0"/>
        <v>0</v>
      </c>
      <c r="O14" s="120">
        <f t="shared" si="0"/>
        <v>0</v>
      </c>
      <c r="P14" s="120">
        <f t="shared" si="1"/>
        <v>0</v>
      </c>
      <c r="Q14" s="96"/>
      <c r="R14"/>
      <c r="S14" s="96"/>
      <c r="T14" s="99"/>
      <c r="U14" s="99"/>
      <c r="V14" s="99"/>
      <c r="W14" s="96"/>
      <c r="X14" s="95"/>
    </row>
    <row r="15" spans="1:24" s="100" customFormat="1" ht="15" customHeight="1" x14ac:dyDescent="0.2">
      <c r="A15" s="99"/>
      <c r="B15" s="446">
        <f t="shared" si="3"/>
        <v>8</v>
      </c>
      <c r="C15" s="36" t="str">
        <f>IF($H$1="Select company","",IF(HLOOKUP((VLOOKUP($H$1,Lists!$B$4:$C$22,2,FALSE)),Water!$A$1:$S$20,'2G'!B15+1,FALSE)=0,"",HLOOKUP((VLOOKUP($H$1,Lists!$B$4:$C$22,2,FALSE)),Water!$A$1:$S$20,'2G'!B15+1,FALSE)))</f>
        <v/>
      </c>
      <c r="D15" s="633"/>
      <c r="E15" s="601"/>
      <c r="F15" s="415">
        <f t="shared" si="2"/>
        <v>0</v>
      </c>
      <c r="G15" s="634"/>
      <c r="H15" s="455">
        <f t="shared" si="4"/>
        <v>0</v>
      </c>
      <c r="I15" s="95"/>
      <c r="J15" s="77"/>
      <c r="K15" s="29">
        <f t="shared" si="5"/>
        <v>0</v>
      </c>
      <c r="L15" s="95"/>
      <c r="M15" s="96"/>
      <c r="N15" s="120">
        <f t="shared" si="0"/>
        <v>0</v>
      </c>
      <c r="O15" s="120">
        <f t="shared" si="0"/>
        <v>0</v>
      </c>
      <c r="P15" s="120">
        <f t="shared" si="1"/>
        <v>0</v>
      </c>
      <c r="Q15" s="96"/>
      <c r="R15"/>
      <c r="S15" s="96"/>
      <c r="T15" s="99"/>
      <c r="U15" s="99"/>
      <c r="V15" s="99"/>
      <c r="W15" s="96"/>
      <c r="X15" s="95"/>
    </row>
    <row r="16" spans="1:24" s="100" customFormat="1" ht="15" customHeight="1" x14ac:dyDescent="0.2">
      <c r="A16" s="99"/>
      <c r="B16" s="446">
        <f t="shared" si="3"/>
        <v>9</v>
      </c>
      <c r="C16" s="36" t="str">
        <f>IF($H$1="Select company","",IF(HLOOKUP((VLOOKUP($H$1,Lists!$B$4:$C$22,2,FALSE)),Water!$A$1:$S$20,'2G'!B16+1,FALSE)=0,"",HLOOKUP((VLOOKUP($H$1,Lists!$B$4:$C$22,2,FALSE)),Water!$A$1:$S$20,'2G'!B16+1,FALSE)))</f>
        <v/>
      </c>
      <c r="D16" s="633"/>
      <c r="E16" s="601"/>
      <c r="F16" s="415">
        <f t="shared" si="2"/>
        <v>0</v>
      </c>
      <c r="G16" s="634"/>
      <c r="H16" s="455">
        <f t="shared" si="4"/>
        <v>0</v>
      </c>
      <c r="I16" s="95"/>
      <c r="J16" s="77"/>
      <c r="K16" s="29">
        <f t="shared" si="5"/>
        <v>0</v>
      </c>
      <c r="L16" s="95"/>
      <c r="M16" s="96"/>
      <c r="N16" s="120">
        <f t="shared" si="0"/>
        <v>0</v>
      </c>
      <c r="O16" s="120">
        <f t="shared" si="0"/>
        <v>0</v>
      </c>
      <c r="P16" s="120">
        <f t="shared" si="1"/>
        <v>0</v>
      </c>
      <c r="Q16" s="96"/>
      <c r="R16"/>
      <c r="S16" s="96"/>
      <c r="T16" s="99"/>
      <c r="U16" s="99"/>
      <c r="V16" s="99"/>
      <c r="W16" s="96"/>
      <c r="X16" s="95"/>
    </row>
    <row r="17" spans="1:24" s="100" customFormat="1" ht="15" customHeight="1" x14ac:dyDescent="0.2">
      <c r="A17" s="99"/>
      <c r="B17" s="446">
        <f t="shared" si="3"/>
        <v>10</v>
      </c>
      <c r="C17" s="36" t="str">
        <f>IF($H$1="Select company","",IF(HLOOKUP((VLOOKUP($H$1,Lists!$B$4:$C$22,2,FALSE)),Water!$A$1:$S$20,'2G'!B17+1,FALSE)=0,"",HLOOKUP((VLOOKUP($H$1,Lists!$B$4:$C$22,2,FALSE)),Water!$A$1:$S$20,'2G'!B17+1,FALSE)))</f>
        <v/>
      </c>
      <c r="D17" s="633"/>
      <c r="E17" s="601"/>
      <c r="F17" s="415">
        <f t="shared" si="2"/>
        <v>0</v>
      </c>
      <c r="G17" s="634"/>
      <c r="H17" s="455">
        <f t="shared" si="4"/>
        <v>0</v>
      </c>
      <c r="I17" s="95"/>
      <c r="J17" s="77"/>
      <c r="K17" s="29">
        <f t="shared" si="5"/>
        <v>0</v>
      </c>
      <c r="L17" s="95"/>
      <c r="M17" s="96"/>
      <c r="N17" s="120">
        <f t="shared" si="0"/>
        <v>0</v>
      </c>
      <c r="O17" s="120">
        <f t="shared" si="0"/>
        <v>0</v>
      </c>
      <c r="P17" s="120">
        <f t="shared" si="1"/>
        <v>0</v>
      </c>
      <c r="Q17" s="96"/>
      <c r="R17"/>
      <c r="S17" s="96"/>
      <c r="T17" s="99"/>
      <c r="U17" s="99"/>
      <c r="V17" s="99"/>
      <c r="W17" s="96"/>
      <c r="X17" s="95"/>
    </row>
    <row r="18" spans="1:24" s="100" customFormat="1" ht="15" customHeight="1" x14ac:dyDescent="0.2">
      <c r="A18" s="99"/>
      <c r="B18" s="446">
        <f t="shared" si="3"/>
        <v>11</v>
      </c>
      <c r="C18" s="36" t="str">
        <f>IF($H$1="Select company","",IF(HLOOKUP((VLOOKUP($H$1,Lists!$B$4:$C$22,2,FALSE)),Water!$A$1:$S$20,'2G'!B18+1,FALSE)=0,"",HLOOKUP((VLOOKUP($H$1,Lists!$B$4:$C$22,2,FALSE)),Water!$A$1:$S$20,'2G'!B18+1,FALSE)))</f>
        <v/>
      </c>
      <c r="D18" s="633"/>
      <c r="E18" s="601"/>
      <c r="F18" s="415">
        <f t="shared" si="2"/>
        <v>0</v>
      </c>
      <c r="G18" s="634"/>
      <c r="H18" s="455">
        <f t="shared" si="4"/>
        <v>0</v>
      </c>
      <c r="I18" s="95"/>
      <c r="J18" s="77"/>
      <c r="K18" s="29">
        <f t="shared" si="5"/>
        <v>0</v>
      </c>
      <c r="L18" s="95"/>
      <c r="M18" s="96"/>
      <c r="N18" s="120">
        <f t="shared" si="0"/>
        <v>0</v>
      </c>
      <c r="O18" s="120">
        <f t="shared" si="0"/>
        <v>0</v>
      </c>
      <c r="P18" s="120">
        <f t="shared" si="1"/>
        <v>0</v>
      </c>
      <c r="Q18" s="96"/>
      <c r="R18"/>
      <c r="S18" s="96"/>
      <c r="T18" s="99"/>
      <c r="U18" s="99"/>
      <c r="V18" s="99"/>
      <c r="W18" s="96"/>
      <c r="X18" s="95"/>
    </row>
    <row r="19" spans="1:24" s="100" customFormat="1" ht="15" customHeight="1" x14ac:dyDescent="0.2">
      <c r="A19" s="99"/>
      <c r="B19" s="446">
        <f t="shared" si="3"/>
        <v>12</v>
      </c>
      <c r="C19" s="36" t="str">
        <f>IF($H$1="Select company","",IF(HLOOKUP((VLOOKUP($H$1,Lists!$B$4:$C$22,2,FALSE)),Water!$A$1:$S$20,'2G'!B19+1,FALSE)=0,"",HLOOKUP((VLOOKUP($H$1,Lists!$B$4:$C$22,2,FALSE)),Water!$A$1:$S$20,'2G'!B19+1,FALSE)))</f>
        <v/>
      </c>
      <c r="D19" s="633"/>
      <c r="E19" s="601"/>
      <c r="F19" s="415">
        <f t="shared" si="2"/>
        <v>0</v>
      </c>
      <c r="G19" s="634"/>
      <c r="H19" s="455">
        <f t="shared" si="4"/>
        <v>0</v>
      </c>
      <c r="I19" s="95"/>
      <c r="J19" s="77"/>
      <c r="K19" s="29">
        <f t="shared" si="5"/>
        <v>0</v>
      </c>
      <c r="L19" s="95"/>
      <c r="M19" s="96"/>
      <c r="N19" s="120">
        <f t="shared" si="0"/>
        <v>0</v>
      </c>
      <c r="O19" s="120">
        <f t="shared" si="0"/>
        <v>0</v>
      </c>
      <c r="P19" s="120">
        <f t="shared" si="1"/>
        <v>0</v>
      </c>
      <c r="Q19" s="96"/>
      <c r="R19"/>
      <c r="S19" s="96"/>
      <c r="T19" s="99"/>
      <c r="U19" s="99"/>
      <c r="V19" s="99"/>
      <c r="W19" s="96"/>
      <c r="X19" s="95"/>
    </row>
    <row r="20" spans="1:24" s="100" customFormat="1" ht="15" customHeight="1" x14ac:dyDescent="0.2">
      <c r="A20" s="99"/>
      <c r="B20" s="446">
        <f t="shared" si="3"/>
        <v>13</v>
      </c>
      <c r="C20" s="36" t="str">
        <f>IF($H$1="Select company","",IF(HLOOKUP((VLOOKUP($H$1,Lists!$B$4:$C$22,2,FALSE)),Water!$A$1:$S$20,'2G'!B20+1,FALSE)=0,"",HLOOKUP((VLOOKUP($H$1,Lists!$B$4:$C$22,2,FALSE)),Water!$A$1:$S$20,'2G'!B20+1,FALSE)))</f>
        <v/>
      </c>
      <c r="D20" s="633"/>
      <c r="E20" s="601"/>
      <c r="F20" s="415">
        <f t="shared" si="2"/>
        <v>0</v>
      </c>
      <c r="G20" s="634"/>
      <c r="H20" s="455">
        <f t="shared" si="4"/>
        <v>0</v>
      </c>
      <c r="I20" s="95"/>
      <c r="J20" s="77"/>
      <c r="K20" s="29">
        <f t="shared" si="5"/>
        <v>0</v>
      </c>
      <c r="L20" s="95"/>
      <c r="M20" s="96"/>
      <c r="N20" s="120">
        <f t="shared" si="0"/>
        <v>0</v>
      </c>
      <c r="O20" s="120">
        <f t="shared" si="0"/>
        <v>0</v>
      </c>
      <c r="P20" s="120">
        <f t="shared" si="1"/>
        <v>0</v>
      </c>
      <c r="Q20" s="96"/>
      <c r="R20"/>
      <c r="S20" s="96"/>
      <c r="T20" s="99"/>
      <c r="U20" s="99"/>
      <c r="V20" s="99"/>
      <c r="W20" s="96"/>
      <c r="X20" s="95"/>
    </row>
    <row r="21" spans="1:24" s="100" customFormat="1" ht="15" customHeight="1" x14ac:dyDescent="0.2">
      <c r="A21" s="99"/>
      <c r="B21" s="446">
        <f t="shared" si="3"/>
        <v>14</v>
      </c>
      <c r="C21" s="36" t="str">
        <f>IF($H$1="Select company","",IF(HLOOKUP((VLOOKUP($H$1,Lists!$B$4:$C$22,2,FALSE)),Water!$A$1:$S$20,'2G'!B21+1,FALSE)=0,"",HLOOKUP((VLOOKUP($H$1,Lists!$B$4:$C$22,2,FALSE)),Water!$A$1:$S$20,'2G'!B21+1,FALSE)))</f>
        <v/>
      </c>
      <c r="D21" s="633"/>
      <c r="E21" s="601"/>
      <c r="F21" s="415">
        <f t="shared" si="2"/>
        <v>0</v>
      </c>
      <c r="G21" s="634"/>
      <c r="H21" s="455">
        <f t="shared" si="4"/>
        <v>0</v>
      </c>
      <c r="I21" s="95"/>
      <c r="J21" s="77"/>
      <c r="K21" s="29">
        <f t="shared" si="5"/>
        <v>0</v>
      </c>
      <c r="L21" s="95"/>
      <c r="M21" s="96"/>
      <c r="N21" s="120">
        <f t="shared" si="0"/>
        <v>0</v>
      </c>
      <c r="O21" s="120">
        <f t="shared" si="0"/>
        <v>0</v>
      </c>
      <c r="P21" s="120">
        <f t="shared" si="1"/>
        <v>0</v>
      </c>
      <c r="Q21" s="96"/>
      <c r="R21"/>
      <c r="S21" s="96"/>
      <c r="T21" s="99"/>
      <c r="U21" s="99"/>
      <c r="V21" s="99"/>
      <c r="W21" s="96"/>
      <c r="X21" s="95"/>
    </row>
    <row r="22" spans="1:24" s="100" customFormat="1" ht="15" customHeight="1" x14ac:dyDescent="0.2">
      <c r="A22" s="99"/>
      <c r="B22" s="446">
        <f t="shared" si="3"/>
        <v>15</v>
      </c>
      <c r="C22" s="36" t="str">
        <f>IF($H$1="Select company","",IF(HLOOKUP((VLOOKUP($H$1,Lists!$B$4:$C$22,2,FALSE)),Water!$A$1:$S$20,'2G'!B22+1,FALSE)=0,"",HLOOKUP((VLOOKUP($H$1,Lists!$B$4:$C$22,2,FALSE)),Water!$A$1:$S$20,'2G'!B22+1,FALSE)))</f>
        <v/>
      </c>
      <c r="D22" s="633"/>
      <c r="E22" s="601"/>
      <c r="F22" s="415">
        <f t="shared" si="2"/>
        <v>0</v>
      </c>
      <c r="G22" s="634"/>
      <c r="H22" s="455">
        <f t="shared" si="4"/>
        <v>0</v>
      </c>
      <c r="I22" s="144"/>
      <c r="J22" s="77"/>
      <c r="K22" s="29">
        <f t="shared" si="5"/>
        <v>0</v>
      </c>
      <c r="L22" s="95"/>
      <c r="M22" s="96"/>
      <c r="N22" s="120">
        <f t="shared" si="0"/>
        <v>0</v>
      </c>
      <c r="O22" s="120">
        <f t="shared" si="0"/>
        <v>0</v>
      </c>
      <c r="P22" s="120">
        <f t="shared" si="1"/>
        <v>0</v>
      </c>
      <c r="Q22" s="96"/>
      <c r="R22"/>
      <c r="S22" s="96"/>
      <c r="T22" s="99"/>
      <c r="U22" s="99"/>
      <c r="V22" s="99"/>
      <c r="W22" s="96"/>
      <c r="X22" s="137"/>
    </row>
    <row r="23" spans="1:24" s="100" customFormat="1" ht="15" customHeight="1" x14ac:dyDescent="0.2">
      <c r="A23" s="99"/>
      <c r="B23" s="446">
        <f t="shared" si="3"/>
        <v>16</v>
      </c>
      <c r="C23" s="36" t="str">
        <f>IF($H$1="Select company","",IF(HLOOKUP((VLOOKUP($H$1,Lists!$B$4:$C$22,2,FALSE)),Water!$A$1:$S$20,'2G'!B23+1,FALSE)=0,"",HLOOKUP((VLOOKUP($H$1,Lists!$B$4:$C$22,2,FALSE)),Water!$A$1:$S$20,'2G'!B23+1,FALSE)))</f>
        <v/>
      </c>
      <c r="D23" s="633"/>
      <c r="E23" s="601"/>
      <c r="F23" s="415">
        <f t="shared" si="2"/>
        <v>0</v>
      </c>
      <c r="G23" s="634"/>
      <c r="H23" s="455">
        <f t="shared" si="4"/>
        <v>0</v>
      </c>
      <c r="I23" s="150"/>
      <c r="J23" s="77"/>
      <c r="K23" s="29">
        <f t="shared" si="5"/>
        <v>0</v>
      </c>
      <c r="L23" s="95"/>
      <c r="M23" s="96"/>
      <c r="N23" s="120">
        <f t="shared" si="0"/>
        <v>0</v>
      </c>
      <c r="O23" s="120">
        <f t="shared" si="0"/>
        <v>0</v>
      </c>
      <c r="P23" s="120">
        <f t="shared" si="1"/>
        <v>0</v>
      </c>
      <c r="Q23" s="96"/>
      <c r="R23" s="147"/>
      <c r="S23" s="148"/>
      <c r="T23" s="189"/>
      <c r="U23" s="189"/>
      <c r="V23" s="99"/>
      <c r="W23" s="148"/>
      <c r="X23" s="187"/>
    </row>
    <row r="24" spans="1:24" s="100" customFormat="1" ht="15" customHeight="1" x14ac:dyDescent="0.2">
      <c r="A24" s="99"/>
      <c r="B24" s="446">
        <f t="shared" si="3"/>
        <v>17</v>
      </c>
      <c r="C24" s="36" t="str">
        <f>IF($H$1="Select company","",IF(HLOOKUP((VLOOKUP($H$1,Lists!$B$4:$C$22,2,FALSE)),Water!$A$1:$S$20,'2G'!B24+1,FALSE)=0,"",HLOOKUP((VLOOKUP($H$1,Lists!$B$4:$C$22,2,FALSE)),Water!$A$1:$S$20,'2G'!B24+1,FALSE)))</f>
        <v/>
      </c>
      <c r="D24" s="633"/>
      <c r="E24" s="601"/>
      <c r="F24" s="415">
        <f t="shared" si="2"/>
        <v>0</v>
      </c>
      <c r="G24" s="634"/>
      <c r="H24" s="455">
        <f t="shared" si="4"/>
        <v>0</v>
      </c>
      <c r="I24" s="150"/>
      <c r="J24" s="77"/>
      <c r="K24" s="29">
        <f t="shared" ref="K24:K25" si="6" xml:space="preserve"> IF( SUM( M24:Q24 ) = 0, 0, $N$5 )</f>
        <v>0</v>
      </c>
      <c r="L24" s="95"/>
      <c r="M24" s="96"/>
      <c r="N24" s="120">
        <f t="shared" si="0"/>
        <v>0</v>
      </c>
      <c r="O24" s="120">
        <f t="shared" si="0"/>
        <v>0</v>
      </c>
      <c r="P24" s="120">
        <f t="shared" si="1"/>
        <v>0</v>
      </c>
      <c r="Q24" s="96"/>
      <c r="R24"/>
      <c r="S24" s="145"/>
      <c r="T24" s="99"/>
      <c r="U24" s="99"/>
      <c r="V24" s="99"/>
      <c r="W24" s="145"/>
      <c r="X24" s="187"/>
    </row>
    <row r="25" spans="1:24" s="100" customFormat="1" ht="15" customHeight="1" x14ac:dyDescent="0.2">
      <c r="A25" s="99"/>
      <c r="B25" s="446">
        <f t="shared" si="3"/>
        <v>18</v>
      </c>
      <c r="C25" s="35" t="str">
        <f>IF($H$1="Select company","",IF(HLOOKUP((VLOOKUP($H$1,Lists!$B$4:$C$22,2,FALSE)),Water!$A$1:$S$20,'2G'!B25+1,FALSE)=0,"",HLOOKUP((VLOOKUP($H$1,Lists!$B$4:$C$22,2,FALSE)),Water!$A$1:$S$20,'2G'!B25+1,FALSE)))</f>
        <v/>
      </c>
      <c r="D25" s="633"/>
      <c r="E25" s="601"/>
      <c r="F25" s="415">
        <f t="shared" si="2"/>
        <v>0</v>
      </c>
      <c r="G25" s="634"/>
      <c r="H25" s="455">
        <f t="shared" si="4"/>
        <v>0</v>
      </c>
      <c r="I25" s="150"/>
      <c r="J25" s="77"/>
      <c r="K25" s="29">
        <f t="shared" si="6"/>
        <v>0</v>
      </c>
      <c r="L25" s="95"/>
      <c r="M25" s="96"/>
      <c r="N25" s="120">
        <f t="shared" si="0"/>
        <v>0</v>
      </c>
      <c r="O25" s="120">
        <f t="shared" si="0"/>
        <v>0</v>
      </c>
      <c r="P25" s="120">
        <f t="shared" si="1"/>
        <v>0</v>
      </c>
      <c r="Q25" s="96"/>
      <c r="R25"/>
      <c r="S25" s="145"/>
      <c r="T25" s="99"/>
      <c r="U25" s="99"/>
      <c r="V25" s="99"/>
      <c r="W25" s="145"/>
      <c r="X25" s="187"/>
    </row>
    <row r="26" spans="1:24" s="100" customFormat="1" ht="15" customHeight="1" x14ac:dyDescent="0.2">
      <c r="A26" s="99"/>
      <c r="B26" s="446">
        <f t="shared" si="3"/>
        <v>19</v>
      </c>
      <c r="C26" s="35"/>
      <c r="D26" s="635"/>
      <c r="E26" s="636"/>
      <c r="F26" s="415">
        <f t="shared" si="2"/>
        <v>0</v>
      </c>
      <c r="G26" s="634"/>
      <c r="H26" s="455">
        <f xml:space="preserve"> IF( G26 = 0, 0, E26 / G26 * 1000000 )</f>
        <v>0</v>
      </c>
      <c r="I26" s="150"/>
      <c r="J26" s="77"/>
      <c r="K26" s="29">
        <f xml:space="preserve"> IF( SUM( M26:Q26 ) = 0, 0, $N$5 )</f>
        <v>0</v>
      </c>
      <c r="L26" s="95"/>
      <c r="M26" s="96"/>
      <c r="N26" s="120">
        <f t="shared" si="0"/>
        <v>0</v>
      </c>
      <c r="O26" s="120">
        <f t="shared" si="0"/>
        <v>0</v>
      </c>
      <c r="P26" s="120">
        <f t="shared" si="1"/>
        <v>0</v>
      </c>
      <c r="Q26" s="96"/>
      <c r="R26"/>
      <c r="S26" s="145"/>
      <c r="T26" s="99"/>
      <c r="U26" s="99"/>
      <c r="V26" s="99"/>
      <c r="W26" s="145"/>
      <c r="X26" s="187"/>
    </row>
    <row r="27" spans="1:24" s="100" customFormat="1" ht="17.100000000000001" customHeight="1" thickBot="1" x14ac:dyDescent="0.25">
      <c r="A27" s="99"/>
      <c r="B27" s="447">
        <f xml:space="preserve"> B26 + 1</f>
        <v>20</v>
      </c>
      <c r="C27" s="37" t="s">
        <v>466</v>
      </c>
      <c r="D27" s="416">
        <f xml:space="preserve"> SUM( D9:D26 )</f>
        <v>100.90499999999999</v>
      </c>
      <c r="E27" s="417">
        <f xml:space="preserve"> SUM( E9:E26 )</f>
        <v>5.37</v>
      </c>
      <c r="F27" s="418">
        <f xml:space="preserve"> SUM( F9:F26 )</f>
        <v>106.27500000000001</v>
      </c>
      <c r="G27" s="684">
        <f xml:space="preserve"> SUM( G9:G26 )</f>
        <v>127048.5</v>
      </c>
      <c r="H27" s="456">
        <f xml:space="preserve"> IF( G27 = 0, 0, E27 / G27 * 1000000 )</f>
        <v>42.267323108891489</v>
      </c>
      <c r="I27" s="150"/>
      <c r="J27" s="77"/>
      <c r="K27" s="150"/>
      <c r="L27" s="150"/>
      <c r="M27" s="145"/>
      <c r="N27" s="186"/>
      <c r="O27" s="187"/>
      <c r="P27" s="187"/>
      <c r="Q27" s="145"/>
      <c r="R27"/>
      <c r="S27" s="145"/>
      <c r="T27" s="99"/>
      <c r="U27" s="99"/>
      <c r="V27" s="99"/>
      <c r="W27" s="145"/>
      <c r="X27" s="187"/>
    </row>
    <row r="28" spans="1:24" s="95" customFormat="1" ht="15" thickBot="1" x14ac:dyDescent="0.25">
      <c r="D28" s="107"/>
      <c r="E28" s="187"/>
      <c r="F28" s="107"/>
      <c r="G28" s="150"/>
      <c r="H28" s="448"/>
      <c r="I28" s="150"/>
      <c r="J28" s="77"/>
      <c r="K28" s="150"/>
      <c r="L28" s="150"/>
      <c r="M28" s="145"/>
      <c r="N28" s="186"/>
      <c r="O28" s="187"/>
      <c r="P28" s="187"/>
      <c r="Q28" s="145"/>
      <c r="R28" s="147"/>
      <c r="S28" s="145"/>
      <c r="T28" s="189"/>
      <c r="U28" s="189"/>
      <c r="V28" s="99"/>
      <c r="W28" s="145"/>
      <c r="X28" s="187"/>
    </row>
    <row r="29" spans="1:24" s="100" customFormat="1" ht="17.100000000000001" customHeight="1" thickBot="1" x14ac:dyDescent="0.25">
      <c r="A29" s="99"/>
      <c r="B29" s="441">
        <f xml:space="preserve"> B27 + 1</f>
        <v>21</v>
      </c>
      <c r="C29" s="33" t="s">
        <v>246</v>
      </c>
      <c r="D29" s="423">
        <f xml:space="preserve"> D27 + D6</f>
        <v>100.90499999999999</v>
      </c>
      <c r="E29" s="424">
        <f xml:space="preserve"> E27 + E6</f>
        <v>5.37</v>
      </c>
      <c r="F29" s="425">
        <f xml:space="preserve"> F27 + F6</f>
        <v>106.27500000000001</v>
      </c>
      <c r="G29" s="457">
        <f xml:space="preserve"> G27 + G6</f>
        <v>127048.5</v>
      </c>
      <c r="H29" s="452">
        <f xml:space="preserve"> H27 + H6</f>
        <v>42.267323108891489</v>
      </c>
      <c r="I29" s="150"/>
      <c r="J29" s="77">
        <f xml:space="preserve"> IF( SUM( Q29:S29 ) = 0, 0, V29 )</f>
        <v>0</v>
      </c>
      <c r="K29" s="150"/>
      <c r="L29" s="150"/>
      <c r="M29" s="145"/>
      <c r="N29" s="186"/>
      <c r="O29" s="187"/>
      <c r="P29" s="187"/>
      <c r="Q29" s="145"/>
      <c r="R29" s="120">
        <f xml:space="preserve"> IF( (T29 - U29) = 0, 0, 1 )</f>
        <v>0</v>
      </c>
      <c r="S29" s="145"/>
      <c r="T29" s="189">
        <f xml:space="preserve"> ROUND(D29, 3)</f>
        <v>100.905</v>
      </c>
      <c r="U29" s="189">
        <f xml:space="preserve"> ROUND( SUM( '2I'!G6:G7 ), 3)</f>
        <v>100.905</v>
      </c>
      <c r="V29" s="99" t="s">
        <v>467</v>
      </c>
      <c r="W29" s="145"/>
      <c r="X29" s="187"/>
    </row>
    <row r="30" spans="1:24" s="95" customFormat="1" x14ac:dyDescent="0.2">
      <c r="E30" s="187"/>
      <c r="G30" s="150"/>
      <c r="I30" s="153"/>
      <c r="J30" s="77"/>
      <c r="K30" s="150"/>
      <c r="L30" s="150"/>
      <c r="M30" s="145"/>
      <c r="N30" s="186"/>
      <c r="O30" s="206"/>
      <c r="P30" s="206"/>
      <c r="Q30" s="145"/>
      <c r="R30"/>
      <c r="S30" s="145"/>
      <c r="T30" s="99"/>
      <c r="U30" s="99"/>
      <c r="V30" s="99"/>
      <c r="W30" s="145"/>
      <c r="X30" s="206"/>
    </row>
    <row r="31" spans="1:24" s="187" customFormat="1" x14ac:dyDescent="0.2">
      <c r="B31" s="703" t="s">
        <v>90</v>
      </c>
      <c r="C31" s="703"/>
      <c r="G31" s="150"/>
      <c r="H31" s="95"/>
      <c r="I31" s="153"/>
      <c r="J31" s="77"/>
      <c r="K31" s="150"/>
      <c r="L31" s="150"/>
      <c r="M31" s="145"/>
      <c r="N31" s="186"/>
      <c r="O31" s="206"/>
      <c r="P31" s="206"/>
      <c r="Q31" s="145"/>
      <c r="R31"/>
      <c r="S31" s="145"/>
      <c r="T31" s="99"/>
      <c r="U31" s="99"/>
      <c r="V31" s="99"/>
      <c r="W31" s="145"/>
      <c r="X31" s="206"/>
    </row>
    <row r="32" spans="1:24" s="187" customFormat="1" x14ac:dyDescent="0.2">
      <c r="B32" s="162"/>
      <c r="C32" s="163"/>
      <c r="G32" s="150"/>
      <c r="H32" s="95"/>
      <c r="I32" s="144"/>
      <c r="J32" s="77"/>
      <c r="K32" s="146"/>
      <c r="L32" s="144"/>
      <c r="M32" s="148"/>
      <c r="N32" s="295"/>
      <c r="O32" s="137"/>
      <c r="P32" s="137"/>
      <c r="Q32" s="148"/>
      <c r="R32"/>
      <c r="S32" s="145"/>
      <c r="T32" s="99"/>
      <c r="U32" s="99"/>
      <c r="V32" s="99"/>
      <c r="W32" s="145"/>
      <c r="X32" s="137"/>
    </row>
    <row r="33" spans="1:24" s="187" customFormat="1" x14ac:dyDescent="0.2">
      <c r="B33" s="30"/>
      <c r="C33" s="164" t="s">
        <v>91</v>
      </c>
      <c r="G33" s="150"/>
      <c r="H33" s="95"/>
      <c r="I33" s="144"/>
      <c r="J33" s="77"/>
      <c r="K33" s="146"/>
      <c r="L33" s="144"/>
      <c r="M33" s="148"/>
      <c r="N33" s="295"/>
      <c r="O33" s="137"/>
      <c r="P33" s="137"/>
      <c r="Q33" s="148"/>
      <c r="R33"/>
      <c r="S33" s="148"/>
      <c r="T33" s="99"/>
      <c r="U33" s="99"/>
      <c r="V33" s="99"/>
      <c r="W33" s="148"/>
      <c r="X33" s="137"/>
    </row>
    <row r="34" spans="1:24" s="187" customFormat="1" x14ac:dyDescent="0.2">
      <c r="B34" s="162"/>
      <c r="C34" s="163"/>
      <c r="G34" s="150"/>
      <c r="H34" s="95"/>
      <c r="I34" s="433"/>
      <c r="J34" s="77"/>
      <c r="K34" s="153"/>
      <c r="L34" s="144"/>
      <c r="M34" s="148"/>
      <c r="N34" s="206"/>
      <c r="O34" s="206"/>
      <c r="P34" s="206"/>
      <c r="Q34" s="148"/>
      <c r="R34"/>
      <c r="S34" s="148"/>
      <c r="T34" s="99"/>
      <c r="U34" s="99"/>
      <c r="V34" s="99"/>
      <c r="W34" s="148"/>
      <c r="X34" s="206"/>
    </row>
    <row r="35" spans="1:24" s="187" customFormat="1" x14ac:dyDescent="0.2">
      <c r="B35" s="165"/>
      <c r="C35" s="164" t="s">
        <v>92</v>
      </c>
      <c r="G35" s="150"/>
      <c r="H35" s="95"/>
      <c r="I35" s="436"/>
      <c r="J35" s="77"/>
      <c r="K35" s="146"/>
      <c r="L35" s="144"/>
      <c r="M35" s="148"/>
      <c r="N35" s="332"/>
      <c r="O35" s="137"/>
      <c r="P35" s="137"/>
      <c r="Q35" s="148"/>
      <c r="R35"/>
      <c r="S35" s="148"/>
      <c r="T35" s="99"/>
      <c r="U35" s="99"/>
      <c r="V35" s="99"/>
      <c r="W35" s="148"/>
      <c r="X35" s="137"/>
    </row>
    <row r="36" spans="1:24" s="187" customFormat="1" x14ac:dyDescent="0.2">
      <c r="B36" s="166"/>
      <c r="C36" s="164"/>
      <c r="G36" s="150"/>
      <c r="H36" s="144"/>
      <c r="I36" s="437"/>
      <c r="J36" s="77"/>
      <c r="K36" s="146"/>
      <c r="L36" s="144"/>
      <c r="M36" s="148"/>
      <c r="N36" s="332"/>
      <c r="O36" s="137"/>
      <c r="P36" s="137"/>
      <c r="Q36" s="148"/>
      <c r="R36" s="137"/>
      <c r="S36" s="148"/>
      <c r="T36" s="99"/>
      <c r="U36" s="99"/>
      <c r="V36" s="99"/>
      <c r="W36" s="148"/>
      <c r="X36" s="137"/>
    </row>
    <row r="37" spans="1:24" s="187" customFormat="1" x14ac:dyDescent="0.2">
      <c r="B37" s="167"/>
      <c r="C37" s="164" t="s">
        <v>93</v>
      </c>
      <c r="G37" s="150"/>
      <c r="H37" s="150"/>
      <c r="I37" s="436"/>
      <c r="J37" s="77"/>
      <c r="K37" s="146"/>
      <c r="L37" s="144"/>
      <c r="M37" s="148"/>
      <c r="N37" s="332"/>
      <c r="O37" s="137"/>
      <c r="P37" s="137"/>
      <c r="Q37" s="148"/>
      <c r="R37" s="99"/>
      <c r="S37" s="148"/>
      <c r="T37" s="99"/>
      <c r="U37" s="99"/>
      <c r="V37" s="99"/>
      <c r="W37" s="148"/>
      <c r="X37" s="137"/>
    </row>
    <row r="38" spans="1:24" s="206" customFormat="1" x14ac:dyDescent="0.2">
      <c r="A38" s="172"/>
      <c r="B38" s="172"/>
      <c r="C38" s="173"/>
      <c r="G38" s="153"/>
      <c r="H38" s="150"/>
      <c r="I38" s="437"/>
      <c r="J38" s="77"/>
      <c r="K38" s="146"/>
      <c r="L38" s="144"/>
      <c r="M38" s="148"/>
      <c r="N38" s="332"/>
      <c r="O38" s="146"/>
      <c r="P38" s="146"/>
      <c r="Q38" s="148"/>
      <c r="R38" s="99"/>
      <c r="S38" s="148"/>
      <c r="T38" s="99"/>
      <c r="U38" s="99"/>
      <c r="V38" s="99"/>
      <c r="W38" s="148"/>
      <c r="X38" s="146"/>
    </row>
    <row r="39" spans="1:24" s="206" customFormat="1" ht="15" thickBot="1" x14ac:dyDescent="0.25">
      <c r="C39" s="207"/>
      <c r="G39" s="153"/>
      <c r="H39" s="150"/>
      <c r="I39" s="437"/>
      <c r="J39" s="99"/>
      <c r="K39" s="146"/>
      <c r="L39" s="144"/>
      <c r="M39" s="148"/>
      <c r="N39" s="332"/>
      <c r="O39" s="146"/>
      <c r="P39" s="146"/>
      <c r="Q39" s="148"/>
      <c r="R39" s="99"/>
      <c r="S39" s="148"/>
      <c r="T39" s="95"/>
      <c r="U39" s="95"/>
      <c r="V39" s="95"/>
      <c r="W39" s="148"/>
      <c r="X39" s="146"/>
    </row>
    <row r="40" spans="1:24" s="137" customFormat="1" ht="16.5" thickBot="1" x14ac:dyDescent="0.25">
      <c r="B40" s="168" t="str">
        <f ca="1" xml:space="preserve"> RIGHT(CELL("filename", $A$1), LEN(CELL("filename", $A$1)) - SEARCH("]", CELL("filename", $A$1)))&amp;" - Line definitions"</f>
        <v>2G - Line definitions</v>
      </c>
      <c r="C40" s="169"/>
      <c r="D40" s="170"/>
      <c r="E40" s="170"/>
      <c r="F40" s="170"/>
      <c r="G40" s="170"/>
      <c r="H40" s="288"/>
      <c r="I40" s="437"/>
      <c r="J40" s="99"/>
      <c r="K40" s="146"/>
      <c r="L40" s="144"/>
      <c r="M40" s="148"/>
      <c r="N40" s="332"/>
      <c r="O40" s="146"/>
      <c r="P40" s="146"/>
      <c r="Q40" s="148"/>
      <c r="R40" s="99"/>
      <c r="S40" s="148"/>
      <c r="T40" s="187"/>
      <c r="U40" s="187"/>
      <c r="V40" s="187"/>
      <c r="W40" s="148"/>
      <c r="X40" s="146"/>
    </row>
    <row r="41" spans="1:24" s="137" customFormat="1" ht="15" thickBot="1" x14ac:dyDescent="0.25">
      <c r="B41" s="450"/>
      <c r="D41" s="99"/>
      <c r="G41" s="144"/>
      <c r="H41" s="150"/>
      <c r="I41" s="400"/>
      <c r="J41" s="99"/>
      <c r="K41" s="95"/>
      <c r="L41" s="95"/>
      <c r="M41" s="96"/>
      <c r="N41" s="112" t="s">
        <v>96</v>
      </c>
      <c r="O41" s="95"/>
      <c r="P41" s="95"/>
      <c r="Q41" s="96"/>
      <c r="R41" s="99"/>
      <c r="S41" s="148"/>
      <c r="T41" s="187"/>
      <c r="U41" s="187"/>
      <c r="V41" s="187"/>
      <c r="W41" s="148"/>
      <c r="X41" s="95"/>
    </row>
    <row r="42" spans="1:24" s="206" customFormat="1" ht="15" thickBot="1" x14ac:dyDescent="0.25">
      <c r="B42" s="178" t="s">
        <v>94</v>
      </c>
      <c r="C42" s="810" t="s">
        <v>95</v>
      </c>
      <c r="D42" s="810"/>
      <c r="E42" s="810"/>
      <c r="F42" s="810"/>
      <c r="G42" s="810"/>
      <c r="H42" s="811"/>
      <c r="I42" s="399"/>
      <c r="J42" s="99"/>
      <c r="K42" s="95"/>
      <c r="L42" s="95"/>
      <c r="M42" s="96"/>
      <c r="N42" s="95">
        <v>1</v>
      </c>
      <c r="O42" s="95"/>
      <c r="P42" s="95"/>
      <c r="Q42" s="96"/>
      <c r="R42" s="99"/>
      <c r="S42" s="96"/>
      <c r="T42" s="187"/>
      <c r="U42" s="187"/>
      <c r="V42" s="187"/>
      <c r="W42" s="96"/>
      <c r="X42" s="95"/>
    </row>
    <row r="43" spans="1:24" s="137" customFormat="1" ht="14.1" customHeight="1" x14ac:dyDescent="0.2">
      <c r="B43" s="407">
        <v>1</v>
      </c>
      <c r="C43" s="812" t="s">
        <v>468</v>
      </c>
      <c r="D43" s="812"/>
      <c r="E43" s="812"/>
      <c r="F43" s="812"/>
      <c r="G43" s="812"/>
      <c r="H43" s="813"/>
      <c r="I43" s="400"/>
      <c r="J43" s="99"/>
      <c r="K43" s="95"/>
      <c r="L43" s="95"/>
      <c r="M43" s="96"/>
      <c r="N43" s="95">
        <v>1</v>
      </c>
      <c r="O43" s="95"/>
      <c r="P43" s="95"/>
      <c r="Q43" s="96"/>
      <c r="R43" s="99"/>
      <c r="S43" s="96"/>
      <c r="T43" s="187"/>
      <c r="U43" s="187"/>
      <c r="V43" s="187"/>
      <c r="W43" s="96"/>
      <c r="X43" s="95"/>
    </row>
    <row r="44" spans="1:24" s="137" customFormat="1" ht="14.1" customHeight="1" x14ac:dyDescent="0.2">
      <c r="B44" s="458" t="s">
        <v>469</v>
      </c>
      <c r="C44" s="806" t="s">
        <v>470</v>
      </c>
      <c r="D44" s="806"/>
      <c r="E44" s="806"/>
      <c r="F44" s="806"/>
      <c r="G44" s="806"/>
      <c r="H44" s="807"/>
      <c r="I44" s="400"/>
      <c r="J44" s="99"/>
      <c r="K44" s="95"/>
      <c r="L44" s="95"/>
      <c r="M44" s="96"/>
      <c r="N44" s="95">
        <v>1</v>
      </c>
      <c r="O44" s="95"/>
      <c r="P44" s="95"/>
      <c r="Q44" s="96"/>
      <c r="R44" s="99"/>
      <c r="S44" s="96"/>
      <c r="T44" s="187"/>
      <c r="U44" s="187"/>
      <c r="V44" s="187"/>
      <c r="W44" s="96"/>
      <c r="X44" s="95"/>
    </row>
    <row r="45" spans="1:24" s="137" customFormat="1" ht="14.1" customHeight="1" x14ac:dyDescent="0.2">
      <c r="B45" s="343">
        <v>20</v>
      </c>
      <c r="C45" s="806" t="s">
        <v>471</v>
      </c>
      <c r="D45" s="806"/>
      <c r="E45" s="806"/>
      <c r="F45" s="806"/>
      <c r="G45" s="806"/>
      <c r="H45" s="807"/>
      <c r="I45" s="400"/>
      <c r="J45" s="99"/>
      <c r="K45" s="95"/>
      <c r="L45" s="95"/>
      <c r="M45" s="96"/>
      <c r="N45" s="95">
        <v>1</v>
      </c>
      <c r="O45" s="95"/>
      <c r="P45" s="95"/>
      <c r="Q45" s="96"/>
      <c r="R45" s="99"/>
      <c r="S45" s="96"/>
      <c r="T45" s="187"/>
      <c r="U45" s="187"/>
      <c r="V45" s="187"/>
      <c r="W45" s="96"/>
      <c r="X45" s="95"/>
    </row>
    <row r="46" spans="1:24" s="137" customFormat="1" ht="14.1" customHeight="1" thickBot="1" x14ac:dyDescent="0.25">
      <c r="B46" s="344">
        <v>21</v>
      </c>
      <c r="C46" s="808" t="s">
        <v>472</v>
      </c>
      <c r="D46" s="808"/>
      <c r="E46" s="808"/>
      <c r="F46" s="808"/>
      <c r="G46" s="808"/>
      <c r="H46" s="809"/>
      <c r="I46" s="399"/>
      <c r="J46" s="99"/>
      <c r="K46" s="95"/>
      <c r="L46" s="95"/>
      <c r="M46" s="96"/>
      <c r="N46" s="95">
        <v>1</v>
      </c>
      <c r="O46" s="95"/>
      <c r="P46" s="95"/>
      <c r="Q46" s="96"/>
      <c r="R46" s="99"/>
      <c r="S46" s="96"/>
      <c r="T46" s="187"/>
      <c r="U46" s="187"/>
      <c r="V46" s="187"/>
      <c r="W46" s="96"/>
      <c r="X46" s="95"/>
    </row>
    <row r="47" spans="1:24" x14ac:dyDescent="0.2">
      <c r="I47" s="400"/>
      <c r="T47" s="206"/>
      <c r="U47" s="206"/>
      <c r="V47" s="206"/>
    </row>
    <row r="48" spans="1:24" hidden="1" x14ac:dyDescent="0.2">
      <c r="T48" s="206"/>
      <c r="U48" s="206"/>
      <c r="V48" s="206"/>
    </row>
    <row r="49" spans="20:22" hidden="1" x14ac:dyDescent="0.2">
      <c r="T49" s="137"/>
      <c r="U49" s="137"/>
      <c r="V49" s="137"/>
    </row>
    <row r="50" spans="20:22" hidden="1" x14ac:dyDescent="0.2">
      <c r="T50" s="137"/>
      <c r="U50" s="137"/>
      <c r="V50" s="137"/>
    </row>
    <row r="51" spans="20:22" hidden="1" x14ac:dyDescent="0.2">
      <c r="T51" s="206"/>
      <c r="U51" s="206"/>
      <c r="V51" s="206"/>
    </row>
    <row r="52" spans="20:22" hidden="1" x14ac:dyDescent="0.2">
      <c r="T52" s="137"/>
      <c r="U52" s="137"/>
      <c r="V52" s="137"/>
    </row>
    <row r="53" spans="20:22" hidden="1" x14ac:dyDescent="0.2">
      <c r="T53" s="137"/>
      <c r="U53" s="137"/>
      <c r="V53" s="137"/>
    </row>
    <row r="54" spans="20:22" hidden="1" x14ac:dyDescent="0.2">
      <c r="T54" s="137"/>
      <c r="U54" s="137"/>
      <c r="V54" s="137"/>
    </row>
    <row r="55" spans="20:22" hidden="1" x14ac:dyDescent="0.2">
      <c r="T55" s="137"/>
      <c r="U55" s="137"/>
      <c r="V55" s="137"/>
    </row>
    <row r="56" spans="20:22" hidden="1" x14ac:dyDescent="0.2">
      <c r="T56" s="137"/>
      <c r="U56" s="137"/>
      <c r="V56" s="137"/>
    </row>
    <row r="57" spans="20:22" hidden="1" x14ac:dyDescent="0.2">
      <c r="T57" s="137"/>
      <c r="U57" s="137"/>
      <c r="V57" s="137"/>
    </row>
    <row r="58" spans="20:22" hidden="1" x14ac:dyDescent="0.2">
      <c r="T58" s="137"/>
      <c r="U58" s="137"/>
      <c r="V58" s="137"/>
    </row>
    <row r="59" spans="20:22" hidden="1" x14ac:dyDescent="0.2">
      <c r="T59" s="137"/>
      <c r="U59" s="137"/>
      <c r="V59" s="137"/>
    </row>
    <row r="60" spans="20:22" hidden="1" x14ac:dyDescent="0.2">
      <c r="T60" s="137"/>
      <c r="U60" s="137"/>
      <c r="V60" s="137"/>
    </row>
    <row r="61" spans="20:22" hidden="1" x14ac:dyDescent="0.2">
      <c r="T61" s="137"/>
      <c r="U61" s="137"/>
      <c r="V61" s="137"/>
    </row>
    <row r="62" spans="20:22" hidden="1" x14ac:dyDescent="0.2">
      <c r="T62" s="137"/>
      <c r="U62" s="137"/>
      <c r="V62" s="137"/>
    </row>
    <row r="63" spans="20:22" hidden="1" x14ac:dyDescent="0.2">
      <c r="T63" s="137"/>
      <c r="U63" s="137"/>
      <c r="V63" s="137"/>
    </row>
    <row r="64" spans="20:22" hidden="1" x14ac:dyDescent="0.2">
      <c r="T64" s="137"/>
      <c r="U64" s="137"/>
      <c r="V64" s="137"/>
    </row>
    <row r="65" spans="20:22" hidden="1" x14ac:dyDescent="0.2">
      <c r="T65" s="137"/>
      <c r="U65" s="137"/>
      <c r="V65" s="137"/>
    </row>
    <row r="66" spans="20:22" hidden="1" x14ac:dyDescent="0.2">
      <c r="T66" s="137"/>
      <c r="U66" s="137"/>
      <c r="V66" s="137"/>
    </row>
    <row r="67" spans="20:22" hidden="1" x14ac:dyDescent="0.2">
      <c r="T67" s="137"/>
      <c r="U67" s="137"/>
      <c r="V67" s="137"/>
    </row>
    <row r="68" spans="20:22" hidden="1" x14ac:dyDescent="0.2">
      <c r="T68" s="137"/>
      <c r="U68" s="137"/>
      <c r="V68" s="137"/>
    </row>
    <row r="69" spans="20:22" hidden="1" x14ac:dyDescent="0.2">
      <c r="T69" s="137"/>
      <c r="U69" s="137"/>
      <c r="V69" s="137"/>
    </row>
    <row r="70" spans="20:22" hidden="1" x14ac:dyDescent="0.2">
      <c r="T70" s="137"/>
      <c r="U70" s="137"/>
      <c r="V70" s="137"/>
    </row>
    <row r="71" spans="20:22" hidden="1" x14ac:dyDescent="0.2">
      <c r="T71" s="137"/>
      <c r="U71" s="137"/>
      <c r="V71" s="137"/>
    </row>
    <row r="72" spans="20:22" hidden="1" x14ac:dyDescent="0.2">
      <c r="T72" s="137"/>
      <c r="U72" s="137"/>
      <c r="V72" s="137"/>
    </row>
    <row r="73" spans="20:22" hidden="1" x14ac:dyDescent="0.2">
      <c r="T73" s="137"/>
      <c r="U73" s="137"/>
      <c r="V73" s="137"/>
    </row>
  </sheetData>
  <sheetProtection algorithmName="SHA-512" hashValue="99hxgqG3O5fHI5oa8b7M/xuk+uU2vILVO/Snbzttb4Xj83cDUlDOWd2G/Xi6gVZsmBlaEQFu9YKkGJ6r6M988A==" saltValue="UAf8tfiQBxs1yYe00onmeQ==" spinCount="100000" sheet="1" objects="1" scenarios="1"/>
  <mergeCells count="8">
    <mergeCell ref="C45:H45"/>
    <mergeCell ref="C46:H46"/>
    <mergeCell ref="B3:C3"/>
    <mergeCell ref="N3:P3"/>
    <mergeCell ref="B31:C31"/>
    <mergeCell ref="C42:H42"/>
    <mergeCell ref="C43:H43"/>
    <mergeCell ref="C44:H44"/>
  </mergeCells>
  <conditionalFormatting sqref="J6:J38">
    <cfRule type="cellIs" dxfId="62" priority="1" operator="equal">
      <formula>0</formula>
    </cfRule>
  </conditionalFormatting>
  <conditionalFormatting sqref="K6 K9:K26">
    <cfRule type="cellIs" dxfId="61" priority="3" operator="equal">
      <formula>0</formula>
    </cfRule>
  </conditionalFormatting>
  <printOptions horizontalCentered="1"/>
  <pageMargins left="0.39370078740157483" right="0.39370078740157483" top="0.78740157480314965" bottom="0.78740157480314965" header="0.31496062992125984" footer="0.31496062992125984"/>
  <pageSetup paperSize="8" scale="80"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W73"/>
  <sheetViews>
    <sheetView showGridLines="0" zoomScale="85" zoomScaleNormal="85" workbookViewId="0">
      <selection activeCell="C28" sqref="C28"/>
    </sheetView>
  </sheetViews>
  <sheetFormatPr defaultColWidth="0" defaultRowHeight="14.25" zeroHeight="1" x14ac:dyDescent="0.2"/>
  <cols>
    <col min="1" max="1" width="1.625" customWidth="1"/>
    <col min="2" max="2" width="5.125" customWidth="1"/>
    <col min="3" max="3" width="44" bestFit="1" customWidth="1"/>
    <col min="4" max="8" width="12.625" customWidth="1"/>
    <col min="9" max="9" width="2.625" style="95" customWidth="1"/>
    <col min="10" max="10" width="22.625" style="99" customWidth="1"/>
    <col min="11" max="11" width="18.875" style="95" bestFit="1" customWidth="1"/>
    <col min="12" max="12" width="1.625" style="95" customWidth="1"/>
    <col min="13" max="13" width="1.625" style="96" hidden="1" customWidth="1"/>
    <col min="14" max="16" width="5.625" style="95" hidden="1" customWidth="1"/>
    <col min="17" max="17" width="1.625" style="96" hidden="1" customWidth="1"/>
    <col min="18" max="18" width="8.875" style="99" hidden="1" customWidth="1"/>
    <col min="19" max="19" width="1.625" style="96" hidden="1" customWidth="1"/>
    <col min="20" max="21" width="8.875" style="99" hidden="1" customWidth="1"/>
    <col min="22" max="22" width="56.125" style="99" hidden="1" customWidth="1"/>
    <col min="23" max="23" width="1.625" style="96" hidden="1" customWidth="1"/>
    <col min="24" max="16384" width="8.75" hidden="1"/>
  </cols>
  <sheetData>
    <row r="1" spans="1:23" s="100" customFormat="1" ht="20.25" x14ac:dyDescent="0.2">
      <c r="A1" s="99"/>
      <c r="B1" s="91" t="s">
        <v>473</v>
      </c>
      <c r="C1" s="91"/>
      <c r="D1" s="91"/>
      <c r="E1" s="91"/>
      <c r="F1" s="91"/>
      <c r="G1" s="91"/>
      <c r="H1" s="93" t="str">
        <f>Validation!B3</f>
        <v>Yorkshire Water</v>
      </c>
      <c r="I1" s="91"/>
      <c r="J1" s="94"/>
      <c r="K1" s="94" t="s">
        <v>62</v>
      </c>
      <c r="L1" s="95"/>
      <c r="M1" s="96"/>
      <c r="N1" s="95"/>
      <c r="O1" s="95"/>
      <c r="P1" s="95"/>
      <c r="Q1" s="96"/>
      <c r="R1" s="95"/>
      <c r="S1" s="96"/>
      <c r="T1"/>
      <c r="U1"/>
      <c r="V1"/>
      <c r="W1" s="96"/>
    </row>
    <row r="2" spans="1:23" s="100" customFormat="1" ht="15" customHeight="1" thickBot="1" x14ac:dyDescent="0.25">
      <c r="A2" s="99"/>
      <c r="B2" s="98" t="s">
        <v>48</v>
      </c>
      <c r="C2" s="379"/>
      <c r="D2" s="99"/>
      <c r="E2" s="99"/>
      <c r="F2" s="99"/>
      <c r="G2" s="99"/>
      <c r="H2" s="99"/>
      <c r="I2" s="95"/>
      <c r="J2" s="95"/>
      <c r="K2" s="95"/>
      <c r="L2" s="95"/>
      <c r="M2" s="96"/>
      <c r="N2" s="95"/>
      <c r="O2" s="95"/>
      <c r="P2" s="95"/>
      <c r="Q2" s="96"/>
      <c r="R2" s="95"/>
      <c r="S2" s="96"/>
      <c r="T2" s="99"/>
      <c r="U2" s="99"/>
      <c r="V2" s="99"/>
      <c r="W2" s="96"/>
    </row>
    <row r="3" spans="1:23" s="100" customFormat="1" ht="54.75" thickBot="1" x14ac:dyDescent="0.25">
      <c r="A3" s="99"/>
      <c r="B3" s="814" t="s">
        <v>63</v>
      </c>
      <c r="C3" s="815"/>
      <c r="D3" s="362" t="s">
        <v>460</v>
      </c>
      <c r="E3" s="383" t="s">
        <v>442</v>
      </c>
      <c r="F3" s="363" t="s">
        <v>443</v>
      </c>
      <c r="G3" s="438" t="s">
        <v>461</v>
      </c>
      <c r="H3" s="438" t="s">
        <v>462</v>
      </c>
      <c r="I3" s="439"/>
      <c r="J3" s="214" t="s">
        <v>277</v>
      </c>
      <c r="K3" s="216" t="s">
        <v>69</v>
      </c>
      <c r="L3" s="95"/>
      <c r="M3" s="96"/>
      <c r="N3" s="702" t="s">
        <v>73</v>
      </c>
      <c r="O3" s="787"/>
      <c r="P3" s="787"/>
      <c r="Q3" s="96"/>
      <c r="R3" s="103" t="s">
        <v>54</v>
      </c>
      <c r="S3" s="96"/>
      <c r="T3" s="103" t="s">
        <v>278</v>
      </c>
      <c r="U3" s="103"/>
      <c r="V3" s="103"/>
      <c r="W3" s="96"/>
    </row>
    <row r="4" spans="1:23" s="100" customFormat="1" ht="15" customHeight="1" thickBot="1" x14ac:dyDescent="0.25">
      <c r="A4" s="99"/>
      <c r="B4" s="99"/>
      <c r="C4" s="440"/>
      <c r="D4" s="99"/>
      <c r="E4" s="99"/>
      <c r="F4" s="99"/>
      <c r="G4" s="99"/>
      <c r="H4" s="99"/>
      <c r="I4" s="95"/>
      <c r="J4" s="95"/>
      <c r="K4" s="95"/>
      <c r="L4" s="95"/>
      <c r="M4" s="96"/>
      <c r="Q4" s="96"/>
      <c r="R4" s="278"/>
      <c r="S4" s="96"/>
      <c r="T4" s="278"/>
      <c r="U4" s="278"/>
      <c r="V4" s="278"/>
      <c r="W4" s="96"/>
    </row>
    <row r="5" spans="1:23" s="100" customFormat="1" ht="17.100000000000001" customHeight="1" thickBot="1" x14ac:dyDescent="0.25">
      <c r="A5" s="99"/>
      <c r="B5" s="302" t="s">
        <v>124</v>
      </c>
      <c r="C5" s="32" t="s">
        <v>463</v>
      </c>
      <c r="D5" s="99"/>
      <c r="E5" s="99"/>
      <c r="F5" s="99"/>
      <c r="G5" s="99"/>
      <c r="H5" s="99"/>
      <c r="I5" s="95"/>
      <c r="J5" s="99"/>
      <c r="K5" s="95"/>
      <c r="L5" s="95"/>
      <c r="M5" s="96"/>
      <c r="N5" s="112" t="s">
        <v>74</v>
      </c>
      <c r="O5" s="147"/>
      <c r="P5" s="147"/>
      <c r="Q5" s="96"/>
      <c r="R5"/>
      <c r="S5" s="96"/>
      <c r="T5" s="99"/>
      <c r="U5" s="99"/>
      <c r="V5" s="99"/>
      <c r="W5" s="96"/>
    </row>
    <row r="6" spans="1:23" s="100" customFormat="1" ht="17.100000000000001" customHeight="1" thickBot="1" x14ac:dyDescent="0.25">
      <c r="A6" s="99"/>
      <c r="B6" s="441">
        <v>1</v>
      </c>
      <c r="C6" s="33" t="s">
        <v>464</v>
      </c>
      <c r="D6" s="617">
        <v>0</v>
      </c>
      <c r="E6" s="618">
        <v>0</v>
      </c>
      <c r="F6" s="160">
        <f xml:space="preserve"> E6 + D6</f>
        <v>0</v>
      </c>
      <c r="G6" s="619">
        <v>0</v>
      </c>
      <c r="H6" s="442">
        <f xml:space="preserve"> IF( G6 = 0, 0, E6 / G6 * 1000000 )</f>
        <v>0</v>
      </c>
      <c r="I6" s="95"/>
      <c r="J6" s="77"/>
      <c r="K6" s="29">
        <f>IF(Validation!$H$3=1,0,IF(SUM(M6:Q6)=0,0,$N$5))</f>
        <v>0</v>
      </c>
      <c r="L6" s="95"/>
      <c r="M6" s="96"/>
      <c r="N6" s="120">
        <f>IF($C6="",0,IF(ISNUMBER(D6),0,1))</f>
        <v>0</v>
      </c>
      <c r="O6" s="120">
        <f>IF($C6="",0,IF(ISNUMBER(E6),0,1))</f>
        <v>0</v>
      </c>
      <c r="P6" s="120">
        <f>IF($C6="",0,IF(ISNUMBER(G6),0,1))</f>
        <v>0</v>
      </c>
      <c r="Q6" s="96"/>
      <c r="R6"/>
      <c r="S6" s="96"/>
      <c r="T6" s="99"/>
      <c r="U6" s="99"/>
      <c r="V6" s="99"/>
      <c r="W6" s="96"/>
    </row>
    <row r="7" spans="1:23" s="100" customFormat="1" ht="15" customHeight="1" thickBot="1" x14ac:dyDescent="0.25">
      <c r="A7" s="99"/>
      <c r="B7" s="99"/>
      <c r="C7" s="440"/>
      <c r="D7" s="162"/>
      <c r="E7" s="162"/>
      <c r="F7" s="162"/>
      <c r="G7" s="162"/>
      <c r="H7" s="443"/>
      <c r="I7" s="162"/>
      <c r="J7" s="77"/>
      <c r="K7" s="162"/>
      <c r="L7" s="95"/>
      <c r="M7" s="96"/>
      <c r="Q7" s="96"/>
      <c r="R7"/>
      <c r="S7" s="96"/>
      <c r="T7" s="99"/>
      <c r="U7" s="99"/>
      <c r="V7" s="99"/>
      <c r="W7" s="96"/>
    </row>
    <row r="8" spans="1:23" s="100" customFormat="1" ht="15" customHeight="1" thickBot="1" x14ac:dyDescent="0.25">
      <c r="A8" s="99"/>
      <c r="B8" s="302" t="s">
        <v>133</v>
      </c>
      <c r="C8" s="32" t="s">
        <v>465</v>
      </c>
      <c r="D8" s="162"/>
      <c r="E8" s="162"/>
      <c r="F8" s="162"/>
      <c r="G8" s="162"/>
      <c r="H8" s="443"/>
      <c r="I8" s="95"/>
      <c r="J8" s="77"/>
      <c r="K8" s="162"/>
      <c r="L8" s="95"/>
      <c r="M8" s="96"/>
      <c r="Q8" s="96"/>
      <c r="R8"/>
      <c r="S8" s="96"/>
      <c r="T8" s="99"/>
      <c r="U8" s="99"/>
      <c r="V8" s="99"/>
      <c r="W8" s="96"/>
    </row>
    <row r="9" spans="1:23" s="100" customFormat="1" ht="15" customHeight="1" x14ac:dyDescent="0.2">
      <c r="A9" s="99"/>
      <c r="B9" s="444">
        <f xml:space="preserve"> B6 + 1</f>
        <v>2</v>
      </c>
      <c r="C9" s="38" t="str">
        <f>IF($H$1="Select company","",IF(Validation!$H$3=1,"",(IF(HLOOKUP((VLOOKUP($H$1,Lists!$B$4:$C$22,2,FALSE)),Sewerage!$A$1:$S$25,'2H'!B9+1,FALSE)=0,"",HLOOKUP((VLOOKUP($H$1,Lists!$B$4:$C$22,2,FALSE)),Sewerage!$A$1:$S$25,'2H'!B9+1,FALSE)))))</f>
        <v>Tariff band 5  ≤50 Ml/a sewerage metered</v>
      </c>
      <c r="D9" s="620">
        <v>72.096999999999994</v>
      </c>
      <c r="E9" s="621">
        <v>4.4649999999999999</v>
      </c>
      <c r="F9" s="445">
        <f xml:space="preserve"> E9 + D9</f>
        <v>76.561999999999998</v>
      </c>
      <c r="G9" s="622">
        <v>91297</v>
      </c>
      <c r="H9" s="197">
        <f t="shared" ref="H9:H29" si="0" xml:space="preserve"> IF( G9 = 0, 0, E9 / G9 * 1000000 )</f>
        <v>48.906316746442926</v>
      </c>
      <c r="I9" s="95"/>
      <c r="J9" s="77"/>
      <c r="K9" s="29">
        <f t="shared" ref="K9:K28" si="1" xml:space="preserve"> IF( SUM( M9:Q9 ) = 0, 0, $N$5 )</f>
        <v>0</v>
      </c>
      <c r="L9" s="95"/>
      <c r="M9" s="96"/>
      <c r="N9" s="120">
        <f t="shared" ref="N9:O28" si="2">IF($C9="",0,IF(ISNUMBER(D9),0,1))</f>
        <v>0</v>
      </c>
      <c r="O9" s="120">
        <f t="shared" si="2"/>
        <v>0</v>
      </c>
      <c r="P9" s="120">
        <f t="shared" ref="P9:P28" si="3">IF($C9="",0,IF(ISNUMBER(G9),0,1))</f>
        <v>0</v>
      </c>
      <c r="Q9" s="96"/>
      <c r="R9"/>
      <c r="S9" s="96"/>
      <c r="T9" s="99"/>
      <c r="U9" s="99"/>
      <c r="V9" s="99"/>
      <c r="W9" s="96"/>
    </row>
    <row r="10" spans="1:23" s="100" customFormat="1" ht="15" customHeight="1" x14ac:dyDescent="0.2">
      <c r="A10" s="99"/>
      <c r="B10" s="446">
        <f xml:space="preserve"> B9 + 1</f>
        <v>3</v>
      </c>
      <c r="C10" s="39" t="str">
        <f>IF($H$1="Select company","",IF(Validation!$H$3=1,"",(IF(HLOOKUP((VLOOKUP($H$1,Lists!$B$4:$C$22,2,FALSE)),Sewerage!$A$1:$S$25,'2H'!B10+1,FALSE)=0,"",HLOOKUP((VLOOKUP($H$1,Lists!$B$4:$C$22,2,FALSE)),Sewerage!$A$1:$S$25,'2H'!B10+1,FALSE)))))</f>
        <v>Tariff band 6  &gt; 50 ≤ 250 Ml/a sewerage metered</v>
      </c>
      <c r="D10" s="623">
        <v>6.0670000000000002</v>
      </c>
      <c r="E10" s="624">
        <v>0.105</v>
      </c>
      <c r="F10" s="327">
        <f t="shared" ref="F10:F28" si="4" xml:space="preserve"> E10 + D10</f>
        <v>6.1720000000000006</v>
      </c>
      <c r="G10" s="625">
        <v>30</v>
      </c>
      <c r="H10" s="192">
        <f t="shared" si="0"/>
        <v>3500</v>
      </c>
      <c r="I10" s="95"/>
      <c r="J10" s="77"/>
      <c r="K10" s="29">
        <f t="shared" si="1"/>
        <v>0</v>
      </c>
      <c r="L10" s="95"/>
      <c r="M10" s="96"/>
      <c r="N10" s="120">
        <f t="shared" si="2"/>
        <v>0</v>
      </c>
      <c r="O10" s="120">
        <f t="shared" si="2"/>
        <v>0</v>
      </c>
      <c r="P10" s="120">
        <f t="shared" si="3"/>
        <v>0</v>
      </c>
      <c r="Q10" s="96"/>
      <c r="R10"/>
      <c r="S10" s="96"/>
      <c r="T10" s="99"/>
      <c r="U10" s="99"/>
      <c r="V10" s="99"/>
      <c r="W10" s="96"/>
    </row>
    <row r="11" spans="1:23" s="100" customFormat="1" ht="15" customHeight="1" x14ac:dyDescent="0.2">
      <c r="A11" s="99"/>
      <c r="B11" s="446">
        <f t="shared" ref="B11:B28" si="5" xml:space="preserve"> B10 + 1</f>
        <v>4</v>
      </c>
      <c r="C11" s="39" t="str">
        <f>IF($H$1="Select company","",IF(Validation!$H$3=1,"",(IF(HLOOKUP((VLOOKUP($H$1,Lists!$B$4:$C$22,2,FALSE)),Sewerage!$A$1:$S$25,'2H'!B11+1,FALSE)=0,"",HLOOKUP((VLOOKUP($H$1,Lists!$B$4:$C$22,2,FALSE)),Sewerage!$A$1:$S$25,'2H'!B11+1,FALSE)))))</f>
        <v>Tariff band 7  &gt; 250 Ml/a sewerage metered</v>
      </c>
      <c r="D11" s="623">
        <v>1.8660000000000001</v>
      </c>
      <c r="E11" s="624">
        <v>0.03</v>
      </c>
      <c r="F11" s="327">
        <f t="shared" si="4"/>
        <v>1.8960000000000001</v>
      </c>
      <c r="G11" s="625">
        <v>6</v>
      </c>
      <c r="H11" s="192">
        <f t="shared" si="0"/>
        <v>5000</v>
      </c>
      <c r="I11" s="95"/>
      <c r="J11" s="77"/>
      <c r="K11" s="29">
        <f t="shared" si="1"/>
        <v>0</v>
      </c>
      <c r="L11" s="95"/>
      <c r="M11" s="96"/>
      <c r="N11" s="120">
        <f t="shared" si="2"/>
        <v>0</v>
      </c>
      <c r="O11" s="120">
        <f t="shared" si="2"/>
        <v>0</v>
      </c>
      <c r="P11" s="120">
        <f t="shared" si="3"/>
        <v>0</v>
      </c>
      <c r="Q11" s="96"/>
      <c r="R11"/>
      <c r="S11" s="96"/>
      <c r="T11" s="99"/>
      <c r="U11" s="99"/>
      <c r="V11" s="99"/>
      <c r="W11" s="96"/>
    </row>
    <row r="12" spans="1:23" s="100" customFormat="1" ht="15" customHeight="1" x14ac:dyDescent="0.2">
      <c r="A12" s="99"/>
      <c r="B12" s="446">
        <f t="shared" si="5"/>
        <v>5</v>
      </c>
      <c r="C12" s="39" t="str">
        <f>IF($H$1="Select company","",IF(Validation!$H$3=1,"",(IF(HLOOKUP((VLOOKUP($H$1,Lists!$B$4:$C$22,2,FALSE)),Sewerage!$A$1:$S$25,'2H'!B12+1,FALSE)=0,"",HLOOKUP((VLOOKUP($H$1,Lists!$B$4:$C$22,2,FALSE)),Sewerage!$A$1:$S$25,'2H'!B12+1,FALSE)))))</f>
        <v>Tariff band 8 sewerage unmetered</v>
      </c>
      <c r="D12" s="623">
        <v>2.0950000000000002</v>
      </c>
      <c r="E12" s="624">
        <v>0.35499999999999998</v>
      </c>
      <c r="F12" s="327">
        <f t="shared" si="4"/>
        <v>2.4500000000000002</v>
      </c>
      <c r="G12" s="625">
        <v>17032</v>
      </c>
      <c r="H12" s="192">
        <f t="shared" si="0"/>
        <v>20.843118835133865</v>
      </c>
      <c r="I12" s="95"/>
      <c r="J12" s="77"/>
      <c r="K12" s="29">
        <f t="shared" si="1"/>
        <v>0</v>
      </c>
      <c r="L12" s="95"/>
      <c r="M12" s="96"/>
      <c r="N12" s="120">
        <f t="shared" si="2"/>
        <v>0</v>
      </c>
      <c r="O12" s="120">
        <f t="shared" si="2"/>
        <v>0</v>
      </c>
      <c r="P12" s="120">
        <f t="shared" si="3"/>
        <v>0</v>
      </c>
      <c r="Q12" s="96"/>
      <c r="R12"/>
      <c r="S12" s="96"/>
      <c r="T12" s="99"/>
      <c r="U12" s="99"/>
      <c r="V12" s="99"/>
      <c r="W12" s="96"/>
    </row>
    <row r="13" spans="1:23" s="100" customFormat="1" ht="15" customHeight="1" x14ac:dyDescent="0.2">
      <c r="A13" s="99"/>
      <c r="B13" s="446">
        <f t="shared" si="5"/>
        <v>6</v>
      </c>
      <c r="C13" s="39" t="str">
        <f>IF($H$1="Select company","",IF(Validation!$H$3=1,"",(IF(HLOOKUP((VLOOKUP($H$1,Lists!$B$4:$C$22,2,FALSE)),Sewerage!$A$1:$S$25,'2H'!B13+1,FALSE)=0,"",HLOOKUP((VLOOKUP($H$1,Lists!$B$4:$C$22,2,FALSE)),Sewerage!$A$1:$S$25,'2H'!B13+1,FALSE)))))</f>
        <v>Tariff band 9  ≤50 Ml/a trade effluent metered</v>
      </c>
      <c r="D13" s="623">
        <v>10.308999999999999</v>
      </c>
      <c r="E13" s="624">
        <v>0.17899999999999999</v>
      </c>
      <c r="F13" s="327">
        <f t="shared" si="4"/>
        <v>10.488</v>
      </c>
      <c r="G13" s="625">
        <v>2350.4</v>
      </c>
      <c r="H13" s="192">
        <f xml:space="preserve"> IF( G13 = 0, 0, E13 / G13 * 1000000 )</f>
        <v>76.157249829816195</v>
      </c>
      <c r="I13" s="95"/>
      <c r="J13" s="77"/>
      <c r="K13" s="29">
        <f t="shared" si="1"/>
        <v>0</v>
      </c>
      <c r="L13" s="95"/>
      <c r="M13" s="96"/>
      <c r="N13" s="120">
        <f t="shared" si="2"/>
        <v>0</v>
      </c>
      <c r="O13" s="120">
        <f t="shared" si="2"/>
        <v>0</v>
      </c>
      <c r="P13" s="120">
        <f t="shared" si="3"/>
        <v>0</v>
      </c>
      <c r="Q13" s="96"/>
      <c r="R13"/>
      <c r="S13" s="96"/>
      <c r="T13" s="99"/>
      <c r="U13" s="99"/>
      <c r="V13" s="99"/>
      <c r="W13" s="96"/>
    </row>
    <row r="14" spans="1:23" s="100" customFormat="1" ht="15" customHeight="1" x14ac:dyDescent="0.2">
      <c r="A14" s="99"/>
      <c r="B14" s="446">
        <f t="shared" si="5"/>
        <v>7</v>
      </c>
      <c r="C14" s="39" t="str">
        <f>IF($H$1="Select company","",IF(Validation!$H$3=1,"",(IF(HLOOKUP((VLOOKUP($H$1,Lists!$B$4:$C$22,2,FALSE)),Sewerage!$A$1:$S$25,'2H'!B14+1,FALSE)=0,"",HLOOKUP((VLOOKUP($H$1,Lists!$B$4:$C$22,2,FALSE)),Sewerage!$A$1:$S$25,'2H'!B14+1,FALSE)))))</f>
        <v>Tariff band 10  &gt; 50 ≤ 250 Ml/a trade effleunt metered</v>
      </c>
      <c r="D14" s="623">
        <v>13.356</v>
      </c>
      <c r="E14" s="624">
        <v>0.16200000000000001</v>
      </c>
      <c r="F14" s="327">
        <f t="shared" si="4"/>
        <v>13.518000000000001</v>
      </c>
      <c r="G14" s="625">
        <v>71</v>
      </c>
      <c r="H14" s="192">
        <f t="shared" si="0"/>
        <v>2281.6901408450708</v>
      </c>
      <c r="I14" s="95"/>
      <c r="J14" s="77"/>
      <c r="K14" s="29">
        <f t="shared" si="1"/>
        <v>0</v>
      </c>
      <c r="L14" s="95"/>
      <c r="M14" s="96"/>
      <c r="N14" s="120">
        <f t="shared" si="2"/>
        <v>0</v>
      </c>
      <c r="O14" s="120">
        <f t="shared" si="2"/>
        <v>0</v>
      </c>
      <c r="P14" s="120">
        <f t="shared" si="3"/>
        <v>0</v>
      </c>
      <c r="Q14" s="96"/>
      <c r="R14"/>
      <c r="S14" s="96"/>
      <c r="T14" s="99"/>
      <c r="U14" s="99"/>
      <c r="V14" s="99"/>
      <c r="W14" s="96"/>
    </row>
    <row r="15" spans="1:23" s="100" customFormat="1" ht="15" customHeight="1" x14ac:dyDescent="0.2">
      <c r="A15" s="99"/>
      <c r="B15" s="446">
        <f t="shared" si="5"/>
        <v>8</v>
      </c>
      <c r="C15" s="39" t="str">
        <f>IF($H$1="Select company","",IF(Validation!$H$3=1,"",(IF(HLOOKUP((VLOOKUP($H$1,Lists!$B$4:$C$22,2,FALSE)),Sewerage!$A$1:$S$25,'2H'!B15+1,FALSE)=0,"",HLOOKUP((VLOOKUP($H$1,Lists!$B$4:$C$22,2,FALSE)),Sewerage!$A$1:$S$25,'2H'!B15+1,FALSE)))))</f>
        <v>Tariff band 11  &gt; 250 Ml/a trade effluent metered</v>
      </c>
      <c r="D15" s="623">
        <v>6.8220000000000001</v>
      </c>
      <c r="E15" s="624">
        <v>9.1999999999999998E-2</v>
      </c>
      <c r="F15" s="327">
        <f t="shared" si="4"/>
        <v>6.9139999999999997</v>
      </c>
      <c r="G15" s="625">
        <v>13</v>
      </c>
      <c r="H15" s="192">
        <f t="shared" si="0"/>
        <v>7076.9230769230771</v>
      </c>
      <c r="I15" s="95"/>
      <c r="J15" s="77"/>
      <c r="K15" s="29">
        <f t="shared" si="1"/>
        <v>0</v>
      </c>
      <c r="L15" s="95"/>
      <c r="M15" s="96"/>
      <c r="N15" s="120">
        <f t="shared" si="2"/>
        <v>0</v>
      </c>
      <c r="O15" s="120">
        <f t="shared" si="2"/>
        <v>0</v>
      </c>
      <c r="P15" s="120">
        <f t="shared" si="3"/>
        <v>0</v>
      </c>
      <c r="Q15" s="96"/>
      <c r="R15"/>
      <c r="S15" s="96"/>
      <c r="T15" s="99"/>
      <c r="U15" s="99"/>
      <c r="V15" s="99"/>
      <c r="W15" s="96"/>
    </row>
    <row r="16" spans="1:23" s="100" customFormat="1" ht="15" customHeight="1" x14ac:dyDescent="0.2">
      <c r="A16" s="99"/>
      <c r="B16" s="446">
        <f t="shared" si="5"/>
        <v>9</v>
      </c>
      <c r="C16" s="39" t="str">
        <f>IF($H$1="Select company","",IF(Validation!$H$3=1,"",(IF(HLOOKUP((VLOOKUP($H$1,Lists!$B$4:$C$22,2,FALSE)),Sewerage!$A$1:$S$25,'2H'!B16+1,FALSE)=0,"",HLOOKUP((VLOOKUP($H$1,Lists!$B$4:$C$22,2,FALSE)),Sewerage!$A$1:$S$25,'2H'!B16+1,FALSE)))))</f>
        <v/>
      </c>
      <c r="D16" s="623"/>
      <c r="E16" s="624"/>
      <c r="F16" s="327">
        <f t="shared" si="4"/>
        <v>0</v>
      </c>
      <c r="G16" s="625"/>
      <c r="H16" s="192">
        <f t="shared" si="0"/>
        <v>0</v>
      </c>
      <c r="I16" s="95"/>
      <c r="J16" s="77"/>
      <c r="K16" s="29">
        <f t="shared" si="1"/>
        <v>0</v>
      </c>
      <c r="L16" s="95"/>
      <c r="M16" s="96"/>
      <c r="N16" s="120">
        <f t="shared" si="2"/>
        <v>0</v>
      </c>
      <c r="O16" s="120">
        <f t="shared" si="2"/>
        <v>0</v>
      </c>
      <c r="P16" s="120">
        <f t="shared" si="3"/>
        <v>0</v>
      </c>
      <c r="Q16" s="96"/>
      <c r="R16"/>
      <c r="S16" s="96"/>
      <c r="T16" s="99"/>
      <c r="U16" s="99"/>
      <c r="V16" s="99"/>
      <c r="W16" s="96"/>
    </row>
    <row r="17" spans="1:23" s="100" customFormat="1" ht="15" customHeight="1" x14ac:dyDescent="0.2">
      <c r="A17" s="99"/>
      <c r="B17" s="446">
        <f t="shared" si="5"/>
        <v>10</v>
      </c>
      <c r="C17" s="39" t="str">
        <f>IF($H$1="Select company","",IF(Validation!$H$3=1,"",(IF(HLOOKUP((VLOOKUP($H$1,Lists!$B$4:$C$22,2,FALSE)),Sewerage!$A$1:$S$25,'2H'!B17+1,FALSE)=0,"",HLOOKUP((VLOOKUP($H$1,Lists!$B$4:$C$22,2,FALSE)),Sewerage!$A$1:$S$25,'2H'!B17+1,FALSE)))))</f>
        <v/>
      </c>
      <c r="D17" s="623"/>
      <c r="E17" s="624"/>
      <c r="F17" s="327">
        <f t="shared" si="4"/>
        <v>0</v>
      </c>
      <c r="G17" s="625"/>
      <c r="H17" s="192">
        <f t="shared" si="0"/>
        <v>0</v>
      </c>
      <c r="I17" s="95"/>
      <c r="J17" s="77"/>
      <c r="K17" s="29">
        <f t="shared" si="1"/>
        <v>0</v>
      </c>
      <c r="L17" s="95"/>
      <c r="M17" s="96"/>
      <c r="N17" s="120">
        <f t="shared" si="2"/>
        <v>0</v>
      </c>
      <c r="O17" s="120">
        <f t="shared" si="2"/>
        <v>0</v>
      </c>
      <c r="P17" s="120">
        <f t="shared" si="3"/>
        <v>0</v>
      </c>
      <c r="Q17" s="96"/>
      <c r="R17"/>
      <c r="S17" s="96"/>
      <c r="T17" s="99"/>
      <c r="U17" s="99"/>
      <c r="V17" s="99"/>
      <c r="W17" s="96"/>
    </row>
    <row r="18" spans="1:23" s="100" customFormat="1" ht="15" customHeight="1" x14ac:dyDescent="0.2">
      <c r="A18" s="99"/>
      <c r="B18" s="446">
        <f t="shared" si="5"/>
        <v>11</v>
      </c>
      <c r="C18" s="39" t="str">
        <f>IF($H$1="Select company","",IF(Validation!$H$3=1,"",(IF(HLOOKUP((VLOOKUP($H$1,Lists!$B$4:$C$22,2,FALSE)),Sewerage!$A$1:$S$25,'2H'!B18+1,FALSE)=0,"",HLOOKUP((VLOOKUP($H$1,Lists!$B$4:$C$22,2,FALSE)),Sewerage!$A$1:$S$25,'2H'!B18+1,FALSE)))))</f>
        <v/>
      </c>
      <c r="D18" s="623"/>
      <c r="E18" s="624"/>
      <c r="F18" s="327">
        <f t="shared" si="4"/>
        <v>0</v>
      </c>
      <c r="G18" s="625"/>
      <c r="H18" s="192">
        <f t="shared" si="0"/>
        <v>0</v>
      </c>
      <c r="I18" s="95"/>
      <c r="J18" s="77"/>
      <c r="K18" s="29">
        <f t="shared" si="1"/>
        <v>0</v>
      </c>
      <c r="L18" s="95"/>
      <c r="M18" s="96"/>
      <c r="N18" s="120">
        <f t="shared" si="2"/>
        <v>0</v>
      </c>
      <c r="O18" s="120">
        <f t="shared" si="2"/>
        <v>0</v>
      </c>
      <c r="P18" s="120">
        <f t="shared" si="3"/>
        <v>0</v>
      </c>
      <c r="Q18" s="96"/>
      <c r="R18"/>
      <c r="S18" s="96"/>
      <c r="T18" s="99"/>
      <c r="U18" s="99"/>
      <c r="V18" s="99"/>
      <c r="W18" s="96"/>
    </row>
    <row r="19" spans="1:23" s="100" customFormat="1" ht="15" customHeight="1" x14ac:dyDescent="0.2">
      <c r="A19" s="99"/>
      <c r="B19" s="446">
        <f t="shared" si="5"/>
        <v>12</v>
      </c>
      <c r="C19" s="39" t="str">
        <f>IF($H$1="Select company","",IF(Validation!$H$3=1,"",(IF(HLOOKUP((VLOOKUP($H$1,Lists!$B$4:$C$22,2,FALSE)),Sewerage!$A$1:$S$25,'2H'!B19+1,FALSE)=0,"",HLOOKUP((VLOOKUP($H$1,Lists!$B$4:$C$22,2,FALSE)),Sewerage!$A$1:$S$25,'2H'!B19+1,FALSE)))))</f>
        <v/>
      </c>
      <c r="D19" s="623"/>
      <c r="E19" s="624"/>
      <c r="F19" s="327">
        <f t="shared" si="4"/>
        <v>0</v>
      </c>
      <c r="G19" s="625"/>
      <c r="H19" s="192">
        <f t="shared" si="0"/>
        <v>0</v>
      </c>
      <c r="I19" s="95"/>
      <c r="J19" s="77"/>
      <c r="K19" s="29">
        <f t="shared" si="1"/>
        <v>0</v>
      </c>
      <c r="L19" s="95"/>
      <c r="M19" s="96"/>
      <c r="N19" s="120">
        <f t="shared" si="2"/>
        <v>0</v>
      </c>
      <c r="O19" s="120">
        <f t="shared" si="2"/>
        <v>0</v>
      </c>
      <c r="P19" s="120">
        <f t="shared" si="3"/>
        <v>0</v>
      </c>
      <c r="Q19" s="96"/>
      <c r="R19"/>
      <c r="S19" s="96"/>
      <c r="T19" s="99"/>
      <c r="U19" s="99"/>
      <c r="V19" s="99"/>
      <c r="W19" s="96"/>
    </row>
    <row r="20" spans="1:23" s="100" customFormat="1" ht="15" customHeight="1" x14ac:dyDescent="0.2">
      <c r="A20" s="99"/>
      <c r="B20" s="446">
        <f t="shared" si="5"/>
        <v>13</v>
      </c>
      <c r="C20" s="39" t="str">
        <f>IF($H$1="Select company","",IF(Validation!$H$3=1,"",(IF(HLOOKUP((VLOOKUP($H$1,Lists!$B$4:$C$22,2,FALSE)),Sewerage!$A$1:$S$25,'2H'!B20+1,FALSE)=0,"",HLOOKUP((VLOOKUP($H$1,Lists!$B$4:$C$22,2,FALSE)),Sewerage!$A$1:$S$25,'2H'!B20+1,FALSE)))))</f>
        <v/>
      </c>
      <c r="D20" s="623"/>
      <c r="E20" s="624"/>
      <c r="F20" s="327">
        <f t="shared" si="4"/>
        <v>0</v>
      </c>
      <c r="G20" s="625"/>
      <c r="H20" s="192">
        <f t="shared" si="0"/>
        <v>0</v>
      </c>
      <c r="I20" s="95"/>
      <c r="J20" s="77"/>
      <c r="K20" s="29">
        <f t="shared" si="1"/>
        <v>0</v>
      </c>
      <c r="L20" s="95"/>
      <c r="M20" s="96"/>
      <c r="N20" s="120">
        <f t="shared" si="2"/>
        <v>0</v>
      </c>
      <c r="O20" s="120">
        <f t="shared" si="2"/>
        <v>0</v>
      </c>
      <c r="P20" s="120">
        <f t="shared" si="3"/>
        <v>0</v>
      </c>
      <c r="Q20" s="96"/>
      <c r="R20"/>
      <c r="S20" s="96"/>
      <c r="T20" s="99"/>
      <c r="U20" s="99"/>
      <c r="V20" s="99"/>
      <c r="W20" s="96"/>
    </row>
    <row r="21" spans="1:23" s="100" customFormat="1" ht="15" customHeight="1" x14ac:dyDescent="0.2">
      <c r="A21" s="99"/>
      <c r="B21" s="446">
        <f t="shared" si="5"/>
        <v>14</v>
      </c>
      <c r="C21" s="39" t="str">
        <f>IF($H$1="Select company","",IF(Validation!$H$3=1,"",(IF(HLOOKUP((VLOOKUP($H$1,Lists!$B$4:$C$22,2,FALSE)),Sewerage!$A$1:$S$25,'2H'!B21+1,FALSE)=0,"",HLOOKUP((VLOOKUP($H$1,Lists!$B$4:$C$22,2,FALSE)),Sewerage!$A$1:$S$25,'2H'!B21+1,FALSE)))))</f>
        <v/>
      </c>
      <c r="D21" s="623"/>
      <c r="E21" s="624"/>
      <c r="F21" s="327">
        <f t="shared" si="4"/>
        <v>0</v>
      </c>
      <c r="G21" s="625"/>
      <c r="H21" s="192">
        <f t="shared" si="0"/>
        <v>0</v>
      </c>
      <c r="I21" s="95"/>
      <c r="J21" s="77"/>
      <c r="K21" s="29">
        <f t="shared" si="1"/>
        <v>0</v>
      </c>
      <c r="L21" s="95"/>
      <c r="M21" s="96"/>
      <c r="N21" s="120">
        <f t="shared" si="2"/>
        <v>0</v>
      </c>
      <c r="O21" s="120">
        <f t="shared" si="2"/>
        <v>0</v>
      </c>
      <c r="P21" s="120">
        <f t="shared" si="3"/>
        <v>0</v>
      </c>
      <c r="Q21" s="96"/>
      <c r="R21"/>
      <c r="S21" s="96"/>
      <c r="T21" s="99"/>
      <c r="U21" s="99"/>
      <c r="V21" s="99"/>
      <c r="W21" s="96"/>
    </row>
    <row r="22" spans="1:23" s="100" customFormat="1" ht="15" customHeight="1" x14ac:dyDescent="0.2">
      <c r="A22" s="99"/>
      <c r="B22" s="446">
        <f t="shared" si="5"/>
        <v>15</v>
      </c>
      <c r="C22" s="39" t="str">
        <f>IF($H$1="Select company","",IF(Validation!$H$3=1,"",(IF(HLOOKUP((VLOOKUP($H$1,Lists!$B$4:$C$22,2,FALSE)),Sewerage!$A$1:$S$25,'2H'!B22+1,FALSE)=0,"",HLOOKUP((VLOOKUP($H$1,Lists!$B$4:$C$22,2,FALSE)),Sewerage!$A$1:$S$25,'2H'!B22+1,FALSE)))))</f>
        <v/>
      </c>
      <c r="D22" s="623"/>
      <c r="E22" s="624"/>
      <c r="F22" s="327">
        <f t="shared" si="4"/>
        <v>0</v>
      </c>
      <c r="G22" s="625"/>
      <c r="H22" s="192">
        <f t="shared" si="0"/>
        <v>0</v>
      </c>
      <c r="I22" s="144"/>
      <c r="J22" s="77"/>
      <c r="K22" s="29">
        <f t="shared" si="1"/>
        <v>0</v>
      </c>
      <c r="L22" s="95"/>
      <c r="M22" s="96"/>
      <c r="N22" s="120">
        <f t="shared" si="2"/>
        <v>0</v>
      </c>
      <c r="O22" s="120">
        <f t="shared" si="2"/>
        <v>0</v>
      </c>
      <c r="P22" s="120">
        <f t="shared" si="3"/>
        <v>0</v>
      </c>
      <c r="Q22" s="96"/>
      <c r="R22"/>
      <c r="S22" s="96"/>
      <c r="T22" s="99"/>
      <c r="U22" s="99"/>
      <c r="V22" s="99"/>
      <c r="W22" s="96"/>
    </row>
    <row r="23" spans="1:23" s="100" customFormat="1" ht="15" customHeight="1" x14ac:dyDescent="0.2">
      <c r="A23" s="99"/>
      <c r="B23" s="446">
        <f t="shared" si="5"/>
        <v>16</v>
      </c>
      <c r="C23" s="39" t="str">
        <f>IF($H$1="Select company","",IF(Validation!$H$3=1,"",(IF(HLOOKUP((VLOOKUP($H$1,Lists!$B$4:$C$22,2,FALSE)),Sewerage!$A$1:$S$25,'2H'!B23+1,FALSE)=0,"",HLOOKUP((VLOOKUP($H$1,Lists!$B$4:$C$22,2,FALSE)),Sewerage!$A$1:$S$25,'2H'!B23+1,FALSE)))))</f>
        <v/>
      </c>
      <c r="D23" s="623"/>
      <c r="E23" s="624"/>
      <c r="F23" s="327">
        <f t="shared" si="4"/>
        <v>0</v>
      </c>
      <c r="G23" s="625"/>
      <c r="H23" s="192">
        <f t="shared" si="0"/>
        <v>0</v>
      </c>
      <c r="I23" s="150"/>
      <c r="J23" s="77"/>
      <c r="K23" s="29">
        <f t="shared" si="1"/>
        <v>0</v>
      </c>
      <c r="L23" s="95"/>
      <c r="M23" s="96"/>
      <c r="N23" s="120">
        <f t="shared" si="2"/>
        <v>0</v>
      </c>
      <c r="O23" s="120">
        <f t="shared" si="2"/>
        <v>0</v>
      </c>
      <c r="P23" s="120">
        <f t="shared" si="3"/>
        <v>0</v>
      </c>
      <c r="Q23" s="96"/>
      <c r="R23" s="147"/>
      <c r="S23" s="148"/>
      <c r="T23" s="189"/>
      <c r="U23" s="189"/>
      <c r="V23" s="99"/>
      <c r="W23" s="148"/>
    </row>
    <row r="24" spans="1:23" s="100" customFormat="1" ht="15" customHeight="1" x14ac:dyDescent="0.2">
      <c r="A24" s="99"/>
      <c r="B24" s="446">
        <f t="shared" si="5"/>
        <v>17</v>
      </c>
      <c r="C24" s="39" t="str">
        <f>IF($H$1="Select company","",IF(Validation!$H$3=1,"",(IF(HLOOKUP((VLOOKUP($H$1,Lists!$B$4:$C$22,2,FALSE)),Sewerage!$A$1:$S$25,'2H'!B24+1,FALSE)=0,"",HLOOKUP((VLOOKUP($H$1,Lists!$B$4:$C$22,2,FALSE)),Sewerage!$A$1:$S$25,'2H'!B24+1,FALSE)))))</f>
        <v/>
      </c>
      <c r="D24" s="623"/>
      <c r="E24" s="624"/>
      <c r="F24" s="327">
        <f t="shared" si="4"/>
        <v>0</v>
      </c>
      <c r="G24" s="625"/>
      <c r="H24" s="192">
        <f t="shared" si="0"/>
        <v>0</v>
      </c>
      <c r="I24" s="150"/>
      <c r="J24" s="77"/>
      <c r="K24" s="29">
        <f t="shared" si="1"/>
        <v>0</v>
      </c>
      <c r="L24" s="95"/>
      <c r="M24" s="96"/>
      <c r="N24" s="120">
        <f t="shared" si="2"/>
        <v>0</v>
      </c>
      <c r="O24" s="120">
        <f t="shared" si="2"/>
        <v>0</v>
      </c>
      <c r="P24" s="120">
        <f t="shared" si="3"/>
        <v>0</v>
      </c>
      <c r="Q24" s="96"/>
      <c r="R24"/>
      <c r="S24" s="145"/>
      <c r="T24" s="99"/>
      <c r="U24" s="99"/>
      <c r="V24" s="99"/>
      <c r="W24" s="145"/>
    </row>
    <row r="25" spans="1:23" s="100" customFormat="1" ht="15" customHeight="1" x14ac:dyDescent="0.2">
      <c r="A25" s="99"/>
      <c r="B25" s="446">
        <f t="shared" si="5"/>
        <v>18</v>
      </c>
      <c r="C25" s="39" t="str">
        <f>IF($H$1="Select company","",IF(Validation!$H$3=1,"",(IF(HLOOKUP((VLOOKUP($H$1,Lists!$B$4:$C$22,2,FALSE)),Sewerage!$A$1:$S$25,'2H'!B25+1,FALSE)=0,"",HLOOKUP((VLOOKUP($H$1,Lists!$B$4:$C$22,2,FALSE)),Sewerage!$A$1:$S$25,'2H'!B25+1,FALSE)))))</f>
        <v/>
      </c>
      <c r="D25" s="623"/>
      <c r="E25" s="624"/>
      <c r="F25" s="327">
        <f t="shared" si="4"/>
        <v>0</v>
      </c>
      <c r="G25" s="625"/>
      <c r="H25" s="192">
        <f t="shared" si="0"/>
        <v>0</v>
      </c>
      <c r="I25" s="150"/>
      <c r="J25" s="77"/>
      <c r="K25" s="29">
        <f t="shared" si="1"/>
        <v>0</v>
      </c>
      <c r="L25" s="95"/>
      <c r="M25" s="96"/>
      <c r="N25" s="120">
        <f t="shared" si="2"/>
        <v>0</v>
      </c>
      <c r="O25" s="120">
        <f t="shared" si="2"/>
        <v>0</v>
      </c>
      <c r="P25" s="120">
        <f t="shared" si="3"/>
        <v>0</v>
      </c>
      <c r="Q25" s="96"/>
      <c r="R25"/>
      <c r="S25" s="145"/>
      <c r="T25" s="99"/>
      <c r="U25" s="99"/>
      <c r="V25" s="99"/>
      <c r="W25" s="145"/>
    </row>
    <row r="26" spans="1:23" s="100" customFormat="1" ht="15" customHeight="1" x14ac:dyDescent="0.2">
      <c r="A26" s="99"/>
      <c r="B26" s="446">
        <f t="shared" si="5"/>
        <v>19</v>
      </c>
      <c r="C26" s="39" t="str">
        <f>IF($H$1="Select company","",IF(Validation!$H$3=1,"",(IF(HLOOKUP((VLOOKUP($H$1,Lists!$B$4:$C$22,2,FALSE)),Sewerage!$A$1:$S$25,'2H'!B26+1,FALSE)=0,"",HLOOKUP((VLOOKUP($H$1,Lists!$B$4:$C$22,2,FALSE)),Sewerage!$A$1:$S$25,'2H'!B26+1,FALSE)))))</f>
        <v/>
      </c>
      <c r="D26" s="626"/>
      <c r="E26" s="627"/>
      <c r="F26" s="327">
        <f t="shared" si="4"/>
        <v>0</v>
      </c>
      <c r="G26" s="625"/>
      <c r="H26" s="192">
        <f t="shared" si="0"/>
        <v>0</v>
      </c>
      <c r="I26" s="150"/>
      <c r="J26" s="77"/>
      <c r="K26" s="29">
        <f t="shared" si="1"/>
        <v>0</v>
      </c>
      <c r="L26" s="95"/>
      <c r="M26" s="96"/>
      <c r="N26" s="120">
        <f t="shared" si="2"/>
        <v>0</v>
      </c>
      <c r="O26" s="120">
        <f t="shared" si="2"/>
        <v>0</v>
      </c>
      <c r="P26" s="120">
        <f t="shared" si="3"/>
        <v>0</v>
      </c>
      <c r="Q26" s="96"/>
      <c r="R26"/>
      <c r="S26" s="145"/>
      <c r="T26" s="99"/>
      <c r="U26" s="99"/>
      <c r="V26" s="99"/>
      <c r="W26" s="145"/>
    </row>
    <row r="27" spans="1:23" s="100" customFormat="1" ht="15" customHeight="1" x14ac:dyDescent="0.2">
      <c r="A27" s="99"/>
      <c r="B27" s="446">
        <f t="shared" si="5"/>
        <v>20</v>
      </c>
      <c r="C27" s="39" t="str">
        <f>IF($H$1="Select company","",IF(Validation!$H$3=1,"",(IF(HLOOKUP((VLOOKUP($H$1,Lists!$B$4:$C$22,2,FALSE)),Sewerage!$A$1:$S$25,'2H'!B27+1,FALSE)=0,"",HLOOKUP((VLOOKUP($H$1,Lists!$B$4:$C$22,2,FALSE)),Sewerage!$A$1:$S$25,'2H'!B27+1,FALSE)))))</f>
        <v/>
      </c>
      <c r="D27" s="626"/>
      <c r="E27" s="627"/>
      <c r="F27" s="327">
        <f t="shared" si="4"/>
        <v>0</v>
      </c>
      <c r="G27" s="625"/>
      <c r="H27" s="192">
        <f t="shared" si="0"/>
        <v>0</v>
      </c>
      <c r="I27" s="150"/>
      <c r="J27" s="77"/>
      <c r="K27" s="29">
        <f t="shared" si="1"/>
        <v>0</v>
      </c>
      <c r="L27" s="95"/>
      <c r="M27" s="96"/>
      <c r="N27" s="120">
        <f t="shared" si="2"/>
        <v>0</v>
      </c>
      <c r="O27" s="120">
        <f t="shared" si="2"/>
        <v>0</v>
      </c>
      <c r="P27" s="120">
        <f t="shared" si="3"/>
        <v>0</v>
      </c>
      <c r="Q27" s="96"/>
      <c r="R27"/>
      <c r="S27" s="145"/>
      <c r="T27" s="99"/>
      <c r="U27" s="99"/>
      <c r="V27" s="99"/>
      <c r="W27" s="145"/>
    </row>
    <row r="28" spans="1:23" s="100" customFormat="1" ht="15" customHeight="1" x14ac:dyDescent="0.2">
      <c r="A28" s="99"/>
      <c r="B28" s="446">
        <f t="shared" si="5"/>
        <v>21</v>
      </c>
      <c r="C28" s="39" t="str">
        <f>IF($H$1="Select company","",IF(Validation!$H$3=1,"",(IF(HLOOKUP((VLOOKUP($H$1,Lists!$B$4:$C$22,2,FALSE)),Sewerage!$A$1:$S$25,'2H'!B28+1,FALSE)=0,"",HLOOKUP((VLOOKUP($H$1,Lists!$B$4:$C$22,2,FALSE)),Sewerage!$A$1:$S$25,'2H'!B28+1,FALSE)))))</f>
        <v/>
      </c>
      <c r="D28" s="626"/>
      <c r="E28" s="627"/>
      <c r="F28" s="327">
        <f t="shared" si="4"/>
        <v>0</v>
      </c>
      <c r="G28" s="625"/>
      <c r="H28" s="192">
        <f t="shared" si="0"/>
        <v>0</v>
      </c>
      <c r="I28" s="150"/>
      <c r="J28" s="77"/>
      <c r="K28" s="29">
        <f t="shared" si="1"/>
        <v>0</v>
      </c>
      <c r="L28" s="95"/>
      <c r="M28" s="96"/>
      <c r="N28" s="120">
        <f t="shared" si="2"/>
        <v>0</v>
      </c>
      <c r="O28" s="120">
        <f t="shared" si="2"/>
        <v>0</v>
      </c>
      <c r="P28" s="120">
        <f t="shared" si="3"/>
        <v>0</v>
      </c>
      <c r="Q28" s="96"/>
      <c r="R28" s="147"/>
      <c r="S28" s="145"/>
      <c r="T28" s="189"/>
      <c r="U28" s="189"/>
      <c r="V28" s="99"/>
      <c r="W28" s="145"/>
    </row>
    <row r="29" spans="1:23" s="100" customFormat="1" ht="17.100000000000001" customHeight="1" thickBot="1" x14ac:dyDescent="0.25">
      <c r="A29" s="99"/>
      <c r="B29" s="447">
        <f>B28 + 1</f>
        <v>22</v>
      </c>
      <c r="C29" s="37" t="s">
        <v>466</v>
      </c>
      <c r="D29" s="131">
        <f xml:space="preserve"> SUM( D9:D28 )</f>
        <v>112.61199999999998</v>
      </c>
      <c r="E29" s="132">
        <f xml:space="preserve"> SUM( E9:E28 )</f>
        <v>5.3879999999999999</v>
      </c>
      <c r="F29" s="133">
        <f xml:space="preserve"> SUM( F9:F28 )</f>
        <v>118</v>
      </c>
      <c r="G29" s="683">
        <f xml:space="preserve"> SUM( G9:G28 )</f>
        <v>110799.4</v>
      </c>
      <c r="H29" s="196">
        <f t="shared" si="0"/>
        <v>48.628422175571345</v>
      </c>
      <c r="I29" s="150"/>
      <c r="J29" s="77"/>
      <c r="K29" s="150"/>
      <c r="L29" s="150"/>
      <c r="M29" s="145"/>
      <c r="N29" s="186"/>
      <c r="O29" s="187"/>
      <c r="P29" s="187"/>
      <c r="Q29" s="145"/>
      <c r="R29" s="147"/>
      <c r="S29" s="145"/>
      <c r="T29" s="189"/>
      <c r="U29" s="189"/>
      <c r="V29" s="99"/>
      <c r="W29" s="145"/>
    </row>
    <row r="30" spans="1:23" s="95" customFormat="1" ht="15" thickBot="1" x14ac:dyDescent="0.25">
      <c r="D30" s="107"/>
      <c r="E30" s="187"/>
      <c r="F30" s="107"/>
      <c r="G30" s="150"/>
      <c r="H30" s="448"/>
      <c r="I30" s="153"/>
      <c r="J30" s="77"/>
      <c r="K30" s="150"/>
      <c r="L30" s="150"/>
      <c r="M30" s="145"/>
      <c r="N30" s="186"/>
      <c r="O30" s="206"/>
      <c r="P30" s="206"/>
      <c r="Q30" s="145"/>
      <c r="R30"/>
      <c r="S30" s="145"/>
      <c r="T30" s="99"/>
      <c r="U30" s="99"/>
      <c r="V30" s="99"/>
      <c r="W30" s="145"/>
    </row>
    <row r="31" spans="1:23" s="100" customFormat="1" ht="17.100000000000001" customHeight="1" thickBot="1" x14ac:dyDescent="0.25">
      <c r="A31" s="99"/>
      <c r="B31" s="441">
        <f xml:space="preserve"> B29 + 1</f>
        <v>23</v>
      </c>
      <c r="C31" s="33" t="s">
        <v>246</v>
      </c>
      <c r="D31" s="158">
        <f xml:space="preserve"> D29 + D6</f>
        <v>112.61199999999998</v>
      </c>
      <c r="E31" s="159">
        <f xml:space="preserve"> E29 + E6</f>
        <v>5.3879999999999999</v>
      </c>
      <c r="F31" s="160">
        <f xml:space="preserve"> F29 + F6</f>
        <v>118</v>
      </c>
      <c r="G31" s="449">
        <f xml:space="preserve"> G29 + G6</f>
        <v>110799.4</v>
      </c>
      <c r="H31" s="442">
        <f xml:space="preserve"> H29 + H6</f>
        <v>48.628422175571345</v>
      </c>
      <c r="I31" s="153"/>
      <c r="J31" s="77">
        <f xml:space="preserve"> IF( SUM( Q31:S31 ) = 0, 0, V31 )</f>
        <v>0</v>
      </c>
      <c r="K31" s="150"/>
      <c r="L31" s="150"/>
      <c r="M31" s="145"/>
      <c r="N31" s="186"/>
      <c r="O31" s="187"/>
      <c r="P31" s="187"/>
      <c r="Q31" s="145"/>
      <c r="R31" s="120">
        <f xml:space="preserve"> IF( (T31 - U31) = 0, 0, 1 )</f>
        <v>0</v>
      </c>
      <c r="S31" s="145"/>
      <c r="T31" s="189">
        <f xml:space="preserve"> ROUND(D31, 3)</f>
        <v>112.61199999999999</v>
      </c>
      <c r="U31" s="189">
        <f xml:space="preserve"> ROUND( SUM( '2I'!G12:G13 ), 3)</f>
        <v>112.61199999999999</v>
      </c>
      <c r="V31" s="99" t="s">
        <v>474</v>
      </c>
      <c r="W31" s="145"/>
    </row>
    <row r="32" spans="1:23" s="95" customFormat="1" x14ac:dyDescent="0.2">
      <c r="E32" s="187"/>
      <c r="G32" s="150"/>
      <c r="I32" s="144"/>
      <c r="J32" s="77"/>
      <c r="K32" s="146"/>
      <c r="L32" s="144"/>
      <c r="M32" s="148"/>
      <c r="N32" s="295"/>
      <c r="O32" s="137"/>
      <c r="P32" s="137"/>
      <c r="Q32" s="148"/>
      <c r="R32"/>
      <c r="S32" s="145"/>
      <c r="T32" s="99"/>
      <c r="U32" s="99"/>
      <c r="V32" s="99"/>
      <c r="W32" s="145"/>
    </row>
    <row r="33" spans="1:23" s="187" customFormat="1" x14ac:dyDescent="0.2">
      <c r="B33" s="703" t="s">
        <v>90</v>
      </c>
      <c r="C33" s="703"/>
      <c r="G33" s="150"/>
      <c r="H33" s="95"/>
      <c r="I33" s="144"/>
      <c r="J33" s="77"/>
      <c r="K33" s="146"/>
      <c r="L33" s="144"/>
      <c r="M33" s="148"/>
      <c r="N33" s="295"/>
      <c r="O33" s="137"/>
      <c r="P33" s="137"/>
      <c r="Q33" s="148"/>
      <c r="R33"/>
      <c r="S33" s="148"/>
      <c r="T33" s="99"/>
      <c r="U33" s="99"/>
      <c r="V33" s="99"/>
      <c r="W33" s="148"/>
    </row>
    <row r="34" spans="1:23" s="187" customFormat="1" x14ac:dyDescent="0.2">
      <c r="B34" s="162"/>
      <c r="C34" s="163"/>
      <c r="G34" s="150"/>
      <c r="H34" s="95"/>
      <c r="I34" s="433"/>
      <c r="J34" s="77"/>
      <c r="K34" s="153"/>
      <c r="L34" s="144"/>
      <c r="M34" s="148"/>
      <c r="N34" s="206"/>
      <c r="O34" s="206"/>
      <c r="P34" s="206"/>
      <c r="Q34" s="148"/>
      <c r="R34"/>
      <c r="S34" s="148"/>
      <c r="T34" s="99"/>
      <c r="U34" s="99"/>
      <c r="V34" s="99"/>
      <c r="W34" s="148"/>
    </row>
    <row r="35" spans="1:23" s="187" customFormat="1" x14ac:dyDescent="0.2">
      <c r="B35" s="30"/>
      <c r="C35" s="164" t="s">
        <v>91</v>
      </c>
      <c r="G35" s="150"/>
      <c r="H35" s="95"/>
      <c r="I35" s="436"/>
      <c r="J35" s="77"/>
      <c r="K35" s="146"/>
      <c r="L35" s="144"/>
      <c r="M35" s="148"/>
      <c r="N35" s="332"/>
      <c r="O35" s="137"/>
      <c r="P35" s="137"/>
      <c r="Q35" s="148"/>
      <c r="R35"/>
      <c r="S35" s="148"/>
      <c r="T35" s="99"/>
      <c r="U35" s="99"/>
      <c r="V35" s="99"/>
      <c r="W35" s="148"/>
    </row>
    <row r="36" spans="1:23" s="187" customFormat="1" x14ac:dyDescent="0.2">
      <c r="B36" s="162"/>
      <c r="C36" s="163"/>
      <c r="G36" s="150"/>
      <c r="H36" s="95"/>
      <c r="I36" s="437"/>
      <c r="J36" s="77"/>
      <c r="K36" s="146"/>
      <c r="L36" s="144"/>
      <c r="M36" s="148"/>
      <c r="N36" s="332"/>
      <c r="O36" s="137"/>
      <c r="P36" s="137"/>
      <c r="Q36" s="148"/>
      <c r="R36" s="137"/>
      <c r="S36" s="148"/>
      <c r="T36" s="99"/>
      <c r="U36" s="99"/>
      <c r="V36" s="99"/>
      <c r="W36" s="148"/>
    </row>
    <row r="37" spans="1:23" s="187" customFormat="1" x14ac:dyDescent="0.2">
      <c r="B37" s="165"/>
      <c r="C37" s="164" t="s">
        <v>92</v>
      </c>
      <c r="G37" s="150"/>
      <c r="H37" s="95"/>
      <c r="I37" s="436"/>
      <c r="J37" s="77"/>
      <c r="K37" s="146"/>
      <c r="L37" s="144"/>
      <c r="M37" s="148"/>
      <c r="N37" s="332"/>
      <c r="O37" s="137"/>
      <c r="P37" s="137"/>
      <c r="Q37" s="148"/>
      <c r="R37" s="99"/>
      <c r="S37" s="148"/>
      <c r="T37" s="99"/>
      <c r="U37" s="99"/>
      <c r="V37" s="99"/>
      <c r="W37" s="148"/>
    </row>
    <row r="38" spans="1:23" s="187" customFormat="1" x14ac:dyDescent="0.2">
      <c r="B38" s="166"/>
      <c r="C38" s="164"/>
      <c r="G38" s="150"/>
      <c r="H38" s="144"/>
      <c r="I38" s="437"/>
      <c r="J38" s="77"/>
      <c r="K38" s="146"/>
      <c r="L38" s="144"/>
      <c r="M38" s="148"/>
      <c r="N38" s="332"/>
      <c r="O38" s="146"/>
      <c r="P38" s="146"/>
      <c r="Q38" s="148"/>
      <c r="R38" s="99"/>
      <c r="S38" s="148"/>
      <c r="T38" s="99"/>
      <c r="U38" s="99"/>
      <c r="V38" s="99"/>
      <c r="W38" s="148"/>
    </row>
    <row r="39" spans="1:23" s="187" customFormat="1" x14ac:dyDescent="0.2">
      <c r="B39" s="167"/>
      <c r="C39" s="164" t="s">
        <v>93</v>
      </c>
      <c r="G39" s="150"/>
      <c r="H39" s="150"/>
      <c r="I39" s="437"/>
      <c r="J39" s="99"/>
      <c r="K39" s="146"/>
      <c r="L39" s="144"/>
      <c r="M39" s="148"/>
      <c r="N39" s="332"/>
      <c r="O39" s="146"/>
      <c r="P39" s="146"/>
      <c r="Q39" s="148"/>
      <c r="R39" s="99"/>
      <c r="S39" s="148"/>
      <c r="T39" s="95"/>
      <c r="U39" s="95"/>
      <c r="V39" s="95"/>
      <c r="W39" s="148"/>
    </row>
    <row r="40" spans="1:23" s="206" customFormat="1" x14ac:dyDescent="0.2">
      <c r="A40" s="172"/>
      <c r="B40" s="172"/>
      <c r="C40" s="173"/>
      <c r="G40" s="153"/>
      <c r="H40" s="150"/>
      <c r="I40" s="437"/>
      <c r="J40" s="99"/>
      <c r="K40" s="146"/>
      <c r="L40" s="144"/>
      <c r="M40" s="148"/>
      <c r="N40" s="332"/>
      <c r="O40" s="146"/>
      <c r="P40" s="146"/>
      <c r="Q40" s="148"/>
      <c r="R40" s="99"/>
      <c r="S40" s="148"/>
      <c r="T40" s="187"/>
      <c r="U40" s="187"/>
      <c r="V40" s="187"/>
      <c r="W40" s="148"/>
    </row>
    <row r="41" spans="1:23" s="206" customFormat="1" ht="15" thickBot="1" x14ac:dyDescent="0.25">
      <c r="C41" s="207"/>
      <c r="G41" s="153"/>
      <c r="H41" s="150"/>
      <c r="I41" s="400"/>
      <c r="J41" s="99"/>
      <c r="K41" s="95"/>
      <c r="L41" s="95"/>
      <c r="M41" s="96"/>
      <c r="N41" s="95"/>
      <c r="O41" s="95"/>
      <c r="P41" s="95"/>
      <c r="Q41" s="96"/>
      <c r="R41" s="99"/>
      <c r="S41" s="148"/>
      <c r="T41" s="187"/>
      <c r="U41" s="187"/>
      <c r="V41" s="187"/>
      <c r="W41" s="148"/>
    </row>
    <row r="42" spans="1:23" s="137" customFormat="1" ht="16.5" thickBot="1" x14ac:dyDescent="0.25">
      <c r="B42" s="168" t="str">
        <f ca="1" xml:space="preserve"> RIGHT(CELL("filename", $A$1), LEN(CELL("filename", $A$1)) - SEARCH("]", CELL("filename", $A$1)))&amp;" - Line definitions"</f>
        <v>2H - Line definitions</v>
      </c>
      <c r="C42" s="169"/>
      <c r="D42" s="170"/>
      <c r="E42" s="170"/>
      <c r="F42" s="170"/>
      <c r="G42" s="170"/>
      <c r="H42" s="288"/>
      <c r="I42" s="399"/>
      <c r="J42" s="99"/>
      <c r="K42" s="95"/>
      <c r="L42" s="95"/>
      <c r="M42" s="96"/>
      <c r="N42" s="95"/>
      <c r="O42" s="95"/>
      <c r="P42" s="95"/>
      <c r="Q42" s="96"/>
      <c r="R42" s="99"/>
      <c r="S42" s="96"/>
      <c r="T42" s="187"/>
      <c r="U42" s="187"/>
      <c r="V42" s="187"/>
      <c r="W42" s="96"/>
    </row>
    <row r="43" spans="1:23" s="137" customFormat="1" ht="15" thickBot="1" x14ac:dyDescent="0.25">
      <c r="B43" s="450"/>
      <c r="D43" s="99"/>
      <c r="G43" s="144"/>
      <c r="H43" s="150"/>
      <c r="I43" s="400"/>
      <c r="J43" s="99"/>
      <c r="K43" s="95"/>
      <c r="L43" s="95"/>
      <c r="M43" s="96"/>
      <c r="N43" s="112" t="s">
        <v>96</v>
      </c>
      <c r="O43" s="95"/>
      <c r="P43" s="95"/>
      <c r="Q43" s="96"/>
      <c r="R43" s="99"/>
      <c r="S43" s="96"/>
      <c r="T43" s="187"/>
      <c r="U43" s="187"/>
      <c r="V43" s="187"/>
      <c r="W43" s="96"/>
    </row>
    <row r="44" spans="1:23" s="206" customFormat="1" x14ac:dyDescent="0.2">
      <c r="B44" s="451" t="s">
        <v>94</v>
      </c>
      <c r="C44" s="816" t="s">
        <v>95</v>
      </c>
      <c r="D44" s="816"/>
      <c r="E44" s="816"/>
      <c r="F44" s="816"/>
      <c r="G44" s="816"/>
      <c r="H44" s="817"/>
      <c r="I44" s="400"/>
      <c r="J44" s="99"/>
      <c r="K44" s="95"/>
      <c r="L44" s="95"/>
      <c r="M44" s="96"/>
      <c r="N44" s="95">
        <v>1</v>
      </c>
      <c r="O44" s="95"/>
      <c r="P44" s="95"/>
      <c r="Q44" s="96"/>
      <c r="R44" s="99"/>
      <c r="S44" s="96"/>
      <c r="T44" s="187"/>
      <c r="U44" s="187"/>
      <c r="V44" s="187"/>
      <c r="W44" s="96"/>
    </row>
    <row r="45" spans="1:23" s="137" customFormat="1" ht="14.1" customHeight="1" x14ac:dyDescent="0.2">
      <c r="B45" s="343">
        <v>1</v>
      </c>
      <c r="C45" s="768" t="s">
        <v>468</v>
      </c>
      <c r="D45" s="769"/>
      <c r="E45" s="769"/>
      <c r="F45" s="769"/>
      <c r="G45" s="769"/>
      <c r="H45" s="770"/>
      <c r="I45" s="400"/>
      <c r="J45" s="99"/>
      <c r="K45" s="95"/>
      <c r="L45" s="95"/>
      <c r="M45" s="96"/>
      <c r="N45" s="95">
        <v>1</v>
      </c>
      <c r="O45" s="95"/>
      <c r="P45" s="95"/>
      <c r="Q45" s="96"/>
      <c r="R45" s="99"/>
      <c r="S45" s="96"/>
      <c r="T45" s="187"/>
      <c r="U45" s="187"/>
      <c r="V45" s="187"/>
      <c r="W45" s="96"/>
    </row>
    <row r="46" spans="1:23" s="137" customFormat="1" ht="14.1" customHeight="1" x14ac:dyDescent="0.2">
      <c r="B46" s="343" t="s">
        <v>469</v>
      </c>
      <c r="C46" s="768" t="s">
        <v>470</v>
      </c>
      <c r="D46" s="769"/>
      <c r="E46" s="769"/>
      <c r="F46" s="769"/>
      <c r="G46" s="769"/>
      <c r="H46" s="770"/>
      <c r="I46" s="399"/>
      <c r="J46" s="99"/>
      <c r="K46" s="95"/>
      <c r="L46" s="95"/>
      <c r="M46" s="96"/>
      <c r="N46" s="95">
        <v>1</v>
      </c>
      <c r="O46" s="95"/>
      <c r="P46" s="95"/>
      <c r="Q46" s="96"/>
      <c r="R46" s="99"/>
      <c r="S46" s="96"/>
      <c r="T46" s="187"/>
      <c r="U46" s="187"/>
      <c r="V46" s="187"/>
      <c r="W46" s="96"/>
    </row>
    <row r="47" spans="1:23" s="137" customFormat="1" ht="14.1" customHeight="1" x14ac:dyDescent="0.2">
      <c r="B47" s="343">
        <v>20</v>
      </c>
      <c r="C47" s="768" t="s">
        <v>471</v>
      </c>
      <c r="D47" s="769"/>
      <c r="E47" s="769"/>
      <c r="F47" s="769"/>
      <c r="G47" s="769"/>
      <c r="H47" s="770"/>
      <c r="I47" s="400"/>
      <c r="J47" s="99"/>
      <c r="K47" s="95"/>
      <c r="L47" s="95"/>
      <c r="M47" s="96"/>
      <c r="N47" s="95">
        <v>1</v>
      </c>
      <c r="O47" s="95"/>
      <c r="P47" s="95"/>
      <c r="Q47" s="96"/>
      <c r="R47" s="99"/>
      <c r="S47" s="96"/>
      <c r="T47" s="206"/>
      <c r="U47" s="206"/>
      <c r="V47" s="206"/>
      <c r="W47" s="96"/>
    </row>
    <row r="48" spans="1:23" s="137" customFormat="1" ht="15" thickBot="1" x14ac:dyDescent="0.25">
      <c r="B48" s="344">
        <v>21</v>
      </c>
      <c r="C48" s="808" t="s">
        <v>472</v>
      </c>
      <c r="D48" s="808"/>
      <c r="E48" s="808"/>
      <c r="F48" s="808"/>
      <c r="G48" s="808"/>
      <c r="H48" s="809"/>
      <c r="I48" s="95"/>
      <c r="J48" s="99"/>
      <c r="K48" s="95"/>
      <c r="L48" s="95"/>
      <c r="M48" s="96"/>
      <c r="N48" s="95">
        <v>1</v>
      </c>
      <c r="O48" s="95"/>
      <c r="P48" s="95"/>
      <c r="Q48" s="96"/>
      <c r="R48" s="99"/>
      <c r="S48" s="96"/>
      <c r="T48" s="206"/>
      <c r="U48" s="206"/>
      <c r="V48" s="206"/>
      <c r="W48" s="96"/>
    </row>
    <row r="49" spans="20:22" x14ac:dyDescent="0.2">
      <c r="T49" s="137"/>
      <c r="U49" s="137"/>
      <c r="V49" s="137"/>
    </row>
    <row r="50" spans="20:22" hidden="1" x14ac:dyDescent="0.2">
      <c r="T50" s="137"/>
      <c r="U50" s="137"/>
      <c r="V50" s="137"/>
    </row>
    <row r="51" spans="20:22" hidden="1" x14ac:dyDescent="0.2">
      <c r="T51" s="206"/>
      <c r="U51" s="206"/>
      <c r="V51" s="206"/>
    </row>
    <row r="52" spans="20:22" hidden="1" x14ac:dyDescent="0.2">
      <c r="T52" s="137"/>
      <c r="U52" s="137"/>
      <c r="V52" s="137"/>
    </row>
    <row r="53" spans="20:22" hidden="1" x14ac:dyDescent="0.2">
      <c r="T53" s="137"/>
      <c r="U53" s="137"/>
      <c r="V53" s="137"/>
    </row>
    <row r="54" spans="20:22" hidden="1" x14ac:dyDescent="0.2">
      <c r="T54" s="137"/>
      <c r="U54" s="137"/>
      <c r="V54" s="137"/>
    </row>
    <row r="55" spans="20:22" hidden="1" x14ac:dyDescent="0.2">
      <c r="T55" s="137"/>
      <c r="U55" s="137"/>
      <c r="V55" s="137"/>
    </row>
    <row r="56" spans="20:22" hidden="1" x14ac:dyDescent="0.2">
      <c r="T56" s="137"/>
      <c r="U56" s="137"/>
      <c r="V56" s="137"/>
    </row>
    <row r="57" spans="20:22" hidden="1" x14ac:dyDescent="0.2">
      <c r="T57" s="137"/>
      <c r="U57" s="137"/>
      <c r="V57" s="137"/>
    </row>
    <row r="58" spans="20:22" hidden="1" x14ac:dyDescent="0.2">
      <c r="T58" s="137"/>
      <c r="U58" s="137"/>
      <c r="V58" s="137"/>
    </row>
    <row r="59" spans="20:22" hidden="1" x14ac:dyDescent="0.2">
      <c r="T59" s="137"/>
      <c r="U59" s="137"/>
      <c r="V59" s="137"/>
    </row>
    <row r="60" spans="20:22" hidden="1" x14ac:dyDescent="0.2">
      <c r="T60" s="137"/>
      <c r="U60" s="137"/>
      <c r="V60" s="137"/>
    </row>
    <row r="61" spans="20:22" hidden="1" x14ac:dyDescent="0.2">
      <c r="T61" s="137"/>
      <c r="U61" s="137"/>
      <c r="V61" s="137"/>
    </row>
    <row r="62" spans="20:22" hidden="1" x14ac:dyDescent="0.2">
      <c r="T62" s="137"/>
      <c r="U62" s="137"/>
      <c r="V62" s="137"/>
    </row>
    <row r="63" spans="20:22" hidden="1" x14ac:dyDescent="0.2">
      <c r="T63" s="137"/>
      <c r="U63" s="137"/>
      <c r="V63" s="137"/>
    </row>
    <row r="64" spans="20:22" hidden="1" x14ac:dyDescent="0.2">
      <c r="T64" s="137"/>
      <c r="U64" s="137"/>
      <c r="V64" s="137"/>
    </row>
    <row r="65" spans="20:22" hidden="1" x14ac:dyDescent="0.2">
      <c r="T65" s="137"/>
      <c r="U65" s="137"/>
      <c r="V65" s="137"/>
    </row>
    <row r="66" spans="20:22" hidden="1" x14ac:dyDescent="0.2">
      <c r="T66" s="137"/>
      <c r="U66" s="137"/>
      <c r="V66" s="137"/>
    </row>
    <row r="67" spans="20:22" hidden="1" x14ac:dyDescent="0.2">
      <c r="T67" s="137"/>
      <c r="U67" s="137"/>
      <c r="V67" s="137"/>
    </row>
    <row r="68" spans="20:22" hidden="1" x14ac:dyDescent="0.2">
      <c r="T68" s="137"/>
      <c r="U68" s="137"/>
      <c r="V68" s="137"/>
    </row>
    <row r="69" spans="20:22" hidden="1" x14ac:dyDescent="0.2">
      <c r="T69" s="137"/>
      <c r="U69" s="137"/>
      <c r="V69" s="137"/>
    </row>
    <row r="70" spans="20:22" hidden="1" x14ac:dyDescent="0.2">
      <c r="T70" s="137"/>
      <c r="U70" s="137"/>
      <c r="V70" s="137"/>
    </row>
    <row r="71" spans="20:22" hidden="1" x14ac:dyDescent="0.2">
      <c r="T71" s="137"/>
      <c r="U71" s="137"/>
      <c r="V71" s="137"/>
    </row>
    <row r="72" spans="20:22" hidden="1" x14ac:dyDescent="0.2">
      <c r="T72" s="137"/>
      <c r="U72" s="137"/>
      <c r="V72" s="137"/>
    </row>
    <row r="73" spans="20:22" hidden="1" x14ac:dyDescent="0.2">
      <c r="T73" s="137"/>
      <c r="U73" s="137"/>
      <c r="V73" s="137"/>
    </row>
  </sheetData>
  <sheetProtection algorithmName="SHA-512" hashValue="bn8FH7lS3yF1oGluGU1i8GlBerZ8fOOC4BOFCxJWuEPMLFSqaI7PHnMExI9vNRabTxMOYx+G0ktF5MlZgA9kCQ==" saltValue="x/BZGxhFqZYOPsahDfubag==" spinCount="100000" sheet="1" objects="1" scenarios="1"/>
  <mergeCells count="8">
    <mergeCell ref="C47:H47"/>
    <mergeCell ref="C48:H48"/>
    <mergeCell ref="B3:C3"/>
    <mergeCell ref="N3:P3"/>
    <mergeCell ref="B33:C33"/>
    <mergeCell ref="C44:H44"/>
    <mergeCell ref="C45:H45"/>
    <mergeCell ref="C46:H46"/>
  </mergeCells>
  <conditionalFormatting sqref="J6:J38">
    <cfRule type="cellIs" dxfId="59" priority="1" operator="equal">
      <formula>0</formula>
    </cfRule>
  </conditionalFormatting>
  <conditionalFormatting sqref="K6">
    <cfRule type="cellIs" dxfId="58" priority="6" operator="equal">
      <formula>0</formula>
    </cfRule>
  </conditionalFormatting>
  <conditionalFormatting sqref="K9:K28">
    <cfRule type="cellIs" dxfId="57" priority="5" operator="equal">
      <formula>0</formula>
    </cfRule>
  </conditionalFormatting>
  <printOptions horizontalCentered="1"/>
  <pageMargins left="0.39370078740157483" right="0.39370078740157483" top="0.78740157480314965" bottom="0.78740157480314965" header="0.31496062992125984" footer="0.31496062992125984"/>
  <pageSetup paperSize="8" scale="80"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25" id="{5C635D32-5544-482B-B5AA-50CD07BD0F9C}">
            <xm:f>Validation!$H$3=1</xm:f>
            <x14:dxf>
              <fill>
                <patternFill>
                  <bgColor rgb="FFE0DCD8"/>
                </patternFill>
              </fill>
            </x14:dxf>
          </x14:cfRule>
          <xm:sqref>D6:H6 D9:H29 D31:H31</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W74"/>
  <sheetViews>
    <sheetView showGridLines="0" topLeftCell="A6" zoomScale="90" zoomScaleNormal="90" workbookViewId="0">
      <selection activeCell="C28" sqref="C28"/>
    </sheetView>
  </sheetViews>
  <sheetFormatPr defaultColWidth="0" defaultRowHeight="14.25" zeroHeight="1" x14ac:dyDescent="0.2"/>
  <cols>
    <col min="1" max="1" width="2.375" style="99" customWidth="1"/>
    <col min="2" max="2" width="4.125" style="99" customWidth="1"/>
    <col min="3" max="3" width="38" style="99" bestFit="1" customWidth="1"/>
    <col min="4" max="5" width="5.125" style="99" customWidth="1"/>
    <col min="6" max="8" width="14.625" style="99" customWidth="1"/>
    <col min="9" max="9" width="2.625" style="95" customWidth="1"/>
    <col min="10" max="10" width="22.625" style="99" customWidth="1"/>
    <col min="11" max="11" width="18.875" style="95" bestFit="1" customWidth="1"/>
    <col min="12" max="12" width="1.625" style="95" customWidth="1"/>
    <col min="13" max="13" width="1.625" style="96" hidden="1" customWidth="1"/>
    <col min="14" max="16" width="8.625" style="95" hidden="1" customWidth="1"/>
    <col min="17" max="17" width="1.625" style="96" hidden="1" customWidth="1"/>
    <col min="18" max="18" width="8" style="99" hidden="1" customWidth="1"/>
    <col min="19" max="19" width="1.625" style="96" hidden="1" customWidth="1"/>
    <col min="20" max="21" width="8" style="99" hidden="1" customWidth="1"/>
    <col min="22" max="22" width="50.375" style="99" hidden="1" customWidth="1"/>
    <col min="23" max="23" width="1.625" style="96" hidden="1" customWidth="1"/>
    <col min="24" max="16384" width="8" style="99" hidden="1"/>
  </cols>
  <sheetData>
    <row r="1" spans="2:23" customFormat="1" ht="20.25" x14ac:dyDescent="0.2">
      <c r="B1" s="91" t="s">
        <v>475</v>
      </c>
      <c r="C1" s="91"/>
      <c r="D1" s="91"/>
      <c r="E1" s="91"/>
      <c r="F1" s="91"/>
      <c r="G1" s="93"/>
      <c r="H1" s="93" t="str">
        <f>Validation!B3</f>
        <v>Yorkshire Water</v>
      </c>
      <c r="I1" s="91"/>
      <c r="J1" s="94"/>
      <c r="K1" s="94" t="s">
        <v>62</v>
      </c>
      <c r="L1" s="95"/>
      <c r="M1" s="96"/>
      <c r="N1" s="95"/>
      <c r="O1" s="95"/>
      <c r="P1" s="95"/>
      <c r="Q1" s="96"/>
      <c r="R1" s="95"/>
      <c r="S1" s="96"/>
      <c r="W1" s="96"/>
    </row>
    <row r="2" spans="2:23" ht="15" thickBot="1" x14ac:dyDescent="0.25">
      <c r="B2" s="98" t="s">
        <v>48</v>
      </c>
      <c r="C2" s="296"/>
      <c r="J2" s="95"/>
      <c r="R2" s="95"/>
      <c r="T2" s="702" t="s">
        <v>278</v>
      </c>
    </row>
    <row r="3" spans="2:23" ht="15" thickBot="1" x14ac:dyDescent="0.25">
      <c r="B3" s="818" t="s">
        <v>63</v>
      </c>
      <c r="C3" s="819"/>
      <c r="D3" s="408" t="s">
        <v>64</v>
      </c>
      <c r="E3" s="409" t="s">
        <v>65</v>
      </c>
      <c r="F3" s="410" t="s">
        <v>279</v>
      </c>
      <c r="G3" s="411" t="s">
        <v>347</v>
      </c>
      <c r="H3" s="409" t="s">
        <v>246</v>
      </c>
      <c r="J3" s="214" t="s">
        <v>277</v>
      </c>
      <c r="K3" s="216" t="s">
        <v>69</v>
      </c>
      <c r="R3" s="702" t="s">
        <v>54</v>
      </c>
      <c r="T3" s="702"/>
    </row>
    <row r="4" spans="2:23" ht="15" thickBot="1" x14ac:dyDescent="0.25">
      <c r="C4" s="412"/>
      <c r="J4" s="95"/>
      <c r="N4" s="702" t="s">
        <v>73</v>
      </c>
      <c r="O4" s="702"/>
      <c r="P4" s="103"/>
      <c r="R4" s="702"/>
      <c r="T4" s="702"/>
      <c r="U4" s="103"/>
      <c r="V4" s="103"/>
    </row>
    <row r="5" spans="2:23" ht="15" thickBot="1" x14ac:dyDescent="0.25">
      <c r="B5" s="413" t="s">
        <v>124</v>
      </c>
      <c r="C5" s="111" t="s">
        <v>476</v>
      </c>
      <c r="N5" s="112" t="s">
        <v>74</v>
      </c>
      <c r="O5" s="147"/>
      <c r="P5" s="147"/>
      <c r="R5"/>
    </row>
    <row r="6" spans="2:23" ht="14.45" customHeight="1" x14ac:dyDescent="0.2">
      <c r="B6" s="342">
        <v>1</v>
      </c>
      <c r="C6" s="314" t="s">
        <v>477</v>
      </c>
      <c r="D6" s="368" t="s">
        <v>76</v>
      </c>
      <c r="E6" s="316">
        <v>3</v>
      </c>
      <c r="F6" s="609">
        <v>182.25800000000001</v>
      </c>
      <c r="G6" s="610">
        <v>1.07</v>
      </c>
      <c r="H6" s="414">
        <f>+G6+F6</f>
        <v>183.328</v>
      </c>
      <c r="J6" s="77"/>
      <c r="K6" s="29">
        <f xml:space="preserve"> IF( SUM( M6:Q6 ) = 0, 0, N$5 )</f>
        <v>0</v>
      </c>
      <c r="N6" s="120">
        <f xml:space="preserve"> IF( ISNUMBER( F6 ), 0, 1 )</f>
        <v>0</v>
      </c>
      <c r="O6" s="120">
        <f xml:space="preserve"> IF( ISNUMBER( G6 ), 0, 1 )</f>
        <v>0</v>
      </c>
      <c r="P6" s="147"/>
      <c r="R6"/>
    </row>
    <row r="7" spans="2:23" ht="14.45" customHeight="1" x14ac:dyDescent="0.2">
      <c r="B7" s="343">
        <v>2</v>
      </c>
      <c r="C7" s="320" t="s">
        <v>478</v>
      </c>
      <c r="D7" s="371" t="s">
        <v>76</v>
      </c>
      <c r="E7" s="322">
        <v>3</v>
      </c>
      <c r="F7" s="611">
        <v>116.39400000000001</v>
      </c>
      <c r="G7" s="612">
        <v>99.834500000000006</v>
      </c>
      <c r="H7" s="415">
        <f>+G7+F7</f>
        <v>216.2285</v>
      </c>
      <c r="J7" s="77"/>
      <c r="K7" s="29">
        <f t="shared" ref="K7" si="0" xml:space="preserve"> IF( SUM( M7:Q7 ) = 0, 0, N$5 )</f>
        <v>0</v>
      </c>
      <c r="N7" s="120">
        <f t="shared" ref="N7:O8" si="1" xml:space="preserve"> IF( ISNUMBER( F7 ), 0, 1 )</f>
        <v>0</v>
      </c>
      <c r="O7" s="120">
        <f t="shared" si="1"/>
        <v>0</v>
      </c>
      <c r="P7" s="147"/>
      <c r="R7"/>
    </row>
    <row r="8" spans="2:23" ht="14.45" customHeight="1" x14ac:dyDescent="0.2">
      <c r="B8" s="343">
        <v>3</v>
      </c>
      <c r="C8" s="320" t="s">
        <v>479</v>
      </c>
      <c r="D8" s="371" t="s">
        <v>76</v>
      </c>
      <c r="E8" s="322">
        <v>3</v>
      </c>
      <c r="F8" s="611">
        <v>0</v>
      </c>
      <c r="G8" s="612">
        <v>0</v>
      </c>
      <c r="H8" s="415">
        <f>+G8+F8</f>
        <v>0</v>
      </c>
      <c r="J8" s="77"/>
      <c r="K8" s="29">
        <f xml:space="preserve"> IF( SUM( M8:Q8 ) = 0, 0, N$5 )</f>
        <v>0</v>
      </c>
      <c r="N8" s="120">
        <f t="shared" si="1"/>
        <v>0</v>
      </c>
      <c r="O8" s="120">
        <f t="shared" si="1"/>
        <v>0</v>
      </c>
      <c r="P8" s="147"/>
      <c r="R8"/>
    </row>
    <row r="9" spans="2:23" ht="14.45" customHeight="1" thickBot="1" x14ac:dyDescent="0.25">
      <c r="B9" s="344">
        <v>4</v>
      </c>
      <c r="C9" s="334" t="s">
        <v>246</v>
      </c>
      <c r="D9" s="335" t="s">
        <v>76</v>
      </c>
      <c r="E9" s="336">
        <v>3</v>
      </c>
      <c r="F9" s="416">
        <f>SUM(F6:F8)</f>
        <v>298.65200000000004</v>
      </c>
      <c r="G9" s="417">
        <f t="shared" ref="G9:H9" si="2">SUM(G6:G8)</f>
        <v>100.9045</v>
      </c>
      <c r="H9" s="418">
        <f t="shared" si="2"/>
        <v>399.55650000000003</v>
      </c>
      <c r="J9" s="77"/>
      <c r="K9" s="136"/>
      <c r="N9" s="332"/>
      <c r="O9" s="137"/>
      <c r="P9" s="137"/>
      <c r="R9"/>
    </row>
    <row r="10" spans="2:23" ht="15" thickBot="1" x14ac:dyDescent="0.25">
      <c r="B10" s="419"/>
      <c r="C10" s="177"/>
      <c r="D10" s="310"/>
      <c r="E10" s="310"/>
      <c r="F10" s="420"/>
      <c r="G10" s="420"/>
      <c r="H10" s="420"/>
      <c r="J10" s="77"/>
      <c r="K10" s="136"/>
      <c r="N10" s="332"/>
      <c r="O10" s="137"/>
      <c r="P10" s="137"/>
      <c r="R10"/>
    </row>
    <row r="11" spans="2:23" ht="15" thickBot="1" x14ac:dyDescent="0.25">
      <c r="B11" s="413" t="s">
        <v>133</v>
      </c>
      <c r="C11" s="141" t="s">
        <v>480</v>
      </c>
      <c r="D11" s="312"/>
      <c r="E11" s="312"/>
      <c r="F11" s="311"/>
      <c r="G11" s="311"/>
      <c r="H11" s="311"/>
      <c r="J11" s="77"/>
      <c r="K11" s="136"/>
      <c r="N11" s="332"/>
      <c r="O11" s="137"/>
      <c r="P11" s="137"/>
      <c r="R11"/>
    </row>
    <row r="12" spans="2:23" ht="14.45" customHeight="1" x14ac:dyDescent="0.2">
      <c r="B12" s="342">
        <v>5</v>
      </c>
      <c r="C12" s="314" t="s">
        <v>477</v>
      </c>
      <c r="D12" s="368" t="s">
        <v>76</v>
      </c>
      <c r="E12" s="316">
        <v>3</v>
      </c>
      <c r="F12" s="609">
        <v>224.55699999999999</v>
      </c>
      <c r="G12" s="610">
        <v>2.0950000000000002</v>
      </c>
      <c r="H12" s="414">
        <f>+G12+F12</f>
        <v>226.65199999999999</v>
      </c>
      <c r="J12" s="77"/>
      <c r="K12" s="29">
        <f t="shared" ref="K12:K14" si="3" xml:space="preserve"> IF( SUM( M12:Q12 ) = 0, 0, N$5 )</f>
        <v>0</v>
      </c>
      <c r="N12" s="120">
        <f>IF(Validation!$H$3=1,0,IF(ISNUMBER(F12),0,1))</f>
        <v>0</v>
      </c>
      <c r="O12" s="120">
        <f>IF(Validation!$H$3=1,0,IF(ISNUMBER(G12),0,1))</f>
        <v>0</v>
      </c>
      <c r="P12" s="147"/>
      <c r="R12"/>
    </row>
    <row r="13" spans="2:23" ht="14.45" customHeight="1" x14ac:dyDescent="0.2">
      <c r="B13" s="343">
        <v>6</v>
      </c>
      <c r="C13" s="320" t="s">
        <v>478</v>
      </c>
      <c r="D13" s="371" t="s">
        <v>76</v>
      </c>
      <c r="E13" s="322">
        <v>3</v>
      </c>
      <c r="F13" s="611">
        <v>151.39400000000001</v>
      </c>
      <c r="G13" s="612">
        <v>110.517</v>
      </c>
      <c r="H13" s="415">
        <f>+G13+F13</f>
        <v>261.911</v>
      </c>
      <c r="J13" s="77"/>
      <c r="K13" s="29">
        <f t="shared" si="3"/>
        <v>0</v>
      </c>
      <c r="N13" s="120">
        <f>IF(Validation!$H$3=1,0,IF(ISNUMBER(F13),0,1))</f>
        <v>0</v>
      </c>
      <c r="O13" s="120">
        <f>IF(Validation!$H$3=1,0,IF(ISNUMBER(G13),0,1))</f>
        <v>0</v>
      </c>
      <c r="P13" s="147"/>
      <c r="R13"/>
    </row>
    <row r="14" spans="2:23" ht="14.45" customHeight="1" x14ac:dyDescent="0.2">
      <c r="B14" s="343">
        <v>7</v>
      </c>
      <c r="C14" s="320" t="s">
        <v>479</v>
      </c>
      <c r="D14" s="371" t="s">
        <v>76</v>
      </c>
      <c r="E14" s="322">
        <v>3</v>
      </c>
      <c r="F14" s="611">
        <v>0</v>
      </c>
      <c r="G14" s="612">
        <v>0</v>
      </c>
      <c r="H14" s="415">
        <f>+G14+F14</f>
        <v>0</v>
      </c>
      <c r="J14" s="77"/>
      <c r="K14" s="29">
        <f t="shared" si="3"/>
        <v>0</v>
      </c>
      <c r="N14" s="120">
        <f>IF(Validation!$H$3=1,0,IF(ISNUMBER(F14),0,1))</f>
        <v>0</v>
      </c>
      <c r="O14" s="120">
        <f>IF(Validation!$H$3=1,0,IF(ISNUMBER(G14),0,1))</f>
        <v>0</v>
      </c>
      <c r="P14" s="147"/>
      <c r="R14"/>
    </row>
    <row r="15" spans="2:23" ht="14.45" customHeight="1" thickBot="1" x14ac:dyDescent="0.25">
      <c r="B15" s="344">
        <v>8</v>
      </c>
      <c r="C15" s="334" t="s">
        <v>246</v>
      </c>
      <c r="D15" s="335" t="s">
        <v>76</v>
      </c>
      <c r="E15" s="336">
        <v>3</v>
      </c>
      <c r="F15" s="416">
        <f>+F13+F12+F14</f>
        <v>375.95100000000002</v>
      </c>
      <c r="G15" s="417">
        <f>+G13+G12+G14</f>
        <v>112.61199999999999</v>
      </c>
      <c r="H15" s="418">
        <f>+H13+H12+H14</f>
        <v>488.56299999999999</v>
      </c>
      <c r="J15" s="77"/>
      <c r="K15" s="136"/>
      <c r="N15" s="332"/>
      <c r="O15" s="137"/>
      <c r="P15" s="137"/>
      <c r="R15"/>
    </row>
    <row r="16" spans="2:23" ht="15" thickBot="1" x14ac:dyDescent="0.25">
      <c r="B16" s="419"/>
      <c r="C16" s="177"/>
      <c r="D16" s="310"/>
      <c r="E16" s="310"/>
      <c r="F16" s="420"/>
      <c r="G16" s="420"/>
      <c r="H16" s="420"/>
      <c r="J16" s="77"/>
      <c r="K16" s="136"/>
      <c r="N16" s="332"/>
      <c r="O16" s="137"/>
      <c r="P16" s="137"/>
      <c r="R16"/>
    </row>
    <row r="17" spans="2:23" ht="14.45" customHeight="1" thickBot="1" x14ac:dyDescent="0.25">
      <c r="B17" s="421">
        <v>9</v>
      </c>
      <c r="C17" s="304" t="s">
        <v>481</v>
      </c>
      <c r="D17" s="422" t="s">
        <v>76</v>
      </c>
      <c r="E17" s="306">
        <v>3</v>
      </c>
      <c r="F17" s="423">
        <f>+F15+F9</f>
        <v>674.60300000000007</v>
      </c>
      <c r="G17" s="424">
        <f>+G15+G9</f>
        <v>213.51650000000001</v>
      </c>
      <c r="H17" s="425">
        <f>+H15+H9</f>
        <v>888.11950000000002</v>
      </c>
      <c r="J17" s="77"/>
      <c r="K17" s="136"/>
      <c r="N17" s="332"/>
      <c r="O17" s="137"/>
      <c r="P17" s="137"/>
      <c r="R17"/>
    </row>
    <row r="18" spans="2:23" ht="15" thickBot="1" x14ac:dyDescent="0.25">
      <c r="B18" s="162"/>
      <c r="D18" s="312"/>
      <c r="E18" s="312"/>
      <c r="F18" s="311"/>
      <c r="G18" s="311"/>
      <c r="H18" s="311"/>
      <c r="J18" s="77"/>
      <c r="K18" s="136"/>
      <c r="N18" s="332"/>
      <c r="O18" s="137"/>
      <c r="P18" s="137"/>
      <c r="R18"/>
    </row>
    <row r="19" spans="2:23" ht="15" thickBot="1" x14ac:dyDescent="0.25">
      <c r="B19" s="413" t="s">
        <v>139</v>
      </c>
      <c r="C19" s="141" t="s">
        <v>482</v>
      </c>
      <c r="D19" s="312"/>
      <c r="E19" s="312"/>
      <c r="F19" s="311"/>
      <c r="G19" s="311"/>
      <c r="H19" s="311"/>
      <c r="J19" s="77"/>
      <c r="K19" s="136"/>
      <c r="N19" s="332"/>
      <c r="O19" s="137"/>
      <c r="P19" s="137"/>
      <c r="R19"/>
    </row>
    <row r="20" spans="2:23" ht="14.45" customHeight="1" x14ac:dyDescent="0.2">
      <c r="B20" s="342">
        <v>10</v>
      </c>
      <c r="C20" s="314" t="s">
        <v>477</v>
      </c>
      <c r="D20" s="368" t="s">
        <v>76</v>
      </c>
      <c r="E20" s="316">
        <v>3</v>
      </c>
      <c r="F20" s="609">
        <v>27.29</v>
      </c>
      <c r="G20" s="610">
        <v>0.71099999999999997</v>
      </c>
      <c r="H20" s="414">
        <f>+G20+F20</f>
        <v>28.000999999999998</v>
      </c>
      <c r="J20" s="77"/>
      <c r="K20" s="29">
        <f t="shared" ref="K20:K22" si="4" xml:space="preserve"> IF( SUM( M20:Q20 ) = 0, 0, N$5 )</f>
        <v>0</v>
      </c>
      <c r="N20" s="120">
        <f t="shared" ref="N20:O22" si="5" xml:space="preserve"> IF( ISNUMBER( F20 ), 0, 1 )</f>
        <v>0</v>
      </c>
      <c r="O20" s="120">
        <f t="shared" si="5"/>
        <v>0</v>
      </c>
      <c r="P20" s="147"/>
      <c r="R20"/>
    </row>
    <row r="21" spans="2:23" ht="14.45" customHeight="1" x14ac:dyDescent="0.2">
      <c r="B21" s="343">
        <v>11</v>
      </c>
      <c r="C21" s="320" t="s">
        <v>478</v>
      </c>
      <c r="D21" s="371" t="s">
        <v>76</v>
      </c>
      <c r="E21" s="322">
        <v>3</v>
      </c>
      <c r="F21" s="611">
        <v>33.085000000000001</v>
      </c>
      <c r="G21" s="612">
        <v>10.047000000000001</v>
      </c>
      <c r="H21" s="415">
        <f>+G21+F21</f>
        <v>43.132000000000005</v>
      </c>
      <c r="J21" s="77"/>
      <c r="K21" s="29">
        <f t="shared" si="4"/>
        <v>0</v>
      </c>
      <c r="N21" s="120">
        <f t="shared" si="5"/>
        <v>0</v>
      </c>
      <c r="O21" s="120">
        <f t="shared" si="5"/>
        <v>0</v>
      </c>
      <c r="P21" s="147"/>
      <c r="R21"/>
    </row>
    <row r="22" spans="2:23" ht="14.45" customHeight="1" x14ac:dyDescent="0.2">
      <c r="B22" s="343">
        <v>12</v>
      </c>
      <c r="C22" s="320" t="s">
        <v>483</v>
      </c>
      <c r="D22" s="371" t="s">
        <v>76</v>
      </c>
      <c r="E22" s="322">
        <v>3</v>
      </c>
      <c r="F22" s="611">
        <v>0</v>
      </c>
      <c r="G22" s="612">
        <v>0</v>
      </c>
      <c r="H22" s="415">
        <f>+G22+F22</f>
        <v>0</v>
      </c>
      <c r="J22" s="77"/>
      <c r="K22" s="29">
        <f t="shared" si="4"/>
        <v>0</v>
      </c>
      <c r="N22" s="120">
        <f t="shared" si="5"/>
        <v>0</v>
      </c>
      <c r="O22" s="120">
        <f t="shared" si="5"/>
        <v>0</v>
      </c>
      <c r="P22" s="147"/>
      <c r="R22"/>
    </row>
    <row r="23" spans="2:23" ht="15" thickBot="1" x14ac:dyDescent="0.25">
      <c r="B23" s="344">
        <v>13</v>
      </c>
      <c r="C23" s="334" t="s">
        <v>484</v>
      </c>
      <c r="D23" s="335" t="s">
        <v>76</v>
      </c>
      <c r="E23" s="336">
        <v>3</v>
      </c>
      <c r="F23" s="416">
        <f>+F22+F21+F20</f>
        <v>60.375</v>
      </c>
      <c r="G23" s="417">
        <f t="shared" ref="G23:H23" si="6">+G22+G21+G20</f>
        <v>10.758000000000001</v>
      </c>
      <c r="H23" s="418">
        <f t="shared" si="6"/>
        <v>71.13300000000001</v>
      </c>
      <c r="I23" s="144"/>
      <c r="J23" s="77">
        <f xml:space="preserve"> IF( SUM( Q23:S23 ) = 0, 0, V23 )</f>
        <v>0</v>
      </c>
      <c r="K23" s="136"/>
      <c r="L23" s="144"/>
      <c r="M23" s="148"/>
      <c r="N23" s="332"/>
      <c r="O23" s="137"/>
      <c r="P23" s="137"/>
      <c r="Q23" s="148"/>
      <c r="R23" s="120">
        <f xml:space="preserve"> IF( (T23 - U23) = 0, 0, 1 )</f>
        <v>0</v>
      </c>
      <c r="S23" s="148"/>
      <c r="T23" s="189">
        <f xml:space="preserve"> ROUND( H17 + H23, 3)</f>
        <v>959.25300000000004</v>
      </c>
      <c r="U23" s="189">
        <f xml:space="preserve"> ROUND( '2A'!J6, 3)</f>
        <v>959.25300000000004</v>
      </c>
      <c r="V23" s="99" t="s">
        <v>485</v>
      </c>
      <c r="W23" s="148"/>
    </row>
    <row r="24" spans="2:23" ht="15" thickBot="1" x14ac:dyDescent="0.25">
      <c r="B24" s="419"/>
      <c r="C24" s="177"/>
      <c r="D24" s="310"/>
      <c r="E24" s="310"/>
      <c r="F24" s="162"/>
      <c r="G24" s="162"/>
      <c r="H24" s="162"/>
      <c r="I24" s="150"/>
      <c r="J24" s="77"/>
      <c r="K24" s="231"/>
      <c r="L24" s="150"/>
      <c r="M24" s="145"/>
      <c r="N24" s="232"/>
      <c r="O24" s="187"/>
      <c r="P24" s="187"/>
      <c r="Q24" s="145"/>
      <c r="R24"/>
      <c r="S24" s="145"/>
      <c r="W24" s="145"/>
    </row>
    <row r="25" spans="2:23" ht="15" thickBot="1" x14ac:dyDescent="0.25">
      <c r="B25" s="413" t="s">
        <v>148</v>
      </c>
      <c r="C25" s="141" t="s">
        <v>486</v>
      </c>
      <c r="D25" s="312"/>
      <c r="E25" s="312"/>
      <c r="F25" s="162"/>
      <c r="G25" s="162"/>
      <c r="H25" s="162"/>
      <c r="I25" s="150"/>
      <c r="J25" s="77"/>
      <c r="K25" s="231"/>
      <c r="L25" s="150"/>
      <c r="M25" s="145"/>
      <c r="N25" s="232"/>
      <c r="O25" s="187"/>
      <c r="P25" s="187"/>
      <c r="Q25" s="145"/>
      <c r="R25"/>
      <c r="S25" s="145"/>
      <c r="W25" s="145"/>
    </row>
    <row r="26" spans="2:23" ht="14.45" customHeight="1" x14ac:dyDescent="0.2">
      <c r="B26" s="342">
        <v>14</v>
      </c>
      <c r="C26" s="314" t="s">
        <v>487</v>
      </c>
      <c r="D26" s="368" t="s">
        <v>76</v>
      </c>
      <c r="E26" s="316">
        <v>3</v>
      </c>
      <c r="F26" s="162"/>
      <c r="G26" s="162"/>
      <c r="H26" s="613">
        <v>9.5000000000000001E-2</v>
      </c>
      <c r="I26" s="150"/>
      <c r="J26" s="77"/>
      <c r="K26" s="29">
        <f t="shared" ref="K26:K28" si="7" xml:space="preserve"> IF( SUM( M26:Q26 ) = 0, 0, N$5 )</f>
        <v>0</v>
      </c>
      <c r="L26" s="150"/>
      <c r="M26" s="145"/>
      <c r="N26" s="232"/>
      <c r="O26" s="147"/>
      <c r="P26" s="120">
        <f t="shared" ref="P26:P28" si="8" xml:space="preserve"> IF( ISNUMBER( H26 ), 0, 1 )</f>
        <v>0</v>
      </c>
      <c r="Q26" s="145"/>
      <c r="R26"/>
      <c r="S26" s="145"/>
      <c r="W26" s="145"/>
    </row>
    <row r="27" spans="2:23" ht="14.45" customHeight="1" x14ac:dyDescent="0.2">
      <c r="B27" s="343">
        <v>15</v>
      </c>
      <c r="C27" s="320" t="s">
        <v>488</v>
      </c>
      <c r="D27" s="371" t="s">
        <v>76</v>
      </c>
      <c r="E27" s="322">
        <v>3</v>
      </c>
      <c r="F27" s="162"/>
      <c r="G27" s="162"/>
      <c r="H27" s="614">
        <v>5.1589999999999998</v>
      </c>
      <c r="I27" s="150"/>
      <c r="J27" s="77"/>
      <c r="K27" s="29">
        <f t="shared" si="7"/>
        <v>0</v>
      </c>
      <c r="L27" s="150"/>
      <c r="M27" s="145"/>
      <c r="N27" s="232"/>
      <c r="O27" s="147"/>
      <c r="P27" s="120">
        <f t="shared" si="8"/>
        <v>0</v>
      </c>
      <c r="Q27" s="145"/>
      <c r="R27"/>
      <c r="S27" s="145"/>
      <c r="W27" s="145"/>
    </row>
    <row r="28" spans="2:23" ht="20.45" customHeight="1" x14ac:dyDescent="0.2">
      <c r="B28" s="343">
        <v>16</v>
      </c>
      <c r="C28" s="320" t="s">
        <v>489</v>
      </c>
      <c r="D28" s="371" t="s">
        <v>76</v>
      </c>
      <c r="E28" s="322">
        <v>3</v>
      </c>
      <c r="F28" s="162"/>
      <c r="G28" s="162"/>
      <c r="H28" s="614">
        <v>0</v>
      </c>
      <c r="I28" s="150"/>
      <c r="J28" s="77">
        <f xml:space="preserve"> IF( SUM( Q28:S28 ) = 0, 0, V28 )</f>
        <v>0</v>
      </c>
      <c r="K28" s="29">
        <f t="shared" si="7"/>
        <v>0</v>
      </c>
      <c r="L28" s="150"/>
      <c r="M28" s="145"/>
      <c r="N28" s="232"/>
      <c r="O28" s="147"/>
      <c r="P28" s="120">
        <f t="shared" si="8"/>
        <v>0</v>
      </c>
      <c r="Q28" s="145"/>
      <c r="R28" s="120">
        <f xml:space="preserve"> IF( (T28 - U28) = 0, 0, 1 )</f>
        <v>0</v>
      </c>
      <c r="S28" s="145"/>
      <c r="T28" s="189">
        <f xml:space="preserve"> ROUND( SUM(H26:H28), 3)</f>
        <v>5.2539999999999996</v>
      </c>
      <c r="U28" s="189">
        <f xml:space="preserve"> ROUND( '2A'!J7, 3)</f>
        <v>5.2539999999999996</v>
      </c>
      <c r="V28" s="99" t="s">
        <v>490</v>
      </c>
      <c r="W28" s="145"/>
    </row>
    <row r="29" spans="2:23" ht="20.45" customHeight="1" thickBot="1" x14ac:dyDescent="0.25">
      <c r="B29" s="344">
        <v>17</v>
      </c>
      <c r="C29" s="334" t="s">
        <v>491</v>
      </c>
      <c r="D29" s="335" t="s">
        <v>76</v>
      </c>
      <c r="E29" s="336">
        <v>3</v>
      </c>
      <c r="F29" s="162"/>
      <c r="G29" s="162"/>
      <c r="H29" s="426">
        <f>+H17+H23+H26+H27+H28</f>
        <v>964.50650000000007</v>
      </c>
      <c r="I29" s="150"/>
      <c r="J29" s="77">
        <f xml:space="preserve"> IF( SUM( Q29:S29 ) = 0, 0, V29 )</f>
        <v>0</v>
      </c>
      <c r="K29" s="231"/>
      <c r="L29" s="150"/>
      <c r="M29" s="145"/>
      <c r="N29" s="232"/>
      <c r="O29" s="187"/>
      <c r="P29" s="187"/>
      <c r="Q29" s="145"/>
      <c r="R29" s="120">
        <f xml:space="preserve"> IF( (T29 - U29) = 0, 0, 1 )</f>
        <v>0</v>
      </c>
      <c r="S29" s="145"/>
      <c r="T29" s="189">
        <f xml:space="preserve"> ROUND(H29, 3)</f>
        <v>964.50699999999995</v>
      </c>
      <c r="U29" s="189">
        <f xml:space="preserve"> ROUND( SUM( '2A'!J6:J7), 3)</f>
        <v>964.50699999999995</v>
      </c>
      <c r="V29" s="99" t="s">
        <v>492</v>
      </c>
      <c r="W29" s="145"/>
    </row>
    <row r="30" spans="2:23" x14ac:dyDescent="0.2">
      <c r="B30" s="419"/>
      <c r="C30" s="177"/>
      <c r="D30" s="310"/>
      <c r="E30" s="310"/>
      <c r="I30" s="150"/>
      <c r="J30" s="77"/>
      <c r="K30" s="231"/>
      <c r="L30" s="150"/>
      <c r="M30" s="145"/>
      <c r="N30" s="232"/>
      <c r="O30" s="187"/>
      <c r="P30" s="187"/>
      <c r="Q30" s="145"/>
      <c r="R30"/>
      <c r="S30" s="145"/>
      <c r="W30" s="145"/>
    </row>
    <row r="31" spans="2:23" ht="15" thickBot="1" x14ac:dyDescent="0.25">
      <c r="B31" s="419"/>
      <c r="C31" s="177"/>
      <c r="D31" s="310"/>
      <c r="E31" s="310"/>
      <c r="I31" s="153"/>
      <c r="J31" s="77"/>
      <c r="K31" s="231"/>
      <c r="L31" s="150"/>
      <c r="M31" s="145"/>
      <c r="N31" s="376"/>
      <c r="O31" s="206"/>
      <c r="P31" s="206"/>
      <c r="Q31" s="145"/>
      <c r="R31"/>
      <c r="S31" s="145"/>
      <c r="W31" s="145"/>
    </row>
    <row r="32" spans="2:23" ht="15" thickBot="1" x14ac:dyDescent="0.25">
      <c r="B32" s="311"/>
      <c r="C32" s="177"/>
      <c r="D32" s="310"/>
      <c r="E32" s="310"/>
      <c r="F32" s="410" t="s">
        <v>281</v>
      </c>
      <c r="G32" s="411" t="s">
        <v>282</v>
      </c>
      <c r="H32" s="427" t="s">
        <v>246</v>
      </c>
      <c r="I32" s="153"/>
      <c r="J32" s="77"/>
      <c r="K32" s="231"/>
      <c r="L32" s="150"/>
      <c r="M32" s="145"/>
      <c r="N32" s="376"/>
      <c r="O32" s="206"/>
      <c r="P32" s="206"/>
      <c r="Q32" s="145"/>
      <c r="R32"/>
      <c r="S32" s="145"/>
      <c r="W32" s="145"/>
    </row>
    <row r="33" spans="1:23" ht="15" thickBot="1" x14ac:dyDescent="0.25">
      <c r="B33" s="311"/>
      <c r="C33" s="177"/>
      <c r="D33" s="177"/>
      <c r="E33" s="177"/>
      <c r="F33" s="177"/>
      <c r="G33" s="177"/>
      <c r="H33" s="177"/>
      <c r="I33" s="144"/>
      <c r="J33" s="77"/>
      <c r="K33" s="136"/>
      <c r="L33" s="144"/>
      <c r="M33" s="148"/>
      <c r="N33" s="332"/>
      <c r="O33" s="137"/>
      <c r="P33" s="137"/>
      <c r="Q33" s="148"/>
      <c r="R33"/>
      <c r="S33" s="148"/>
      <c r="W33" s="148"/>
    </row>
    <row r="34" spans="1:23" ht="14.45" customHeight="1" x14ac:dyDescent="0.2">
      <c r="B34" s="342">
        <v>18</v>
      </c>
      <c r="C34" s="314" t="s">
        <v>493</v>
      </c>
      <c r="D34" s="368" t="s">
        <v>76</v>
      </c>
      <c r="E34" s="316">
        <v>3</v>
      </c>
      <c r="F34" s="428">
        <f>+H9</f>
        <v>399.55650000000003</v>
      </c>
      <c r="G34" s="429">
        <f>+H15</f>
        <v>488.56299999999999</v>
      </c>
      <c r="H34" s="430">
        <f>+H17</f>
        <v>888.11950000000002</v>
      </c>
      <c r="I34" s="144"/>
      <c r="J34" s="77"/>
      <c r="K34" s="136"/>
      <c r="L34" s="144"/>
      <c r="M34" s="148"/>
      <c r="N34" s="332"/>
      <c r="O34" s="137"/>
      <c r="P34" s="137"/>
      <c r="Q34" s="148"/>
      <c r="R34"/>
      <c r="S34" s="148"/>
      <c r="W34" s="148"/>
    </row>
    <row r="35" spans="1:23" ht="14.45" customHeight="1" x14ac:dyDescent="0.2">
      <c r="B35" s="343">
        <v>19</v>
      </c>
      <c r="C35" s="320" t="s">
        <v>494</v>
      </c>
      <c r="D35" s="371" t="s">
        <v>76</v>
      </c>
      <c r="E35" s="322">
        <v>3</v>
      </c>
      <c r="F35" s="431">
        <f xml:space="preserve"> '2E'!I7 + '2E'!I8 + '2E'!I9</f>
        <v>14.341999999999999</v>
      </c>
      <c r="G35" s="432">
        <f xml:space="preserve"> '2E'!I15 + '2E'!I16</f>
        <v>7.3220000000000001</v>
      </c>
      <c r="H35" s="415">
        <f>+G35+F35</f>
        <v>21.663999999999998</v>
      </c>
      <c r="I35" s="433"/>
      <c r="J35" s="77"/>
      <c r="K35" s="151"/>
      <c r="L35" s="144"/>
      <c r="M35" s="148"/>
      <c r="N35" s="206"/>
      <c r="O35" s="206"/>
      <c r="P35" s="206"/>
      <c r="Q35" s="148"/>
      <c r="R35"/>
      <c r="S35" s="148"/>
      <c r="W35" s="148"/>
    </row>
    <row r="36" spans="1:23" ht="14.45" customHeight="1" x14ac:dyDescent="0.2">
      <c r="B36" s="343">
        <v>20</v>
      </c>
      <c r="C36" s="320" t="s">
        <v>495</v>
      </c>
      <c r="D36" s="371" t="s">
        <v>76</v>
      </c>
      <c r="E36" s="322">
        <v>3</v>
      </c>
      <c r="F36" s="434">
        <f>+F35+F34</f>
        <v>413.89850000000001</v>
      </c>
      <c r="G36" s="435">
        <f>+G35+G34</f>
        <v>495.88499999999999</v>
      </c>
      <c r="H36" s="415">
        <f>+H35+H34</f>
        <v>909.7835</v>
      </c>
      <c r="I36" s="436"/>
      <c r="J36" s="77"/>
      <c r="K36" s="136"/>
      <c r="L36" s="144"/>
      <c r="M36" s="148"/>
      <c r="N36" s="332"/>
      <c r="O36" s="137"/>
      <c r="P36" s="206"/>
      <c r="Q36" s="148"/>
      <c r="R36" s="137"/>
      <c r="S36" s="148"/>
      <c r="W36" s="148"/>
    </row>
    <row r="37" spans="1:23" ht="14.45" customHeight="1" x14ac:dyDescent="0.2">
      <c r="B37" s="343">
        <v>21</v>
      </c>
      <c r="C37" s="320" t="s">
        <v>496</v>
      </c>
      <c r="D37" s="371" t="s">
        <v>76</v>
      </c>
      <c r="E37" s="322">
        <v>3</v>
      </c>
      <c r="F37" s="615">
        <v>400.69400000000002</v>
      </c>
      <c r="G37" s="616">
        <v>494.71899999999999</v>
      </c>
      <c r="H37" s="415">
        <f>+G37+F37</f>
        <v>895.41300000000001</v>
      </c>
      <c r="I37" s="437"/>
      <c r="J37" s="77"/>
      <c r="K37" s="29">
        <f t="shared" ref="K37" si="9" xml:space="preserve"> IF( SUM( M37:Q37 ) = 0, 0, N$5 )</f>
        <v>0</v>
      </c>
      <c r="N37" s="120">
        <f t="shared" ref="N37:O37" si="10" xml:space="preserve"> IF( ISNUMBER( F37 ), 0, 1 )</f>
        <v>0</v>
      </c>
      <c r="O37" s="120">
        <f t="shared" si="10"/>
        <v>0</v>
      </c>
      <c r="P37" s="206"/>
      <c r="S37" s="148"/>
      <c r="W37" s="148"/>
    </row>
    <row r="38" spans="1:23" ht="14.45" customHeight="1" thickBot="1" x14ac:dyDescent="0.25">
      <c r="B38" s="344">
        <v>22</v>
      </c>
      <c r="C38" s="334" t="s">
        <v>497</v>
      </c>
      <c r="D38" s="335" t="s">
        <v>76</v>
      </c>
      <c r="E38" s="336">
        <v>3</v>
      </c>
      <c r="F38" s="416">
        <f>+F36-F37</f>
        <v>13.204499999999996</v>
      </c>
      <c r="G38" s="417">
        <f>+G36-G37</f>
        <v>1.1659999999999968</v>
      </c>
      <c r="H38" s="418">
        <f>+H36-H37</f>
        <v>14.370499999999993</v>
      </c>
      <c r="I38" s="436"/>
      <c r="J38" s="77"/>
      <c r="K38" s="136"/>
      <c r="L38" s="144"/>
      <c r="M38" s="148"/>
      <c r="N38" s="332"/>
      <c r="O38" s="146"/>
      <c r="P38" s="206"/>
      <c r="Q38" s="148"/>
      <c r="S38" s="148"/>
      <c r="W38" s="148"/>
    </row>
    <row r="39" spans="1:23" s="95" customFormat="1" x14ac:dyDescent="0.2">
      <c r="I39" s="437"/>
      <c r="J39" s="99"/>
      <c r="K39" s="136"/>
      <c r="L39" s="144"/>
      <c r="M39" s="148"/>
      <c r="N39" s="332"/>
      <c r="O39" s="146"/>
      <c r="P39" s="206"/>
      <c r="Q39" s="148"/>
      <c r="R39" s="99"/>
      <c r="S39" s="148"/>
      <c r="W39" s="148"/>
    </row>
    <row r="40" spans="1:23" s="187" customFormat="1" x14ac:dyDescent="0.2">
      <c r="B40" s="703" t="s">
        <v>90</v>
      </c>
      <c r="C40" s="703"/>
      <c r="I40" s="437"/>
      <c r="J40" s="99"/>
      <c r="K40" s="146"/>
      <c r="L40" s="144"/>
      <c r="M40" s="148"/>
      <c r="N40" s="332"/>
      <c r="O40" s="146"/>
      <c r="P40" s="206"/>
      <c r="Q40" s="148"/>
      <c r="R40" s="99"/>
      <c r="S40" s="148"/>
      <c r="W40" s="148"/>
    </row>
    <row r="41" spans="1:23" s="187" customFormat="1" x14ac:dyDescent="0.2">
      <c r="B41" s="162"/>
      <c r="C41" s="163"/>
      <c r="I41" s="437"/>
      <c r="J41" s="99"/>
      <c r="K41" s="146"/>
      <c r="L41" s="144"/>
      <c r="M41" s="148"/>
      <c r="N41" s="332"/>
      <c r="O41" s="146"/>
      <c r="P41" s="146"/>
      <c r="Q41" s="148"/>
      <c r="R41" s="99"/>
      <c r="S41" s="148"/>
      <c r="W41" s="148"/>
    </row>
    <row r="42" spans="1:23" s="187" customFormat="1" x14ac:dyDescent="0.2">
      <c r="B42" s="30"/>
      <c r="C42" s="164" t="s">
        <v>91</v>
      </c>
      <c r="I42" s="400"/>
      <c r="J42" s="99"/>
      <c r="K42" s="95"/>
      <c r="L42" s="95"/>
      <c r="M42" s="96"/>
      <c r="N42" s="95"/>
      <c r="O42" s="95"/>
      <c r="P42" s="95"/>
      <c r="Q42" s="96"/>
      <c r="R42" s="99"/>
      <c r="S42" s="96"/>
      <c r="W42" s="96"/>
    </row>
    <row r="43" spans="1:23" s="187" customFormat="1" x14ac:dyDescent="0.2">
      <c r="B43" s="162"/>
      <c r="C43" s="163"/>
      <c r="I43" s="399"/>
      <c r="J43" s="99"/>
      <c r="K43" s="95"/>
      <c r="L43" s="95"/>
      <c r="M43" s="96"/>
      <c r="N43" s="95"/>
      <c r="O43" s="95"/>
      <c r="P43" s="95"/>
      <c r="Q43" s="96"/>
      <c r="R43" s="99"/>
      <c r="S43" s="96"/>
      <c r="W43" s="96"/>
    </row>
    <row r="44" spans="1:23" s="187" customFormat="1" x14ac:dyDescent="0.2">
      <c r="B44" s="165"/>
      <c r="C44" s="164" t="s">
        <v>92</v>
      </c>
      <c r="I44" s="400"/>
      <c r="J44" s="99"/>
      <c r="K44" s="95"/>
      <c r="L44" s="95"/>
      <c r="M44" s="96"/>
      <c r="N44" s="95"/>
      <c r="O44" s="95"/>
      <c r="P44" s="95"/>
      <c r="Q44" s="96"/>
      <c r="R44" s="99"/>
      <c r="S44" s="96"/>
      <c r="W44" s="96"/>
    </row>
    <row r="45" spans="1:23" s="187" customFormat="1" x14ac:dyDescent="0.2">
      <c r="B45" s="166"/>
      <c r="C45" s="164"/>
      <c r="I45" s="400"/>
      <c r="J45" s="99"/>
      <c r="K45" s="95"/>
      <c r="L45" s="95"/>
      <c r="M45" s="96"/>
      <c r="N45" s="95"/>
      <c r="O45" s="95"/>
      <c r="P45" s="95"/>
      <c r="Q45" s="96"/>
      <c r="R45" s="99"/>
      <c r="S45" s="96"/>
      <c r="W45" s="96"/>
    </row>
    <row r="46" spans="1:23" s="187" customFormat="1" x14ac:dyDescent="0.2">
      <c r="B46" s="167"/>
      <c r="C46" s="164" t="s">
        <v>93</v>
      </c>
      <c r="I46" s="400"/>
      <c r="J46" s="99"/>
      <c r="K46" s="95"/>
      <c r="L46" s="95"/>
      <c r="M46" s="96"/>
      <c r="N46" s="95"/>
      <c r="O46" s="95"/>
      <c r="P46" s="95"/>
      <c r="Q46" s="96"/>
      <c r="R46" s="99"/>
      <c r="S46" s="96"/>
      <c r="W46" s="96"/>
    </row>
    <row r="47" spans="1:23" s="206" customFormat="1" x14ac:dyDescent="0.2">
      <c r="A47" s="172"/>
      <c r="B47" s="172"/>
      <c r="C47" s="173"/>
      <c r="I47" s="399"/>
      <c r="J47" s="99"/>
      <c r="K47" s="95"/>
      <c r="L47" s="95"/>
      <c r="M47" s="96"/>
      <c r="N47" s="95"/>
      <c r="O47" s="95"/>
      <c r="P47" s="95"/>
      <c r="Q47" s="96"/>
      <c r="R47" s="99"/>
      <c r="S47" s="96"/>
      <c r="W47" s="96"/>
    </row>
    <row r="48" spans="1:23" s="206" customFormat="1" ht="15" thickBot="1" x14ac:dyDescent="0.25">
      <c r="C48" s="207"/>
      <c r="I48" s="400"/>
      <c r="J48" s="99"/>
      <c r="K48" s="95"/>
      <c r="L48" s="95"/>
      <c r="M48" s="96"/>
      <c r="N48" s="95"/>
      <c r="O48" s="95"/>
      <c r="P48" s="95"/>
      <c r="Q48" s="96"/>
      <c r="R48" s="99"/>
      <c r="S48" s="96"/>
      <c r="W48" s="96"/>
    </row>
    <row r="49" spans="2:23" s="137" customFormat="1" ht="16.5" thickBot="1" x14ac:dyDescent="0.25">
      <c r="B49" s="168" t="str">
        <f ca="1" xml:space="preserve"> RIGHT(CELL("filename", $A$1), LEN(CELL("filename", $A$1)) - SEARCH("]", CELL("filename", $A$1)))&amp;" - Line definitions"</f>
        <v>2I - Line definitions</v>
      </c>
      <c r="C49" s="169"/>
      <c r="D49" s="170"/>
      <c r="E49" s="170"/>
      <c r="F49" s="170"/>
      <c r="G49" s="170"/>
      <c r="H49" s="288"/>
      <c r="J49" s="99"/>
      <c r="L49" s="95"/>
      <c r="M49" s="96"/>
      <c r="N49" s="95"/>
      <c r="O49" s="95"/>
      <c r="P49" s="95"/>
      <c r="Q49" s="96"/>
      <c r="R49" s="99"/>
      <c r="S49" s="96"/>
      <c r="W49" s="96"/>
    </row>
    <row r="50" spans="2:23" s="137" customFormat="1" ht="15" thickBot="1" x14ac:dyDescent="0.25">
      <c r="B50" s="99"/>
      <c r="C50" s="177"/>
      <c r="D50" s="99"/>
      <c r="E50" s="99"/>
      <c r="F50" s="99"/>
      <c r="J50" s="99"/>
      <c r="L50" s="95"/>
      <c r="M50" s="96"/>
      <c r="N50" s="95"/>
      <c r="O50" s="95"/>
      <c r="P50" s="95"/>
      <c r="Q50" s="96"/>
      <c r="R50" s="99"/>
      <c r="S50" s="96"/>
      <c r="W50" s="96"/>
    </row>
    <row r="51" spans="2:23" s="206" customFormat="1" ht="15" thickBot="1" x14ac:dyDescent="0.25">
      <c r="B51" s="339" t="s">
        <v>94</v>
      </c>
      <c r="C51" s="820" t="s">
        <v>95</v>
      </c>
      <c r="D51" s="821"/>
      <c r="E51" s="821"/>
      <c r="F51" s="821"/>
      <c r="G51" s="821"/>
      <c r="H51" s="822"/>
      <c r="I51" s="137"/>
      <c r="J51" s="99"/>
      <c r="K51" s="137"/>
      <c r="L51" s="95"/>
      <c r="M51" s="96"/>
      <c r="N51" s="112" t="s">
        <v>96</v>
      </c>
      <c r="O51" s="95"/>
      <c r="P51" s="95"/>
      <c r="Q51" s="96"/>
      <c r="R51" s="99"/>
      <c r="S51" s="96"/>
      <c r="W51" s="96"/>
    </row>
    <row r="52" spans="2:23" s="137" customFormat="1" ht="24" customHeight="1" x14ac:dyDescent="0.2">
      <c r="B52" s="342">
        <v>1</v>
      </c>
      <c r="C52" s="773" t="s">
        <v>498</v>
      </c>
      <c r="D52" s="774"/>
      <c r="E52" s="774"/>
      <c r="F52" s="774"/>
      <c r="G52" s="774"/>
      <c r="H52" s="775"/>
      <c r="J52" s="99"/>
      <c r="L52" s="95"/>
      <c r="M52" s="96"/>
      <c r="N52" s="186" t="s">
        <v>101</v>
      </c>
      <c r="O52" s="95"/>
      <c r="P52" s="95"/>
      <c r="Q52" s="96"/>
      <c r="R52" s="99"/>
      <c r="S52" s="96"/>
      <c r="W52" s="96"/>
    </row>
    <row r="53" spans="2:23" s="137" customFormat="1" ht="38.25" x14ac:dyDescent="0.2">
      <c r="B53" s="343">
        <f xml:space="preserve"> 1 + B52</f>
        <v>2</v>
      </c>
      <c r="C53" s="768" t="s">
        <v>499</v>
      </c>
      <c r="D53" s="769"/>
      <c r="E53" s="769"/>
      <c r="F53" s="769"/>
      <c r="G53" s="769"/>
      <c r="H53" s="770"/>
      <c r="J53" s="99"/>
      <c r="L53" s="95"/>
      <c r="M53" s="96"/>
      <c r="N53" s="186" t="s">
        <v>98</v>
      </c>
      <c r="O53" s="95"/>
      <c r="P53" s="95"/>
      <c r="Q53" s="96"/>
      <c r="R53" s="99"/>
      <c r="S53" s="96"/>
      <c r="W53" s="96"/>
    </row>
    <row r="54" spans="2:23" s="137" customFormat="1" ht="14.1" customHeight="1" x14ac:dyDescent="0.2">
      <c r="B54" s="343">
        <f t="shared" ref="B54:B73" si="11" xml:space="preserve"> 1 + B53</f>
        <v>3</v>
      </c>
      <c r="C54" s="768" t="s">
        <v>500</v>
      </c>
      <c r="D54" s="769"/>
      <c r="E54" s="769"/>
      <c r="F54" s="769"/>
      <c r="G54" s="769"/>
      <c r="H54" s="770"/>
      <c r="J54" s="99"/>
      <c r="L54" s="95"/>
      <c r="M54" s="96"/>
      <c r="N54" s="186">
        <v>1</v>
      </c>
      <c r="O54" s="95"/>
      <c r="P54" s="95"/>
      <c r="Q54" s="96"/>
      <c r="R54" s="99"/>
      <c r="S54" s="96"/>
      <c r="W54" s="96"/>
    </row>
    <row r="55" spans="2:23" s="137" customFormat="1" ht="14.1" customHeight="1" x14ac:dyDescent="0.2">
      <c r="B55" s="343">
        <f t="shared" si="11"/>
        <v>4</v>
      </c>
      <c r="C55" s="768" t="s">
        <v>501</v>
      </c>
      <c r="D55" s="769"/>
      <c r="E55" s="769"/>
      <c r="F55" s="769"/>
      <c r="G55" s="769"/>
      <c r="H55" s="770"/>
      <c r="J55" s="99"/>
      <c r="L55" s="95"/>
      <c r="M55" s="96"/>
      <c r="N55" s="186">
        <v>1</v>
      </c>
      <c r="O55" s="95"/>
      <c r="P55" s="95"/>
      <c r="Q55" s="96"/>
      <c r="R55" s="99"/>
      <c r="S55" s="96"/>
      <c r="W55" s="96"/>
    </row>
    <row r="56" spans="2:23" s="137" customFormat="1" ht="24" customHeight="1" x14ac:dyDescent="0.2">
      <c r="B56" s="343">
        <f t="shared" si="11"/>
        <v>5</v>
      </c>
      <c r="C56" s="768" t="s">
        <v>502</v>
      </c>
      <c r="D56" s="769"/>
      <c r="E56" s="769"/>
      <c r="F56" s="769"/>
      <c r="G56" s="769"/>
      <c r="H56" s="770"/>
      <c r="J56" s="99"/>
      <c r="L56" s="95"/>
      <c r="M56" s="96"/>
      <c r="N56" s="186" t="s">
        <v>101</v>
      </c>
      <c r="O56" s="95"/>
      <c r="P56" s="95"/>
      <c r="Q56" s="96"/>
      <c r="R56" s="99"/>
      <c r="S56" s="96"/>
      <c r="W56" s="96"/>
    </row>
    <row r="57" spans="2:23" s="137" customFormat="1" ht="38.25" x14ac:dyDescent="0.2">
      <c r="B57" s="343">
        <f t="shared" si="11"/>
        <v>6</v>
      </c>
      <c r="C57" s="768" t="s">
        <v>503</v>
      </c>
      <c r="D57" s="769"/>
      <c r="E57" s="769"/>
      <c r="F57" s="769"/>
      <c r="G57" s="769"/>
      <c r="H57" s="770"/>
      <c r="J57" s="99"/>
      <c r="L57" s="95"/>
      <c r="M57" s="96"/>
      <c r="N57" s="186" t="s">
        <v>98</v>
      </c>
      <c r="O57" s="95"/>
      <c r="P57" s="95"/>
      <c r="Q57" s="96"/>
      <c r="R57" s="99"/>
      <c r="S57" s="96"/>
      <c r="W57" s="96"/>
    </row>
    <row r="58" spans="2:23" s="137" customFormat="1" ht="14.1" customHeight="1" x14ac:dyDescent="0.2">
      <c r="B58" s="343">
        <f t="shared" si="11"/>
        <v>7</v>
      </c>
      <c r="C58" s="768" t="s">
        <v>504</v>
      </c>
      <c r="D58" s="769"/>
      <c r="E58" s="769"/>
      <c r="F58" s="769"/>
      <c r="G58" s="769"/>
      <c r="H58" s="770"/>
      <c r="J58" s="99"/>
      <c r="L58" s="95"/>
      <c r="M58" s="96"/>
      <c r="N58" s="186">
        <v>1</v>
      </c>
      <c r="O58" s="95"/>
      <c r="P58" s="95"/>
      <c r="Q58" s="96"/>
      <c r="R58" s="99"/>
      <c r="S58" s="96"/>
      <c r="W58" s="96"/>
    </row>
    <row r="59" spans="2:23" s="137" customFormat="1" ht="14.1" customHeight="1" x14ac:dyDescent="0.2">
      <c r="B59" s="343">
        <f t="shared" si="11"/>
        <v>8</v>
      </c>
      <c r="C59" s="768" t="s">
        <v>505</v>
      </c>
      <c r="D59" s="769"/>
      <c r="E59" s="769"/>
      <c r="F59" s="769"/>
      <c r="G59" s="769"/>
      <c r="H59" s="770"/>
      <c r="J59" s="99"/>
      <c r="L59" s="95"/>
      <c r="M59" s="96"/>
      <c r="N59" s="186">
        <v>1</v>
      </c>
      <c r="O59" s="95"/>
      <c r="P59" s="95"/>
      <c r="Q59" s="96"/>
      <c r="R59" s="99"/>
      <c r="S59" s="96"/>
      <c r="W59" s="96"/>
    </row>
    <row r="60" spans="2:23" s="137" customFormat="1" x14ac:dyDescent="0.2">
      <c r="B60" s="343">
        <f t="shared" si="11"/>
        <v>9</v>
      </c>
      <c r="C60" s="768" t="s">
        <v>506</v>
      </c>
      <c r="D60" s="769"/>
      <c r="E60" s="769"/>
      <c r="F60" s="769"/>
      <c r="G60" s="769"/>
      <c r="H60" s="770"/>
      <c r="J60" s="99"/>
      <c r="L60" s="95"/>
      <c r="M60" s="96"/>
      <c r="N60" s="186">
        <v>1</v>
      </c>
      <c r="O60" s="95"/>
      <c r="P60" s="95"/>
      <c r="Q60" s="96"/>
      <c r="R60" s="99"/>
      <c r="S60" s="96"/>
      <c r="W60" s="96"/>
    </row>
    <row r="61" spans="2:23" s="137" customFormat="1" ht="25.5" x14ac:dyDescent="0.2">
      <c r="B61" s="343">
        <f t="shared" si="11"/>
        <v>10</v>
      </c>
      <c r="C61" s="768" t="s">
        <v>507</v>
      </c>
      <c r="D61" s="769"/>
      <c r="E61" s="769"/>
      <c r="F61" s="769"/>
      <c r="G61" s="769"/>
      <c r="H61" s="770"/>
      <c r="J61" s="99"/>
      <c r="L61" s="95"/>
      <c r="M61" s="96"/>
      <c r="N61" s="186" t="s">
        <v>101</v>
      </c>
      <c r="O61" s="95"/>
      <c r="P61" s="95"/>
      <c r="Q61" s="96"/>
      <c r="R61" s="99"/>
      <c r="S61" s="96"/>
      <c r="W61" s="96"/>
    </row>
    <row r="62" spans="2:23" s="137" customFormat="1" ht="24" customHeight="1" x14ac:dyDescent="0.2">
      <c r="B62" s="343">
        <f t="shared" si="11"/>
        <v>11</v>
      </c>
      <c r="C62" s="768" t="s">
        <v>508</v>
      </c>
      <c r="D62" s="769"/>
      <c r="E62" s="769"/>
      <c r="F62" s="769"/>
      <c r="G62" s="769"/>
      <c r="H62" s="770"/>
      <c r="J62" s="99"/>
      <c r="L62" s="95"/>
      <c r="M62" s="96"/>
      <c r="N62" s="186" t="s">
        <v>101</v>
      </c>
      <c r="O62" s="95"/>
      <c r="P62" s="95"/>
      <c r="Q62" s="96"/>
      <c r="R62" s="99"/>
      <c r="S62" s="96"/>
      <c r="W62" s="96"/>
    </row>
    <row r="63" spans="2:23" s="137" customFormat="1" x14ac:dyDescent="0.2">
      <c r="B63" s="343">
        <f t="shared" si="11"/>
        <v>12</v>
      </c>
      <c r="C63" s="768" t="s">
        <v>509</v>
      </c>
      <c r="D63" s="769"/>
      <c r="E63" s="769"/>
      <c r="F63" s="769"/>
      <c r="G63" s="769"/>
      <c r="H63" s="770"/>
      <c r="J63" s="99"/>
      <c r="L63" s="95"/>
      <c r="M63" s="96"/>
      <c r="N63" s="186">
        <v>1</v>
      </c>
      <c r="O63" s="95"/>
      <c r="P63" s="95"/>
      <c r="Q63" s="96"/>
      <c r="R63" s="99"/>
      <c r="S63" s="96"/>
      <c r="W63" s="96"/>
    </row>
    <row r="64" spans="2:23" s="137" customFormat="1" ht="14.1" customHeight="1" x14ac:dyDescent="0.2">
      <c r="B64" s="343">
        <f t="shared" si="11"/>
        <v>13</v>
      </c>
      <c r="C64" s="768" t="s">
        <v>510</v>
      </c>
      <c r="D64" s="769"/>
      <c r="E64" s="769"/>
      <c r="F64" s="769"/>
      <c r="G64" s="769"/>
      <c r="H64" s="770"/>
      <c r="J64" s="99"/>
      <c r="L64" s="95"/>
      <c r="M64" s="96"/>
      <c r="N64" s="186">
        <v>1</v>
      </c>
      <c r="O64" s="95"/>
      <c r="P64" s="95"/>
      <c r="Q64" s="96"/>
      <c r="R64" s="99"/>
      <c r="S64" s="96"/>
      <c r="W64" s="96"/>
    </row>
    <row r="65" spans="2:23" s="137" customFormat="1" ht="24" customHeight="1" x14ac:dyDescent="0.2">
      <c r="B65" s="343">
        <f t="shared" si="11"/>
        <v>14</v>
      </c>
      <c r="C65" s="768" t="s">
        <v>511</v>
      </c>
      <c r="D65" s="769"/>
      <c r="E65" s="769"/>
      <c r="F65" s="769"/>
      <c r="G65" s="769"/>
      <c r="H65" s="770"/>
      <c r="J65" s="99"/>
      <c r="L65" s="95"/>
      <c r="M65" s="96"/>
      <c r="N65" s="186" t="s">
        <v>101</v>
      </c>
      <c r="O65" s="95"/>
      <c r="P65" s="95"/>
      <c r="Q65" s="96"/>
      <c r="R65" s="99"/>
      <c r="S65" s="96"/>
      <c r="W65" s="96"/>
    </row>
    <row r="66" spans="2:23" s="137" customFormat="1" ht="24" customHeight="1" x14ac:dyDescent="0.2">
      <c r="B66" s="343">
        <f t="shared" si="11"/>
        <v>15</v>
      </c>
      <c r="C66" s="768" t="s">
        <v>512</v>
      </c>
      <c r="D66" s="769"/>
      <c r="E66" s="769"/>
      <c r="F66" s="769"/>
      <c r="G66" s="769"/>
      <c r="H66" s="770"/>
      <c r="J66" s="99"/>
      <c r="L66" s="95"/>
      <c r="M66" s="96"/>
      <c r="N66" s="186" t="s">
        <v>101</v>
      </c>
      <c r="O66" s="95"/>
      <c r="P66" s="95"/>
      <c r="Q66" s="96"/>
      <c r="R66" s="99"/>
      <c r="S66" s="96"/>
      <c r="W66" s="96"/>
    </row>
    <row r="67" spans="2:23" s="137" customFormat="1" ht="25.5" x14ac:dyDescent="0.2">
      <c r="B67" s="343">
        <f t="shared" si="11"/>
        <v>16</v>
      </c>
      <c r="C67" s="768" t="s">
        <v>513</v>
      </c>
      <c r="D67" s="769"/>
      <c r="E67" s="769"/>
      <c r="F67" s="769"/>
      <c r="G67" s="769"/>
      <c r="H67" s="770"/>
      <c r="J67" s="99"/>
      <c r="L67" s="95"/>
      <c r="M67" s="96"/>
      <c r="N67" s="186" t="s">
        <v>101</v>
      </c>
      <c r="O67" s="95"/>
      <c r="P67" s="95"/>
      <c r="Q67" s="96"/>
      <c r="R67" s="99"/>
      <c r="S67" s="96"/>
      <c r="W67" s="96"/>
    </row>
    <row r="68" spans="2:23" s="137" customFormat="1" ht="14.1" customHeight="1" x14ac:dyDescent="0.2">
      <c r="B68" s="343">
        <f t="shared" si="11"/>
        <v>17</v>
      </c>
      <c r="C68" s="768" t="s">
        <v>514</v>
      </c>
      <c r="D68" s="769"/>
      <c r="E68" s="769"/>
      <c r="F68" s="769"/>
      <c r="G68" s="769"/>
      <c r="H68" s="770"/>
      <c r="J68" s="99"/>
      <c r="L68" s="95"/>
      <c r="M68" s="96"/>
      <c r="N68" s="186">
        <v>1</v>
      </c>
      <c r="O68" s="95"/>
      <c r="P68" s="95"/>
      <c r="Q68" s="96"/>
      <c r="R68" s="99"/>
      <c r="S68" s="96"/>
      <c r="W68" s="96"/>
    </row>
    <row r="69" spans="2:23" s="137" customFormat="1" ht="14.1" customHeight="1" x14ac:dyDescent="0.2">
      <c r="B69" s="343">
        <f t="shared" si="11"/>
        <v>18</v>
      </c>
      <c r="C69" s="768" t="s">
        <v>515</v>
      </c>
      <c r="D69" s="769"/>
      <c r="E69" s="769"/>
      <c r="F69" s="769"/>
      <c r="G69" s="769"/>
      <c r="H69" s="770"/>
      <c r="J69" s="99"/>
      <c r="L69" s="95"/>
      <c r="M69" s="96"/>
      <c r="N69" s="186">
        <v>1</v>
      </c>
      <c r="O69" s="95"/>
      <c r="P69" s="95"/>
      <c r="Q69" s="96"/>
      <c r="R69" s="99"/>
      <c r="S69" s="96"/>
      <c r="W69" s="96"/>
    </row>
    <row r="70" spans="2:23" s="137" customFormat="1" ht="51" x14ac:dyDescent="0.2">
      <c r="B70" s="343">
        <f t="shared" si="11"/>
        <v>19</v>
      </c>
      <c r="C70" s="768" t="s">
        <v>516</v>
      </c>
      <c r="D70" s="769"/>
      <c r="E70" s="769"/>
      <c r="F70" s="769"/>
      <c r="G70" s="769"/>
      <c r="H70" s="770"/>
      <c r="J70" s="99"/>
      <c r="L70" s="95"/>
      <c r="M70" s="96"/>
      <c r="N70" s="186" t="s">
        <v>107</v>
      </c>
      <c r="O70" s="95"/>
      <c r="P70" s="95"/>
      <c r="Q70" s="96"/>
      <c r="R70" s="99"/>
      <c r="S70" s="96"/>
      <c r="W70" s="96"/>
    </row>
    <row r="71" spans="2:23" s="137" customFormat="1" ht="14.1" customHeight="1" x14ac:dyDescent="0.2">
      <c r="B71" s="343">
        <f t="shared" si="11"/>
        <v>20</v>
      </c>
      <c r="C71" s="768" t="s">
        <v>517</v>
      </c>
      <c r="D71" s="769"/>
      <c r="E71" s="769"/>
      <c r="F71" s="769"/>
      <c r="G71" s="769"/>
      <c r="H71" s="770"/>
      <c r="J71" s="99"/>
      <c r="L71" s="95"/>
      <c r="M71" s="96"/>
      <c r="N71" s="186">
        <v>1</v>
      </c>
      <c r="O71" s="95"/>
      <c r="P71" s="95"/>
      <c r="Q71" s="96"/>
      <c r="R71" s="99"/>
      <c r="S71" s="96"/>
      <c r="W71" s="96"/>
    </row>
    <row r="72" spans="2:23" s="137" customFormat="1" ht="14.1" customHeight="1" x14ac:dyDescent="0.2">
      <c r="B72" s="343">
        <f t="shared" si="11"/>
        <v>21</v>
      </c>
      <c r="C72" s="768" t="s">
        <v>518</v>
      </c>
      <c r="D72" s="769"/>
      <c r="E72" s="769"/>
      <c r="F72" s="769"/>
      <c r="G72" s="769"/>
      <c r="H72" s="770"/>
      <c r="J72" s="99"/>
      <c r="L72" s="95"/>
      <c r="M72" s="96"/>
      <c r="N72" s="186">
        <v>1</v>
      </c>
      <c r="O72" s="95"/>
      <c r="P72" s="95"/>
      <c r="Q72" s="96"/>
      <c r="R72" s="99"/>
      <c r="S72" s="96"/>
      <c r="W72" s="96"/>
    </row>
    <row r="73" spans="2:23" s="137" customFormat="1" ht="14.45" customHeight="1" thickBot="1" x14ac:dyDescent="0.25">
      <c r="B73" s="344">
        <f t="shared" si="11"/>
        <v>22</v>
      </c>
      <c r="C73" s="765" t="s">
        <v>519</v>
      </c>
      <c r="D73" s="766"/>
      <c r="E73" s="766"/>
      <c r="F73" s="766"/>
      <c r="G73" s="766"/>
      <c r="H73" s="767"/>
      <c r="J73" s="99"/>
      <c r="L73" s="95"/>
      <c r="M73" s="96"/>
      <c r="N73" s="186">
        <v>1</v>
      </c>
      <c r="O73" s="95"/>
      <c r="P73" s="95"/>
      <c r="Q73" s="96"/>
      <c r="R73" s="99"/>
      <c r="S73" s="96"/>
      <c r="W73" s="96"/>
    </row>
    <row r="74" spans="2:23" x14ac:dyDescent="0.2"/>
  </sheetData>
  <sheetProtection algorithmName="SHA-512" hashValue="jW7yLB+QLJOSMZrt+/iGVojFxH2lziovTfgVzCi/O3EHl1BrdPh/xByzB3jF/ax90bGURCHQFod489X7X/ZewA==" saltValue="DNVgABM21r37MmB5J1OoZA==" spinCount="100000" sheet="1" objects="1" scenarios="1"/>
  <mergeCells count="28">
    <mergeCell ref="R3:R4"/>
    <mergeCell ref="T2:T4"/>
    <mergeCell ref="C53:H53"/>
    <mergeCell ref="B3:C3"/>
    <mergeCell ref="N4:O4"/>
    <mergeCell ref="B40:C40"/>
    <mergeCell ref="C51:H51"/>
    <mergeCell ref="C52:H52"/>
    <mergeCell ref="C65:H65"/>
    <mergeCell ref="C54:H54"/>
    <mergeCell ref="C55:H55"/>
    <mergeCell ref="C56:H56"/>
    <mergeCell ref="C57:H57"/>
    <mergeCell ref="C58:H58"/>
    <mergeCell ref="C59:H59"/>
    <mergeCell ref="C60:H60"/>
    <mergeCell ref="C61:H61"/>
    <mergeCell ref="C62:H62"/>
    <mergeCell ref="C63:H63"/>
    <mergeCell ref="C64:H64"/>
    <mergeCell ref="C72:H72"/>
    <mergeCell ref="C73:H73"/>
    <mergeCell ref="C66:H66"/>
    <mergeCell ref="C67:H67"/>
    <mergeCell ref="C68:H68"/>
    <mergeCell ref="C69:H69"/>
    <mergeCell ref="C70:H70"/>
    <mergeCell ref="C71:H71"/>
  </mergeCells>
  <conditionalFormatting sqref="J6:J38">
    <cfRule type="cellIs" dxfId="55" priority="2" operator="equal">
      <formula>0</formula>
    </cfRule>
  </conditionalFormatting>
  <conditionalFormatting sqref="K6:K22">
    <cfRule type="cellIs" dxfId="54" priority="5" operator="equal">
      <formula>0</formula>
    </cfRule>
  </conditionalFormatting>
  <conditionalFormatting sqref="K26:K28">
    <cfRule type="cellIs" dxfId="53" priority="4" operator="equal">
      <formula>0</formula>
    </cfRule>
  </conditionalFormatting>
  <conditionalFormatting sqref="K37">
    <cfRule type="cellIs" dxfId="52" priority="3" operator="equal">
      <formula>0</formula>
    </cfRule>
  </conditionalFormatting>
  <printOptions horizontalCentered="1"/>
  <pageMargins left="0.39370078740157483" right="0.39370078740157483" top="0.78740157480314965" bottom="0.78740157480314965" header="0.31496062992125984" footer="0.31496062992125984"/>
  <pageSetup paperSize="8" scale="88"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28" id="{2C0BA5D0-F997-4456-9A58-A278275B3967}">
            <xm:f>Validation!$H$3=1</xm:f>
            <x14:dxf>
              <fill>
                <patternFill>
                  <bgColor rgb="FFE0DCD8"/>
                </patternFill>
              </fill>
            </x14:dxf>
          </x14:cfRule>
          <xm:sqref>F12:H15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479"/>
    <pageSetUpPr fitToPage="1"/>
  </sheetPr>
  <dimension ref="A1:W43"/>
  <sheetViews>
    <sheetView showGridLines="0" zoomScaleNormal="100" workbookViewId="0">
      <selection activeCell="C28" sqref="C28"/>
    </sheetView>
  </sheetViews>
  <sheetFormatPr defaultColWidth="0" defaultRowHeight="14.25" zeroHeight="1" x14ac:dyDescent="0.2"/>
  <cols>
    <col min="1" max="1" width="2.125" style="2" customWidth="1"/>
    <col min="2" max="2" width="104" customWidth="1"/>
    <col min="3" max="3" width="2.125" style="2" customWidth="1"/>
    <col min="4" max="4" width="8.375" style="2" hidden="1" customWidth="1"/>
    <col min="5" max="5" width="0" style="2" hidden="1" customWidth="1"/>
    <col min="6" max="16384" width="0" style="2" hidden="1"/>
  </cols>
  <sheetData>
    <row r="1" spans="1:23" ht="20.25" x14ac:dyDescent="0.35">
      <c r="A1" s="1" t="s">
        <v>30</v>
      </c>
      <c r="B1" s="1"/>
      <c r="C1" s="1"/>
      <c r="M1" s="553"/>
      <c r="N1" s="553"/>
      <c r="O1" s="553"/>
      <c r="P1" s="553"/>
      <c r="Q1" s="553"/>
      <c r="R1" s="553"/>
      <c r="S1" s="553"/>
      <c r="T1" s="553"/>
      <c r="U1" s="553"/>
      <c r="V1" s="553"/>
      <c r="W1" s="553"/>
    </row>
    <row r="2" spans="1:23" ht="21" x14ac:dyDescent="0.35">
      <c r="A2" s="3"/>
      <c r="B2" s="2"/>
    </row>
    <row r="3" spans="1:23" ht="15" x14ac:dyDescent="0.25">
      <c r="A3" s="554" t="s">
        <v>31</v>
      </c>
      <c r="B3" s="554"/>
      <c r="C3" s="554"/>
    </row>
    <row r="4" spans="1:23" x14ac:dyDescent="0.2">
      <c r="A4" s="4"/>
      <c r="B4" s="2"/>
    </row>
    <row r="5" spans="1:23" ht="51" x14ac:dyDescent="0.2">
      <c r="B5" s="555" t="s">
        <v>32</v>
      </c>
    </row>
    <row r="6" spans="1:23" x14ac:dyDescent="0.2">
      <c r="B6" s="555"/>
    </row>
    <row r="7" spans="1:23" x14ac:dyDescent="0.2">
      <c r="B7" s="555" t="s">
        <v>33</v>
      </c>
    </row>
    <row r="8" spans="1:23" x14ac:dyDescent="0.2">
      <c r="B8" s="555"/>
    </row>
    <row r="9" spans="1:23" ht="15" x14ac:dyDescent="0.25">
      <c r="A9" s="554" t="s">
        <v>34</v>
      </c>
      <c r="B9" s="554"/>
      <c r="C9" s="554"/>
    </row>
    <row r="10" spans="1:23" x14ac:dyDescent="0.2">
      <c r="B10" s="555"/>
    </row>
    <row r="11" spans="1:23" x14ac:dyDescent="0.2">
      <c r="B11" s="555" t="s">
        <v>35</v>
      </c>
    </row>
    <row r="12" spans="1:23" x14ac:dyDescent="0.2">
      <c r="B12" s="555"/>
    </row>
    <row r="13" spans="1:23" x14ac:dyDescent="0.2">
      <c r="B13" s="555" t="s">
        <v>36</v>
      </c>
    </row>
    <row r="14" spans="1:23" x14ac:dyDescent="0.2">
      <c r="B14" s="555"/>
    </row>
    <row r="15" spans="1:23" ht="25.5" x14ac:dyDescent="0.2">
      <c r="B15" s="555" t="s">
        <v>37</v>
      </c>
    </row>
    <row r="16" spans="1:23" x14ac:dyDescent="0.2">
      <c r="B16" s="555"/>
    </row>
    <row r="17" spans="1:3" x14ac:dyDescent="0.2">
      <c r="B17" s="555" t="s">
        <v>38</v>
      </c>
    </row>
    <row r="18" spans="1:3" x14ac:dyDescent="0.2">
      <c r="B18" s="555"/>
    </row>
    <row r="19" spans="1:3" ht="15" x14ac:dyDescent="0.25">
      <c r="A19" s="554" t="s">
        <v>39</v>
      </c>
      <c r="B19" s="554"/>
      <c r="C19" s="554"/>
    </row>
    <row r="20" spans="1:3" x14ac:dyDescent="0.2">
      <c r="B20" s="555"/>
    </row>
    <row r="21" spans="1:3" x14ac:dyDescent="0.2">
      <c r="B21" s="555" t="s">
        <v>40</v>
      </c>
    </row>
    <row r="22" spans="1:3" x14ac:dyDescent="0.2">
      <c r="B22" s="555"/>
    </row>
    <row r="23" spans="1:3" ht="25.5" x14ac:dyDescent="0.2">
      <c r="B23" s="555" t="s">
        <v>41</v>
      </c>
    </row>
    <row r="24" spans="1:3" x14ac:dyDescent="0.2">
      <c r="B24" s="555"/>
    </row>
    <row r="25" spans="1:3" ht="25.5" x14ac:dyDescent="0.2">
      <c r="B25" s="555" t="s">
        <v>42</v>
      </c>
    </row>
    <row r="26" spans="1:3" x14ac:dyDescent="0.2">
      <c r="B26" s="555"/>
    </row>
    <row r="27" spans="1:3" x14ac:dyDescent="0.2">
      <c r="B27" s="555" t="s">
        <v>43</v>
      </c>
    </row>
    <row r="28" spans="1:3" x14ac:dyDescent="0.2">
      <c r="B28" s="556" t="s">
        <v>44</v>
      </c>
    </row>
    <row r="29" spans="1:3" x14ac:dyDescent="0.2">
      <c r="A29" s="4"/>
      <c r="B29" s="2"/>
    </row>
    <row r="30" spans="1:3" ht="15" x14ac:dyDescent="0.25">
      <c r="A30" s="554" t="s">
        <v>45</v>
      </c>
      <c r="B30" s="554"/>
      <c r="C30" s="554"/>
    </row>
    <row r="31" spans="1:3" x14ac:dyDescent="0.2">
      <c r="A31" s="4"/>
      <c r="B31" s="2"/>
    </row>
    <row r="32" spans="1:3" ht="14.1" customHeight="1" x14ac:dyDescent="0.25">
      <c r="A32" s="5"/>
      <c r="B32" s="557" t="s">
        <v>46</v>
      </c>
    </row>
    <row r="33" spans="1:9" ht="14.1" customHeight="1" x14ac:dyDescent="0.2">
      <c r="A33" s="6"/>
      <c r="B33" s="558"/>
      <c r="C33" s="7"/>
      <c r="D33" s="7"/>
      <c r="E33" s="7"/>
      <c r="F33" s="7"/>
      <c r="G33" s="7"/>
      <c r="H33" s="7"/>
      <c r="I33" s="7"/>
    </row>
    <row r="34" spans="1:9" s="9" customFormat="1" ht="14.1" hidden="1" customHeight="1" x14ac:dyDescent="0.25">
      <c r="A34" s="5"/>
      <c r="B34" s="8"/>
      <c r="C34" s="8"/>
      <c r="D34" s="8"/>
      <c r="E34" s="8"/>
      <c r="F34" s="8"/>
      <c r="G34" s="8"/>
      <c r="H34" s="8"/>
      <c r="I34" s="8"/>
    </row>
    <row r="35" spans="1:9" s="9" customFormat="1" ht="14.1" hidden="1" customHeight="1" x14ac:dyDescent="0.25">
      <c r="A35" s="6"/>
      <c r="B35" s="558"/>
      <c r="C35" s="8"/>
      <c r="D35" s="8"/>
      <c r="E35" s="8"/>
      <c r="F35" s="8"/>
      <c r="G35" s="8"/>
      <c r="H35" s="8"/>
      <c r="I35" s="8"/>
    </row>
    <row r="36" spans="1:9" ht="14.1" hidden="1" customHeight="1" x14ac:dyDescent="0.2">
      <c r="A36" s="559"/>
      <c r="B36" s="558"/>
      <c r="C36" s="7"/>
      <c r="D36" s="7"/>
      <c r="E36" s="7"/>
      <c r="F36" s="7"/>
      <c r="G36" s="7"/>
      <c r="H36" s="7"/>
      <c r="I36" s="7"/>
    </row>
    <row r="37" spans="1:9" ht="14.1" hidden="1" customHeight="1" x14ac:dyDescent="0.2">
      <c r="A37" s="559"/>
      <c r="B37" s="558"/>
      <c r="C37" s="7"/>
      <c r="D37" s="7"/>
      <c r="E37" s="7"/>
      <c r="F37" s="7"/>
      <c r="G37" s="7"/>
      <c r="H37" s="7"/>
      <c r="I37" s="7"/>
    </row>
    <row r="38" spans="1:9" ht="14.1" hidden="1" customHeight="1" x14ac:dyDescent="0.2">
      <c r="A38" s="559"/>
      <c r="B38" s="558"/>
      <c r="C38" s="7"/>
      <c r="D38" s="7"/>
      <c r="E38" s="7"/>
      <c r="F38" s="7"/>
      <c r="G38" s="7"/>
      <c r="H38" s="7"/>
      <c r="I38" s="7"/>
    </row>
    <row r="39" spans="1:9" ht="14.1" hidden="1" customHeight="1" x14ac:dyDescent="0.2">
      <c r="A39" s="559"/>
      <c r="B39" s="558"/>
      <c r="C39" s="7"/>
      <c r="D39" s="7"/>
      <c r="E39" s="7"/>
      <c r="F39" s="7"/>
      <c r="G39" s="7"/>
      <c r="H39" s="7"/>
      <c r="I39" s="7"/>
    </row>
    <row r="40" spans="1:9" s="9" customFormat="1" ht="14.1" hidden="1" customHeight="1" x14ac:dyDescent="0.25">
      <c r="A40" s="5"/>
      <c r="B40" s="560"/>
      <c r="C40" s="8"/>
      <c r="D40" s="8"/>
      <c r="E40" s="8"/>
      <c r="F40" s="8"/>
      <c r="G40" s="8"/>
      <c r="H40" s="8"/>
      <c r="I40" s="8"/>
    </row>
    <row r="41" spans="1:9" ht="14.1" hidden="1" customHeight="1" x14ac:dyDescent="0.2">
      <c r="A41" s="4"/>
      <c r="B41" s="558"/>
      <c r="C41" s="7"/>
      <c r="D41" s="7"/>
      <c r="E41" s="7"/>
      <c r="F41" s="7"/>
      <c r="G41" s="7"/>
      <c r="H41" s="7"/>
      <c r="I41" s="7"/>
    </row>
    <row r="42" spans="1:9" ht="14.1" hidden="1" customHeight="1" x14ac:dyDescent="0.2">
      <c r="A42" s="4"/>
      <c r="B42" s="558"/>
      <c r="C42" s="7"/>
      <c r="D42" s="7"/>
      <c r="E42" s="7"/>
      <c r="F42" s="7"/>
      <c r="G42" s="7"/>
      <c r="H42" s="7"/>
      <c r="I42" s="7"/>
    </row>
    <row r="43" spans="1:9" ht="14.1" hidden="1" customHeight="1" x14ac:dyDescent="0.2">
      <c r="A43" s="4"/>
      <c r="B43" s="730"/>
      <c r="C43" s="730"/>
      <c r="D43" s="730"/>
      <c r="E43" s="730"/>
      <c r="F43" s="730"/>
      <c r="G43" s="730"/>
      <c r="H43" s="730"/>
      <c r="I43" s="730"/>
    </row>
  </sheetData>
  <sheetProtection algorithmName="SHA-512" hashValue="zU7O4OyxeYcrNmB/P4la8RCIGa7gmv70OXNrcoiivkGcjp1D+qZ0ibw4IYMWD43dYqQLEmxzG2hbm+KjYOHN0w==" saltValue="nkItcG3xbqOLkgZpzEewTg==" spinCount="100000" sheet="1" objects="1" scenarios="1"/>
  <mergeCells count="1">
    <mergeCell ref="B43:I43"/>
  </mergeCells>
  <hyperlinks>
    <hyperlink ref="B32" r:id="rId1" xr:uid="{00000000-0004-0000-0100-000000000000}"/>
    <hyperlink ref="B28" r:id="rId2" xr:uid="{00000000-0004-0000-0100-000001000000}"/>
  </hyperlinks>
  <printOptions horizontalCentered="1"/>
  <pageMargins left="0.39370078740157483" right="0.39370078740157483" top="0.78740157480314965" bottom="0.78740157480314965" header="0.31496062992125984" footer="0.31496062992125984"/>
  <pageSetup paperSize="8" fitToHeight="0" orientation="portrait" r:id="rId3"/>
  <headerFooter>
    <oddHeader>&amp;L&amp;9&amp;K857362Page &amp;P of &amp;N&amp;C&amp;9 &amp;K8573622016 annual performance report tables (Jan 2016)&amp;R&amp;9&amp;G</oddHeader>
    <oddFooter>&amp;L&amp;9&amp;K857362&amp;A&amp;R&amp;9&amp;K857362Printed: &amp;D &amp;T</oddFooter>
  </headerFooter>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3479"/>
    <pageSetUpPr fitToPage="1"/>
  </sheetPr>
  <dimension ref="H1"/>
  <sheetViews>
    <sheetView topLeftCell="XFD1048576" zoomScaleNormal="100" workbookViewId="0">
      <selection activeCell="C28" sqref="C28"/>
    </sheetView>
  </sheetViews>
  <sheetFormatPr defaultColWidth="0" defaultRowHeight="14.1" customHeight="1" zeroHeight="1" x14ac:dyDescent="0.2"/>
  <cols>
    <col min="1" max="7" width="8.625" hidden="1" customWidth="1"/>
    <col min="8" max="8" width="8.875" hidden="1" customWidth="1"/>
    <col min="9" max="16384" width="8.625" hidden="1"/>
  </cols>
  <sheetData>
    <row r="1" ht="14.25" hidden="1" x14ac:dyDescent="0.2"/>
  </sheetData>
  <sheetProtection algorithmName="SHA-512" hashValue="b/Nko+ZHQCsPLv4Gv/6RERgep+caRQOnD8+EH6OHDlgDsBdZj62b58RA03tP5xzmE8dtOY+VRm35+G1+3zISJQ==" saltValue="29Dw/1850mHFOyfoP0C6ow==" spinCount="100000" sheet="1" objects="1" scenarios="1"/>
  <printOptions horizontalCentered="1"/>
  <pageMargins left="0.39370078740157483" right="0.39370078740157483" top="0.78740157480314965" bottom="0.78740157480314965" header="0.31496062992125984" footer="0.31496062992125984"/>
  <pageSetup paperSize="8"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T103"/>
  <sheetViews>
    <sheetView showGridLines="0" topLeftCell="A14" zoomScale="80" zoomScaleNormal="80" workbookViewId="0">
      <selection activeCell="A30" sqref="A30"/>
    </sheetView>
  </sheetViews>
  <sheetFormatPr defaultColWidth="0" defaultRowHeight="14.25" zeroHeight="1" x14ac:dyDescent="0.2"/>
  <cols>
    <col min="1" max="1" width="1.625" customWidth="1"/>
    <col min="2" max="2" width="5" customWidth="1"/>
    <col min="3" max="3" width="19.5" customWidth="1"/>
    <col min="4" max="4" width="71.5" customWidth="1"/>
    <col min="5" max="5" width="8.75" customWidth="1"/>
    <col min="6" max="14" width="15.625" customWidth="1"/>
    <col min="15" max="15" width="2.625" style="95" customWidth="1"/>
    <col min="16" max="16" width="18.875" customWidth="1"/>
    <col min="17" max="17" width="18.875" style="95" customWidth="1"/>
    <col min="18" max="18" width="1.625" style="95" customWidth="1"/>
    <col min="19" max="19" width="1.625" style="96" hidden="1" customWidth="1"/>
    <col min="20" max="28" width="3.625" style="95" hidden="1" customWidth="1"/>
    <col min="29" max="29" width="1.625" style="96" hidden="1" customWidth="1"/>
    <col min="30" max="32" width="8.75" hidden="1" customWidth="1"/>
    <col min="33" max="33" width="1.625" style="96" hidden="1" customWidth="1"/>
    <col min="34" max="36" width="3.625" style="28" hidden="1" customWidth="1"/>
    <col min="37" max="45" width="3.625" hidden="1" customWidth="1"/>
    <col min="46" max="46" width="10.875" hidden="1" customWidth="1"/>
    <col min="47" max="16384" width="8.75" hidden="1"/>
  </cols>
  <sheetData>
    <row r="1" spans="1:46" s="100" customFormat="1" ht="20.25" x14ac:dyDescent="0.2">
      <c r="A1" s="99"/>
      <c r="B1" s="91" t="s">
        <v>520</v>
      </c>
      <c r="C1" s="91"/>
      <c r="D1" s="91"/>
      <c r="E1" s="91"/>
      <c r="F1" s="91"/>
      <c r="G1" s="91"/>
      <c r="H1" s="91"/>
      <c r="I1" s="91"/>
      <c r="J1" s="91"/>
      <c r="K1" s="91"/>
      <c r="L1" s="91"/>
      <c r="M1" s="93"/>
      <c r="N1" s="93" t="str">
        <f>Validation!B3</f>
        <v>Yorkshire Water</v>
      </c>
      <c r="O1" s="91"/>
      <c r="P1" s="94"/>
      <c r="Q1" s="94" t="s">
        <v>62</v>
      </c>
      <c r="R1" s="95"/>
      <c r="S1" s="96"/>
      <c r="T1" s="377"/>
      <c r="U1" s="95"/>
      <c r="V1" s="95"/>
      <c r="W1" s="95"/>
      <c r="X1" s="95"/>
      <c r="Y1" s="95"/>
      <c r="Z1" s="95"/>
      <c r="AA1" s="95"/>
      <c r="AB1" s="95"/>
      <c r="AC1" s="96"/>
      <c r="AG1" s="96"/>
      <c r="AH1" s="378"/>
      <c r="AI1" s="378"/>
      <c r="AJ1" s="378"/>
    </row>
    <row r="2" spans="1:46" s="100" customFormat="1" ht="15" customHeight="1" thickBot="1" x14ac:dyDescent="0.25">
      <c r="A2" s="99"/>
      <c r="B2" s="98" t="s">
        <v>48</v>
      </c>
      <c r="C2" s="379"/>
      <c r="D2" s="99"/>
      <c r="F2" s="99"/>
      <c r="G2" s="99"/>
      <c r="H2" s="99"/>
      <c r="I2" s="99"/>
      <c r="J2" s="99"/>
      <c r="K2" s="99"/>
      <c r="L2" s="99"/>
      <c r="M2" s="99"/>
      <c r="N2" s="99"/>
      <c r="O2" s="99"/>
      <c r="P2" s="99"/>
      <c r="Q2" s="95"/>
      <c r="R2" s="95"/>
      <c r="S2" s="96"/>
      <c r="T2" s="101" t="s">
        <v>73</v>
      </c>
      <c r="U2" s="103"/>
      <c r="V2" s="103"/>
      <c r="W2" s="103"/>
      <c r="X2" s="103"/>
      <c r="Y2" s="103"/>
      <c r="Z2" s="103"/>
      <c r="AA2" s="103"/>
      <c r="AB2" s="103"/>
      <c r="AC2" s="96"/>
      <c r="AD2" s="101" t="s">
        <v>54</v>
      </c>
      <c r="AE2" s="120"/>
      <c r="AF2" s="120"/>
      <c r="AG2" s="96"/>
      <c r="AH2" s="101" t="s">
        <v>278</v>
      </c>
    </row>
    <row r="3" spans="1:46" s="100" customFormat="1" ht="65.25" thickBot="1" x14ac:dyDescent="0.25">
      <c r="A3" s="99"/>
      <c r="B3" s="362" t="s">
        <v>521</v>
      </c>
      <c r="C3" s="380" t="s">
        <v>522</v>
      </c>
      <c r="D3" s="381" t="s">
        <v>523</v>
      </c>
      <c r="E3" s="382" t="s">
        <v>64</v>
      </c>
      <c r="F3" s="382" t="s">
        <v>524</v>
      </c>
      <c r="G3" s="382" t="s">
        <v>525</v>
      </c>
      <c r="H3" s="382" t="s">
        <v>526</v>
      </c>
      <c r="I3" s="383" t="s">
        <v>527</v>
      </c>
      <c r="J3" s="383" t="s">
        <v>528</v>
      </c>
      <c r="K3" s="383" t="s">
        <v>529</v>
      </c>
      <c r="L3" s="383" t="s">
        <v>530</v>
      </c>
      <c r="M3" s="383" t="s">
        <v>531</v>
      </c>
      <c r="N3" s="363" t="s">
        <v>532</v>
      </c>
      <c r="O3" s="95"/>
      <c r="P3" s="216" t="s">
        <v>533</v>
      </c>
      <c r="Q3" s="216" t="s">
        <v>69</v>
      </c>
      <c r="R3" s="95"/>
      <c r="S3" s="96"/>
      <c r="T3" s="112" t="s">
        <v>74</v>
      </c>
      <c r="U3" s="278"/>
      <c r="V3" s="278"/>
      <c r="W3" s="278"/>
      <c r="X3" s="278"/>
      <c r="Y3" s="278"/>
      <c r="Z3" s="278"/>
      <c r="AA3" s="278"/>
      <c r="AB3" s="278"/>
      <c r="AC3" s="96"/>
      <c r="AG3" s="96"/>
      <c r="AH3" s="378"/>
      <c r="AI3" s="378"/>
      <c r="AJ3" s="378"/>
    </row>
    <row r="4" spans="1:46" s="100" customFormat="1" ht="15" customHeight="1" thickBot="1" x14ac:dyDescent="0.25">
      <c r="A4" s="99"/>
      <c r="B4" s="99"/>
      <c r="C4" s="99"/>
      <c r="D4" s="99"/>
      <c r="E4" s="99"/>
      <c r="F4" s="99"/>
      <c r="G4" s="99"/>
      <c r="H4" s="99"/>
      <c r="I4" s="99"/>
      <c r="J4" s="99"/>
      <c r="K4" s="99"/>
      <c r="L4" s="99"/>
      <c r="M4" s="99"/>
      <c r="N4" s="99"/>
      <c r="O4" s="99"/>
      <c r="Q4" s="99"/>
      <c r="R4" s="95"/>
      <c r="S4" s="96"/>
      <c r="T4" s="384" t="s">
        <v>534</v>
      </c>
      <c r="U4" s="385" t="s">
        <v>535</v>
      </c>
      <c r="V4" s="385" t="s">
        <v>536</v>
      </c>
      <c r="W4" s="385" t="s">
        <v>537</v>
      </c>
      <c r="X4" s="385" t="s">
        <v>538</v>
      </c>
      <c r="Y4" s="385" t="s">
        <v>539</v>
      </c>
      <c r="Z4" s="385" t="s">
        <v>540</v>
      </c>
      <c r="AA4" s="385" t="s">
        <v>541</v>
      </c>
      <c r="AB4" s="385" t="s">
        <v>542</v>
      </c>
      <c r="AC4" s="96"/>
      <c r="AD4" s="385" t="s">
        <v>538</v>
      </c>
      <c r="AE4" s="385" t="s">
        <v>540</v>
      </c>
      <c r="AF4" s="385" t="s">
        <v>542</v>
      </c>
      <c r="AG4" s="96"/>
      <c r="AH4" s="378"/>
      <c r="AI4" s="378"/>
      <c r="AJ4" s="378"/>
    </row>
    <row r="5" spans="1:46" s="100" customFormat="1" ht="30" customHeight="1" x14ac:dyDescent="0.2">
      <c r="A5" s="99"/>
      <c r="B5" s="342">
        <v>1</v>
      </c>
      <c r="C5" s="386" t="str">
        <f>IF($N$1="Select company","",IF((HLOOKUP((VLOOKUP($N$1,Lists!$B$4:$C$22,2,FALSE)),'PC list edited'!$A$2:$BB$65,(B5+1),FALSE))=0,"",HLOOKUP((VLOOKUP($N$1,Lists!$B$4:$C$22,2,FALSE)),'PC list edited'!$A$2:$BB$65,(B5+1),FALSE)))</f>
        <v>PR14YKYWSW_WA1</v>
      </c>
      <c r="D5" s="387" t="str">
        <f>IF($N$1="Select company","",IF((HLOOKUP(((VLOOKUP($N$1,Lists!$B$4:$C$22,2,FALSE))&amp;"PC"),'PC list edited'!$A$2:$BB$65,(B5+1),FALSE))=0,"",HLOOKUP(((VLOOKUP($N$1,Lists!$B$4:$C$22,2,FALSE))&amp;"PC"),'PC list edited'!$A$2:$BB$65,(B5+1),FALSE)))</f>
        <v>WA1: Drinking water quality</v>
      </c>
      <c r="E5" s="388" t="str">
        <f>IF($N$1="Select company","",IF((HLOOKUP(((VLOOKUP($N$1,Lists!$B$4:$C$22,2,FALSE))&amp;"unit"),'PC list edited'!$A$2:$BB$65,(B5+1),FALSE))=0,"",HLOOKUP(((VLOOKUP($N$1,Lists!$B$4:$C$22,2,FALSE))&amp;"unit"),'PC list edited'!$A$2:$BB$65,(B5+1),FALSE)))</f>
        <v>%</v>
      </c>
      <c r="F5" s="596">
        <v>99.953000000000003</v>
      </c>
      <c r="G5" s="596">
        <v>99.953999999999994</v>
      </c>
      <c r="H5" s="596" t="s">
        <v>543</v>
      </c>
      <c r="I5" s="597" t="s">
        <v>544</v>
      </c>
      <c r="J5" s="598"/>
      <c r="K5" s="597" t="s">
        <v>545</v>
      </c>
      <c r="L5" s="597"/>
      <c r="M5" s="597" t="s">
        <v>546</v>
      </c>
      <c r="N5" s="599"/>
      <c r="O5" s="95"/>
      <c r="P5" s="77">
        <f xml:space="preserve"> IF( SUM( AC5:AG5 ) = 0, 0, $AT$5 )</f>
        <v>0</v>
      </c>
      <c r="Q5" s="29" t="str">
        <f t="shared" ref="Q5:Q36" si="0" xml:space="preserve"> IF( SUM( S5:AC5 ) = 0, 0, $T$3 )</f>
        <v>Please complete all cells in row</v>
      </c>
      <c r="R5" s="95"/>
      <c r="S5" s="96"/>
      <c r="T5" s="120">
        <f t="shared" ref="T5:AB20" si="1">IF($C5="",0,IF(ISBLANK(F5)=FALSE,0,1))</f>
        <v>0</v>
      </c>
      <c r="U5" s="120">
        <f t="shared" si="1"/>
        <v>0</v>
      </c>
      <c r="V5" s="120">
        <f t="shared" si="1"/>
        <v>0</v>
      </c>
      <c r="W5" s="120">
        <f t="shared" si="1"/>
        <v>0</v>
      </c>
      <c r="X5" s="120">
        <f t="shared" si="1"/>
        <v>1</v>
      </c>
      <c r="Y5" s="120">
        <f t="shared" si="1"/>
        <v>0</v>
      </c>
      <c r="Z5" s="120">
        <f t="shared" si="1"/>
        <v>1</v>
      </c>
      <c r="AA5" s="120">
        <f t="shared" si="1"/>
        <v>0</v>
      </c>
      <c r="AB5" s="120">
        <f t="shared" si="1"/>
        <v>1</v>
      </c>
      <c r="AC5" s="96"/>
      <c r="AD5" s="389">
        <f>IF(AK5=0,IF(J5&lt;0,1,0),0)</f>
        <v>0</v>
      </c>
      <c r="AE5" s="389">
        <f>IF(AO5=0,IF(L5&lt;0,1,0),0)</f>
        <v>0</v>
      </c>
      <c r="AF5" s="389">
        <f>IF(AS5=0,IF(N5&lt;0,1,0),0)</f>
        <v>0</v>
      </c>
      <c r="AG5" s="96"/>
      <c r="AH5" s="390">
        <f>IF($I5=Lists!$F$11,0,1)</f>
        <v>1</v>
      </c>
      <c r="AI5" s="390">
        <f>IF($I5=Lists!$F$13,0,1)</f>
        <v>1</v>
      </c>
      <c r="AJ5" s="390">
        <f>IF($C5="",0,IF(ISNUMBER($J5),0,1))</f>
        <v>1</v>
      </c>
      <c r="AK5" s="390">
        <f>IF(SUM(AH5:AJ5)=1,0,1)</f>
        <v>1</v>
      </c>
      <c r="AL5" s="389">
        <f>IF(K5=Lists!$F$11,0,1)</f>
        <v>1</v>
      </c>
      <c r="AM5" s="389">
        <f>IF(K5=Lists!$F$13,0,1)</f>
        <v>1</v>
      </c>
      <c r="AN5" s="389">
        <f>IF($C5="",0,IF(ISNUMBER(L5),0,1))</f>
        <v>1</v>
      </c>
      <c r="AO5" s="389">
        <f>IF(SUM(AL5:AN5)=1,0,1)</f>
        <v>1</v>
      </c>
      <c r="AP5" s="390">
        <f>IF($M5=Lists!$F$11,0,1)</f>
        <v>1</v>
      </c>
      <c r="AQ5" s="390">
        <f>IF($M5=Lists!$F$13,0,1)</f>
        <v>1</v>
      </c>
      <c r="AR5" s="390">
        <f>IF($C5="",0,IF(ISNUMBER($N5),0,1))</f>
        <v>1</v>
      </c>
      <c r="AS5" s="390">
        <f>IF(SUM(AP5:AR5)=1,0,1)</f>
        <v>1</v>
      </c>
      <c r="AT5" s="391" t="s">
        <v>547</v>
      </c>
    </row>
    <row r="6" spans="1:46" s="100" customFormat="1" ht="30" customHeight="1" x14ac:dyDescent="0.2">
      <c r="A6" s="99"/>
      <c r="B6" s="343">
        <f xml:space="preserve"> B5 + 1</f>
        <v>2</v>
      </c>
      <c r="C6" s="392" t="str">
        <f>IF($N$1="Select company","",IF((HLOOKUP((VLOOKUP($N$1,Lists!$B$4:$C$22,2,FALSE)),'PC list edited'!$A$2:$BB$65,(B6+1),FALSE))=0,"",HLOOKUP((VLOOKUP($N$1,Lists!$B$4:$C$22,2,FALSE)),'PC list edited'!$A$2:$BB$65,(B6+1),FALSE)))</f>
        <v>PR14YKYWSW_WA2</v>
      </c>
      <c r="D6" s="393" t="str">
        <f>IF($N$1="Select company","",IF((HLOOKUP(((VLOOKUP($N$1,Lists!$B$4:$C$22,2,FALSE))&amp;"PC"),'PC list edited'!$A$2:$BB$65,(B6+1),FALSE))=0,"",HLOOKUP(((VLOOKUP($N$1,Lists!$B$4:$C$22,2,FALSE))&amp;"PC"),'PC list edited'!$A$2:$BB$65,(B6+1),FALSE)))</f>
        <v>WA2: Significant drinking water events which require corrective action</v>
      </c>
      <c r="E6" s="394" t="str">
        <f>IF($N$1="Select company","",IF((HLOOKUP(((VLOOKUP($N$1,Lists!$B$4:$C$22,2,FALSE))&amp;"unit"),'PC list edited'!$A$2:$BB$65,(B6+1),FALSE))=0,"",HLOOKUP(((VLOOKUP($N$1,Lists!$B$4:$C$22,2,FALSE))&amp;"unit"),'PC list edited'!$A$2:$BB$65,(B6+1),FALSE)))</f>
        <v>nr</v>
      </c>
      <c r="F6" s="600">
        <v>3</v>
      </c>
      <c r="G6" s="600">
        <v>5</v>
      </c>
      <c r="H6" s="601" t="s">
        <v>548</v>
      </c>
      <c r="I6" s="602" t="s">
        <v>544</v>
      </c>
      <c r="J6" s="603"/>
      <c r="K6" s="602" t="s">
        <v>546</v>
      </c>
      <c r="L6" s="602"/>
      <c r="M6" s="602" t="s">
        <v>544</v>
      </c>
      <c r="N6" s="604"/>
      <c r="O6" s="95"/>
      <c r="Q6" s="29" t="str">
        <f t="shared" si="0"/>
        <v>Please complete all cells in row</v>
      </c>
      <c r="R6" s="95"/>
      <c r="S6" s="96"/>
      <c r="T6" s="120">
        <f t="shared" si="1"/>
        <v>0</v>
      </c>
      <c r="U6" s="120">
        <f t="shared" si="1"/>
        <v>0</v>
      </c>
      <c r="V6" s="120">
        <f t="shared" si="1"/>
        <v>0</v>
      </c>
      <c r="W6" s="120">
        <f t="shared" si="1"/>
        <v>0</v>
      </c>
      <c r="X6" s="120">
        <f t="shared" si="1"/>
        <v>1</v>
      </c>
      <c r="Y6" s="120">
        <f t="shared" si="1"/>
        <v>0</v>
      </c>
      <c r="Z6" s="120">
        <f t="shared" si="1"/>
        <v>1</v>
      </c>
      <c r="AA6" s="120">
        <f t="shared" si="1"/>
        <v>0</v>
      </c>
      <c r="AB6" s="120">
        <f t="shared" si="1"/>
        <v>1</v>
      </c>
      <c r="AC6" s="96"/>
      <c r="AD6" s="389">
        <f t="shared" ref="AD6:AD59" si="2">IF(AK6=0,IF(J6&lt;0,1,0),0)</f>
        <v>0</v>
      </c>
      <c r="AE6" s="389">
        <f t="shared" ref="AE6:AE59" si="3">IF(AO6=0,IF(L6&lt;0,1,0),0)</f>
        <v>0</v>
      </c>
      <c r="AF6" s="389">
        <f t="shared" ref="AF6:AF59" si="4">IF(AS6=0,IF(N6&lt;0,1,0),0)</f>
        <v>0</v>
      </c>
      <c r="AG6" s="96"/>
      <c r="AH6" s="390">
        <f>IF($I6=Lists!$F$11,0,1)</f>
        <v>1</v>
      </c>
      <c r="AI6" s="390">
        <f>IF($I6=Lists!$F$13,0,1)</f>
        <v>1</v>
      </c>
      <c r="AJ6" s="390">
        <f t="shared" ref="AJ6:AJ59" si="5">IF($C6="",0,IF(ISNUMBER($J6),0,1))</f>
        <v>1</v>
      </c>
      <c r="AK6" s="390">
        <f t="shared" ref="AK6:AK59" si="6">IF(SUM(AH6:AJ6)=1,0,1)</f>
        <v>1</v>
      </c>
      <c r="AL6" s="389">
        <f>IF(K6=Lists!$F$11,0,1)</f>
        <v>1</v>
      </c>
      <c r="AM6" s="389">
        <f>IF(K6=Lists!$F$13,0,1)</f>
        <v>1</v>
      </c>
      <c r="AN6" s="389">
        <f t="shared" ref="AN6:AN59" si="7">IF($C6="",0,IF(ISNUMBER(L6),0,1))</f>
        <v>1</v>
      </c>
      <c r="AO6" s="389">
        <f t="shared" ref="AO6:AO59" si="8">IF(SUM(AL6:AN6)=1,0,1)</f>
        <v>1</v>
      </c>
      <c r="AP6" s="390">
        <f>IF($M6=Lists!$F$11,0,1)</f>
        <v>1</v>
      </c>
      <c r="AQ6" s="390">
        <f>IF($M6=Lists!$F$13,0,1)</f>
        <v>1</v>
      </c>
      <c r="AR6" s="390">
        <f t="shared" ref="AR6:AR59" si="9">IF($C6="",0,IF(ISNUMBER($N6),0,1))</f>
        <v>1</v>
      </c>
      <c r="AS6" s="390">
        <f t="shared" ref="AS6:AS59" si="10">IF(SUM(AP6:AR6)=1,0,1)</f>
        <v>1</v>
      </c>
      <c r="AT6" s="391" t="s">
        <v>547</v>
      </c>
    </row>
    <row r="7" spans="1:46" s="100" customFormat="1" ht="30" customHeight="1" x14ac:dyDescent="0.2">
      <c r="A7" s="99"/>
      <c r="B7" s="343">
        <f t="shared" ref="B7:B59" si="11" xml:space="preserve"> B6 + 1</f>
        <v>3</v>
      </c>
      <c r="C7" s="392" t="str">
        <f>IF($N$1="Select company","",IF((HLOOKUP((VLOOKUP($N$1,Lists!$B$4:$C$22,2,FALSE)),'PC list edited'!$A$2:$BB$65,(B7+1),FALSE))=0,"",HLOOKUP((VLOOKUP($N$1,Lists!$B$4:$C$22,2,FALSE)),'PC list edited'!$A$2:$BB$65,(B7+1),FALSE)))</f>
        <v>PR14YKYWSW_WA3</v>
      </c>
      <c r="D7" s="393" t="str">
        <f>IF($N$1="Select company","",IF((HLOOKUP(((VLOOKUP($N$1,Lists!$B$4:$C$22,2,FALSE))&amp;"PC"),'PC list edited'!$A$2:$BB$65,(B7+1),FALSE))=0,"",HLOOKUP(((VLOOKUP($N$1,Lists!$B$4:$C$22,2,FALSE))&amp;"PC"),'PC list edited'!$A$2:$BB$65,(B7+1),FALSE)))</f>
        <v>WA3: Drinking water contacts</v>
      </c>
      <c r="E7" s="394" t="str">
        <f>IF($N$1="Select company","",IF((HLOOKUP(((VLOOKUP($N$1,Lists!$B$4:$C$22,2,FALSE))&amp;"unit"),'PC list edited'!$A$2:$BB$65,(B7+1),FALSE))=0,"",HLOOKUP(((VLOOKUP($N$1,Lists!$B$4:$C$22,2,FALSE))&amp;"unit"),'PC list edited'!$A$2:$BB$65,(B7+1),FALSE)))</f>
        <v>nr</v>
      </c>
      <c r="F7" s="601">
        <v>10570</v>
      </c>
      <c r="G7" s="601">
        <v>10007</v>
      </c>
      <c r="H7" s="601" t="s">
        <v>548</v>
      </c>
      <c r="I7" s="602" t="s">
        <v>544</v>
      </c>
      <c r="J7" s="603"/>
      <c r="K7" s="602" t="s">
        <v>549</v>
      </c>
      <c r="L7" s="602"/>
      <c r="M7" s="602" t="s">
        <v>546</v>
      </c>
      <c r="N7" s="604"/>
      <c r="O7" s="95"/>
      <c r="Q7" s="29" t="str">
        <f t="shared" si="0"/>
        <v>Please complete all cells in row</v>
      </c>
      <c r="R7" s="95"/>
      <c r="S7" s="96"/>
      <c r="T7" s="120">
        <f t="shared" si="1"/>
        <v>0</v>
      </c>
      <c r="U7" s="120">
        <f t="shared" si="1"/>
        <v>0</v>
      </c>
      <c r="V7" s="120">
        <f t="shared" si="1"/>
        <v>0</v>
      </c>
      <c r="W7" s="120">
        <f t="shared" si="1"/>
        <v>0</v>
      </c>
      <c r="X7" s="120">
        <f t="shared" si="1"/>
        <v>1</v>
      </c>
      <c r="Y7" s="120">
        <f t="shared" si="1"/>
        <v>0</v>
      </c>
      <c r="Z7" s="120">
        <f t="shared" si="1"/>
        <v>1</v>
      </c>
      <c r="AA7" s="120">
        <f t="shared" si="1"/>
        <v>0</v>
      </c>
      <c r="AB7" s="120">
        <f t="shared" si="1"/>
        <v>1</v>
      </c>
      <c r="AC7" s="96"/>
      <c r="AD7" s="389">
        <f t="shared" si="2"/>
        <v>0</v>
      </c>
      <c r="AE7" s="389">
        <f t="shared" si="3"/>
        <v>0</v>
      </c>
      <c r="AF7" s="389">
        <f t="shared" si="4"/>
        <v>0</v>
      </c>
      <c r="AG7" s="96"/>
      <c r="AH7" s="390">
        <f>IF($I7=Lists!$F$11,0,1)</f>
        <v>1</v>
      </c>
      <c r="AI7" s="390">
        <f>IF($I7=Lists!$F$13,0,1)</f>
        <v>1</v>
      </c>
      <c r="AJ7" s="390">
        <f t="shared" si="5"/>
        <v>1</v>
      </c>
      <c r="AK7" s="390">
        <f t="shared" si="6"/>
        <v>1</v>
      </c>
      <c r="AL7" s="389">
        <f>IF(K7=Lists!$F$11,0,1)</f>
        <v>1</v>
      </c>
      <c r="AM7" s="389">
        <f>IF(K7=Lists!$F$13,0,1)</f>
        <v>1</v>
      </c>
      <c r="AN7" s="389">
        <f t="shared" si="7"/>
        <v>1</v>
      </c>
      <c r="AO7" s="389">
        <f t="shared" si="8"/>
        <v>1</v>
      </c>
      <c r="AP7" s="390">
        <f>IF($M7=Lists!$F$11,0,1)</f>
        <v>1</v>
      </c>
      <c r="AQ7" s="390">
        <f>IF($M7=Lists!$F$13,0,1)</f>
        <v>1</v>
      </c>
      <c r="AR7" s="390">
        <f t="shared" si="9"/>
        <v>1</v>
      </c>
      <c r="AS7" s="390">
        <f t="shared" si="10"/>
        <v>1</v>
      </c>
      <c r="AT7" s="391" t="s">
        <v>547</v>
      </c>
    </row>
    <row r="8" spans="1:46" s="100" customFormat="1" ht="30" customHeight="1" x14ac:dyDescent="0.2">
      <c r="A8" s="99"/>
      <c r="B8" s="343">
        <f t="shared" si="11"/>
        <v>4</v>
      </c>
      <c r="C8" s="392" t="str">
        <f>IF($N$1="Select company","",IF((HLOOKUP((VLOOKUP($N$1,Lists!$B$4:$C$22,2,FALSE)),'PC list edited'!$A$2:$BB$65,(B8+1),FALSE))=0,"",HLOOKUP((VLOOKUP($N$1,Lists!$B$4:$C$22,2,FALSE)),'PC list edited'!$A$2:$BB$65,(B8+1),FALSE)))</f>
        <v>PR14YKYWSW_WA4</v>
      </c>
      <c r="D8" s="393" t="str">
        <f>IF($N$1="Select company","",IF((HLOOKUP(((VLOOKUP($N$1,Lists!$B$4:$C$22,2,FALSE))&amp;"PC"),'PC list edited'!$A$2:$BB$65,(B8+1),FALSE))=0,"",HLOOKUP(((VLOOKUP($N$1,Lists!$B$4:$C$22,2,FALSE))&amp;"PC"),'PC list edited'!$A$2:$BB$65,(B8+1),FALSE)))</f>
        <v>WA4: Water quality stability and reliability factor</v>
      </c>
      <c r="E8" s="394" t="str">
        <f>IF($N$1="Select company","",IF((HLOOKUP(((VLOOKUP($N$1,Lists!$B$4:$C$22,2,FALSE))&amp;"unit"),'PC list edited'!$A$2:$BB$65,(B8+1),FALSE))=0,"",HLOOKUP(((VLOOKUP($N$1,Lists!$B$4:$C$22,2,FALSE))&amp;"unit"),'PC list edited'!$A$2:$BB$65,(B8+1),FALSE)))</f>
        <v>category</v>
      </c>
      <c r="F8" s="601" t="s">
        <v>550</v>
      </c>
      <c r="G8" s="601" t="s">
        <v>550</v>
      </c>
      <c r="H8" s="601" t="s">
        <v>546</v>
      </c>
      <c r="I8" s="602" t="s">
        <v>544</v>
      </c>
      <c r="J8" s="603"/>
      <c r="K8" s="602" t="s">
        <v>546</v>
      </c>
      <c r="L8" s="602"/>
      <c r="M8" s="602" t="s">
        <v>546</v>
      </c>
      <c r="N8" s="604"/>
      <c r="O8" s="95"/>
      <c r="Q8" s="29" t="str">
        <f t="shared" si="0"/>
        <v>Please complete all cells in row</v>
      </c>
      <c r="R8" s="95"/>
      <c r="S8" s="96"/>
      <c r="T8" s="120">
        <f t="shared" si="1"/>
        <v>0</v>
      </c>
      <c r="U8" s="120">
        <f t="shared" si="1"/>
        <v>0</v>
      </c>
      <c r="V8" s="120">
        <f t="shared" si="1"/>
        <v>0</v>
      </c>
      <c r="W8" s="120">
        <f t="shared" si="1"/>
        <v>0</v>
      </c>
      <c r="X8" s="120">
        <f t="shared" si="1"/>
        <v>1</v>
      </c>
      <c r="Y8" s="120">
        <f t="shared" si="1"/>
        <v>0</v>
      </c>
      <c r="Z8" s="120">
        <f t="shared" si="1"/>
        <v>1</v>
      </c>
      <c r="AA8" s="120">
        <f t="shared" si="1"/>
        <v>0</v>
      </c>
      <c r="AB8" s="120">
        <f t="shared" si="1"/>
        <v>1</v>
      </c>
      <c r="AC8" s="96"/>
      <c r="AD8" s="389">
        <f t="shared" si="2"/>
        <v>0</v>
      </c>
      <c r="AE8" s="389">
        <f t="shared" si="3"/>
        <v>0</v>
      </c>
      <c r="AF8" s="389">
        <f t="shared" si="4"/>
        <v>0</v>
      </c>
      <c r="AG8" s="96"/>
      <c r="AH8" s="390">
        <f>IF($I8=Lists!$F$11,0,1)</f>
        <v>1</v>
      </c>
      <c r="AI8" s="390">
        <f>IF($I8=Lists!$F$13,0,1)</f>
        <v>1</v>
      </c>
      <c r="AJ8" s="390">
        <f t="shared" si="5"/>
        <v>1</v>
      </c>
      <c r="AK8" s="390">
        <f t="shared" si="6"/>
        <v>1</v>
      </c>
      <c r="AL8" s="389">
        <f>IF(K8=Lists!$F$11,0,1)</f>
        <v>1</v>
      </c>
      <c r="AM8" s="389">
        <f>IF(K8=Lists!$F$13,0,1)</f>
        <v>1</v>
      </c>
      <c r="AN8" s="389">
        <f t="shared" si="7"/>
        <v>1</v>
      </c>
      <c r="AO8" s="389">
        <f t="shared" si="8"/>
        <v>1</v>
      </c>
      <c r="AP8" s="390">
        <f>IF($M8=Lists!$F$11,0,1)</f>
        <v>1</v>
      </c>
      <c r="AQ8" s="390">
        <f>IF($M8=Lists!$F$13,0,1)</f>
        <v>1</v>
      </c>
      <c r="AR8" s="390">
        <f t="shared" si="9"/>
        <v>1</v>
      </c>
      <c r="AS8" s="390">
        <f t="shared" si="10"/>
        <v>1</v>
      </c>
      <c r="AT8" s="391" t="s">
        <v>547</v>
      </c>
    </row>
    <row r="9" spans="1:46" s="100" customFormat="1" ht="30" customHeight="1" x14ac:dyDescent="0.2">
      <c r="A9" s="99"/>
      <c r="B9" s="343">
        <f t="shared" si="11"/>
        <v>5</v>
      </c>
      <c r="C9" s="392" t="str">
        <f>IF($N$1="Select company","",IF((HLOOKUP((VLOOKUP($N$1,Lists!$B$4:$C$22,2,FALSE)),'PC list edited'!$A$2:$BB$65,(B9+1),FALSE))=0,"",HLOOKUP((VLOOKUP($N$1,Lists!$B$4:$C$22,2,FALSE)),'PC list edited'!$A$2:$BB$65,(B9+1),FALSE)))</f>
        <v>PR14YKYWSW_WB1</v>
      </c>
      <c r="D9" s="393" t="str">
        <f>IF($N$1="Select company","",IF((HLOOKUP(((VLOOKUP($N$1,Lists!$B$4:$C$22,2,FALSE))&amp;"PC"),'PC list edited'!$A$2:$BB$65,(B9+1),FALSE))=0,"",HLOOKUP(((VLOOKUP($N$1,Lists!$B$4:$C$22,2,FALSE))&amp;"PC"),'PC list edited'!$A$2:$BB$65,(B9+1),FALSE)))</f>
        <v>WB1: Leakage</v>
      </c>
      <c r="E9" s="394" t="str">
        <f>IF($N$1="Select company","",IF((HLOOKUP(((VLOOKUP($N$1,Lists!$B$4:$C$22,2,FALSE))&amp;"unit"),'PC list edited'!$A$2:$BB$65,(B9+1),FALSE))=0,"",HLOOKUP(((VLOOKUP($N$1,Lists!$B$4:$C$22,2,FALSE))&amp;"unit"),'PC list edited'!$A$2:$BB$65,(B9+1),FALSE)))</f>
        <v>nr</v>
      </c>
      <c r="F9" s="601">
        <v>288.42</v>
      </c>
      <c r="G9" s="601">
        <v>285.12</v>
      </c>
      <c r="H9" s="601" t="s">
        <v>548</v>
      </c>
      <c r="I9" s="602" t="s">
        <v>544</v>
      </c>
      <c r="J9" s="603"/>
      <c r="K9" s="602" t="s">
        <v>549</v>
      </c>
      <c r="L9" s="602"/>
      <c r="M9" s="602" t="s">
        <v>546</v>
      </c>
      <c r="N9" s="604"/>
      <c r="O9" s="95"/>
      <c r="Q9" s="29" t="str">
        <f t="shared" si="0"/>
        <v>Please complete all cells in row</v>
      </c>
      <c r="R9" s="95"/>
      <c r="S9" s="96"/>
      <c r="T9" s="120">
        <f t="shared" si="1"/>
        <v>0</v>
      </c>
      <c r="U9" s="120">
        <f t="shared" si="1"/>
        <v>0</v>
      </c>
      <c r="V9" s="120">
        <f t="shared" si="1"/>
        <v>0</v>
      </c>
      <c r="W9" s="120">
        <f t="shared" si="1"/>
        <v>0</v>
      </c>
      <c r="X9" s="120">
        <f t="shared" si="1"/>
        <v>1</v>
      </c>
      <c r="Y9" s="120">
        <f t="shared" si="1"/>
        <v>0</v>
      </c>
      <c r="Z9" s="120">
        <f t="shared" si="1"/>
        <v>1</v>
      </c>
      <c r="AA9" s="120">
        <f t="shared" si="1"/>
        <v>0</v>
      </c>
      <c r="AB9" s="120">
        <f t="shared" si="1"/>
        <v>1</v>
      </c>
      <c r="AC9" s="96"/>
      <c r="AD9" s="389">
        <f t="shared" si="2"/>
        <v>0</v>
      </c>
      <c r="AE9" s="389">
        <f t="shared" si="3"/>
        <v>0</v>
      </c>
      <c r="AF9" s="389">
        <f t="shared" si="4"/>
        <v>0</v>
      </c>
      <c r="AG9" s="96"/>
      <c r="AH9" s="390">
        <f>IF($I9=Lists!$F$11,0,1)</f>
        <v>1</v>
      </c>
      <c r="AI9" s="390">
        <f>IF($I9=Lists!$F$13,0,1)</f>
        <v>1</v>
      </c>
      <c r="AJ9" s="390">
        <f t="shared" si="5"/>
        <v>1</v>
      </c>
      <c r="AK9" s="390">
        <f t="shared" si="6"/>
        <v>1</v>
      </c>
      <c r="AL9" s="389">
        <f>IF(K9=Lists!$F$11,0,1)</f>
        <v>1</v>
      </c>
      <c r="AM9" s="389">
        <f>IF(K9=Lists!$F$13,0,1)</f>
        <v>1</v>
      </c>
      <c r="AN9" s="389">
        <f t="shared" si="7"/>
        <v>1</v>
      </c>
      <c r="AO9" s="389">
        <f t="shared" si="8"/>
        <v>1</v>
      </c>
      <c r="AP9" s="390">
        <f>IF($M9=Lists!$F$11,0,1)</f>
        <v>1</v>
      </c>
      <c r="AQ9" s="390">
        <f>IF($M9=Lists!$F$13,0,1)</f>
        <v>1</v>
      </c>
      <c r="AR9" s="390">
        <f t="shared" si="9"/>
        <v>1</v>
      </c>
      <c r="AS9" s="390">
        <f t="shared" si="10"/>
        <v>1</v>
      </c>
      <c r="AT9" s="391" t="s">
        <v>547</v>
      </c>
    </row>
    <row r="10" spans="1:46" s="100" customFormat="1" ht="30" customHeight="1" x14ac:dyDescent="0.2">
      <c r="A10" s="99"/>
      <c r="B10" s="343">
        <f t="shared" si="11"/>
        <v>6</v>
      </c>
      <c r="C10" s="392" t="str">
        <f>IF($N$1="Select company","",IF((HLOOKUP((VLOOKUP($N$1,Lists!$B$4:$C$22,2,FALSE)),'PC list edited'!$A$2:$BB$65,(B10+1),FALSE))=0,"",HLOOKUP((VLOOKUP($N$1,Lists!$B$4:$C$22,2,FALSE)),'PC list edited'!$A$2:$BB$65,(B10+1),FALSE)))</f>
        <v>PR14YKYWSW_WB2</v>
      </c>
      <c r="D10" s="393" t="str">
        <f>IF($N$1="Select company","",IF((HLOOKUP(((VLOOKUP($N$1,Lists!$B$4:$C$22,2,FALSE))&amp;"PC"),'PC list edited'!$A$2:$BB$65,(B10+1),FALSE))=0,"",HLOOKUP(((VLOOKUP($N$1,Lists!$B$4:$C$22,2,FALSE))&amp;"PC"),'PC list edited'!$A$2:$BB$65,(B10+1),FALSE)))</f>
        <v>WB2: Water supply interruptions</v>
      </c>
      <c r="E10" s="394" t="str">
        <f>IF($N$1="Select company","",IF((HLOOKUP(((VLOOKUP($N$1,Lists!$B$4:$C$22,2,FALSE))&amp;"unit"),'PC list edited'!$A$2:$BB$65,(B10+1),FALSE))=0,"",HLOOKUP(((VLOOKUP($N$1,Lists!$B$4:$C$22,2,FALSE))&amp;"unit"),'PC list edited'!$A$2:$BB$65,(B10+1),FALSE)))</f>
        <v>time</v>
      </c>
      <c r="F10" s="601">
        <v>9.48</v>
      </c>
      <c r="G10" s="601">
        <v>12.89</v>
      </c>
      <c r="H10" s="601" t="s">
        <v>548</v>
      </c>
      <c r="I10" s="602" t="s">
        <v>544</v>
      </c>
      <c r="J10" s="603"/>
      <c r="K10" s="602" t="s">
        <v>549</v>
      </c>
      <c r="L10" s="602"/>
      <c r="M10" s="602" t="s">
        <v>546</v>
      </c>
      <c r="N10" s="604"/>
      <c r="O10" s="95"/>
      <c r="Q10" s="29" t="str">
        <f t="shared" si="0"/>
        <v>Please complete all cells in row</v>
      </c>
      <c r="R10" s="95"/>
      <c r="S10" s="96"/>
      <c r="T10" s="120">
        <f t="shared" si="1"/>
        <v>0</v>
      </c>
      <c r="U10" s="120">
        <f t="shared" si="1"/>
        <v>0</v>
      </c>
      <c r="V10" s="120">
        <f t="shared" si="1"/>
        <v>0</v>
      </c>
      <c r="W10" s="120">
        <f t="shared" si="1"/>
        <v>0</v>
      </c>
      <c r="X10" s="120">
        <f t="shared" si="1"/>
        <v>1</v>
      </c>
      <c r="Y10" s="120">
        <f t="shared" si="1"/>
        <v>0</v>
      </c>
      <c r="Z10" s="120">
        <f t="shared" si="1"/>
        <v>1</v>
      </c>
      <c r="AA10" s="120">
        <f t="shared" si="1"/>
        <v>0</v>
      </c>
      <c r="AB10" s="120">
        <f t="shared" si="1"/>
        <v>1</v>
      </c>
      <c r="AC10" s="96"/>
      <c r="AD10" s="389">
        <f t="shared" si="2"/>
        <v>0</v>
      </c>
      <c r="AE10" s="389">
        <f t="shared" si="3"/>
        <v>0</v>
      </c>
      <c r="AF10" s="389">
        <f t="shared" si="4"/>
        <v>0</v>
      </c>
      <c r="AG10" s="96"/>
      <c r="AH10" s="390">
        <f>IF($I10=Lists!$F$11,0,1)</f>
        <v>1</v>
      </c>
      <c r="AI10" s="390">
        <f>IF($I10=Lists!$F$13,0,1)</f>
        <v>1</v>
      </c>
      <c r="AJ10" s="390">
        <f t="shared" si="5"/>
        <v>1</v>
      </c>
      <c r="AK10" s="390">
        <f t="shared" si="6"/>
        <v>1</v>
      </c>
      <c r="AL10" s="389">
        <f>IF(K10=Lists!$F$11,0,1)</f>
        <v>1</v>
      </c>
      <c r="AM10" s="389">
        <f>IF(K10=Lists!$F$13,0,1)</f>
        <v>1</v>
      </c>
      <c r="AN10" s="389">
        <f t="shared" si="7"/>
        <v>1</v>
      </c>
      <c r="AO10" s="389">
        <f t="shared" si="8"/>
        <v>1</v>
      </c>
      <c r="AP10" s="390">
        <f>IF($M10=Lists!$F$11,0,1)</f>
        <v>1</v>
      </c>
      <c r="AQ10" s="390">
        <f>IF($M10=Lists!$F$13,0,1)</f>
        <v>1</v>
      </c>
      <c r="AR10" s="390">
        <f t="shared" si="9"/>
        <v>1</v>
      </c>
      <c r="AS10" s="390">
        <f t="shared" si="10"/>
        <v>1</v>
      </c>
      <c r="AT10" s="391" t="s">
        <v>547</v>
      </c>
    </row>
    <row r="11" spans="1:46" s="100" customFormat="1" ht="30" customHeight="1" x14ac:dyDescent="0.2">
      <c r="A11" s="99"/>
      <c r="B11" s="343">
        <f t="shared" si="11"/>
        <v>7</v>
      </c>
      <c r="C11" s="392" t="str">
        <f>IF($N$1="Select company","",IF((HLOOKUP((VLOOKUP($N$1,Lists!$B$4:$C$22,2,FALSE)),'PC list edited'!$A$2:$BB$65,(B11+1),FALSE))=0,"",HLOOKUP((VLOOKUP($N$1,Lists!$B$4:$C$22,2,FALSE)),'PC list edited'!$A$2:$BB$65,(B11+1),FALSE)))</f>
        <v>PR14YKYWSW_WB3</v>
      </c>
      <c r="D11" s="393" t="str">
        <f>IF($N$1="Select company","",IF((HLOOKUP(((VLOOKUP($N$1,Lists!$B$4:$C$22,2,FALSE))&amp;"PC"),'PC list edited'!$A$2:$BB$65,(B11+1),FALSE))=0,"",HLOOKUP(((VLOOKUP($N$1,Lists!$B$4:$C$22,2,FALSE))&amp;"PC"),'PC list edited'!$A$2:$BB$65,(B11+1),FALSE)))</f>
        <v>WB3: Water use</v>
      </c>
      <c r="E11" s="394" t="str">
        <f>IF($N$1="Select company","",IF((HLOOKUP(((VLOOKUP($N$1,Lists!$B$4:$C$22,2,FALSE))&amp;"unit"),'PC list edited'!$A$2:$BB$65,(B11+1),FALSE))=0,"",HLOOKUP(((VLOOKUP($N$1,Lists!$B$4:$C$22,2,FALSE))&amp;"unit"),'PC list edited'!$A$2:$BB$65,(B11+1),FALSE)))</f>
        <v>nr</v>
      </c>
      <c r="F11" s="601" t="s">
        <v>551</v>
      </c>
      <c r="G11" s="601">
        <v>141.71</v>
      </c>
      <c r="H11" s="601" t="s">
        <v>548</v>
      </c>
      <c r="I11" s="602" t="s">
        <v>544</v>
      </c>
      <c r="J11" s="603"/>
      <c r="K11" s="602" t="s">
        <v>546</v>
      </c>
      <c r="L11" s="602"/>
      <c r="M11" s="602" t="s">
        <v>544</v>
      </c>
      <c r="N11" s="604"/>
      <c r="O11" s="95"/>
      <c r="Q11" s="29" t="str">
        <f t="shared" si="0"/>
        <v>Please complete all cells in row</v>
      </c>
      <c r="R11" s="95"/>
      <c r="S11" s="96"/>
      <c r="T11" s="120">
        <f t="shared" si="1"/>
        <v>0</v>
      </c>
      <c r="U11" s="120">
        <f t="shared" si="1"/>
        <v>0</v>
      </c>
      <c r="V11" s="120">
        <f t="shared" si="1"/>
        <v>0</v>
      </c>
      <c r="W11" s="120">
        <f t="shared" si="1"/>
        <v>0</v>
      </c>
      <c r="X11" s="120">
        <f t="shared" si="1"/>
        <v>1</v>
      </c>
      <c r="Y11" s="120">
        <f t="shared" si="1"/>
        <v>0</v>
      </c>
      <c r="Z11" s="120">
        <f t="shared" si="1"/>
        <v>1</v>
      </c>
      <c r="AA11" s="120">
        <f t="shared" si="1"/>
        <v>0</v>
      </c>
      <c r="AB11" s="120">
        <f t="shared" si="1"/>
        <v>1</v>
      </c>
      <c r="AC11" s="96"/>
      <c r="AD11" s="389">
        <f t="shared" si="2"/>
        <v>0</v>
      </c>
      <c r="AE11" s="389">
        <f t="shared" si="3"/>
        <v>0</v>
      </c>
      <c r="AF11" s="389">
        <f t="shared" si="4"/>
        <v>0</v>
      </c>
      <c r="AG11" s="96"/>
      <c r="AH11" s="390">
        <f>IF($I11=Lists!$F$11,0,1)</f>
        <v>1</v>
      </c>
      <c r="AI11" s="390">
        <f>IF($I11=Lists!$F$13,0,1)</f>
        <v>1</v>
      </c>
      <c r="AJ11" s="390">
        <f t="shared" si="5"/>
        <v>1</v>
      </c>
      <c r="AK11" s="390">
        <f t="shared" si="6"/>
        <v>1</v>
      </c>
      <c r="AL11" s="389">
        <f>IF(K11=Lists!$F$11,0,1)</f>
        <v>1</v>
      </c>
      <c r="AM11" s="389">
        <f>IF(K11=Lists!$F$13,0,1)</f>
        <v>1</v>
      </c>
      <c r="AN11" s="389">
        <f t="shared" si="7"/>
        <v>1</v>
      </c>
      <c r="AO11" s="389">
        <f t="shared" si="8"/>
        <v>1</v>
      </c>
      <c r="AP11" s="390">
        <f>IF($M11=Lists!$F$11,0,1)</f>
        <v>1</v>
      </c>
      <c r="AQ11" s="390">
        <f>IF($M11=Lists!$F$13,0,1)</f>
        <v>1</v>
      </c>
      <c r="AR11" s="390">
        <f t="shared" si="9"/>
        <v>1</v>
      </c>
      <c r="AS11" s="390">
        <f t="shared" si="10"/>
        <v>1</v>
      </c>
      <c r="AT11" s="391" t="s">
        <v>547</v>
      </c>
    </row>
    <row r="12" spans="1:46" s="100" customFormat="1" ht="30" customHeight="1" x14ac:dyDescent="0.2">
      <c r="A12" s="99"/>
      <c r="B12" s="343">
        <f t="shared" si="11"/>
        <v>8</v>
      </c>
      <c r="C12" s="392" t="str">
        <f>IF($N$1="Select company","",IF((HLOOKUP((VLOOKUP($N$1,Lists!$B$4:$C$22,2,FALSE)),'PC list edited'!$A$2:$BB$65,(B12+1),FALSE))=0,"",HLOOKUP((VLOOKUP($N$1,Lists!$B$4:$C$22,2,FALSE)),'PC list edited'!$A$2:$BB$65,(B12+1),FALSE)))</f>
        <v>PR14YKYWSW_WB4</v>
      </c>
      <c r="D12" s="393" t="str">
        <f>IF($N$1="Select company","",IF((HLOOKUP(((VLOOKUP($N$1,Lists!$B$4:$C$22,2,FALSE))&amp;"PC"),'PC list edited'!$A$2:$BB$65,(B12+1),FALSE))=0,"",HLOOKUP(((VLOOKUP($N$1,Lists!$B$4:$C$22,2,FALSE))&amp;"PC"),'PC list edited'!$A$2:$BB$65,(B12+1),FALSE)))</f>
        <v>WB4: Water network stability and reliability factor</v>
      </c>
      <c r="E12" s="394" t="str">
        <f>IF($N$1="Select company","",IF((HLOOKUP(((VLOOKUP($N$1,Lists!$B$4:$C$22,2,FALSE))&amp;"unit"),'PC list edited'!$A$2:$BB$65,(B12+1),FALSE))=0,"",HLOOKUP(((VLOOKUP($N$1,Lists!$B$4:$C$22,2,FALSE))&amp;"unit"),'PC list edited'!$A$2:$BB$65,(B12+1),FALSE)))</f>
        <v>category</v>
      </c>
      <c r="F12" s="601" t="s">
        <v>550</v>
      </c>
      <c r="G12" s="601" t="s">
        <v>550</v>
      </c>
      <c r="H12" s="601" t="s">
        <v>546</v>
      </c>
      <c r="I12" s="602" t="s">
        <v>544</v>
      </c>
      <c r="J12" s="603"/>
      <c r="K12" s="602" t="s">
        <v>546</v>
      </c>
      <c r="L12" s="602"/>
      <c r="M12" s="602" t="s">
        <v>544</v>
      </c>
      <c r="N12" s="604"/>
      <c r="O12" s="95"/>
      <c r="Q12" s="29" t="str">
        <f t="shared" si="0"/>
        <v>Please complete all cells in row</v>
      </c>
      <c r="R12" s="95"/>
      <c r="S12" s="96"/>
      <c r="T12" s="120">
        <f t="shared" si="1"/>
        <v>0</v>
      </c>
      <c r="U12" s="120">
        <f t="shared" si="1"/>
        <v>0</v>
      </c>
      <c r="V12" s="120">
        <f t="shared" si="1"/>
        <v>0</v>
      </c>
      <c r="W12" s="120">
        <f t="shared" si="1"/>
        <v>0</v>
      </c>
      <c r="X12" s="120">
        <f t="shared" si="1"/>
        <v>1</v>
      </c>
      <c r="Y12" s="120">
        <f t="shared" si="1"/>
        <v>0</v>
      </c>
      <c r="Z12" s="120">
        <f t="shared" si="1"/>
        <v>1</v>
      </c>
      <c r="AA12" s="120">
        <f t="shared" si="1"/>
        <v>0</v>
      </c>
      <c r="AB12" s="120">
        <f t="shared" si="1"/>
        <v>1</v>
      </c>
      <c r="AC12" s="96"/>
      <c r="AD12" s="389">
        <f t="shared" si="2"/>
        <v>0</v>
      </c>
      <c r="AE12" s="389">
        <f t="shared" si="3"/>
        <v>0</v>
      </c>
      <c r="AF12" s="389">
        <f t="shared" si="4"/>
        <v>0</v>
      </c>
      <c r="AG12" s="96"/>
      <c r="AH12" s="390">
        <f>IF($I12=Lists!$F$11,0,1)</f>
        <v>1</v>
      </c>
      <c r="AI12" s="390">
        <f>IF($I12=Lists!$F$13,0,1)</f>
        <v>1</v>
      </c>
      <c r="AJ12" s="390">
        <f t="shared" si="5"/>
        <v>1</v>
      </c>
      <c r="AK12" s="390">
        <f t="shared" si="6"/>
        <v>1</v>
      </c>
      <c r="AL12" s="389">
        <f>IF(K12=Lists!$F$11,0,1)</f>
        <v>1</v>
      </c>
      <c r="AM12" s="389">
        <f>IF(K12=Lists!$F$13,0,1)</f>
        <v>1</v>
      </c>
      <c r="AN12" s="389">
        <f t="shared" si="7"/>
        <v>1</v>
      </c>
      <c r="AO12" s="389">
        <f t="shared" si="8"/>
        <v>1</v>
      </c>
      <c r="AP12" s="390">
        <f>IF($M12=Lists!$F$11,0,1)</f>
        <v>1</v>
      </c>
      <c r="AQ12" s="390">
        <f>IF($M12=Lists!$F$13,0,1)</f>
        <v>1</v>
      </c>
      <c r="AR12" s="390">
        <f t="shared" si="9"/>
        <v>1</v>
      </c>
      <c r="AS12" s="390">
        <f t="shared" si="10"/>
        <v>1</v>
      </c>
      <c r="AT12" s="391" t="s">
        <v>547</v>
      </c>
    </row>
    <row r="13" spans="1:46" s="100" customFormat="1" ht="30" customHeight="1" x14ac:dyDescent="0.2">
      <c r="A13" s="99"/>
      <c r="B13" s="343">
        <f t="shared" si="11"/>
        <v>9</v>
      </c>
      <c r="C13" s="392" t="str">
        <f>IF($N$1="Select company","",IF((HLOOKUP((VLOOKUP($N$1,Lists!$B$4:$C$22,2,FALSE)),'PC list edited'!$A$2:$BB$65,(B13+1),FALSE))=0,"",HLOOKUP((VLOOKUP($N$1,Lists!$B$4:$C$22,2,FALSE)),'PC list edited'!$A$2:$BB$65,(B13+1),FALSE)))</f>
        <v>PR14YKYWSW_WC1</v>
      </c>
      <c r="D13" s="393" t="str">
        <f>IF($N$1="Select company","",IF((HLOOKUP(((VLOOKUP($N$1,Lists!$B$4:$C$22,2,FALSE))&amp;"PC"),'PC list edited'!$A$2:$BB$65,(B13+1),FALSE))=0,"",HLOOKUP(((VLOOKUP($N$1,Lists!$B$4:$C$22,2,FALSE))&amp;"PC"),'PC list edited'!$A$2:$BB$65,(B13+1),FALSE)))</f>
        <v>WC1: Length of river improved (note: PC is part of a total commitment at Appointee level - see also SB4)</v>
      </c>
      <c r="E13" s="394" t="str">
        <f>IF($N$1="Select company","",IF((HLOOKUP(((VLOOKUP($N$1,Lists!$B$4:$C$22,2,FALSE))&amp;"unit"),'PC list edited'!$A$2:$BB$65,(B13+1),FALSE))=0,"",HLOOKUP(((VLOOKUP($N$1,Lists!$B$4:$C$22,2,FALSE))&amp;"unit"),'PC list edited'!$A$2:$BB$65,(B13+1),FALSE)))</f>
        <v>nr</v>
      </c>
      <c r="F13" s="601" t="s">
        <v>551</v>
      </c>
      <c r="G13" s="601">
        <v>0</v>
      </c>
      <c r="H13" s="601" t="s">
        <v>546</v>
      </c>
      <c r="I13" s="602" t="s">
        <v>544</v>
      </c>
      <c r="J13" s="603"/>
      <c r="K13" s="602" t="s">
        <v>546</v>
      </c>
      <c r="L13" s="602"/>
      <c r="M13" s="602" t="s">
        <v>546</v>
      </c>
      <c r="N13" s="604"/>
      <c r="O13" s="95"/>
      <c r="Q13" s="29" t="str">
        <f t="shared" si="0"/>
        <v>Please complete all cells in row</v>
      </c>
      <c r="R13" s="95"/>
      <c r="S13" s="96"/>
      <c r="T13" s="120">
        <f t="shared" si="1"/>
        <v>0</v>
      </c>
      <c r="U13" s="120">
        <f t="shared" si="1"/>
        <v>0</v>
      </c>
      <c r="V13" s="120">
        <f t="shared" si="1"/>
        <v>0</v>
      </c>
      <c r="W13" s="120">
        <f t="shared" si="1"/>
        <v>0</v>
      </c>
      <c r="X13" s="120">
        <f t="shared" si="1"/>
        <v>1</v>
      </c>
      <c r="Y13" s="120">
        <f t="shared" si="1"/>
        <v>0</v>
      </c>
      <c r="Z13" s="120">
        <f t="shared" si="1"/>
        <v>1</v>
      </c>
      <c r="AA13" s="120">
        <f t="shared" si="1"/>
        <v>0</v>
      </c>
      <c r="AB13" s="120">
        <f t="shared" si="1"/>
        <v>1</v>
      </c>
      <c r="AC13" s="96"/>
      <c r="AD13" s="389">
        <f t="shared" si="2"/>
        <v>0</v>
      </c>
      <c r="AE13" s="389">
        <f t="shared" si="3"/>
        <v>0</v>
      </c>
      <c r="AF13" s="389">
        <f t="shared" si="4"/>
        <v>0</v>
      </c>
      <c r="AG13" s="96"/>
      <c r="AH13" s="390">
        <f>IF($I13=Lists!$F$11,0,1)</f>
        <v>1</v>
      </c>
      <c r="AI13" s="390">
        <f>IF($I13=Lists!$F$13,0,1)</f>
        <v>1</v>
      </c>
      <c r="AJ13" s="390">
        <f t="shared" si="5"/>
        <v>1</v>
      </c>
      <c r="AK13" s="390">
        <f t="shared" si="6"/>
        <v>1</v>
      </c>
      <c r="AL13" s="389">
        <f>IF(K13=Lists!$F$11,0,1)</f>
        <v>1</v>
      </c>
      <c r="AM13" s="389">
        <f>IF(K13=Lists!$F$13,0,1)</f>
        <v>1</v>
      </c>
      <c r="AN13" s="389">
        <f t="shared" si="7"/>
        <v>1</v>
      </c>
      <c r="AO13" s="389">
        <f t="shared" si="8"/>
        <v>1</v>
      </c>
      <c r="AP13" s="390">
        <f>IF($M13=Lists!$F$11,0,1)</f>
        <v>1</v>
      </c>
      <c r="AQ13" s="390">
        <f>IF($M13=Lists!$F$13,0,1)</f>
        <v>1</v>
      </c>
      <c r="AR13" s="390">
        <f t="shared" si="9"/>
        <v>1</v>
      </c>
      <c r="AS13" s="390">
        <f t="shared" si="10"/>
        <v>1</v>
      </c>
      <c r="AT13" s="391" t="s">
        <v>547</v>
      </c>
    </row>
    <row r="14" spans="1:46" s="100" customFormat="1" ht="30" customHeight="1" x14ac:dyDescent="0.2">
      <c r="A14" s="99"/>
      <c r="B14" s="343">
        <f t="shared" si="11"/>
        <v>10</v>
      </c>
      <c r="C14" s="392" t="str">
        <f>IF($N$1="Select company","",IF((HLOOKUP((VLOOKUP($N$1,Lists!$B$4:$C$22,2,FALSE)),'PC list edited'!$A$2:$BB$65,(B14+1),FALSE))=0,"",HLOOKUP((VLOOKUP($N$1,Lists!$B$4:$C$22,2,FALSE)),'PC list edited'!$A$2:$BB$65,(B14+1),FALSE)))</f>
        <v>PR14YKYWSW_WC2</v>
      </c>
      <c r="D14" s="393" t="str">
        <f>IF($N$1="Select company","",IF((HLOOKUP(((VLOOKUP($N$1,Lists!$B$4:$C$22,2,FALSE))&amp;"PC"),'PC list edited'!$A$2:$BB$65,(B14+1),FALSE))=0,"",HLOOKUP(((VLOOKUP($N$1,Lists!$B$4:$C$22,2,FALSE))&amp;"PC"),'PC list edited'!$A$2:$BB$65,(B14+1),FALSE)))</f>
        <v>WC2: Solutions delivered by working with others (note: PC is part of a total commitment at Appointee level - see also SB3)</v>
      </c>
      <c r="E14" s="394" t="str">
        <f>IF($N$1="Select company","",IF((HLOOKUP(((VLOOKUP($N$1,Lists!$B$4:$C$22,2,FALSE))&amp;"unit"),'PC list edited'!$A$2:$BB$65,(B14+1),FALSE))=0,"",HLOOKUP(((VLOOKUP($N$1,Lists!$B$4:$C$22,2,FALSE))&amp;"unit"),'PC list edited'!$A$2:$BB$65,(B14+1),FALSE)))</f>
        <v>nr</v>
      </c>
      <c r="F14" s="600" t="s">
        <v>551</v>
      </c>
      <c r="G14" s="600">
        <v>4</v>
      </c>
      <c r="H14" s="601" t="s">
        <v>548</v>
      </c>
      <c r="I14" s="602" t="s">
        <v>544</v>
      </c>
      <c r="J14" s="603"/>
      <c r="K14" s="602" t="s">
        <v>552</v>
      </c>
      <c r="L14" s="602">
        <v>2.3955E-4</v>
      </c>
      <c r="M14" s="602" t="s">
        <v>546</v>
      </c>
      <c r="N14" s="604"/>
      <c r="O14" s="95"/>
      <c r="Q14" s="29" t="str">
        <f t="shared" si="0"/>
        <v>Please complete all cells in row</v>
      </c>
      <c r="R14" s="95"/>
      <c r="S14" s="96"/>
      <c r="T14" s="120">
        <f t="shared" si="1"/>
        <v>0</v>
      </c>
      <c r="U14" s="120">
        <f t="shared" si="1"/>
        <v>0</v>
      </c>
      <c r="V14" s="120">
        <f t="shared" si="1"/>
        <v>0</v>
      </c>
      <c r="W14" s="120">
        <f t="shared" si="1"/>
        <v>0</v>
      </c>
      <c r="X14" s="120">
        <f t="shared" si="1"/>
        <v>1</v>
      </c>
      <c r="Y14" s="120">
        <f t="shared" si="1"/>
        <v>0</v>
      </c>
      <c r="Z14" s="120">
        <f t="shared" si="1"/>
        <v>0</v>
      </c>
      <c r="AA14" s="120">
        <f t="shared" si="1"/>
        <v>0</v>
      </c>
      <c r="AB14" s="120">
        <f t="shared" si="1"/>
        <v>1</v>
      </c>
      <c r="AC14" s="96"/>
      <c r="AD14" s="389">
        <f t="shared" si="2"/>
        <v>0</v>
      </c>
      <c r="AE14" s="389">
        <f t="shared" si="3"/>
        <v>0</v>
      </c>
      <c r="AF14" s="389">
        <f t="shared" si="4"/>
        <v>0</v>
      </c>
      <c r="AG14" s="96"/>
      <c r="AH14" s="390">
        <f>IF($I14=Lists!$F$11,0,1)</f>
        <v>1</v>
      </c>
      <c r="AI14" s="390">
        <f>IF($I14=Lists!$F$13,0,1)</f>
        <v>1</v>
      </c>
      <c r="AJ14" s="390">
        <f t="shared" si="5"/>
        <v>1</v>
      </c>
      <c r="AK14" s="390">
        <f t="shared" si="6"/>
        <v>1</v>
      </c>
      <c r="AL14" s="389">
        <f>IF(K14=Lists!$F$11,0,1)</f>
        <v>0</v>
      </c>
      <c r="AM14" s="389">
        <f>IF(K14=Lists!$F$13,0,1)</f>
        <v>1</v>
      </c>
      <c r="AN14" s="389">
        <f t="shared" si="7"/>
        <v>0</v>
      </c>
      <c r="AO14" s="389">
        <f t="shared" si="8"/>
        <v>0</v>
      </c>
      <c r="AP14" s="390">
        <f>IF($M14=Lists!$F$11,0,1)</f>
        <v>1</v>
      </c>
      <c r="AQ14" s="390">
        <f>IF($M14=Lists!$F$13,0,1)</f>
        <v>1</v>
      </c>
      <c r="AR14" s="390">
        <f t="shared" si="9"/>
        <v>1</v>
      </c>
      <c r="AS14" s="390">
        <f t="shared" si="10"/>
        <v>1</v>
      </c>
      <c r="AT14" s="391" t="s">
        <v>547</v>
      </c>
    </row>
    <row r="15" spans="1:46" s="100" customFormat="1" ht="30" customHeight="1" x14ac:dyDescent="0.2">
      <c r="A15" s="99"/>
      <c r="B15" s="343">
        <f t="shared" si="11"/>
        <v>11</v>
      </c>
      <c r="C15" s="392" t="str">
        <f>IF($N$1="Select company","",IF((HLOOKUP((VLOOKUP($N$1,Lists!$B$4:$C$22,2,FALSE)),'PC list edited'!$A$2:$BB$65,(B15+1),FALSE))=0,"",HLOOKUP((VLOOKUP($N$1,Lists!$B$4:$C$22,2,FALSE)),'PC list edited'!$A$2:$BB$65,(B15+1),FALSE)))</f>
        <v>PR14YKYWSW_WC3</v>
      </c>
      <c r="D15" s="393" t="str">
        <f>IF($N$1="Select company","",IF((HLOOKUP(((VLOOKUP($N$1,Lists!$B$4:$C$22,2,FALSE))&amp;"PC"),'PC list edited'!$A$2:$BB$65,(B15+1),FALSE))=0,"",HLOOKUP(((VLOOKUP($N$1,Lists!$B$4:$C$22,2,FALSE))&amp;"PC"),'PC list edited'!$A$2:$BB$65,(B15+1),FALSE)))</f>
        <v>WC3: Amount of land conserved and enhanced (note: PC is part of a total commitment at Appointee level - see also SB5)</v>
      </c>
      <c r="E15" s="394" t="str">
        <f>IF($N$1="Select company","",IF((HLOOKUP(((VLOOKUP($N$1,Lists!$B$4:$C$22,2,FALSE))&amp;"unit"),'PC list edited'!$A$2:$BB$65,(B15+1),FALSE))=0,"",HLOOKUP(((VLOOKUP($N$1,Lists!$B$4:$C$22,2,FALSE))&amp;"unit"),'PC list edited'!$A$2:$BB$65,(B15+1),FALSE)))</f>
        <v>nr</v>
      </c>
      <c r="F15" s="601">
        <v>11466</v>
      </c>
      <c r="G15" s="601">
        <v>11466</v>
      </c>
      <c r="H15" s="601" t="s">
        <v>546</v>
      </c>
      <c r="I15" s="602" t="s">
        <v>544</v>
      </c>
      <c r="J15" s="603"/>
      <c r="K15" s="602" t="s">
        <v>546</v>
      </c>
      <c r="L15" s="602"/>
      <c r="M15" s="602" t="s">
        <v>546</v>
      </c>
      <c r="N15" s="604"/>
      <c r="O15" s="95"/>
      <c r="Q15" s="29" t="str">
        <f t="shared" si="0"/>
        <v>Please complete all cells in row</v>
      </c>
      <c r="R15" s="95"/>
      <c r="S15" s="96"/>
      <c r="T15" s="120">
        <f t="shared" si="1"/>
        <v>0</v>
      </c>
      <c r="U15" s="120">
        <f t="shared" si="1"/>
        <v>0</v>
      </c>
      <c r="V15" s="120">
        <f t="shared" si="1"/>
        <v>0</v>
      </c>
      <c r="W15" s="120">
        <f t="shared" si="1"/>
        <v>0</v>
      </c>
      <c r="X15" s="120">
        <f t="shared" si="1"/>
        <v>1</v>
      </c>
      <c r="Y15" s="120">
        <f t="shared" si="1"/>
        <v>0</v>
      </c>
      <c r="Z15" s="120">
        <f t="shared" si="1"/>
        <v>1</v>
      </c>
      <c r="AA15" s="120">
        <f t="shared" si="1"/>
        <v>0</v>
      </c>
      <c r="AB15" s="120">
        <f t="shared" si="1"/>
        <v>1</v>
      </c>
      <c r="AC15" s="96"/>
      <c r="AD15" s="389">
        <f t="shared" si="2"/>
        <v>0</v>
      </c>
      <c r="AE15" s="389">
        <f t="shared" si="3"/>
        <v>0</v>
      </c>
      <c r="AF15" s="389">
        <f t="shared" si="4"/>
        <v>0</v>
      </c>
      <c r="AG15" s="96"/>
      <c r="AH15" s="390">
        <f>IF($I15=Lists!$F$11,0,1)</f>
        <v>1</v>
      </c>
      <c r="AI15" s="390">
        <f>IF($I15=Lists!$F$13,0,1)</f>
        <v>1</v>
      </c>
      <c r="AJ15" s="390">
        <f t="shared" si="5"/>
        <v>1</v>
      </c>
      <c r="AK15" s="390">
        <f t="shared" si="6"/>
        <v>1</v>
      </c>
      <c r="AL15" s="389">
        <f>IF(K15=Lists!$F$11,0,1)</f>
        <v>1</v>
      </c>
      <c r="AM15" s="389">
        <f>IF(K15=Lists!$F$13,0,1)</f>
        <v>1</v>
      </c>
      <c r="AN15" s="389">
        <f t="shared" si="7"/>
        <v>1</v>
      </c>
      <c r="AO15" s="389">
        <f t="shared" si="8"/>
        <v>1</v>
      </c>
      <c r="AP15" s="390">
        <f>IF($M15=Lists!$F$11,0,1)</f>
        <v>1</v>
      </c>
      <c r="AQ15" s="390">
        <f>IF($M15=Lists!$F$13,0,1)</f>
        <v>1</v>
      </c>
      <c r="AR15" s="390">
        <f t="shared" si="9"/>
        <v>1</v>
      </c>
      <c r="AS15" s="390">
        <f t="shared" si="10"/>
        <v>1</v>
      </c>
      <c r="AT15" s="391" t="s">
        <v>547</v>
      </c>
    </row>
    <row r="16" spans="1:46" s="100" customFormat="1" ht="30" customHeight="1" x14ac:dyDescent="0.2">
      <c r="A16" s="99"/>
      <c r="B16" s="343">
        <f t="shared" si="11"/>
        <v>12</v>
      </c>
      <c r="C16" s="392" t="str">
        <f>IF($N$1="Select company","",IF((HLOOKUP((VLOOKUP($N$1,Lists!$B$4:$C$22,2,FALSE)),'PC list edited'!$A$2:$BB$65,(B16+1),FALSE))=0,"",HLOOKUP((VLOOKUP($N$1,Lists!$B$4:$C$22,2,FALSE)),'PC list edited'!$A$2:$BB$65,(B16+1),FALSE)))</f>
        <v>PR14YKYWSW_WC4</v>
      </c>
      <c r="D16" s="393" t="str">
        <f>IF($N$1="Select company","",IF((HLOOKUP(((VLOOKUP($N$1,Lists!$B$4:$C$22,2,FALSE))&amp;"PC"),'PC list edited'!$A$2:$BB$65,(B16+1),FALSE))=0,"",HLOOKUP(((VLOOKUP($N$1,Lists!$B$4:$C$22,2,FALSE))&amp;"PC"),'PC list edited'!$A$2:$BB$65,(B16+1),FALSE)))</f>
        <v>WC4: Recreational visitor satisfaction</v>
      </c>
      <c r="E16" s="394" t="str">
        <f>IF($N$1="Select company","",IF((HLOOKUP(((VLOOKUP($N$1,Lists!$B$4:$C$22,2,FALSE))&amp;"unit"),'PC list edited'!$A$2:$BB$65,(B16+1),FALSE))=0,"",HLOOKUP(((VLOOKUP($N$1,Lists!$B$4:$C$22,2,FALSE))&amp;"unit"),'PC list edited'!$A$2:$BB$65,(B16+1),FALSE)))</f>
        <v>text</v>
      </c>
      <c r="F16" s="601" t="s">
        <v>551</v>
      </c>
      <c r="G16" s="601" t="s">
        <v>553</v>
      </c>
      <c r="H16" s="601" t="s">
        <v>548</v>
      </c>
      <c r="I16" s="602" t="s">
        <v>544</v>
      </c>
      <c r="J16" s="603"/>
      <c r="K16" s="602" t="s">
        <v>546</v>
      </c>
      <c r="L16" s="602"/>
      <c r="M16" s="602" t="s">
        <v>544</v>
      </c>
      <c r="N16" s="604"/>
      <c r="O16" s="95"/>
      <c r="Q16" s="29" t="str">
        <f t="shared" si="0"/>
        <v>Please complete all cells in row</v>
      </c>
      <c r="R16" s="95"/>
      <c r="S16" s="96"/>
      <c r="T16" s="120">
        <f t="shared" si="1"/>
        <v>0</v>
      </c>
      <c r="U16" s="120">
        <f t="shared" si="1"/>
        <v>0</v>
      </c>
      <c r="V16" s="120">
        <f t="shared" si="1"/>
        <v>0</v>
      </c>
      <c r="W16" s="120">
        <f t="shared" si="1"/>
        <v>0</v>
      </c>
      <c r="X16" s="120">
        <f t="shared" si="1"/>
        <v>1</v>
      </c>
      <c r="Y16" s="120">
        <f t="shared" si="1"/>
        <v>0</v>
      </c>
      <c r="Z16" s="120">
        <f t="shared" si="1"/>
        <v>1</v>
      </c>
      <c r="AA16" s="120">
        <f t="shared" si="1"/>
        <v>0</v>
      </c>
      <c r="AB16" s="120">
        <f t="shared" si="1"/>
        <v>1</v>
      </c>
      <c r="AC16" s="96"/>
      <c r="AD16" s="389">
        <f t="shared" si="2"/>
        <v>0</v>
      </c>
      <c r="AE16" s="389">
        <f t="shared" si="3"/>
        <v>0</v>
      </c>
      <c r="AF16" s="389">
        <f t="shared" si="4"/>
        <v>0</v>
      </c>
      <c r="AG16" s="96"/>
      <c r="AH16" s="390">
        <f>IF($I16=Lists!$F$11,0,1)</f>
        <v>1</v>
      </c>
      <c r="AI16" s="390">
        <f>IF($I16=Lists!$F$13,0,1)</f>
        <v>1</v>
      </c>
      <c r="AJ16" s="390">
        <f t="shared" si="5"/>
        <v>1</v>
      </c>
      <c r="AK16" s="390">
        <f t="shared" si="6"/>
        <v>1</v>
      </c>
      <c r="AL16" s="389">
        <f>IF(K16=Lists!$F$11,0,1)</f>
        <v>1</v>
      </c>
      <c r="AM16" s="389">
        <f>IF(K16=Lists!$F$13,0,1)</f>
        <v>1</v>
      </c>
      <c r="AN16" s="389">
        <f t="shared" si="7"/>
        <v>1</v>
      </c>
      <c r="AO16" s="389">
        <f t="shared" si="8"/>
        <v>1</v>
      </c>
      <c r="AP16" s="390">
        <f>IF($M16=Lists!$F$11,0,1)</f>
        <v>1</v>
      </c>
      <c r="AQ16" s="390">
        <f>IF($M16=Lists!$F$13,0,1)</f>
        <v>1</v>
      </c>
      <c r="AR16" s="390">
        <f t="shared" si="9"/>
        <v>1</v>
      </c>
      <c r="AS16" s="390">
        <f t="shared" si="10"/>
        <v>1</v>
      </c>
      <c r="AT16" s="391" t="s">
        <v>547</v>
      </c>
    </row>
    <row r="17" spans="1:46" s="100" customFormat="1" ht="30" customHeight="1" x14ac:dyDescent="0.2">
      <c r="A17" s="99"/>
      <c r="B17" s="343">
        <f t="shared" si="11"/>
        <v>13</v>
      </c>
      <c r="C17" s="392" t="str">
        <f>IF($N$1="Select company","",IF((HLOOKUP((VLOOKUP($N$1,Lists!$B$4:$C$22,2,FALSE)),'PC list edited'!$A$2:$BB$65,(B17+1),FALSE))=0,"",HLOOKUP((VLOOKUP($N$1,Lists!$B$4:$C$22,2,FALSE)),'PC list edited'!$A$2:$BB$65,(B17+1),FALSE)))</f>
        <v>PR14YKYWSW_WD1</v>
      </c>
      <c r="D17" s="393" t="str">
        <f>IF($N$1="Select company","",IF((HLOOKUP(((VLOOKUP($N$1,Lists!$B$4:$C$22,2,FALSE))&amp;"PC"),'PC list edited'!$A$2:$BB$65,(B17+1),FALSE))=0,"",HLOOKUP(((VLOOKUP($N$1,Lists!$B$4:$C$22,2,FALSE))&amp;"PC"),'PC list edited'!$A$2:$BB$65,(B17+1),FALSE)))</f>
        <v>WD1: Proportion of energy use generated by renewable technology (note: PC is part of a total commitment at Appointee level - see also SC1 and RC1)</v>
      </c>
      <c r="E17" s="394" t="str">
        <f>IF($N$1="Select company","",IF((HLOOKUP(((VLOOKUP($N$1,Lists!$B$4:$C$22,2,FALSE))&amp;"unit"),'PC list edited'!$A$2:$BB$65,(B17+1),FALSE))=0,"",HLOOKUP(((VLOOKUP($N$1,Lists!$B$4:$C$22,2,FALSE))&amp;"unit"),'PC list edited'!$A$2:$BB$65,(B17+1),FALSE)))</f>
        <v>%</v>
      </c>
      <c r="F17" s="601">
        <v>12.26</v>
      </c>
      <c r="G17" s="601">
        <v>11.257999999999999</v>
      </c>
      <c r="H17" s="601" t="s">
        <v>543</v>
      </c>
      <c r="I17" s="602" t="s">
        <v>544</v>
      </c>
      <c r="J17" s="603"/>
      <c r="K17" s="602" t="s">
        <v>546</v>
      </c>
      <c r="L17" s="602"/>
      <c r="M17" s="602" t="s">
        <v>544</v>
      </c>
      <c r="N17" s="604"/>
      <c r="O17" s="95"/>
      <c r="Q17" s="29" t="str">
        <f t="shared" si="0"/>
        <v>Please complete all cells in row</v>
      </c>
      <c r="R17" s="95"/>
      <c r="S17" s="96"/>
      <c r="T17" s="120">
        <f t="shared" si="1"/>
        <v>0</v>
      </c>
      <c r="U17" s="120">
        <f t="shared" si="1"/>
        <v>0</v>
      </c>
      <c r="V17" s="120">
        <f t="shared" si="1"/>
        <v>0</v>
      </c>
      <c r="W17" s="120">
        <f t="shared" si="1"/>
        <v>0</v>
      </c>
      <c r="X17" s="120">
        <f t="shared" si="1"/>
        <v>1</v>
      </c>
      <c r="Y17" s="120">
        <f t="shared" si="1"/>
        <v>0</v>
      </c>
      <c r="Z17" s="120">
        <f t="shared" si="1"/>
        <v>1</v>
      </c>
      <c r="AA17" s="120">
        <f t="shared" si="1"/>
        <v>0</v>
      </c>
      <c r="AB17" s="120">
        <f t="shared" si="1"/>
        <v>1</v>
      </c>
      <c r="AC17" s="96"/>
      <c r="AD17" s="389">
        <f t="shared" si="2"/>
        <v>0</v>
      </c>
      <c r="AE17" s="389">
        <f t="shared" si="3"/>
        <v>0</v>
      </c>
      <c r="AF17" s="389">
        <f t="shared" si="4"/>
        <v>0</v>
      </c>
      <c r="AG17" s="96"/>
      <c r="AH17" s="390">
        <f>IF($I17=Lists!$F$11,0,1)</f>
        <v>1</v>
      </c>
      <c r="AI17" s="390">
        <f>IF($I17=Lists!$F$13,0,1)</f>
        <v>1</v>
      </c>
      <c r="AJ17" s="390">
        <f t="shared" si="5"/>
        <v>1</v>
      </c>
      <c r="AK17" s="390">
        <f t="shared" si="6"/>
        <v>1</v>
      </c>
      <c r="AL17" s="389">
        <f>IF(K17=Lists!$F$11,0,1)</f>
        <v>1</v>
      </c>
      <c r="AM17" s="389">
        <f>IF(K17=Lists!$F$13,0,1)</f>
        <v>1</v>
      </c>
      <c r="AN17" s="389">
        <f t="shared" si="7"/>
        <v>1</v>
      </c>
      <c r="AO17" s="389">
        <f t="shared" si="8"/>
        <v>1</v>
      </c>
      <c r="AP17" s="390">
        <f>IF($M17=Lists!$F$11,0,1)</f>
        <v>1</v>
      </c>
      <c r="AQ17" s="390">
        <f>IF($M17=Lists!$F$13,0,1)</f>
        <v>1</v>
      </c>
      <c r="AR17" s="390">
        <f t="shared" si="9"/>
        <v>1</v>
      </c>
      <c r="AS17" s="390">
        <f t="shared" si="10"/>
        <v>1</v>
      </c>
      <c r="AT17" s="391" t="s">
        <v>547</v>
      </c>
    </row>
    <row r="18" spans="1:46" s="100" customFormat="1" ht="30" customHeight="1" x14ac:dyDescent="0.2">
      <c r="A18" s="99"/>
      <c r="B18" s="343">
        <f t="shared" si="11"/>
        <v>14</v>
      </c>
      <c r="C18" s="392" t="str">
        <f>IF($N$1="Select company","",IF((HLOOKUP((VLOOKUP($N$1,Lists!$B$4:$C$22,2,FALSE)),'PC list edited'!$A$2:$BB$65,(B18+1),FALSE))=0,"",HLOOKUP((VLOOKUP($N$1,Lists!$B$4:$C$22,2,FALSE)),'PC list edited'!$A$2:$BB$65,(B18+1),FALSE)))</f>
        <v>PR14YKYWSW_WD2</v>
      </c>
      <c r="D18" s="393" t="str">
        <f>IF($N$1="Select company","",IF((HLOOKUP(((VLOOKUP($N$1,Lists!$B$4:$C$22,2,FALSE))&amp;"PC"),'PC list edited'!$A$2:$BB$65,(B18+1),FALSE))=0,"",HLOOKUP(((VLOOKUP($N$1,Lists!$B$4:$C$22,2,FALSE))&amp;"PC"),'PC list edited'!$A$2:$BB$65,(B18+1),FALSE)))</f>
        <v>WD2: Proportion of waste diverted from landfill (note: PC is part of a total commitment at Appointee level - see also SC2 and RC2)</v>
      </c>
      <c r="E18" s="394" t="str">
        <f>IF($N$1="Select company","",IF((HLOOKUP(((VLOOKUP($N$1,Lists!$B$4:$C$22,2,FALSE))&amp;"unit"),'PC list edited'!$A$2:$BB$65,(B18+1),FALSE))=0,"",HLOOKUP(((VLOOKUP($N$1,Lists!$B$4:$C$22,2,FALSE))&amp;"unit"),'PC list edited'!$A$2:$BB$65,(B18+1),FALSE)))</f>
        <v>%</v>
      </c>
      <c r="F18" s="601">
        <v>93.5</v>
      </c>
      <c r="G18" s="601">
        <v>98.91</v>
      </c>
      <c r="H18" s="601" t="s">
        <v>548</v>
      </c>
      <c r="I18" s="602" t="s">
        <v>544</v>
      </c>
      <c r="J18" s="603"/>
      <c r="K18" s="602" t="s">
        <v>546</v>
      </c>
      <c r="L18" s="602"/>
      <c r="M18" s="602" t="s">
        <v>544</v>
      </c>
      <c r="N18" s="604"/>
      <c r="O18" s="95"/>
      <c r="Q18" s="29" t="str">
        <f t="shared" si="0"/>
        <v>Please complete all cells in row</v>
      </c>
      <c r="R18" s="95"/>
      <c r="S18" s="96"/>
      <c r="T18" s="120">
        <f t="shared" si="1"/>
        <v>0</v>
      </c>
      <c r="U18" s="120">
        <f t="shared" si="1"/>
        <v>0</v>
      </c>
      <c r="V18" s="120">
        <f t="shared" si="1"/>
        <v>0</v>
      </c>
      <c r="W18" s="120">
        <f t="shared" si="1"/>
        <v>0</v>
      </c>
      <c r="X18" s="120">
        <f t="shared" si="1"/>
        <v>1</v>
      </c>
      <c r="Y18" s="120">
        <f t="shared" si="1"/>
        <v>0</v>
      </c>
      <c r="Z18" s="120">
        <f t="shared" si="1"/>
        <v>1</v>
      </c>
      <c r="AA18" s="120">
        <f t="shared" si="1"/>
        <v>0</v>
      </c>
      <c r="AB18" s="120">
        <f t="shared" si="1"/>
        <v>1</v>
      </c>
      <c r="AC18" s="96"/>
      <c r="AD18" s="389">
        <f t="shared" si="2"/>
        <v>0</v>
      </c>
      <c r="AE18" s="389">
        <f t="shared" si="3"/>
        <v>0</v>
      </c>
      <c r="AF18" s="389">
        <f t="shared" si="4"/>
        <v>0</v>
      </c>
      <c r="AG18" s="96"/>
      <c r="AH18" s="390">
        <f>IF($I18=Lists!$F$11,0,1)</f>
        <v>1</v>
      </c>
      <c r="AI18" s="390">
        <f>IF($I18=Lists!$F$13,0,1)</f>
        <v>1</v>
      </c>
      <c r="AJ18" s="390">
        <f t="shared" si="5"/>
        <v>1</v>
      </c>
      <c r="AK18" s="390">
        <f t="shared" si="6"/>
        <v>1</v>
      </c>
      <c r="AL18" s="389">
        <f>IF(K18=Lists!$F$11,0,1)</f>
        <v>1</v>
      </c>
      <c r="AM18" s="389">
        <f>IF(K18=Lists!$F$13,0,1)</f>
        <v>1</v>
      </c>
      <c r="AN18" s="389">
        <f t="shared" si="7"/>
        <v>1</v>
      </c>
      <c r="AO18" s="389">
        <f t="shared" si="8"/>
        <v>1</v>
      </c>
      <c r="AP18" s="390">
        <f>IF($M18=Lists!$F$11,0,1)</f>
        <v>1</v>
      </c>
      <c r="AQ18" s="390">
        <f>IF($M18=Lists!$F$13,0,1)</f>
        <v>1</v>
      </c>
      <c r="AR18" s="390">
        <f t="shared" si="9"/>
        <v>1</v>
      </c>
      <c r="AS18" s="390">
        <f t="shared" si="10"/>
        <v>1</v>
      </c>
      <c r="AT18" s="391" t="s">
        <v>547</v>
      </c>
    </row>
    <row r="19" spans="1:46" s="100" customFormat="1" ht="30" customHeight="1" x14ac:dyDescent="0.2">
      <c r="A19" s="99"/>
      <c r="B19" s="343">
        <f t="shared" si="11"/>
        <v>15</v>
      </c>
      <c r="C19" s="392" t="str">
        <f>IF($N$1="Select company","",IF((HLOOKUP((VLOOKUP($N$1,Lists!$B$4:$C$22,2,FALSE)),'PC list edited'!$A$2:$BB$65,(B19+1),FALSE))=0,"",HLOOKUP((VLOOKUP($N$1,Lists!$B$4:$C$22,2,FALSE)),'PC list edited'!$A$2:$BB$65,(B19+1),FALSE)))</f>
        <v>PR14YKYWSWW_SA1</v>
      </c>
      <c r="D19" s="393" t="str">
        <f>IF($N$1="Select company","",IF((HLOOKUP(((VLOOKUP($N$1,Lists!$B$4:$C$22,2,FALSE))&amp;"PC"),'PC list edited'!$A$2:$BB$65,(B19+1),FALSE))=0,"",HLOOKUP(((VLOOKUP($N$1,Lists!$B$4:$C$22,2,FALSE))&amp;"PC"),'PC list edited'!$A$2:$BB$65,(B19+1),FALSE)))</f>
        <v>SA1: Internal sewer flooding incidents</v>
      </c>
      <c r="E19" s="394" t="str">
        <f>IF($N$1="Select company","",IF((HLOOKUP(((VLOOKUP($N$1,Lists!$B$4:$C$22,2,FALSE))&amp;"unit"),'PC list edited'!$A$2:$BB$65,(B19+1),FALSE))=0,"",HLOOKUP(((VLOOKUP($N$1,Lists!$B$4:$C$22,2,FALSE))&amp;"unit"),'PC list edited'!$A$2:$BB$65,(B19+1),FALSE)))</f>
        <v>nr</v>
      </c>
      <c r="F19" s="601">
        <v>1947</v>
      </c>
      <c r="G19" s="601">
        <v>1842</v>
      </c>
      <c r="H19" s="601" t="s">
        <v>548</v>
      </c>
      <c r="I19" s="602" t="s">
        <v>544</v>
      </c>
      <c r="J19" s="603"/>
      <c r="K19" s="602" t="s">
        <v>549</v>
      </c>
      <c r="L19" s="602"/>
      <c r="M19" s="602" t="s">
        <v>546</v>
      </c>
      <c r="N19" s="604"/>
      <c r="O19" s="95"/>
      <c r="Q19" s="29" t="str">
        <f t="shared" si="0"/>
        <v>Please complete all cells in row</v>
      </c>
      <c r="R19" s="95"/>
      <c r="S19" s="96"/>
      <c r="T19" s="120">
        <f t="shared" si="1"/>
        <v>0</v>
      </c>
      <c r="U19" s="120">
        <f t="shared" si="1"/>
        <v>0</v>
      </c>
      <c r="V19" s="120">
        <f t="shared" si="1"/>
        <v>0</v>
      </c>
      <c r="W19" s="120">
        <f t="shared" si="1"/>
        <v>0</v>
      </c>
      <c r="X19" s="120">
        <f t="shared" si="1"/>
        <v>1</v>
      </c>
      <c r="Y19" s="120">
        <f t="shared" si="1"/>
        <v>0</v>
      </c>
      <c r="Z19" s="120">
        <f t="shared" si="1"/>
        <v>1</v>
      </c>
      <c r="AA19" s="120">
        <f t="shared" si="1"/>
        <v>0</v>
      </c>
      <c r="AB19" s="120">
        <f t="shared" si="1"/>
        <v>1</v>
      </c>
      <c r="AC19" s="96"/>
      <c r="AD19" s="389">
        <f t="shared" si="2"/>
        <v>0</v>
      </c>
      <c r="AE19" s="389">
        <f t="shared" si="3"/>
        <v>0</v>
      </c>
      <c r="AF19" s="389">
        <f t="shared" si="4"/>
        <v>0</v>
      </c>
      <c r="AG19" s="96"/>
      <c r="AH19" s="390">
        <f>IF($I19=Lists!$F$11,0,1)</f>
        <v>1</v>
      </c>
      <c r="AI19" s="390">
        <f>IF($I19=Lists!$F$13,0,1)</f>
        <v>1</v>
      </c>
      <c r="AJ19" s="390">
        <f t="shared" si="5"/>
        <v>1</v>
      </c>
      <c r="AK19" s="390">
        <f t="shared" si="6"/>
        <v>1</v>
      </c>
      <c r="AL19" s="389">
        <f>IF(K19=Lists!$F$11,0,1)</f>
        <v>1</v>
      </c>
      <c r="AM19" s="389">
        <f>IF(K19=Lists!$F$13,0,1)</f>
        <v>1</v>
      </c>
      <c r="AN19" s="389">
        <f t="shared" si="7"/>
        <v>1</v>
      </c>
      <c r="AO19" s="389">
        <f t="shared" si="8"/>
        <v>1</v>
      </c>
      <c r="AP19" s="390">
        <f>IF($M19=Lists!$F$11,0,1)</f>
        <v>1</v>
      </c>
      <c r="AQ19" s="390">
        <f>IF($M19=Lists!$F$13,0,1)</f>
        <v>1</v>
      </c>
      <c r="AR19" s="390">
        <f t="shared" si="9"/>
        <v>1</v>
      </c>
      <c r="AS19" s="390">
        <f t="shared" si="10"/>
        <v>1</v>
      </c>
      <c r="AT19" s="391" t="s">
        <v>547</v>
      </c>
    </row>
    <row r="20" spans="1:46" s="100" customFormat="1" ht="30" customHeight="1" x14ac:dyDescent="0.2">
      <c r="A20" s="99"/>
      <c r="B20" s="343">
        <f t="shared" si="11"/>
        <v>16</v>
      </c>
      <c r="C20" s="392" t="str">
        <f>IF($N$1="Select company","",IF((HLOOKUP((VLOOKUP($N$1,Lists!$B$4:$C$22,2,FALSE)),'PC list edited'!$A$2:$BB$65,(B20+1),FALSE))=0,"",HLOOKUP((VLOOKUP($N$1,Lists!$B$4:$C$22,2,FALSE)),'PC list edited'!$A$2:$BB$65,(B20+1),FALSE)))</f>
        <v>PR14YKYWSWW_SA2</v>
      </c>
      <c r="D20" s="393" t="str">
        <f>IF($N$1="Select company","",IF((HLOOKUP(((VLOOKUP($N$1,Lists!$B$4:$C$22,2,FALSE))&amp;"PC"),'PC list edited'!$A$2:$BB$65,(B20+1),FALSE))=0,"",HLOOKUP(((VLOOKUP($N$1,Lists!$B$4:$C$22,2,FALSE))&amp;"PC"),'PC list edited'!$A$2:$BB$65,(B20+1),FALSE)))</f>
        <v>SA2: External sewer flooding incidents</v>
      </c>
      <c r="E20" s="394" t="str">
        <f>IF($N$1="Select company","",IF((HLOOKUP(((VLOOKUP($N$1,Lists!$B$4:$C$22,2,FALSE))&amp;"unit"),'PC list edited'!$A$2:$BB$65,(B20+1),FALSE))=0,"",HLOOKUP(((VLOOKUP($N$1,Lists!$B$4:$C$22,2,FALSE))&amp;"unit"),'PC list edited'!$A$2:$BB$65,(B20+1),FALSE)))</f>
        <v>nr</v>
      </c>
      <c r="F20" s="601">
        <v>8686</v>
      </c>
      <c r="G20" s="601">
        <v>9037</v>
      </c>
      <c r="H20" s="601" t="s">
        <v>548</v>
      </c>
      <c r="I20" s="602" t="s">
        <v>544</v>
      </c>
      <c r="J20" s="603"/>
      <c r="K20" s="602" t="s">
        <v>546</v>
      </c>
      <c r="L20" s="602"/>
      <c r="M20" s="602" t="s">
        <v>544</v>
      </c>
      <c r="N20" s="604"/>
      <c r="O20" s="95"/>
      <c r="Q20" s="29" t="str">
        <f t="shared" si="0"/>
        <v>Please complete all cells in row</v>
      </c>
      <c r="R20" s="95"/>
      <c r="S20" s="96"/>
      <c r="T20" s="120">
        <f t="shared" si="1"/>
        <v>0</v>
      </c>
      <c r="U20" s="120">
        <f t="shared" si="1"/>
        <v>0</v>
      </c>
      <c r="V20" s="120">
        <f t="shared" si="1"/>
        <v>0</v>
      </c>
      <c r="W20" s="120">
        <f t="shared" si="1"/>
        <v>0</v>
      </c>
      <c r="X20" s="120">
        <f t="shared" si="1"/>
        <v>1</v>
      </c>
      <c r="Y20" s="120">
        <f t="shared" si="1"/>
        <v>0</v>
      </c>
      <c r="Z20" s="120">
        <f t="shared" si="1"/>
        <v>1</v>
      </c>
      <c r="AA20" s="120">
        <f t="shared" si="1"/>
        <v>0</v>
      </c>
      <c r="AB20" s="120">
        <f t="shared" si="1"/>
        <v>1</v>
      </c>
      <c r="AC20" s="96"/>
      <c r="AD20" s="389">
        <f t="shared" si="2"/>
        <v>0</v>
      </c>
      <c r="AE20" s="389">
        <f t="shared" si="3"/>
        <v>0</v>
      </c>
      <c r="AF20" s="389">
        <f t="shared" si="4"/>
        <v>0</v>
      </c>
      <c r="AG20" s="96"/>
      <c r="AH20" s="390">
        <f>IF($I20=Lists!$F$11,0,1)</f>
        <v>1</v>
      </c>
      <c r="AI20" s="390">
        <f>IF($I20=Lists!$F$13,0,1)</f>
        <v>1</v>
      </c>
      <c r="AJ20" s="390">
        <f t="shared" si="5"/>
        <v>1</v>
      </c>
      <c r="AK20" s="390">
        <f t="shared" si="6"/>
        <v>1</v>
      </c>
      <c r="AL20" s="389">
        <f>IF(K20=Lists!$F$11,0,1)</f>
        <v>1</v>
      </c>
      <c r="AM20" s="389">
        <f>IF(K20=Lists!$F$13,0,1)</f>
        <v>1</v>
      </c>
      <c r="AN20" s="389">
        <f t="shared" si="7"/>
        <v>1</v>
      </c>
      <c r="AO20" s="389">
        <f t="shared" si="8"/>
        <v>1</v>
      </c>
      <c r="AP20" s="390">
        <f>IF($M20=Lists!$F$11,0,1)</f>
        <v>1</v>
      </c>
      <c r="AQ20" s="390">
        <f>IF($M20=Lists!$F$13,0,1)</f>
        <v>1</v>
      </c>
      <c r="AR20" s="390">
        <f t="shared" si="9"/>
        <v>1</v>
      </c>
      <c r="AS20" s="390">
        <f t="shared" si="10"/>
        <v>1</v>
      </c>
      <c r="AT20" s="391" t="s">
        <v>547</v>
      </c>
    </row>
    <row r="21" spans="1:46" s="100" customFormat="1" ht="30" customHeight="1" x14ac:dyDescent="0.2">
      <c r="A21" s="99"/>
      <c r="B21" s="343">
        <f t="shared" si="11"/>
        <v>17</v>
      </c>
      <c r="C21" s="392" t="str">
        <f>IF($N$1="Select company","",IF((HLOOKUP((VLOOKUP($N$1,Lists!$B$4:$C$22,2,FALSE)),'PC list edited'!$A$2:$BB$65,(B21+1),FALSE))=0,"",HLOOKUP((VLOOKUP($N$1,Lists!$B$4:$C$22,2,FALSE)),'PC list edited'!$A$2:$BB$65,(B21+1),FALSE)))</f>
        <v>PR14YKYWSWW_SA3a</v>
      </c>
      <c r="D21" s="393" t="str">
        <f>IF($N$1="Select company","",IF((HLOOKUP(((VLOOKUP($N$1,Lists!$B$4:$C$22,2,FALSE))&amp;"PC"),'PC list edited'!$A$2:$BB$65,(B21+1),FALSE))=0,"",HLOOKUP(((VLOOKUP($N$1,Lists!$B$4:$C$22,2,FALSE))&amp;"PC"),'PC list edited'!$A$2:$BB$65,(B21+1),FALSE)))</f>
        <v>SA3a: Pollution incidents - category 1 and 2</v>
      </c>
      <c r="E21" s="394" t="str">
        <f>IF($N$1="Select company","",IF((HLOOKUP(((VLOOKUP($N$1,Lists!$B$4:$C$22,2,FALSE))&amp;"unit"),'PC list edited'!$A$2:$BB$65,(B21+1),FALSE))=0,"",HLOOKUP(((VLOOKUP($N$1,Lists!$B$4:$C$22,2,FALSE))&amp;"unit"),'PC list edited'!$A$2:$BB$65,(B21+1),FALSE)))</f>
        <v>nr</v>
      </c>
      <c r="F21" s="601">
        <v>4</v>
      </c>
      <c r="G21" s="601">
        <v>5</v>
      </c>
      <c r="H21" s="601" t="s">
        <v>548</v>
      </c>
      <c r="I21" s="602" t="s">
        <v>544</v>
      </c>
      <c r="J21" s="603"/>
      <c r="K21" s="602" t="s">
        <v>546</v>
      </c>
      <c r="L21" s="602"/>
      <c r="M21" s="602" t="s">
        <v>546</v>
      </c>
      <c r="N21" s="604"/>
      <c r="O21" s="95"/>
      <c r="Q21" s="29" t="str">
        <f t="shared" si="0"/>
        <v>Please complete all cells in row</v>
      </c>
      <c r="R21" s="95"/>
      <c r="S21" s="96"/>
      <c r="T21" s="120">
        <f t="shared" ref="T21:AB49" si="12">IF($C21="",0,IF(ISBLANK(F21)=FALSE,0,1))</f>
        <v>0</v>
      </c>
      <c r="U21" s="120">
        <f t="shared" si="12"/>
        <v>0</v>
      </c>
      <c r="V21" s="120">
        <f t="shared" si="12"/>
        <v>0</v>
      </c>
      <c r="W21" s="120">
        <f t="shared" si="12"/>
        <v>0</v>
      </c>
      <c r="X21" s="120">
        <f t="shared" si="12"/>
        <v>1</v>
      </c>
      <c r="Y21" s="120">
        <f t="shared" si="12"/>
        <v>0</v>
      </c>
      <c r="Z21" s="120">
        <f t="shared" si="12"/>
        <v>1</v>
      </c>
      <c r="AA21" s="120">
        <f t="shared" si="12"/>
        <v>0</v>
      </c>
      <c r="AB21" s="120">
        <f t="shared" si="12"/>
        <v>1</v>
      </c>
      <c r="AC21" s="96"/>
      <c r="AD21" s="389">
        <f t="shared" si="2"/>
        <v>0</v>
      </c>
      <c r="AE21" s="389">
        <f t="shared" si="3"/>
        <v>0</v>
      </c>
      <c r="AF21" s="389">
        <f t="shared" si="4"/>
        <v>0</v>
      </c>
      <c r="AG21" s="96"/>
      <c r="AH21" s="390">
        <f>IF($I21=Lists!$F$11,0,1)</f>
        <v>1</v>
      </c>
      <c r="AI21" s="390">
        <f>IF($I21=Lists!$F$13,0,1)</f>
        <v>1</v>
      </c>
      <c r="AJ21" s="390">
        <f t="shared" si="5"/>
        <v>1</v>
      </c>
      <c r="AK21" s="390">
        <f t="shared" si="6"/>
        <v>1</v>
      </c>
      <c r="AL21" s="389">
        <f>IF(K21=Lists!$F$11,0,1)</f>
        <v>1</v>
      </c>
      <c r="AM21" s="389">
        <f>IF(K21=Lists!$F$13,0,1)</f>
        <v>1</v>
      </c>
      <c r="AN21" s="389">
        <f t="shared" si="7"/>
        <v>1</v>
      </c>
      <c r="AO21" s="389">
        <f t="shared" si="8"/>
        <v>1</v>
      </c>
      <c r="AP21" s="390">
        <f>IF($M21=Lists!$F$11,0,1)</f>
        <v>1</v>
      </c>
      <c r="AQ21" s="390">
        <f>IF($M21=Lists!$F$13,0,1)</f>
        <v>1</v>
      </c>
      <c r="AR21" s="390">
        <f t="shared" si="9"/>
        <v>1</v>
      </c>
      <c r="AS21" s="390">
        <f t="shared" si="10"/>
        <v>1</v>
      </c>
      <c r="AT21" s="391" t="s">
        <v>547</v>
      </c>
    </row>
    <row r="22" spans="1:46" s="100" customFormat="1" ht="30" customHeight="1" x14ac:dyDescent="0.2">
      <c r="A22" s="99"/>
      <c r="B22" s="343">
        <f t="shared" si="11"/>
        <v>18</v>
      </c>
      <c r="C22" s="392" t="str">
        <f>IF($N$1="Select company","",IF((HLOOKUP((VLOOKUP($N$1,Lists!$B$4:$C$22,2,FALSE)),'PC list edited'!$A$2:$BB$65,(B22+1),FALSE))=0,"",HLOOKUP((VLOOKUP($N$1,Lists!$B$4:$C$22,2,FALSE)),'PC list edited'!$A$2:$BB$65,(B22+1),FALSE)))</f>
        <v>PR14YKYWSWW_SA3b</v>
      </c>
      <c r="D22" s="393" t="str">
        <f>IF($N$1="Select company","",IF((HLOOKUP(((VLOOKUP($N$1,Lists!$B$4:$C$22,2,FALSE))&amp;"PC"),'PC list edited'!$A$2:$BB$65,(B22+1),FALSE))=0,"",HLOOKUP(((VLOOKUP($N$1,Lists!$B$4:$C$22,2,FALSE))&amp;"PC"),'PC list edited'!$A$2:$BB$65,(B22+1),FALSE)))</f>
        <v>SA3b: Pollution incidents - category 3</v>
      </c>
      <c r="E22" s="394" t="str">
        <f>IF($N$1="Select company","",IF((HLOOKUP(((VLOOKUP($N$1,Lists!$B$4:$C$22,2,FALSE))&amp;"unit"),'PC list edited'!$A$2:$BB$65,(B22+1),FALSE))=0,"",HLOOKUP(((VLOOKUP($N$1,Lists!$B$4:$C$22,2,FALSE))&amp;"unit"),'PC list edited'!$A$2:$BB$65,(B22+1),FALSE)))</f>
        <v>nr</v>
      </c>
      <c r="F22" s="601">
        <v>170</v>
      </c>
      <c r="G22" s="601">
        <v>180</v>
      </c>
      <c r="H22" s="601" t="s">
        <v>548</v>
      </c>
      <c r="I22" s="602" t="s">
        <v>544</v>
      </c>
      <c r="J22" s="603"/>
      <c r="K22" s="602" t="s">
        <v>552</v>
      </c>
      <c r="L22" s="602">
        <v>5.7391230000000002</v>
      </c>
      <c r="M22" s="602" t="s">
        <v>546</v>
      </c>
      <c r="N22" s="604"/>
      <c r="O22" s="95"/>
      <c r="Q22" s="29" t="str">
        <f t="shared" si="0"/>
        <v>Please complete all cells in row</v>
      </c>
      <c r="R22" s="95"/>
      <c r="S22" s="96"/>
      <c r="T22" s="120">
        <f t="shared" si="12"/>
        <v>0</v>
      </c>
      <c r="U22" s="120">
        <f t="shared" si="12"/>
        <v>0</v>
      </c>
      <c r="V22" s="120">
        <f t="shared" si="12"/>
        <v>0</v>
      </c>
      <c r="W22" s="120">
        <f t="shared" si="12"/>
        <v>0</v>
      </c>
      <c r="X22" s="120">
        <f t="shared" si="12"/>
        <v>1</v>
      </c>
      <c r="Y22" s="120">
        <f t="shared" si="12"/>
        <v>0</v>
      </c>
      <c r="Z22" s="120">
        <f t="shared" si="12"/>
        <v>0</v>
      </c>
      <c r="AA22" s="120">
        <f t="shared" si="12"/>
        <v>0</v>
      </c>
      <c r="AB22" s="120">
        <f t="shared" si="12"/>
        <v>1</v>
      </c>
      <c r="AC22" s="96"/>
      <c r="AD22" s="389">
        <f t="shared" si="2"/>
        <v>0</v>
      </c>
      <c r="AE22" s="389">
        <f t="shared" si="3"/>
        <v>0</v>
      </c>
      <c r="AF22" s="389">
        <f t="shared" si="4"/>
        <v>0</v>
      </c>
      <c r="AG22" s="96"/>
      <c r="AH22" s="390">
        <f>IF($I22=Lists!$F$11,0,1)</f>
        <v>1</v>
      </c>
      <c r="AI22" s="390">
        <f>IF($I22=Lists!$F$13,0,1)</f>
        <v>1</v>
      </c>
      <c r="AJ22" s="390">
        <f t="shared" si="5"/>
        <v>1</v>
      </c>
      <c r="AK22" s="390">
        <f t="shared" si="6"/>
        <v>1</v>
      </c>
      <c r="AL22" s="389">
        <f>IF(K22=Lists!$F$11,0,1)</f>
        <v>0</v>
      </c>
      <c r="AM22" s="389">
        <f>IF(K22=Lists!$F$13,0,1)</f>
        <v>1</v>
      </c>
      <c r="AN22" s="389">
        <f t="shared" si="7"/>
        <v>0</v>
      </c>
      <c r="AO22" s="389">
        <f t="shared" si="8"/>
        <v>0</v>
      </c>
      <c r="AP22" s="390">
        <f>IF($M22=Lists!$F$11,0,1)</f>
        <v>1</v>
      </c>
      <c r="AQ22" s="390">
        <f>IF($M22=Lists!$F$13,0,1)</f>
        <v>1</v>
      </c>
      <c r="AR22" s="390">
        <f t="shared" si="9"/>
        <v>1</v>
      </c>
      <c r="AS22" s="390">
        <f t="shared" si="10"/>
        <v>1</v>
      </c>
      <c r="AT22" s="391" t="s">
        <v>547</v>
      </c>
    </row>
    <row r="23" spans="1:46" s="100" customFormat="1" ht="30" customHeight="1" x14ac:dyDescent="0.2">
      <c r="A23" s="99"/>
      <c r="B23" s="343">
        <f t="shared" si="11"/>
        <v>19</v>
      </c>
      <c r="C23" s="392" t="str">
        <f>IF($N$1="Select company","",IF((HLOOKUP((VLOOKUP($N$1,Lists!$B$4:$C$22,2,FALSE)),'PC list edited'!$A$2:$BB$65,(B23+1),FALSE))=0,"",HLOOKUP((VLOOKUP($N$1,Lists!$B$4:$C$22,2,FALSE)),'PC list edited'!$A$2:$BB$65,(B23+1),FALSE)))</f>
        <v>PR14YKYWSWW_SA4</v>
      </c>
      <c r="D23" s="393" t="str">
        <f>IF($N$1="Select company","",IF((HLOOKUP(((VLOOKUP($N$1,Lists!$B$4:$C$22,2,FALSE))&amp;"PC"),'PC list edited'!$A$2:$BB$65,(B23+1),FALSE))=0,"",HLOOKUP(((VLOOKUP($N$1,Lists!$B$4:$C$22,2,FALSE))&amp;"PC"),'PC list edited'!$A$2:$BB$65,(B23+1),FALSE)))</f>
        <v>SA4: Sewer network stability and reliability factor</v>
      </c>
      <c r="E23" s="394" t="str">
        <f>IF($N$1="Select company","",IF((HLOOKUP(((VLOOKUP($N$1,Lists!$B$4:$C$22,2,FALSE))&amp;"unit"),'PC list edited'!$A$2:$BB$65,(B23+1),FALSE))=0,"",HLOOKUP(((VLOOKUP($N$1,Lists!$B$4:$C$22,2,FALSE))&amp;"unit"),'PC list edited'!$A$2:$BB$65,(B23+1),FALSE)))</f>
        <v>category</v>
      </c>
      <c r="F23" s="601" t="s">
        <v>550</v>
      </c>
      <c r="G23" s="601" t="s">
        <v>550</v>
      </c>
      <c r="H23" s="601" t="s">
        <v>546</v>
      </c>
      <c r="I23" s="602" t="s">
        <v>544</v>
      </c>
      <c r="J23" s="603"/>
      <c r="K23" s="602" t="s">
        <v>546</v>
      </c>
      <c r="L23" s="602"/>
      <c r="M23" s="602" t="s">
        <v>544</v>
      </c>
      <c r="N23" s="604"/>
      <c r="O23" s="144"/>
      <c r="Q23" s="29" t="str">
        <f t="shared" si="0"/>
        <v>Please complete all cells in row</v>
      </c>
      <c r="R23" s="144"/>
      <c r="S23" s="148"/>
      <c r="T23" s="120">
        <f t="shared" si="12"/>
        <v>0</v>
      </c>
      <c r="U23" s="120">
        <f t="shared" si="12"/>
        <v>0</v>
      </c>
      <c r="V23" s="120">
        <f t="shared" si="12"/>
        <v>0</v>
      </c>
      <c r="W23" s="120">
        <f t="shared" si="12"/>
        <v>0</v>
      </c>
      <c r="X23" s="120">
        <f t="shared" si="12"/>
        <v>1</v>
      </c>
      <c r="Y23" s="120">
        <f t="shared" si="12"/>
        <v>0</v>
      </c>
      <c r="Z23" s="120">
        <f t="shared" si="12"/>
        <v>1</v>
      </c>
      <c r="AA23" s="120">
        <f t="shared" si="12"/>
        <v>0</v>
      </c>
      <c r="AB23" s="120">
        <f t="shared" si="12"/>
        <v>1</v>
      </c>
      <c r="AC23" s="148"/>
      <c r="AD23" s="389">
        <f t="shared" si="2"/>
        <v>0</v>
      </c>
      <c r="AE23" s="389">
        <f t="shared" si="3"/>
        <v>0</v>
      </c>
      <c r="AF23" s="389">
        <f t="shared" si="4"/>
        <v>0</v>
      </c>
      <c r="AG23" s="148"/>
      <c r="AH23" s="390">
        <f>IF($I23=Lists!$F$11,0,1)</f>
        <v>1</v>
      </c>
      <c r="AI23" s="390">
        <f>IF($I23=Lists!$F$13,0,1)</f>
        <v>1</v>
      </c>
      <c r="AJ23" s="390">
        <f t="shared" si="5"/>
        <v>1</v>
      </c>
      <c r="AK23" s="390">
        <f t="shared" si="6"/>
        <v>1</v>
      </c>
      <c r="AL23" s="389">
        <f>IF(K23=Lists!$F$11,0,1)</f>
        <v>1</v>
      </c>
      <c r="AM23" s="389">
        <f>IF(K23=Lists!$F$13,0,1)</f>
        <v>1</v>
      </c>
      <c r="AN23" s="389">
        <f t="shared" si="7"/>
        <v>1</v>
      </c>
      <c r="AO23" s="389">
        <f t="shared" si="8"/>
        <v>1</v>
      </c>
      <c r="AP23" s="390">
        <f>IF($M23=Lists!$F$11,0,1)</f>
        <v>1</v>
      </c>
      <c r="AQ23" s="390">
        <f>IF($M23=Lists!$F$13,0,1)</f>
        <v>1</v>
      </c>
      <c r="AR23" s="390">
        <f t="shared" si="9"/>
        <v>1</v>
      </c>
      <c r="AS23" s="390">
        <f t="shared" si="10"/>
        <v>1</v>
      </c>
      <c r="AT23" s="391" t="s">
        <v>547</v>
      </c>
    </row>
    <row r="24" spans="1:46" s="100" customFormat="1" ht="30" customHeight="1" x14ac:dyDescent="0.2">
      <c r="A24" s="99"/>
      <c r="B24" s="343">
        <f t="shared" si="11"/>
        <v>20</v>
      </c>
      <c r="C24" s="392" t="str">
        <f>IF($N$1="Select company","",IF((HLOOKUP((VLOOKUP($N$1,Lists!$B$4:$C$22,2,FALSE)),'PC list edited'!$A$2:$BB$65,(B24+1),FALSE))=0,"",HLOOKUP((VLOOKUP($N$1,Lists!$B$4:$C$22,2,FALSE)),'PC list edited'!$A$2:$BB$65,(B24+1),FALSE)))</f>
        <v>PR14YKYWSWW_SB1</v>
      </c>
      <c r="D24" s="393" t="str">
        <f>IF($N$1="Select company","",IF((HLOOKUP(((VLOOKUP($N$1,Lists!$B$4:$C$22,2,FALSE))&amp;"PC"),'PC list edited'!$A$2:$BB$65,(B24+1),FALSE))=0,"",HLOOKUP(((VLOOKUP($N$1,Lists!$B$4:$C$22,2,FALSE))&amp;"PC"),'PC list edited'!$A$2:$BB$65,(B24+1),FALSE)))</f>
        <v>SB1: Number of Yorkshire's designated bathing waters that exceed the required quality standard</v>
      </c>
      <c r="E24" s="394" t="str">
        <f>IF($N$1="Select company","",IF((HLOOKUP(((VLOOKUP($N$1,Lists!$B$4:$C$22,2,FALSE))&amp;"unit"),'PC list edited'!$A$2:$BB$65,(B24+1),FALSE))=0,"",HLOOKUP(((VLOOKUP($N$1,Lists!$B$4:$C$22,2,FALSE))&amp;"unit"),'PC list edited'!$A$2:$BB$65,(B24+1),FALSE)))</f>
        <v>nr</v>
      </c>
      <c r="F24" s="601">
        <v>18</v>
      </c>
      <c r="G24" s="601">
        <v>18</v>
      </c>
      <c r="H24" s="601" t="s">
        <v>548</v>
      </c>
      <c r="I24" s="602" t="s">
        <v>544</v>
      </c>
      <c r="J24" s="603"/>
      <c r="K24" s="602" t="s">
        <v>546</v>
      </c>
      <c r="L24" s="602"/>
      <c r="M24" s="602" t="s">
        <v>544</v>
      </c>
      <c r="N24" s="604"/>
      <c r="O24" s="150"/>
      <c r="Q24" s="29" t="str">
        <f t="shared" si="0"/>
        <v>Please complete all cells in row</v>
      </c>
      <c r="R24" s="150"/>
      <c r="S24" s="145"/>
      <c r="T24" s="120">
        <f t="shared" si="12"/>
        <v>0</v>
      </c>
      <c r="U24" s="120">
        <f t="shared" si="12"/>
        <v>0</v>
      </c>
      <c r="V24" s="120">
        <f t="shared" si="12"/>
        <v>0</v>
      </c>
      <c r="W24" s="120">
        <f t="shared" si="12"/>
        <v>0</v>
      </c>
      <c r="X24" s="120">
        <f t="shared" si="12"/>
        <v>1</v>
      </c>
      <c r="Y24" s="120">
        <f t="shared" si="12"/>
        <v>0</v>
      </c>
      <c r="Z24" s="120">
        <f t="shared" si="12"/>
        <v>1</v>
      </c>
      <c r="AA24" s="120">
        <f t="shared" si="12"/>
        <v>0</v>
      </c>
      <c r="AB24" s="120">
        <f t="shared" si="12"/>
        <v>1</v>
      </c>
      <c r="AC24" s="145"/>
      <c r="AD24" s="389">
        <f t="shared" si="2"/>
        <v>0</v>
      </c>
      <c r="AE24" s="389">
        <f t="shared" si="3"/>
        <v>0</v>
      </c>
      <c r="AF24" s="389">
        <f t="shared" si="4"/>
        <v>0</v>
      </c>
      <c r="AG24" s="145"/>
      <c r="AH24" s="390">
        <f>IF($I24=Lists!$F$11,0,1)</f>
        <v>1</v>
      </c>
      <c r="AI24" s="390">
        <f>IF($I24=Lists!$F$13,0,1)</f>
        <v>1</v>
      </c>
      <c r="AJ24" s="390">
        <f t="shared" si="5"/>
        <v>1</v>
      </c>
      <c r="AK24" s="390">
        <f t="shared" si="6"/>
        <v>1</v>
      </c>
      <c r="AL24" s="389">
        <f>IF(K24=Lists!$F$11,0,1)</f>
        <v>1</v>
      </c>
      <c r="AM24" s="389">
        <f>IF(K24=Lists!$F$13,0,1)</f>
        <v>1</v>
      </c>
      <c r="AN24" s="389">
        <f t="shared" si="7"/>
        <v>1</v>
      </c>
      <c r="AO24" s="389">
        <f t="shared" si="8"/>
        <v>1</v>
      </c>
      <c r="AP24" s="390">
        <f>IF($M24=Lists!$F$11,0,1)</f>
        <v>1</v>
      </c>
      <c r="AQ24" s="390">
        <f>IF($M24=Lists!$F$13,0,1)</f>
        <v>1</v>
      </c>
      <c r="AR24" s="390">
        <f t="shared" si="9"/>
        <v>1</v>
      </c>
      <c r="AS24" s="390">
        <f t="shared" si="10"/>
        <v>1</v>
      </c>
      <c r="AT24" s="391" t="s">
        <v>547</v>
      </c>
    </row>
    <row r="25" spans="1:46" s="100" customFormat="1" ht="30" customHeight="1" x14ac:dyDescent="0.2">
      <c r="A25" s="99"/>
      <c r="B25" s="343">
        <f t="shared" si="11"/>
        <v>21</v>
      </c>
      <c r="C25" s="392" t="str">
        <f>IF($N$1="Select company","",IF((HLOOKUP((VLOOKUP($N$1,Lists!$B$4:$C$22,2,FALSE)),'PC list edited'!$A$2:$BB$65,(B25+1),FALSE))=0,"",HLOOKUP((VLOOKUP($N$1,Lists!$B$4:$C$22,2,FALSE)),'PC list edited'!$A$2:$BB$65,(B25+1),FALSE)))</f>
        <v>PR14YKYWSWW_SB2</v>
      </c>
      <c r="D25" s="393" t="str">
        <f>IF($N$1="Select company","",IF((HLOOKUP(((VLOOKUP($N$1,Lists!$B$4:$C$22,2,FALSE))&amp;"PC"),'PC list edited'!$A$2:$BB$65,(B25+1),FALSE))=0,"",HLOOKUP(((VLOOKUP($N$1,Lists!$B$4:$C$22,2,FALSE))&amp;"PC"),'PC list edited'!$A$2:$BB$65,(B25+1),FALSE)))</f>
        <v>SB2: Wastewater quality stability and reliability factor</v>
      </c>
      <c r="E25" s="394" t="str">
        <f>IF($N$1="Select company","",IF((HLOOKUP(((VLOOKUP($N$1,Lists!$B$4:$C$22,2,FALSE))&amp;"unit"),'PC list edited'!$A$2:$BB$65,(B25+1),FALSE))=0,"",HLOOKUP(((VLOOKUP($N$1,Lists!$B$4:$C$22,2,FALSE))&amp;"unit"),'PC list edited'!$A$2:$BB$65,(B25+1),FALSE)))</f>
        <v>category</v>
      </c>
      <c r="F25" s="601" t="s">
        <v>550</v>
      </c>
      <c r="G25" s="601" t="s">
        <v>550</v>
      </c>
      <c r="H25" s="601" t="s">
        <v>546</v>
      </c>
      <c r="I25" s="602" t="s">
        <v>544</v>
      </c>
      <c r="J25" s="603"/>
      <c r="K25" s="602" t="s">
        <v>546</v>
      </c>
      <c r="L25" s="602"/>
      <c r="M25" s="602" t="s">
        <v>544</v>
      </c>
      <c r="N25" s="604"/>
      <c r="O25" s="150"/>
      <c r="Q25" s="29" t="str">
        <f t="shared" si="0"/>
        <v>Please complete all cells in row</v>
      </c>
      <c r="R25" s="150"/>
      <c r="S25" s="145"/>
      <c r="T25" s="120">
        <f t="shared" si="12"/>
        <v>0</v>
      </c>
      <c r="U25" s="120">
        <f t="shared" si="12"/>
        <v>0</v>
      </c>
      <c r="V25" s="120">
        <f t="shared" si="12"/>
        <v>0</v>
      </c>
      <c r="W25" s="120">
        <f t="shared" si="12"/>
        <v>0</v>
      </c>
      <c r="X25" s="120">
        <f t="shared" si="12"/>
        <v>1</v>
      </c>
      <c r="Y25" s="120">
        <f t="shared" si="12"/>
        <v>0</v>
      </c>
      <c r="Z25" s="120">
        <f t="shared" si="12"/>
        <v>1</v>
      </c>
      <c r="AA25" s="120">
        <f t="shared" si="12"/>
        <v>0</v>
      </c>
      <c r="AB25" s="120">
        <f t="shared" si="12"/>
        <v>1</v>
      </c>
      <c r="AC25" s="145"/>
      <c r="AD25" s="389">
        <f t="shared" si="2"/>
        <v>0</v>
      </c>
      <c r="AE25" s="389">
        <f t="shared" si="3"/>
        <v>0</v>
      </c>
      <c r="AF25" s="389">
        <f t="shared" si="4"/>
        <v>0</v>
      </c>
      <c r="AG25" s="145"/>
      <c r="AH25" s="390">
        <f>IF($I25=Lists!$F$11,0,1)</f>
        <v>1</v>
      </c>
      <c r="AI25" s="390">
        <f>IF($I25=Lists!$F$13,0,1)</f>
        <v>1</v>
      </c>
      <c r="AJ25" s="390">
        <f t="shared" si="5"/>
        <v>1</v>
      </c>
      <c r="AK25" s="390">
        <f t="shared" si="6"/>
        <v>1</v>
      </c>
      <c r="AL25" s="389">
        <f>IF(K25=Lists!$F$11,0,1)</f>
        <v>1</v>
      </c>
      <c r="AM25" s="389">
        <f>IF(K25=Lists!$F$13,0,1)</f>
        <v>1</v>
      </c>
      <c r="AN25" s="389">
        <f t="shared" si="7"/>
        <v>1</v>
      </c>
      <c r="AO25" s="389">
        <f t="shared" si="8"/>
        <v>1</v>
      </c>
      <c r="AP25" s="390">
        <f>IF($M25=Lists!$F$11,0,1)</f>
        <v>1</v>
      </c>
      <c r="AQ25" s="390">
        <f>IF($M25=Lists!$F$13,0,1)</f>
        <v>1</v>
      </c>
      <c r="AR25" s="390">
        <f t="shared" si="9"/>
        <v>1</v>
      </c>
      <c r="AS25" s="390">
        <f t="shared" si="10"/>
        <v>1</v>
      </c>
      <c r="AT25" s="391" t="s">
        <v>547</v>
      </c>
    </row>
    <row r="26" spans="1:46" s="100" customFormat="1" ht="30" customHeight="1" x14ac:dyDescent="0.2">
      <c r="A26" s="99"/>
      <c r="B26" s="343">
        <f t="shared" si="11"/>
        <v>22</v>
      </c>
      <c r="C26" s="392" t="str">
        <f>IF($N$1="Select company","",IF((HLOOKUP((VLOOKUP($N$1,Lists!$B$4:$C$22,2,FALSE)),'PC list edited'!$A$2:$BB$65,(B26+1),FALSE))=0,"",HLOOKUP((VLOOKUP($N$1,Lists!$B$4:$C$22,2,FALSE)),'PC list edited'!$A$2:$BB$65,(B26+1),FALSE)))</f>
        <v>PR14YKYWSWW_SB3</v>
      </c>
      <c r="D26" s="393" t="str">
        <f>IF($N$1="Select company","",IF((HLOOKUP(((VLOOKUP($N$1,Lists!$B$4:$C$22,2,FALSE))&amp;"PC"),'PC list edited'!$A$2:$BB$65,(B26+1),FALSE))=0,"",HLOOKUP(((VLOOKUP($N$1,Lists!$B$4:$C$22,2,FALSE))&amp;"PC"),'PC list edited'!$A$2:$BB$65,(B26+1),FALSE)))</f>
        <v>SB3: Solutions delivered by working with others (note: PC is part of a total commitment at Appointee level - see also WC2)</v>
      </c>
      <c r="E26" s="394" t="str">
        <f>IF($N$1="Select company","",IF((HLOOKUP(((VLOOKUP($N$1,Lists!$B$4:$C$22,2,FALSE))&amp;"unit"),'PC list edited'!$A$2:$BB$65,(B26+1),FALSE))=0,"",HLOOKUP(((VLOOKUP($N$1,Lists!$B$4:$C$22,2,FALSE))&amp;"unit"),'PC list edited'!$A$2:$BB$65,(B26+1),FALSE)))</f>
        <v>nr</v>
      </c>
      <c r="F26" s="601" t="s">
        <v>551</v>
      </c>
      <c r="G26" s="601">
        <v>4</v>
      </c>
      <c r="H26" s="601" t="s">
        <v>548</v>
      </c>
      <c r="I26" s="602" t="s">
        <v>544</v>
      </c>
      <c r="J26" s="603"/>
      <c r="K26" s="602" t="s">
        <v>552</v>
      </c>
      <c r="L26" s="602">
        <v>2.3955E-4</v>
      </c>
      <c r="M26" s="602" t="s">
        <v>546</v>
      </c>
      <c r="N26" s="604"/>
      <c r="O26" s="150"/>
      <c r="Q26" s="29" t="str">
        <f t="shared" si="0"/>
        <v>Please complete all cells in row</v>
      </c>
      <c r="R26" s="150"/>
      <c r="S26" s="145"/>
      <c r="T26" s="120">
        <f t="shared" si="12"/>
        <v>0</v>
      </c>
      <c r="U26" s="120">
        <f t="shared" si="12"/>
        <v>0</v>
      </c>
      <c r="V26" s="120">
        <f t="shared" si="12"/>
        <v>0</v>
      </c>
      <c r="W26" s="120">
        <f t="shared" si="12"/>
        <v>0</v>
      </c>
      <c r="X26" s="120">
        <f t="shared" si="12"/>
        <v>1</v>
      </c>
      <c r="Y26" s="120">
        <f t="shared" si="12"/>
        <v>0</v>
      </c>
      <c r="Z26" s="120">
        <f t="shared" si="12"/>
        <v>0</v>
      </c>
      <c r="AA26" s="120">
        <f t="shared" si="12"/>
        <v>0</v>
      </c>
      <c r="AB26" s="120">
        <f t="shared" si="12"/>
        <v>1</v>
      </c>
      <c r="AC26" s="145"/>
      <c r="AD26" s="389">
        <f t="shared" si="2"/>
        <v>0</v>
      </c>
      <c r="AE26" s="389">
        <f t="shared" si="3"/>
        <v>0</v>
      </c>
      <c r="AF26" s="389">
        <f t="shared" si="4"/>
        <v>0</v>
      </c>
      <c r="AG26" s="145"/>
      <c r="AH26" s="390">
        <f>IF($I26=Lists!$F$11,0,1)</f>
        <v>1</v>
      </c>
      <c r="AI26" s="390">
        <f>IF($I26=Lists!$F$13,0,1)</f>
        <v>1</v>
      </c>
      <c r="AJ26" s="390">
        <f t="shared" si="5"/>
        <v>1</v>
      </c>
      <c r="AK26" s="390">
        <f t="shared" si="6"/>
        <v>1</v>
      </c>
      <c r="AL26" s="389">
        <f>IF(K26=Lists!$F$11,0,1)</f>
        <v>0</v>
      </c>
      <c r="AM26" s="389">
        <f>IF(K26=Lists!$F$13,0,1)</f>
        <v>1</v>
      </c>
      <c r="AN26" s="389">
        <f t="shared" si="7"/>
        <v>0</v>
      </c>
      <c r="AO26" s="389">
        <f t="shared" si="8"/>
        <v>0</v>
      </c>
      <c r="AP26" s="390">
        <f>IF($M26=Lists!$F$11,0,1)</f>
        <v>1</v>
      </c>
      <c r="AQ26" s="390">
        <f>IF($M26=Lists!$F$13,0,1)</f>
        <v>1</v>
      </c>
      <c r="AR26" s="390">
        <f t="shared" si="9"/>
        <v>1</v>
      </c>
      <c r="AS26" s="390">
        <f t="shared" si="10"/>
        <v>1</v>
      </c>
      <c r="AT26" s="391" t="s">
        <v>547</v>
      </c>
    </row>
    <row r="27" spans="1:46" s="100" customFormat="1" ht="30" customHeight="1" x14ac:dyDescent="0.2">
      <c r="A27" s="99"/>
      <c r="B27" s="343">
        <f t="shared" si="11"/>
        <v>23</v>
      </c>
      <c r="C27" s="392" t="str">
        <f>IF($N$1="Select company","",IF((HLOOKUP((VLOOKUP($N$1,Lists!$B$4:$C$22,2,FALSE)),'PC list edited'!$A$2:$BB$65,(B27+1),FALSE))=0,"",HLOOKUP((VLOOKUP($N$1,Lists!$B$4:$C$22,2,FALSE)),'PC list edited'!$A$2:$BB$65,(B27+1),FALSE)))</f>
        <v>PR14YKYWSWW_SB4</v>
      </c>
      <c r="D27" s="393" t="str">
        <f>IF($N$1="Select company","",IF((HLOOKUP(((VLOOKUP($N$1,Lists!$B$4:$C$22,2,FALSE))&amp;"PC"),'PC list edited'!$A$2:$BB$65,(B27+1),FALSE))=0,"",HLOOKUP(((VLOOKUP($N$1,Lists!$B$4:$C$22,2,FALSE))&amp;"PC"),'PC list edited'!$A$2:$BB$65,(B27+1),FALSE)))</f>
        <v>SB4: Length of river improved (against WFD component measures) (note: PC is part of a total commitment at Appointee level - see also WC1)</v>
      </c>
      <c r="E27" s="394" t="str">
        <f>IF($N$1="Select company","",IF((HLOOKUP(((VLOOKUP($N$1,Lists!$B$4:$C$22,2,FALSE))&amp;"unit"),'PC list edited'!$A$2:$BB$65,(B27+1),FALSE))=0,"",HLOOKUP(((VLOOKUP($N$1,Lists!$B$4:$C$22,2,FALSE))&amp;"unit"),'PC list edited'!$A$2:$BB$65,(B27+1),FALSE)))</f>
        <v>nr</v>
      </c>
      <c r="F27" s="601" t="s">
        <v>551</v>
      </c>
      <c r="G27" s="601">
        <v>0</v>
      </c>
      <c r="H27" s="601" t="s">
        <v>546</v>
      </c>
      <c r="I27" s="602" t="s">
        <v>544</v>
      </c>
      <c r="J27" s="603"/>
      <c r="K27" s="602" t="s">
        <v>546</v>
      </c>
      <c r="L27" s="602"/>
      <c r="M27" s="602" t="s">
        <v>546</v>
      </c>
      <c r="N27" s="604"/>
      <c r="O27" s="150"/>
      <c r="Q27" s="29" t="str">
        <f t="shared" si="0"/>
        <v>Please complete all cells in row</v>
      </c>
      <c r="R27" s="150"/>
      <c r="S27" s="145"/>
      <c r="T27" s="120">
        <f t="shared" si="12"/>
        <v>0</v>
      </c>
      <c r="U27" s="120">
        <f t="shared" si="12"/>
        <v>0</v>
      </c>
      <c r="V27" s="120">
        <f t="shared" si="12"/>
        <v>0</v>
      </c>
      <c r="W27" s="120">
        <f t="shared" si="12"/>
        <v>0</v>
      </c>
      <c r="X27" s="120">
        <f t="shared" si="12"/>
        <v>1</v>
      </c>
      <c r="Y27" s="120">
        <f t="shared" si="12"/>
        <v>0</v>
      </c>
      <c r="Z27" s="120">
        <f t="shared" si="12"/>
        <v>1</v>
      </c>
      <c r="AA27" s="120">
        <f t="shared" si="12"/>
        <v>0</v>
      </c>
      <c r="AB27" s="120">
        <f t="shared" si="12"/>
        <v>1</v>
      </c>
      <c r="AC27" s="145"/>
      <c r="AD27" s="389">
        <f t="shared" si="2"/>
        <v>0</v>
      </c>
      <c r="AE27" s="389">
        <f t="shared" si="3"/>
        <v>0</v>
      </c>
      <c r="AF27" s="389">
        <f t="shared" si="4"/>
        <v>0</v>
      </c>
      <c r="AG27" s="145"/>
      <c r="AH27" s="390">
        <f>IF($I27=Lists!$F$11,0,1)</f>
        <v>1</v>
      </c>
      <c r="AI27" s="390">
        <f>IF($I27=Lists!$F$13,0,1)</f>
        <v>1</v>
      </c>
      <c r="AJ27" s="390">
        <f t="shared" si="5"/>
        <v>1</v>
      </c>
      <c r="AK27" s="390">
        <f t="shared" si="6"/>
        <v>1</v>
      </c>
      <c r="AL27" s="389">
        <f>IF(K27=Lists!$F$11,0,1)</f>
        <v>1</v>
      </c>
      <c r="AM27" s="389">
        <f>IF(K27=Lists!$F$13,0,1)</f>
        <v>1</v>
      </c>
      <c r="AN27" s="389">
        <f t="shared" si="7"/>
        <v>1</v>
      </c>
      <c r="AO27" s="389">
        <f t="shared" si="8"/>
        <v>1</v>
      </c>
      <c r="AP27" s="390">
        <f>IF($M27=Lists!$F$11,0,1)</f>
        <v>1</v>
      </c>
      <c r="AQ27" s="390">
        <f>IF($M27=Lists!$F$13,0,1)</f>
        <v>1</v>
      </c>
      <c r="AR27" s="390">
        <f t="shared" si="9"/>
        <v>1</v>
      </c>
      <c r="AS27" s="390">
        <f t="shared" si="10"/>
        <v>1</v>
      </c>
      <c r="AT27" s="391" t="s">
        <v>547</v>
      </c>
    </row>
    <row r="28" spans="1:46" s="100" customFormat="1" ht="30" customHeight="1" x14ac:dyDescent="0.2">
      <c r="A28" s="99"/>
      <c r="B28" s="343">
        <f t="shared" si="11"/>
        <v>24</v>
      </c>
      <c r="C28" s="392" t="str">
        <f>IF($N$1="Select company","",IF((HLOOKUP((VLOOKUP($N$1,Lists!$B$4:$C$22,2,FALSE)),'PC list edited'!$A$2:$BB$65,(B28+1),FALSE))=0,"",HLOOKUP((VLOOKUP($N$1,Lists!$B$4:$C$22,2,FALSE)),'PC list edited'!$A$2:$BB$65,(B28+1),FALSE)))</f>
        <v>PR14YKYWSWW_SB5</v>
      </c>
      <c r="D28" s="393" t="str">
        <f>IF($N$1="Select company","",IF((HLOOKUP(((VLOOKUP($N$1,Lists!$B$4:$C$22,2,FALSE))&amp;"PC"),'PC list edited'!$A$2:$BB$65,(B28+1),FALSE))=0,"",HLOOKUP(((VLOOKUP($N$1,Lists!$B$4:$C$22,2,FALSE))&amp;"PC"),'PC list edited'!$A$2:$BB$65,(B28+1),FALSE)))</f>
        <v>SB5: Amount of land conserved and enhanced (total cumulative area) (note: PC is part of a total commitment at Appointee level - see also WC3)</v>
      </c>
      <c r="E28" s="394" t="str">
        <f>IF($N$1="Select company","",IF((HLOOKUP(((VLOOKUP($N$1,Lists!$B$4:$C$22,2,FALSE))&amp;"unit"),'PC list edited'!$A$2:$BB$65,(B28+1),FALSE))=0,"",HLOOKUP(((VLOOKUP($N$1,Lists!$B$4:$C$22,2,FALSE))&amp;"unit"),'PC list edited'!$A$2:$BB$65,(B28+1),FALSE)))</f>
        <v>nr</v>
      </c>
      <c r="F28" s="601">
        <v>11466</v>
      </c>
      <c r="G28" s="601">
        <v>11466</v>
      </c>
      <c r="H28" s="601" t="s">
        <v>546</v>
      </c>
      <c r="I28" s="602" t="s">
        <v>544</v>
      </c>
      <c r="J28" s="603"/>
      <c r="K28" s="602" t="s">
        <v>546</v>
      </c>
      <c r="L28" s="602"/>
      <c r="M28" s="602" t="s">
        <v>546</v>
      </c>
      <c r="N28" s="604"/>
      <c r="O28" s="150"/>
      <c r="Q28" s="29" t="str">
        <f t="shared" si="0"/>
        <v>Please complete all cells in row</v>
      </c>
      <c r="R28" s="150"/>
      <c r="S28" s="145"/>
      <c r="T28" s="120">
        <f t="shared" si="12"/>
        <v>0</v>
      </c>
      <c r="U28" s="120">
        <f t="shared" si="12"/>
        <v>0</v>
      </c>
      <c r="V28" s="120">
        <f t="shared" si="12"/>
        <v>0</v>
      </c>
      <c r="W28" s="120">
        <f t="shared" si="12"/>
        <v>0</v>
      </c>
      <c r="X28" s="120">
        <f t="shared" si="12"/>
        <v>1</v>
      </c>
      <c r="Y28" s="120">
        <f t="shared" si="12"/>
        <v>0</v>
      </c>
      <c r="Z28" s="120">
        <f t="shared" si="12"/>
        <v>1</v>
      </c>
      <c r="AA28" s="120">
        <f t="shared" si="12"/>
        <v>0</v>
      </c>
      <c r="AB28" s="120">
        <f t="shared" si="12"/>
        <v>1</v>
      </c>
      <c r="AC28" s="145"/>
      <c r="AD28" s="389">
        <f t="shared" si="2"/>
        <v>0</v>
      </c>
      <c r="AE28" s="389">
        <f t="shared" si="3"/>
        <v>0</v>
      </c>
      <c r="AF28" s="389">
        <f t="shared" si="4"/>
        <v>0</v>
      </c>
      <c r="AG28" s="145"/>
      <c r="AH28" s="390">
        <f>IF($I28=Lists!$F$11,0,1)</f>
        <v>1</v>
      </c>
      <c r="AI28" s="390">
        <f>IF($I28=Lists!$F$13,0,1)</f>
        <v>1</v>
      </c>
      <c r="AJ28" s="390">
        <f t="shared" si="5"/>
        <v>1</v>
      </c>
      <c r="AK28" s="390">
        <f t="shared" si="6"/>
        <v>1</v>
      </c>
      <c r="AL28" s="389">
        <f>IF(K28=Lists!$F$11,0,1)</f>
        <v>1</v>
      </c>
      <c r="AM28" s="389">
        <f>IF(K28=Lists!$F$13,0,1)</f>
        <v>1</v>
      </c>
      <c r="AN28" s="389">
        <f t="shared" si="7"/>
        <v>1</v>
      </c>
      <c r="AO28" s="389">
        <f t="shared" si="8"/>
        <v>1</v>
      </c>
      <c r="AP28" s="390">
        <f>IF($M28=Lists!$F$11,0,1)</f>
        <v>1</v>
      </c>
      <c r="AQ28" s="390">
        <f>IF($M28=Lists!$F$13,0,1)</f>
        <v>1</v>
      </c>
      <c r="AR28" s="390">
        <f t="shared" si="9"/>
        <v>1</v>
      </c>
      <c r="AS28" s="390">
        <f t="shared" si="10"/>
        <v>1</v>
      </c>
      <c r="AT28" s="391" t="s">
        <v>547</v>
      </c>
    </row>
    <row r="29" spans="1:46" s="100" customFormat="1" ht="30" customHeight="1" x14ac:dyDescent="0.2">
      <c r="A29" s="99"/>
      <c r="B29" s="343">
        <f t="shared" si="11"/>
        <v>25</v>
      </c>
      <c r="C29" s="392" t="str">
        <f>IF($N$1="Select company","",IF((HLOOKUP((VLOOKUP($N$1,Lists!$B$4:$C$22,2,FALSE)),'PC list edited'!$A$2:$BB$65,(B29+1),FALSE))=0,"",HLOOKUP((VLOOKUP($N$1,Lists!$B$4:$C$22,2,FALSE)),'PC list edited'!$A$2:$BB$65,(B29+1),FALSE)))</f>
        <v>PR14YKYWSWW_SC1</v>
      </c>
      <c r="D29" s="393" t="str">
        <f>IF($N$1="Select company","",IF((HLOOKUP(((VLOOKUP($N$1,Lists!$B$4:$C$22,2,FALSE))&amp;"PC"),'PC list edited'!$A$2:$BB$65,(B29+1),FALSE))=0,"",HLOOKUP(((VLOOKUP($N$1,Lists!$B$4:$C$22,2,FALSE))&amp;"PC"),'PC list edited'!$A$2:$BB$65,(B29+1),FALSE)))</f>
        <v>SC1: Proportion of energy use generated by renewable technology (note: PC is part of a total commitment at Appointee level - see also WD1 and RC1)</v>
      </c>
      <c r="E29" s="394" t="str">
        <f>IF($N$1="Select company","",IF((HLOOKUP(((VLOOKUP($N$1,Lists!$B$4:$C$22,2,FALSE))&amp;"unit"),'PC list edited'!$A$2:$BB$65,(B29+1),FALSE))=0,"",HLOOKUP(((VLOOKUP($N$1,Lists!$B$4:$C$22,2,FALSE))&amp;"unit"),'PC list edited'!$A$2:$BB$65,(B29+1),FALSE)))</f>
        <v>%</v>
      </c>
      <c r="F29" s="601">
        <v>12.26</v>
      </c>
      <c r="G29" s="601">
        <v>11.257999999999999</v>
      </c>
      <c r="H29" s="601" t="s">
        <v>543</v>
      </c>
      <c r="I29" s="602" t="s">
        <v>544</v>
      </c>
      <c r="J29" s="603"/>
      <c r="K29" s="602" t="s">
        <v>546</v>
      </c>
      <c r="L29" s="602"/>
      <c r="M29" s="602" t="s">
        <v>544</v>
      </c>
      <c r="N29" s="604"/>
      <c r="O29" s="150"/>
      <c r="Q29" s="29" t="str">
        <f t="shared" si="0"/>
        <v>Please complete all cells in row</v>
      </c>
      <c r="R29" s="150"/>
      <c r="S29" s="145"/>
      <c r="T29" s="120">
        <f t="shared" si="12"/>
        <v>0</v>
      </c>
      <c r="U29" s="120">
        <f t="shared" si="12"/>
        <v>0</v>
      </c>
      <c r="V29" s="120">
        <f t="shared" si="12"/>
        <v>0</v>
      </c>
      <c r="W29" s="120">
        <f t="shared" si="12"/>
        <v>0</v>
      </c>
      <c r="X29" s="120">
        <f t="shared" si="12"/>
        <v>1</v>
      </c>
      <c r="Y29" s="120">
        <f t="shared" si="12"/>
        <v>0</v>
      </c>
      <c r="Z29" s="120">
        <f t="shared" si="12"/>
        <v>1</v>
      </c>
      <c r="AA29" s="120">
        <f t="shared" si="12"/>
        <v>0</v>
      </c>
      <c r="AB29" s="120">
        <f t="shared" si="12"/>
        <v>1</v>
      </c>
      <c r="AC29" s="145"/>
      <c r="AD29" s="389">
        <f t="shared" si="2"/>
        <v>0</v>
      </c>
      <c r="AE29" s="389">
        <f t="shared" si="3"/>
        <v>0</v>
      </c>
      <c r="AF29" s="389">
        <f t="shared" si="4"/>
        <v>0</v>
      </c>
      <c r="AG29" s="145"/>
      <c r="AH29" s="390">
        <f>IF($I29=Lists!$F$11,0,1)</f>
        <v>1</v>
      </c>
      <c r="AI29" s="390">
        <f>IF($I29=Lists!$F$13,0,1)</f>
        <v>1</v>
      </c>
      <c r="AJ29" s="390">
        <f t="shared" si="5"/>
        <v>1</v>
      </c>
      <c r="AK29" s="390">
        <f t="shared" si="6"/>
        <v>1</v>
      </c>
      <c r="AL29" s="389">
        <f>IF(K29=Lists!$F$11,0,1)</f>
        <v>1</v>
      </c>
      <c r="AM29" s="389">
        <f>IF(K29=Lists!$F$13,0,1)</f>
        <v>1</v>
      </c>
      <c r="AN29" s="389">
        <f t="shared" si="7"/>
        <v>1</v>
      </c>
      <c r="AO29" s="389">
        <f t="shared" si="8"/>
        <v>1</v>
      </c>
      <c r="AP29" s="390">
        <f>IF($M29=Lists!$F$11,0,1)</f>
        <v>1</v>
      </c>
      <c r="AQ29" s="390">
        <f>IF($M29=Lists!$F$13,0,1)</f>
        <v>1</v>
      </c>
      <c r="AR29" s="390">
        <f t="shared" si="9"/>
        <v>1</v>
      </c>
      <c r="AS29" s="390">
        <f t="shared" si="10"/>
        <v>1</v>
      </c>
      <c r="AT29" s="391" t="s">
        <v>547</v>
      </c>
    </row>
    <row r="30" spans="1:46" s="100" customFormat="1" ht="30" customHeight="1" x14ac:dyDescent="0.2">
      <c r="A30" s="99"/>
      <c r="B30" s="343">
        <f t="shared" si="11"/>
        <v>26</v>
      </c>
      <c r="C30" s="392" t="str">
        <f>IF($N$1="Select company","",IF((HLOOKUP((VLOOKUP($N$1,Lists!$B$4:$C$22,2,FALSE)),'PC list edited'!$A$2:$BB$65,(B30+1),FALSE))=0,"",HLOOKUP((VLOOKUP($N$1,Lists!$B$4:$C$22,2,FALSE)),'PC list edited'!$A$2:$BB$65,(B30+1),FALSE)))</f>
        <v>PR14YKYWSWW_SC2</v>
      </c>
      <c r="D30" s="393" t="str">
        <f>IF($N$1="Select company","",IF((HLOOKUP(((VLOOKUP($N$1,Lists!$B$4:$C$22,2,FALSE))&amp;"PC"),'PC list edited'!$A$2:$BB$65,(B30+1),FALSE))=0,"",HLOOKUP(((VLOOKUP($N$1,Lists!$B$4:$C$22,2,FALSE))&amp;"PC"),'PC list edited'!$A$2:$BB$65,(B30+1),FALSE)))</f>
        <v>SC2: Proportion of waste diverted from landfill (re-used and recycled) (note: PC is part of a total commitment at Appointee level - see also WD2 and RC2)</v>
      </c>
      <c r="E30" s="394" t="str">
        <f>IF($N$1="Select company","",IF((HLOOKUP(((VLOOKUP($N$1,Lists!$B$4:$C$22,2,FALSE))&amp;"unit"),'PC list edited'!$A$2:$BB$65,(B30+1),FALSE))=0,"",HLOOKUP(((VLOOKUP($N$1,Lists!$B$4:$C$22,2,FALSE))&amp;"unit"),'PC list edited'!$A$2:$BB$65,(B30+1),FALSE)))</f>
        <v>%</v>
      </c>
      <c r="F30" s="601">
        <v>93.5</v>
      </c>
      <c r="G30" s="601">
        <v>98.91</v>
      </c>
      <c r="H30" s="601" t="s">
        <v>548</v>
      </c>
      <c r="I30" s="602" t="s">
        <v>544</v>
      </c>
      <c r="J30" s="603"/>
      <c r="K30" s="602" t="s">
        <v>546</v>
      </c>
      <c r="L30" s="602"/>
      <c r="M30" s="602" t="s">
        <v>544</v>
      </c>
      <c r="N30" s="604"/>
      <c r="O30" s="150"/>
      <c r="Q30" s="29" t="str">
        <f t="shared" si="0"/>
        <v>Please complete all cells in row</v>
      </c>
      <c r="R30" s="150"/>
      <c r="S30" s="145"/>
      <c r="T30" s="120">
        <f t="shared" si="12"/>
        <v>0</v>
      </c>
      <c r="U30" s="120">
        <f t="shared" si="12"/>
        <v>0</v>
      </c>
      <c r="V30" s="120">
        <f t="shared" si="12"/>
        <v>0</v>
      </c>
      <c r="W30" s="120">
        <f t="shared" si="12"/>
        <v>0</v>
      </c>
      <c r="X30" s="120">
        <f t="shared" si="12"/>
        <v>1</v>
      </c>
      <c r="Y30" s="120">
        <f t="shared" si="12"/>
        <v>0</v>
      </c>
      <c r="Z30" s="120">
        <f t="shared" si="12"/>
        <v>1</v>
      </c>
      <c r="AA30" s="120">
        <f t="shared" si="12"/>
        <v>0</v>
      </c>
      <c r="AB30" s="120">
        <f t="shared" si="12"/>
        <v>1</v>
      </c>
      <c r="AC30" s="145"/>
      <c r="AD30" s="389">
        <f t="shared" si="2"/>
        <v>0</v>
      </c>
      <c r="AE30" s="389">
        <f t="shared" si="3"/>
        <v>0</v>
      </c>
      <c r="AF30" s="389">
        <f t="shared" si="4"/>
        <v>0</v>
      </c>
      <c r="AG30" s="145"/>
      <c r="AH30" s="390">
        <f>IF($I30=Lists!$F$11,0,1)</f>
        <v>1</v>
      </c>
      <c r="AI30" s="390">
        <f>IF($I30=Lists!$F$13,0,1)</f>
        <v>1</v>
      </c>
      <c r="AJ30" s="390">
        <f t="shared" si="5"/>
        <v>1</v>
      </c>
      <c r="AK30" s="390">
        <f t="shared" si="6"/>
        <v>1</v>
      </c>
      <c r="AL30" s="389">
        <f>IF(K30=Lists!$F$11,0,1)</f>
        <v>1</v>
      </c>
      <c r="AM30" s="389">
        <f>IF(K30=Lists!$F$13,0,1)</f>
        <v>1</v>
      </c>
      <c r="AN30" s="389">
        <f t="shared" si="7"/>
        <v>1</v>
      </c>
      <c r="AO30" s="389">
        <f t="shared" si="8"/>
        <v>1</v>
      </c>
      <c r="AP30" s="390">
        <f>IF($M30=Lists!$F$11,0,1)</f>
        <v>1</v>
      </c>
      <c r="AQ30" s="390">
        <f>IF($M30=Lists!$F$13,0,1)</f>
        <v>1</v>
      </c>
      <c r="AR30" s="390">
        <f t="shared" si="9"/>
        <v>1</v>
      </c>
      <c r="AS30" s="390">
        <f t="shared" si="10"/>
        <v>1</v>
      </c>
      <c r="AT30" s="391" t="s">
        <v>547</v>
      </c>
    </row>
    <row r="31" spans="1:46" s="100" customFormat="1" ht="30" customHeight="1" x14ac:dyDescent="0.2">
      <c r="A31" s="99"/>
      <c r="B31" s="343">
        <f t="shared" si="11"/>
        <v>27</v>
      </c>
      <c r="C31" s="392" t="str">
        <f>IF($N$1="Select company","",IF((HLOOKUP((VLOOKUP($N$1,Lists!$B$4:$C$22,2,FALSE)),'PC list edited'!$A$2:$BB$65,(B31+1),FALSE))=0,"",HLOOKUP((VLOOKUP($N$1,Lists!$B$4:$C$22,2,FALSE)),'PC list edited'!$A$2:$BB$65,(B31+1),FALSE)))</f>
        <v>PR14YKYHHR_RA1</v>
      </c>
      <c r="D31" s="393" t="str">
        <f>IF($N$1="Select company","",IF((HLOOKUP(((VLOOKUP($N$1,Lists!$B$4:$C$22,2,FALSE))&amp;"PC"),'PC list edited'!$A$2:$BB$65,(B31+1),FALSE))=0,"",HLOOKUP(((VLOOKUP($N$1,Lists!$B$4:$C$22,2,FALSE))&amp;"PC"),'PC list edited'!$A$2:$BB$65,(B31+1),FALSE)))</f>
        <v>RA1: Customer service - service incentive mechanism (SIM)</v>
      </c>
      <c r="E31" s="394" t="str">
        <f>IF($N$1="Select company","",IF((HLOOKUP(((VLOOKUP($N$1,Lists!$B$4:$C$22,2,FALSE))&amp;"unit"),'PC list edited'!$A$2:$BB$65,(B31+1),FALSE))=0,"",HLOOKUP(((VLOOKUP($N$1,Lists!$B$4:$C$22,2,FALSE))&amp;"unit"),'PC list edited'!$A$2:$BB$65,(B31+1),FALSE)))</f>
        <v>score</v>
      </c>
      <c r="F31" s="601">
        <v>82</v>
      </c>
      <c r="G31" s="601">
        <v>82.6</v>
      </c>
      <c r="H31" s="601" t="s">
        <v>548</v>
      </c>
      <c r="I31" s="602" t="s">
        <v>544</v>
      </c>
      <c r="J31" s="603"/>
      <c r="K31" s="602" t="s">
        <v>546</v>
      </c>
      <c r="L31" s="602"/>
      <c r="M31" s="602" t="s">
        <v>546</v>
      </c>
      <c r="N31" s="604"/>
      <c r="O31" s="153"/>
      <c r="Q31" s="29" t="str">
        <f t="shared" si="0"/>
        <v>Please complete all cells in row</v>
      </c>
      <c r="R31" s="150"/>
      <c r="S31" s="145"/>
      <c r="T31" s="120">
        <f t="shared" si="12"/>
        <v>0</v>
      </c>
      <c r="U31" s="120">
        <f t="shared" si="12"/>
        <v>0</v>
      </c>
      <c r="V31" s="120">
        <f t="shared" si="12"/>
        <v>0</v>
      </c>
      <c r="W31" s="120">
        <f t="shared" si="12"/>
        <v>0</v>
      </c>
      <c r="X31" s="120">
        <f t="shared" si="12"/>
        <v>1</v>
      </c>
      <c r="Y31" s="120">
        <f t="shared" si="12"/>
        <v>0</v>
      </c>
      <c r="Z31" s="120">
        <f t="shared" si="12"/>
        <v>1</v>
      </c>
      <c r="AA31" s="120">
        <f t="shared" si="12"/>
        <v>0</v>
      </c>
      <c r="AB31" s="120">
        <f t="shared" si="12"/>
        <v>1</v>
      </c>
      <c r="AC31" s="145"/>
      <c r="AD31" s="389">
        <f t="shared" si="2"/>
        <v>0</v>
      </c>
      <c r="AE31" s="389">
        <f t="shared" si="3"/>
        <v>0</v>
      </c>
      <c r="AF31" s="389">
        <f t="shared" si="4"/>
        <v>0</v>
      </c>
      <c r="AG31" s="145"/>
      <c r="AH31" s="390">
        <f>IF($I31=Lists!$F$11,0,1)</f>
        <v>1</v>
      </c>
      <c r="AI31" s="390">
        <f>IF($I31=Lists!$F$13,0,1)</f>
        <v>1</v>
      </c>
      <c r="AJ31" s="390">
        <f t="shared" si="5"/>
        <v>1</v>
      </c>
      <c r="AK31" s="390">
        <f t="shared" si="6"/>
        <v>1</v>
      </c>
      <c r="AL31" s="389">
        <f>IF(K31=Lists!$F$11,0,1)</f>
        <v>1</v>
      </c>
      <c r="AM31" s="389">
        <f>IF(K31=Lists!$F$13,0,1)</f>
        <v>1</v>
      </c>
      <c r="AN31" s="389">
        <f t="shared" si="7"/>
        <v>1</v>
      </c>
      <c r="AO31" s="389">
        <f t="shared" si="8"/>
        <v>1</v>
      </c>
      <c r="AP31" s="390">
        <f>IF($M31=Lists!$F$11,0,1)</f>
        <v>1</v>
      </c>
      <c r="AQ31" s="390">
        <f>IF($M31=Lists!$F$13,0,1)</f>
        <v>1</v>
      </c>
      <c r="AR31" s="390">
        <f t="shared" si="9"/>
        <v>1</v>
      </c>
      <c r="AS31" s="390">
        <f t="shared" si="10"/>
        <v>1</v>
      </c>
      <c r="AT31" s="391" t="s">
        <v>547</v>
      </c>
    </row>
    <row r="32" spans="1:46" s="100" customFormat="1" ht="30" customHeight="1" x14ac:dyDescent="0.2">
      <c r="A32" s="99"/>
      <c r="B32" s="343">
        <f t="shared" si="11"/>
        <v>28</v>
      </c>
      <c r="C32" s="392" t="str">
        <f>IF($N$1="Select company","",IF((HLOOKUP((VLOOKUP($N$1,Lists!$B$4:$C$22,2,FALSE)),'PC list edited'!$A$2:$BB$65,(B32+1),FALSE))=0,"",HLOOKUP((VLOOKUP($N$1,Lists!$B$4:$C$22,2,FALSE)),'PC list edited'!$A$2:$BB$65,(B32+1),FALSE)))</f>
        <v>PR14YKYHHR_RA2</v>
      </c>
      <c r="D32" s="393" t="str">
        <f>IF($N$1="Select company","",IF((HLOOKUP(((VLOOKUP($N$1,Lists!$B$4:$C$22,2,FALSE))&amp;"PC"),'PC list edited'!$A$2:$BB$65,(B32+1),FALSE))=0,"",HLOOKUP(((VLOOKUP($N$1,Lists!$B$4:$C$22,2,FALSE))&amp;"PC"),'PC list edited'!$A$2:$BB$65,(B32+1),FALSE)))</f>
        <v>RA2: Service commitment failures</v>
      </c>
      <c r="E32" s="394" t="str">
        <f>IF($N$1="Select company","",IF((HLOOKUP(((VLOOKUP($N$1,Lists!$B$4:$C$22,2,FALSE))&amp;"unit"),'PC list edited'!$A$2:$BB$65,(B32+1),FALSE))=0,"",HLOOKUP(((VLOOKUP($N$1,Lists!$B$4:$C$22,2,FALSE))&amp;"unit"),'PC list edited'!$A$2:$BB$65,(B32+1),FALSE)))</f>
        <v>nr</v>
      </c>
      <c r="F32" s="601">
        <v>10610</v>
      </c>
      <c r="G32" s="601">
        <v>10567</v>
      </c>
      <c r="H32" s="601" t="s">
        <v>546</v>
      </c>
      <c r="I32" s="602" t="s">
        <v>544</v>
      </c>
      <c r="J32" s="603"/>
      <c r="K32" s="602" t="s">
        <v>546</v>
      </c>
      <c r="L32" s="602"/>
      <c r="M32" s="602" t="s">
        <v>544</v>
      </c>
      <c r="N32" s="604"/>
      <c r="O32" s="153"/>
      <c r="Q32" s="29" t="str">
        <f t="shared" si="0"/>
        <v>Please complete all cells in row</v>
      </c>
      <c r="R32" s="150"/>
      <c r="S32" s="145"/>
      <c r="T32" s="120">
        <f t="shared" si="12"/>
        <v>0</v>
      </c>
      <c r="U32" s="120">
        <f t="shared" si="12"/>
        <v>0</v>
      </c>
      <c r="V32" s="120">
        <f t="shared" si="12"/>
        <v>0</v>
      </c>
      <c r="W32" s="120">
        <f t="shared" si="12"/>
        <v>0</v>
      </c>
      <c r="X32" s="120">
        <f t="shared" si="12"/>
        <v>1</v>
      </c>
      <c r="Y32" s="120">
        <f t="shared" si="12"/>
        <v>0</v>
      </c>
      <c r="Z32" s="120">
        <f t="shared" si="12"/>
        <v>1</v>
      </c>
      <c r="AA32" s="120">
        <f t="shared" si="12"/>
        <v>0</v>
      </c>
      <c r="AB32" s="120">
        <f t="shared" si="12"/>
        <v>1</v>
      </c>
      <c r="AC32" s="145"/>
      <c r="AD32" s="389">
        <f t="shared" si="2"/>
        <v>0</v>
      </c>
      <c r="AE32" s="389">
        <f t="shared" si="3"/>
        <v>0</v>
      </c>
      <c r="AF32" s="389">
        <f t="shared" si="4"/>
        <v>0</v>
      </c>
      <c r="AG32" s="145"/>
      <c r="AH32" s="390">
        <f>IF($I32=Lists!$F$11,0,1)</f>
        <v>1</v>
      </c>
      <c r="AI32" s="390">
        <f>IF($I32=Lists!$F$13,0,1)</f>
        <v>1</v>
      </c>
      <c r="AJ32" s="390">
        <f t="shared" si="5"/>
        <v>1</v>
      </c>
      <c r="AK32" s="390">
        <f t="shared" si="6"/>
        <v>1</v>
      </c>
      <c r="AL32" s="389">
        <f>IF(K32=Lists!$F$11,0,1)</f>
        <v>1</v>
      </c>
      <c r="AM32" s="389">
        <f>IF(K32=Lists!$F$13,0,1)</f>
        <v>1</v>
      </c>
      <c r="AN32" s="389">
        <f t="shared" si="7"/>
        <v>1</v>
      </c>
      <c r="AO32" s="389">
        <f t="shared" si="8"/>
        <v>1</v>
      </c>
      <c r="AP32" s="390">
        <f>IF($M32=Lists!$F$11,0,1)</f>
        <v>1</v>
      </c>
      <c r="AQ32" s="390">
        <f>IF($M32=Lists!$F$13,0,1)</f>
        <v>1</v>
      </c>
      <c r="AR32" s="390">
        <f t="shared" si="9"/>
        <v>1</v>
      </c>
      <c r="AS32" s="390">
        <f t="shared" si="10"/>
        <v>1</v>
      </c>
      <c r="AT32" s="391" t="s">
        <v>547</v>
      </c>
    </row>
    <row r="33" spans="1:46" s="100" customFormat="1" ht="30" customHeight="1" x14ac:dyDescent="0.2">
      <c r="A33" s="99"/>
      <c r="B33" s="343">
        <f t="shared" si="11"/>
        <v>29</v>
      </c>
      <c r="C33" s="392" t="str">
        <f>IF($N$1="Select company","",IF((HLOOKUP((VLOOKUP($N$1,Lists!$B$4:$C$22,2,FALSE)),'PC list edited'!$A$2:$BB$65,(B33+1),FALSE))=0,"",HLOOKUP((VLOOKUP($N$1,Lists!$B$4:$C$22,2,FALSE)),'PC list edited'!$A$2:$BB$65,(B33+1),FALSE)))</f>
        <v>PR14YKYHHR_RA3</v>
      </c>
      <c r="D33" s="393" t="str">
        <f>IF($N$1="Select company","",IF((HLOOKUP(((VLOOKUP($N$1,Lists!$B$4:$C$22,2,FALSE))&amp;"PC"),'PC list edited'!$A$2:$BB$65,(B33+1),FALSE))=0,"",HLOOKUP(((VLOOKUP($N$1,Lists!$B$4:$C$22,2,FALSE))&amp;"PC"),'PC list edited'!$A$2:$BB$65,(B33+1),FALSE)))</f>
        <v>RA3: Overall customer satisfaction (CCWater annual tracking survey)</v>
      </c>
      <c r="E33" s="394" t="str">
        <f>IF($N$1="Select company","",IF((HLOOKUP(((VLOOKUP($N$1,Lists!$B$4:$C$22,2,FALSE))&amp;"unit"),'PC list edited'!$A$2:$BB$65,(B33+1),FALSE))=0,"",HLOOKUP(((VLOOKUP($N$1,Lists!$B$4:$C$22,2,FALSE))&amp;"unit"),'PC list edited'!$A$2:$BB$65,(B33+1),FALSE)))</f>
        <v>%</v>
      </c>
      <c r="F33" s="601" t="s">
        <v>554</v>
      </c>
      <c r="G33" s="601" t="s">
        <v>555</v>
      </c>
      <c r="H33" s="601" t="s">
        <v>546</v>
      </c>
      <c r="I33" s="602" t="s">
        <v>544</v>
      </c>
      <c r="J33" s="603"/>
      <c r="K33" s="602" t="s">
        <v>546</v>
      </c>
      <c r="L33" s="602"/>
      <c r="M33" s="602" t="s">
        <v>544</v>
      </c>
      <c r="N33" s="604"/>
      <c r="O33" s="153"/>
      <c r="Q33" s="29" t="str">
        <f t="shared" si="0"/>
        <v>Please complete all cells in row</v>
      </c>
      <c r="R33" s="144"/>
      <c r="S33" s="148"/>
      <c r="T33" s="120">
        <f t="shared" si="12"/>
        <v>0</v>
      </c>
      <c r="U33" s="120">
        <f t="shared" si="12"/>
        <v>0</v>
      </c>
      <c r="V33" s="120">
        <f t="shared" si="12"/>
        <v>0</v>
      </c>
      <c r="W33" s="120">
        <f t="shared" si="12"/>
        <v>0</v>
      </c>
      <c r="X33" s="120">
        <f t="shared" si="12"/>
        <v>1</v>
      </c>
      <c r="Y33" s="120">
        <f t="shared" si="12"/>
        <v>0</v>
      </c>
      <c r="Z33" s="120">
        <f t="shared" si="12"/>
        <v>1</v>
      </c>
      <c r="AA33" s="120">
        <f t="shared" si="12"/>
        <v>0</v>
      </c>
      <c r="AB33" s="120">
        <f t="shared" si="12"/>
        <v>1</v>
      </c>
      <c r="AC33" s="148"/>
      <c r="AD33" s="389">
        <f t="shared" si="2"/>
        <v>0</v>
      </c>
      <c r="AE33" s="389">
        <f t="shared" si="3"/>
        <v>0</v>
      </c>
      <c r="AF33" s="389">
        <f t="shared" si="4"/>
        <v>0</v>
      </c>
      <c r="AG33" s="148"/>
      <c r="AH33" s="390">
        <f>IF($I33=Lists!$F$11,0,1)</f>
        <v>1</v>
      </c>
      <c r="AI33" s="390">
        <f>IF($I33=Lists!$F$13,0,1)</f>
        <v>1</v>
      </c>
      <c r="AJ33" s="390">
        <f t="shared" si="5"/>
        <v>1</v>
      </c>
      <c r="AK33" s="390">
        <f t="shared" si="6"/>
        <v>1</v>
      </c>
      <c r="AL33" s="389">
        <f>IF(K33=Lists!$F$11,0,1)</f>
        <v>1</v>
      </c>
      <c r="AM33" s="389">
        <f>IF(K33=Lists!$F$13,0,1)</f>
        <v>1</v>
      </c>
      <c r="AN33" s="389">
        <f t="shared" si="7"/>
        <v>1</v>
      </c>
      <c r="AO33" s="389">
        <f t="shared" si="8"/>
        <v>1</v>
      </c>
      <c r="AP33" s="390">
        <f>IF($M33=Lists!$F$11,0,1)</f>
        <v>1</v>
      </c>
      <c r="AQ33" s="390">
        <f>IF($M33=Lists!$F$13,0,1)</f>
        <v>1</v>
      </c>
      <c r="AR33" s="390">
        <f t="shared" si="9"/>
        <v>1</v>
      </c>
      <c r="AS33" s="390">
        <f t="shared" si="10"/>
        <v>1</v>
      </c>
      <c r="AT33" s="391" t="s">
        <v>547</v>
      </c>
    </row>
    <row r="34" spans="1:46" s="100" customFormat="1" ht="30" customHeight="1" x14ac:dyDescent="0.2">
      <c r="A34" s="99"/>
      <c r="B34" s="343">
        <f t="shared" si="11"/>
        <v>30</v>
      </c>
      <c r="C34" s="392" t="str">
        <f>IF($N$1="Select company","",IF((HLOOKUP((VLOOKUP($N$1,Lists!$B$4:$C$22,2,FALSE)),'PC list edited'!$A$2:$BB$65,(B34+1),FALSE))=0,"",HLOOKUP((VLOOKUP($N$1,Lists!$B$4:$C$22,2,FALSE)),'PC list edited'!$A$2:$BB$65,(B34+1),FALSE)))</f>
        <v>PR14YKYHHR_RB1</v>
      </c>
      <c r="D34" s="393" t="str">
        <f>IF($N$1="Select company","",IF((HLOOKUP(((VLOOKUP($N$1,Lists!$B$4:$C$22,2,FALSE))&amp;"PC"),'PC list edited'!$A$2:$BB$65,(B34+1),FALSE))=0,"",HLOOKUP(((VLOOKUP($N$1,Lists!$B$4:$C$22,2,FALSE))&amp;"PC"),'PC list edited'!$A$2:$BB$65,(B34+1),FALSE)))</f>
        <v>RB1: Cost of bad debt to customers (expressed as proportion of bill)</v>
      </c>
      <c r="E34" s="394" t="str">
        <f>IF($N$1="Select company","",IF((HLOOKUP(((VLOOKUP($N$1,Lists!$B$4:$C$22,2,FALSE))&amp;"unit"),'PC list edited'!$A$2:$BB$65,(B34+1),FALSE))=0,"",HLOOKUP(((VLOOKUP($N$1,Lists!$B$4:$C$22,2,FALSE))&amp;"unit"),'PC list edited'!$A$2:$BB$65,(B34+1),FALSE)))</f>
        <v>%</v>
      </c>
      <c r="F34" s="601">
        <v>3.18</v>
      </c>
      <c r="G34" s="601">
        <v>3.05</v>
      </c>
      <c r="H34" s="601" t="s">
        <v>548</v>
      </c>
      <c r="I34" s="602" t="s">
        <v>544</v>
      </c>
      <c r="J34" s="603"/>
      <c r="K34" s="602" t="s">
        <v>546</v>
      </c>
      <c r="L34" s="602"/>
      <c r="M34" s="602" t="s">
        <v>544</v>
      </c>
      <c r="N34" s="604"/>
      <c r="O34" s="153"/>
      <c r="Q34" s="29" t="str">
        <f t="shared" si="0"/>
        <v>Please complete all cells in row</v>
      </c>
      <c r="R34" s="144"/>
      <c r="S34" s="148"/>
      <c r="T34" s="120">
        <f t="shared" si="12"/>
        <v>0</v>
      </c>
      <c r="U34" s="120">
        <f t="shared" si="12"/>
        <v>0</v>
      </c>
      <c r="V34" s="120">
        <f t="shared" si="12"/>
        <v>0</v>
      </c>
      <c r="W34" s="120">
        <f t="shared" si="12"/>
        <v>0</v>
      </c>
      <c r="X34" s="120">
        <f t="shared" si="12"/>
        <v>1</v>
      </c>
      <c r="Y34" s="120">
        <f t="shared" si="12"/>
        <v>0</v>
      </c>
      <c r="Z34" s="120">
        <f t="shared" si="12"/>
        <v>1</v>
      </c>
      <c r="AA34" s="120">
        <f t="shared" si="12"/>
        <v>0</v>
      </c>
      <c r="AB34" s="120">
        <f t="shared" si="12"/>
        <v>1</v>
      </c>
      <c r="AC34" s="148"/>
      <c r="AD34" s="389">
        <f t="shared" si="2"/>
        <v>0</v>
      </c>
      <c r="AE34" s="389">
        <f t="shared" si="3"/>
        <v>0</v>
      </c>
      <c r="AF34" s="389">
        <f t="shared" si="4"/>
        <v>0</v>
      </c>
      <c r="AG34" s="148"/>
      <c r="AH34" s="390">
        <f>IF($I34=Lists!$F$11,0,1)</f>
        <v>1</v>
      </c>
      <c r="AI34" s="390">
        <f>IF($I34=Lists!$F$13,0,1)</f>
        <v>1</v>
      </c>
      <c r="AJ34" s="390">
        <f t="shared" si="5"/>
        <v>1</v>
      </c>
      <c r="AK34" s="390">
        <f t="shared" si="6"/>
        <v>1</v>
      </c>
      <c r="AL34" s="389">
        <f>IF(K34=Lists!$F$11,0,1)</f>
        <v>1</v>
      </c>
      <c r="AM34" s="389">
        <f>IF(K34=Lists!$F$13,0,1)</f>
        <v>1</v>
      </c>
      <c r="AN34" s="389">
        <f t="shared" si="7"/>
        <v>1</v>
      </c>
      <c r="AO34" s="389">
        <f t="shared" si="8"/>
        <v>1</v>
      </c>
      <c r="AP34" s="390">
        <f>IF($M34=Lists!$F$11,0,1)</f>
        <v>1</v>
      </c>
      <c r="AQ34" s="390">
        <f>IF($M34=Lists!$F$13,0,1)</f>
        <v>1</v>
      </c>
      <c r="AR34" s="390">
        <f t="shared" si="9"/>
        <v>1</v>
      </c>
      <c r="AS34" s="390">
        <f t="shared" si="10"/>
        <v>1</v>
      </c>
      <c r="AT34" s="391" t="s">
        <v>547</v>
      </c>
    </row>
    <row r="35" spans="1:46" s="100" customFormat="1" ht="30" customHeight="1" x14ac:dyDescent="0.2">
      <c r="A35" s="99"/>
      <c r="B35" s="343">
        <f t="shared" si="11"/>
        <v>31</v>
      </c>
      <c r="C35" s="392" t="str">
        <f>IF($N$1="Select company","",IF((HLOOKUP((VLOOKUP($N$1,Lists!$B$4:$C$22,2,FALSE)),'PC list edited'!$A$2:$BB$65,(B35+1),FALSE))=0,"",HLOOKUP((VLOOKUP($N$1,Lists!$B$4:$C$22,2,FALSE)),'PC list edited'!$A$2:$BB$65,(B35+1),FALSE)))</f>
        <v>PR14YKYHHR_RB2</v>
      </c>
      <c r="D35" s="393" t="str">
        <f>IF($N$1="Select company","",IF((HLOOKUP(((VLOOKUP($N$1,Lists!$B$4:$C$22,2,FALSE))&amp;"PC"),'PC list edited'!$A$2:$BB$65,(B35+1),FALSE))=0,"",HLOOKUP(((VLOOKUP($N$1,Lists!$B$4:$C$22,2,FALSE))&amp;"PC"),'PC list edited'!$A$2:$BB$65,(B35+1),FALSE)))</f>
        <v>RB2: Number of people who we help to pay their bill</v>
      </c>
      <c r="E35" s="394" t="str">
        <f>IF($N$1="Select company","",IF((HLOOKUP(((VLOOKUP($N$1,Lists!$B$4:$C$22,2,FALSE))&amp;"unit"),'PC list edited'!$A$2:$BB$65,(B35+1),FALSE))=0,"",HLOOKUP(((VLOOKUP($N$1,Lists!$B$4:$C$22,2,FALSE))&amp;"unit"),'PC list edited'!$A$2:$BB$65,(B35+1),FALSE)))</f>
        <v>nr</v>
      </c>
      <c r="F35" s="601" t="s">
        <v>551</v>
      </c>
      <c r="G35" s="601">
        <v>22735</v>
      </c>
      <c r="H35" s="601" t="s">
        <v>546</v>
      </c>
      <c r="I35" s="602" t="s">
        <v>544</v>
      </c>
      <c r="J35" s="603"/>
      <c r="K35" s="602" t="s">
        <v>546</v>
      </c>
      <c r="L35" s="602"/>
      <c r="M35" s="602" t="s">
        <v>544</v>
      </c>
      <c r="N35" s="604"/>
      <c r="O35" s="153"/>
      <c r="Q35" s="29" t="str">
        <f t="shared" si="0"/>
        <v>Please complete all cells in row</v>
      </c>
      <c r="R35" s="144"/>
      <c r="S35" s="148"/>
      <c r="T35" s="120">
        <f t="shared" si="12"/>
        <v>0</v>
      </c>
      <c r="U35" s="120">
        <f t="shared" si="12"/>
        <v>0</v>
      </c>
      <c r="V35" s="120">
        <f t="shared" si="12"/>
        <v>0</v>
      </c>
      <c r="W35" s="120">
        <f t="shared" si="12"/>
        <v>0</v>
      </c>
      <c r="X35" s="120">
        <f t="shared" si="12"/>
        <v>1</v>
      </c>
      <c r="Y35" s="120">
        <f t="shared" si="12"/>
        <v>0</v>
      </c>
      <c r="Z35" s="120">
        <f t="shared" si="12"/>
        <v>1</v>
      </c>
      <c r="AA35" s="120">
        <f t="shared" si="12"/>
        <v>0</v>
      </c>
      <c r="AB35" s="120">
        <f t="shared" si="12"/>
        <v>1</v>
      </c>
      <c r="AC35" s="148"/>
      <c r="AD35" s="389">
        <f t="shared" si="2"/>
        <v>0</v>
      </c>
      <c r="AE35" s="389">
        <f t="shared" si="3"/>
        <v>0</v>
      </c>
      <c r="AF35" s="389">
        <f t="shared" si="4"/>
        <v>0</v>
      </c>
      <c r="AG35" s="148"/>
      <c r="AH35" s="390">
        <f>IF($I35=Lists!$F$11,0,1)</f>
        <v>1</v>
      </c>
      <c r="AI35" s="390">
        <f>IF($I35=Lists!$F$13,0,1)</f>
        <v>1</v>
      </c>
      <c r="AJ35" s="390">
        <f t="shared" si="5"/>
        <v>1</v>
      </c>
      <c r="AK35" s="390">
        <f t="shared" si="6"/>
        <v>1</v>
      </c>
      <c r="AL35" s="389">
        <f>IF(K35=Lists!$F$11,0,1)</f>
        <v>1</v>
      </c>
      <c r="AM35" s="389">
        <f>IF(K35=Lists!$F$13,0,1)</f>
        <v>1</v>
      </c>
      <c r="AN35" s="389">
        <f t="shared" si="7"/>
        <v>1</v>
      </c>
      <c r="AO35" s="389">
        <f t="shared" si="8"/>
        <v>1</v>
      </c>
      <c r="AP35" s="390">
        <f>IF($M35=Lists!$F$11,0,1)</f>
        <v>1</v>
      </c>
      <c r="AQ35" s="390">
        <f>IF($M35=Lists!$F$13,0,1)</f>
        <v>1</v>
      </c>
      <c r="AR35" s="390">
        <f t="shared" si="9"/>
        <v>1</v>
      </c>
      <c r="AS35" s="390">
        <f t="shared" si="10"/>
        <v>1</v>
      </c>
      <c r="AT35" s="391" t="s">
        <v>547</v>
      </c>
    </row>
    <row r="36" spans="1:46" s="100" customFormat="1" ht="30" customHeight="1" x14ac:dyDescent="0.2">
      <c r="A36" s="99"/>
      <c r="B36" s="343">
        <f t="shared" si="11"/>
        <v>32</v>
      </c>
      <c r="C36" s="392" t="str">
        <f>IF($N$1="Select company","",IF((HLOOKUP((VLOOKUP($N$1,Lists!$B$4:$C$22,2,FALSE)),'PC list edited'!$A$2:$BB$65,(B36+1),FALSE))=0,"",HLOOKUP((VLOOKUP($N$1,Lists!$B$4:$C$22,2,FALSE)),'PC list edited'!$A$2:$BB$65,(B36+1),FALSE)))</f>
        <v>PR14YKYHHR_RB3</v>
      </c>
      <c r="D36" s="393" t="str">
        <f>IF($N$1="Select company","",IF((HLOOKUP(((VLOOKUP($N$1,Lists!$B$4:$C$22,2,FALSE))&amp;"PC"),'PC list edited'!$A$2:$BB$65,(B36+1),FALSE))=0,"",HLOOKUP(((VLOOKUP($N$1,Lists!$B$4:$C$22,2,FALSE))&amp;"PC"),'PC list edited'!$A$2:$BB$65,(B36+1),FALSE)))</f>
        <v>RB3: Value for money (CCWater annual tracking survey)</v>
      </c>
      <c r="E36" s="394" t="str">
        <f>IF($N$1="Select company","",IF((HLOOKUP(((VLOOKUP($N$1,Lists!$B$4:$C$22,2,FALSE))&amp;"unit"),'PC list edited'!$A$2:$BB$65,(B36+1),FALSE))=0,"",HLOOKUP(((VLOOKUP($N$1,Lists!$B$4:$C$22,2,FALSE))&amp;"unit"),'PC list edited'!$A$2:$BB$65,(B36+1),FALSE)))</f>
        <v>%</v>
      </c>
      <c r="F36" s="601" t="s">
        <v>556</v>
      </c>
      <c r="G36" s="601" t="s">
        <v>557</v>
      </c>
      <c r="H36" s="601" t="s">
        <v>546</v>
      </c>
      <c r="I36" s="602" t="s">
        <v>544</v>
      </c>
      <c r="J36" s="603"/>
      <c r="K36" s="602" t="s">
        <v>546</v>
      </c>
      <c r="L36" s="602"/>
      <c r="M36" s="602" t="s">
        <v>544</v>
      </c>
      <c r="N36" s="604"/>
      <c r="O36" s="153"/>
      <c r="Q36" s="29" t="str">
        <f t="shared" si="0"/>
        <v>Please complete all cells in row</v>
      </c>
      <c r="R36" s="144"/>
      <c r="S36" s="148"/>
      <c r="T36" s="120">
        <f t="shared" si="12"/>
        <v>0</v>
      </c>
      <c r="U36" s="120">
        <f t="shared" si="12"/>
        <v>0</v>
      </c>
      <c r="V36" s="120">
        <f t="shared" si="12"/>
        <v>0</v>
      </c>
      <c r="W36" s="120">
        <f t="shared" si="12"/>
        <v>0</v>
      </c>
      <c r="X36" s="120">
        <f t="shared" si="12"/>
        <v>1</v>
      </c>
      <c r="Y36" s="120">
        <f t="shared" si="12"/>
        <v>0</v>
      </c>
      <c r="Z36" s="120">
        <f t="shared" si="12"/>
        <v>1</v>
      </c>
      <c r="AA36" s="120">
        <f t="shared" si="12"/>
        <v>0</v>
      </c>
      <c r="AB36" s="120">
        <f t="shared" si="12"/>
        <v>1</v>
      </c>
      <c r="AC36" s="148"/>
      <c r="AD36" s="389">
        <f t="shared" si="2"/>
        <v>0</v>
      </c>
      <c r="AE36" s="389">
        <f t="shared" si="3"/>
        <v>0</v>
      </c>
      <c r="AF36" s="389">
        <f t="shared" si="4"/>
        <v>0</v>
      </c>
      <c r="AG36" s="148"/>
      <c r="AH36" s="390">
        <f>IF($I36=Lists!$F$11,0,1)</f>
        <v>1</v>
      </c>
      <c r="AI36" s="390">
        <f>IF($I36=Lists!$F$13,0,1)</f>
        <v>1</v>
      </c>
      <c r="AJ36" s="390">
        <f t="shared" si="5"/>
        <v>1</v>
      </c>
      <c r="AK36" s="390">
        <f t="shared" si="6"/>
        <v>1</v>
      </c>
      <c r="AL36" s="389">
        <f>IF(K36=Lists!$F$11,0,1)</f>
        <v>1</v>
      </c>
      <c r="AM36" s="389">
        <f>IF(K36=Lists!$F$13,0,1)</f>
        <v>1</v>
      </c>
      <c r="AN36" s="389">
        <f t="shared" si="7"/>
        <v>1</v>
      </c>
      <c r="AO36" s="389">
        <f t="shared" si="8"/>
        <v>1</v>
      </c>
      <c r="AP36" s="390">
        <f>IF($M36=Lists!$F$11,0,1)</f>
        <v>1</v>
      </c>
      <c r="AQ36" s="390">
        <f>IF($M36=Lists!$F$13,0,1)</f>
        <v>1</v>
      </c>
      <c r="AR36" s="390">
        <f t="shared" si="9"/>
        <v>1</v>
      </c>
      <c r="AS36" s="390">
        <f t="shared" si="10"/>
        <v>1</v>
      </c>
      <c r="AT36" s="391" t="s">
        <v>547</v>
      </c>
    </row>
    <row r="37" spans="1:46" s="100" customFormat="1" ht="30" customHeight="1" x14ac:dyDescent="0.2">
      <c r="A37" s="99"/>
      <c r="B37" s="343">
        <f t="shared" si="11"/>
        <v>33</v>
      </c>
      <c r="C37" s="392" t="str">
        <f>IF($N$1="Select company","",IF((HLOOKUP((VLOOKUP($N$1,Lists!$B$4:$C$22,2,FALSE)),'PC list edited'!$A$2:$BB$65,(B37+1),FALSE))=0,"",HLOOKUP((VLOOKUP($N$1,Lists!$B$4:$C$22,2,FALSE)),'PC list edited'!$A$2:$BB$65,(B37+1),FALSE)))</f>
        <v>PR14YKYHHR_RC1</v>
      </c>
      <c r="D37" s="393" t="str">
        <f>IF($N$1="Select company","",IF((HLOOKUP(((VLOOKUP($N$1,Lists!$B$4:$C$22,2,FALSE))&amp;"PC"),'PC list edited'!$A$2:$BB$65,(B37+1),FALSE))=0,"",HLOOKUP(((VLOOKUP($N$1,Lists!$B$4:$C$22,2,FALSE))&amp;"PC"),'PC list edited'!$A$2:$BB$65,(B37+1),FALSE)))</f>
        <v>RC1: Proportion of energy use generated by renewable technology (note: PC is part of a total commitment at Appointee level - see also WD1 and SC1)</v>
      </c>
      <c r="E37" s="394" t="str">
        <f>IF($N$1="Select company","",IF((HLOOKUP(((VLOOKUP($N$1,Lists!$B$4:$C$22,2,FALSE))&amp;"unit"),'PC list edited'!$A$2:$BB$65,(B37+1),FALSE))=0,"",HLOOKUP(((VLOOKUP($N$1,Lists!$B$4:$C$22,2,FALSE))&amp;"unit"),'PC list edited'!$A$2:$BB$65,(B37+1),FALSE)))</f>
        <v>%</v>
      </c>
      <c r="F37" s="601">
        <v>12.26</v>
      </c>
      <c r="G37" s="601">
        <v>11.257999999999999</v>
      </c>
      <c r="H37" s="601" t="s">
        <v>543</v>
      </c>
      <c r="I37" s="602" t="s">
        <v>544</v>
      </c>
      <c r="J37" s="603"/>
      <c r="K37" s="602" t="s">
        <v>546</v>
      </c>
      <c r="L37" s="602"/>
      <c r="M37" s="602" t="s">
        <v>544</v>
      </c>
      <c r="N37" s="604"/>
      <c r="O37" s="153"/>
      <c r="Q37" s="29" t="str">
        <f t="shared" ref="Q37:Q59" si="13" xml:space="preserve"> IF( SUM( S37:AC37 ) = 0, 0, $T$3 )</f>
        <v>Please complete all cells in row</v>
      </c>
      <c r="R37" s="144"/>
      <c r="S37" s="148"/>
      <c r="T37" s="120">
        <f t="shared" si="12"/>
        <v>0</v>
      </c>
      <c r="U37" s="120">
        <f t="shared" si="12"/>
        <v>0</v>
      </c>
      <c r="V37" s="120">
        <f t="shared" si="12"/>
        <v>0</v>
      </c>
      <c r="W37" s="120">
        <f t="shared" si="12"/>
        <v>0</v>
      </c>
      <c r="X37" s="120">
        <f t="shared" si="12"/>
        <v>1</v>
      </c>
      <c r="Y37" s="120">
        <f t="shared" si="12"/>
        <v>0</v>
      </c>
      <c r="Z37" s="120">
        <f t="shared" si="12"/>
        <v>1</v>
      </c>
      <c r="AA37" s="120">
        <f t="shared" si="12"/>
        <v>0</v>
      </c>
      <c r="AB37" s="120">
        <f t="shared" si="12"/>
        <v>1</v>
      </c>
      <c r="AC37" s="148"/>
      <c r="AD37" s="389">
        <f t="shared" si="2"/>
        <v>0</v>
      </c>
      <c r="AE37" s="389">
        <f t="shared" si="3"/>
        <v>0</v>
      </c>
      <c r="AF37" s="389">
        <f t="shared" si="4"/>
        <v>0</v>
      </c>
      <c r="AG37" s="148"/>
      <c r="AH37" s="390">
        <f>IF($I37=Lists!$F$11,0,1)</f>
        <v>1</v>
      </c>
      <c r="AI37" s="390">
        <f>IF($I37=Lists!$F$13,0,1)</f>
        <v>1</v>
      </c>
      <c r="AJ37" s="390">
        <f t="shared" si="5"/>
        <v>1</v>
      </c>
      <c r="AK37" s="390">
        <f t="shared" si="6"/>
        <v>1</v>
      </c>
      <c r="AL37" s="389">
        <f>IF(K37=Lists!$F$11,0,1)</f>
        <v>1</v>
      </c>
      <c r="AM37" s="389">
        <f>IF(K37=Lists!$F$13,0,1)</f>
        <v>1</v>
      </c>
      <c r="AN37" s="389">
        <f t="shared" si="7"/>
        <v>1</v>
      </c>
      <c r="AO37" s="389">
        <f t="shared" si="8"/>
        <v>1</v>
      </c>
      <c r="AP37" s="390">
        <f>IF($M37=Lists!$F$11,0,1)</f>
        <v>1</v>
      </c>
      <c r="AQ37" s="390">
        <f>IF($M37=Lists!$F$13,0,1)</f>
        <v>1</v>
      </c>
      <c r="AR37" s="390">
        <f t="shared" si="9"/>
        <v>1</v>
      </c>
      <c r="AS37" s="390">
        <f t="shared" si="10"/>
        <v>1</v>
      </c>
      <c r="AT37" s="391" t="s">
        <v>547</v>
      </c>
    </row>
    <row r="38" spans="1:46" s="100" customFormat="1" ht="30" customHeight="1" x14ac:dyDescent="0.2">
      <c r="A38" s="99"/>
      <c r="B38" s="343">
        <f t="shared" si="11"/>
        <v>34</v>
      </c>
      <c r="C38" s="392" t="str">
        <f>IF($N$1="Select company","",IF((HLOOKUP((VLOOKUP($N$1,Lists!$B$4:$C$22,2,FALSE)),'PC list edited'!$A$2:$BB$65,(B38+1),FALSE))=0,"",HLOOKUP((VLOOKUP($N$1,Lists!$B$4:$C$22,2,FALSE)),'PC list edited'!$A$2:$BB$65,(B38+1),FALSE)))</f>
        <v>PR14YKYHHR_RC2</v>
      </c>
      <c r="D38" s="393" t="str">
        <f>IF($N$1="Select company","",IF((HLOOKUP(((VLOOKUP($N$1,Lists!$B$4:$C$22,2,FALSE))&amp;"PC"),'PC list edited'!$A$2:$BB$65,(B38+1),FALSE))=0,"",HLOOKUP(((VLOOKUP($N$1,Lists!$B$4:$C$22,2,FALSE))&amp;"PC"),'PC list edited'!$A$2:$BB$65,(B38+1),FALSE)))</f>
        <v>RC2: Proportion of waste diverted from landfill (re-used and recycled) (note: PC is part of a total commitment at Appointee level - see also WD2 and SC2)</v>
      </c>
      <c r="E38" s="394" t="str">
        <f>IF($N$1="Select company","",IF((HLOOKUP(((VLOOKUP($N$1,Lists!$B$4:$C$22,2,FALSE))&amp;"unit"),'PC list edited'!$A$2:$BB$65,(B38+1),FALSE))=0,"",HLOOKUP(((VLOOKUP($N$1,Lists!$B$4:$C$22,2,FALSE))&amp;"unit"),'PC list edited'!$A$2:$BB$65,(B38+1),FALSE)))</f>
        <v>%</v>
      </c>
      <c r="F38" s="601">
        <v>93.5</v>
      </c>
      <c r="G38" s="601">
        <v>98.91</v>
      </c>
      <c r="H38" s="601" t="s">
        <v>548</v>
      </c>
      <c r="I38" s="602" t="s">
        <v>544</v>
      </c>
      <c r="J38" s="603"/>
      <c r="K38" s="602" t="s">
        <v>546</v>
      </c>
      <c r="L38" s="602"/>
      <c r="M38" s="602" t="s">
        <v>544</v>
      </c>
      <c r="N38" s="604"/>
      <c r="O38" s="153"/>
      <c r="Q38" s="29" t="str">
        <f t="shared" si="13"/>
        <v>Please complete all cells in row</v>
      </c>
      <c r="R38" s="144"/>
      <c r="S38" s="148"/>
      <c r="T38" s="120">
        <f t="shared" si="12"/>
        <v>0</v>
      </c>
      <c r="U38" s="120">
        <f t="shared" si="12"/>
        <v>0</v>
      </c>
      <c r="V38" s="120">
        <f t="shared" si="12"/>
        <v>0</v>
      </c>
      <c r="W38" s="120">
        <f t="shared" si="12"/>
        <v>0</v>
      </c>
      <c r="X38" s="120">
        <f t="shared" si="12"/>
        <v>1</v>
      </c>
      <c r="Y38" s="120">
        <f t="shared" si="12"/>
        <v>0</v>
      </c>
      <c r="Z38" s="120">
        <f t="shared" si="12"/>
        <v>1</v>
      </c>
      <c r="AA38" s="120">
        <f t="shared" si="12"/>
        <v>0</v>
      </c>
      <c r="AB38" s="120">
        <f t="shared" si="12"/>
        <v>1</v>
      </c>
      <c r="AC38" s="148"/>
      <c r="AD38" s="389">
        <f t="shared" si="2"/>
        <v>0</v>
      </c>
      <c r="AE38" s="389">
        <f t="shared" si="3"/>
        <v>0</v>
      </c>
      <c r="AF38" s="389">
        <f t="shared" si="4"/>
        <v>0</v>
      </c>
      <c r="AG38" s="148"/>
      <c r="AH38" s="390">
        <f>IF($I38=Lists!$F$11,0,1)</f>
        <v>1</v>
      </c>
      <c r="AI38" s="390">
        <f>IF($I38=Lists!$F$13,0,1)</f>
        <v>1</v>
      </c>
      <c r="AJ38" s="390">
        <f t="shared" si="5"/>
        <v>1</v>
      </c>
      <c r="AK38" s="390">
        <f t="shared" si="6"/>
        <v>1</v>
      </c>
      <c r="AL38" s="389">
        <f>IF(K38=Lists!$F$11,0,1)</f>
        <v>1</v>
      </c>
      <c r="AM38" s="389">
        <f>IF(K38=Lists!$F$13,0,1)</f>
        <v>1</v>
      </c>
      <c r="AN38" s="389">
        <f t="shared" si="7"/>
        <v>1</v>
      </c>
      <c r="AO38" s="389">
        <f t="shared" si="8"/>
        <v>1</v>
      </c>
      <c r="AP38" s="390">
        <f>IF($M38=Lists!$F$11,0,1)</f>
        <v>1</v>
      </c>
      <c r="AQ38" s="390">
        <f>IF($M38=Lists!$F$13,0,1)</f>
        <v>1</v>
      </c>
      <c r="AR38" s="390">
        <f t="shared" si="9"/>
        <v>1</v>
      </c>
      <c r="AS38" s="390">
        <f t="shared" si="10"/>
        <v>1</v>
      </c>
      <c r="AT38" s="391" t="s">
        <v>547</v>
      </c>
    </row>
    <row r="39" spans="1:46" s="100" customFormat="1" ht="30" customHeight="1" x14ac:dyDescent="0.2">
      <c r="A39" s="99"/>
      <c r="B39" s="343">
        <f t="shared" si="11"/>
        <v>35</v>
      </c>
      <c r="C39" s="392" t="str">
        <f>IF($N$1="Select company","",IF((HLOOKUP((VLOOKUP($N$1,Lists!$B$4:$C$22,2,FALSE)),'PC list edited'!$A$2:$BB$65,(B39+1),FALSE))=0,"",HLOOKUP((VLOOKUP($N$1,Lists!$B$4:$C$22,2,FALSE)),'PC list edited'!$A$2:$BB$65,(B39+1),FALSE)))</f>
        <v/>
      </c>
      <c r="D39" s="393" t="str">
        <f>IF($N$1="Select company","",IF((HLOOKUP(((VLOOKUP($N$1,Lists!$B$4:$C$22,2,FALSE))&amp;"PC"),'PC list edited'!$A$2:$BB$65,(B39+1),FALSE))=0,"",HLOOKUP(((VLOOKUP($N$1,Lists!$B$4:$C$22,2,FALSE))&amp;"PC"),'PC list edited'!$A$2:$BB$65,(B39+1),FALSE)))</f>
        <v/>
      </c>
      <c r="E39" s="394" t="str">
        <f>IF($N$1="Select company","",IF((HLOOKUP(((VLOOKUP($N$1,Lists!$B$4:$C$22,2,FALSE))&amp;"unit"),'PC list edited'!$A$2:$BB$65,(B39+1),FALSE))=0,"",HLOOKUP(((VLOOKUP($N$1,Lists!$B$4:$C$22,2,FALSE))&amp;"unit"),'PC list edited'!$A$2:$BB$65,(B39+1),FALSE)))</f>
        <v/>
      </c>
      <c r="F39" s="601"/>
      <c r="G39" s="601"/>
      <c r="H39" s="601"/>
      <c r="I39" s="602"/>
      <c r="J39" s="603"/>
      <c r="K39" s="602"/>
      <c r="L39" s="602"/>
      <c r="M39" s="602"/>
      <c r="N39" s="604"/>
      <c r="O39" s="153"/>
      <c r="Q39" s="29">
        <f t="shared" si="13"/>
        <v>0</v>
      </c>
      <c r="R39" s="144"/>
      <c r="S39" s="148"/>
      <c r="T39" s="120">
        <f t="shared" si="12"/>
        <v>0</v>
      </c>
      <c r="U39" s="120">
        <f t="shared" si="12"/>
        <v>0</v>
      </c>
      <c r="V39" s="120">
        <f t="shared" si="12"/>
        <v>0</v>
      </c>
      <c r="W39" s="120">
        <f t="shared" si="12"/>
        <v>0</v>
      </c>
      <c r="X39" s="120">
        <f t="shared" si="12"/>
        <v>0</v>
      </c>
      <c r="Y39" s="120">
        <f t="shared" si="12"/>
        <v>0</v>
      </c>
      <c r="Z39" s="120">
        <f t="shared" si="12"/>
        <v>0</v>
      </c>
      <c r="AA39" s="120">
        <f t="shared" si="12"/>
        <v>0</v>
      </c>
      <c r="AB39" s="120">
        <f t="shared" si="12"/>
        <v>0</v>
      </c>
      <c r="AC39" s="148"/>
      <c r="AD39" s="389">
        <f t="shared" si="2"/>
        <v>0</v>
      </c>
      <c r="AE39" s="389">
        <f t="shared" si="3"/>
        <v>0</v>
      </c>
      <c r="AF39" s="389">
        <f t="shared" si="4"/>
        <v>0</v>
      </c>
      <c r="AG39" s="148"/>
      <c r="AH39" s="390">
        <f>IF($I39=Lists!$F$11,0,1)</f>
        <v>1</v>
      </c>
      <c r="AI39" s="390">
        <f>IF($I39=Lists!$F$13,0,1)</f>
        <v>1</v>
      </c>
      <c r="AJ39" s="390">
        <f t="shared" si="5"/>
        <v>0</v>
      </c>
      <c r="AK39" s="390">
        <f t="shared" si="6"/>
        <v>1</v>
      </c>
      <c r="AL39" s="389">
        <f>IF(K39=Lists!$F$11,0,1)</f>
        <v>1</v>
      </c>
      <c r="AM39" s="389">
        <f>IF(K39=Lists!$F$13,0,1)</f>
        <v>1</v>
      </c>
      <c r="AN39" s="389">
        <f t="shared" si="7"/>
        <v>0</v>
      </c>
      <c r="AO39" s="389">
        <f t="shared" si="8"/>
        <v>1</v>
      </c>
      <c r="AP39" s="390">
        <f>IF($M39=Lists!$F$11,0,1)</f>
        <v>1</v>
      </c>
      <c r="AQ39" s="390">
        <f>IF($M39=Lists!$F$13,0,1)</f>
        <v>1</v>
      </c>
      <c r="AR39" s="390">
        <f t="shared" si="9"/>
        <v>0</v>
      </c>
      <c r="AS39" s="390">
        <f t="shared" si="10"/>
        <v>1</v>
      </c>
      <c r="AT39" s="391" t="s">
        <v>547</v>
      </c>
    </row>
    <row r="40" spans="1:46" s="100" customFormat="1" ht="30" customHeight="1" x14ac:dyDescent="0.2">
      <c r="A40" s="99"/>
      <c r="B40" s="343">
        <f t="shared" si="11"/>
        <v>36</v>
      </c>
      <c r="C40" s="392" t="str">
        <f>IF($N$1="Select company","",IF((HLOOKUP((VLOOKUP($N$1,Lists!$B$4:$C$22,2,FALSE)),'PC list edited'!$A$2:$BB$65,(B40+1),FALSE))=0,"",HLOOKUP((VLOOKUP($N$1,Lists!$B$4:$C$22,2,FALSE)),'PC list edited'!$A$2:$BB$65,(B40+1),FALSE)))</f>
        <v/>
      </c>
      <c r="D40" s="393" t="str">
        <f>IF($N$1="Select company","",IF((HLOOKUP(((VLOOKUP($N$1,Lists!$B$4:$C$22,2,FALSE))&amp;"PC"),'PC list edited'!$A$2:$BB$65,(B40+1),FALSE))=0,"",HLOOKUP(((VLOOKUP($N$1,Lists!$B$4:$C$22,2,FALSE))&amp;"PC"),'PC list edited'!$A$2:$BB$65,(B40+1),FALSE)))</f>
        <v/>
      </c>
      <c r="E40" s="394" t="str">
        <f>IF($N$1="Select company","",IF((HLOOKUP(((VLOOKUP($N$1,Lists!$B$4:$C$22,2,FALSE))&amp;"unit"),'PC list edited'!$A$2:$BB$65,(B40+1),FALSE))=0,"",HLOOKUP(((VLOOKUP($N$1,Lists!$B$4:$C$22,2,FALSE))&amp;"unit"),'PC list edited'!$A$2:$BB$65,(B40+1),FALSE)))</f>
        <v/>
      </c>
      <c r="F40" s="601"/>
      <c r="G40" s="601"/>
      <c r="H40" s="601"/>
      <c r="I40" s="602"/>
      <c r="J40" s="603"/>
      <c r="K40" s="602"/>
      <c r="L40" s="602"/>
      <c r="M40" s="602"/>
      <c r="N40" s="604"/>
      <c r="O40" s="153"/>
      <c r="Q40" s="29">
        <f t="shared" si="13"/>
        <v>0</v>
      </c>
      <c r="R40" s="144"/>
      <c r="S40" s="148"/>
      <c r="T40" s="120">
        <f t="shared" si="12"/>
        <v>0</v>
      </c>
      <c r="U40" s="120">
        <f t="shared" si="12"/>
        <v>0</v>
      </c>
      <c r="V40" s="120">
        <f t="shared" si="12"/>
        <v>0</v>
      </c>
      <c r="W40" s="120">
        <f t="shared" si="12"/>
        <v>0</v>
      </c>
      <c r="X40" s="120">
        <f t="shared" si="12"/>
        <v>0</v>
      </c>
      <c r="Y40" s="120">
        <f t="shared" si="12"/>
        <v>0</v>
      </c>
      <c r="Z40" s="120">
        <f t="shared" si="12"/>
        <v>0</v>
      </c>
      <c r="AA40" s="120">
        <f t="shared" si="12"/>
        <v>0</v>
      </c>
      <c r="AB40" s="120">
        <f t="shared" si="12"/>
        <v>0</v>
      </c>
      <c r="AC40" s="148"/>
      <c r="AD40" s="389">
        <f t="shared" si="2"/>
        <v>0</v>
      </c>
      <c r="AE40" s="389">
        <f t="shared" si="3"/>
        <v>0</v>
      </c>
      <c r="AF40" s="389">
        <f t="shared" si="4"/>
        <v>0</v>
      </c>
      <c r="AG40" s="148"/>
      <c r="AH40" s="390">
        <f>IF($I40=Lists!$F$11,0,1)</f>
        <v>1</v>
      </c>
      <c r="AI40" s="390">
        <f>IF($I40=Lists!$F$13,0,1)</f>
        <v>1</v>
      </c>
      <c r="AJ40" s="390">
        <f t="shared" si="5"/>
        <v>0</v>
      </c>
      <c r="AK40" s="390">
        <f t="shared" si="6"/>
        <v>1</v>
      </c>
      <c r="AL40" s="389">
        <f>IF(K40=Lists!$F$11,0,1)</f>
        <v>1</v>
      </c>
      <c r="AM40" s="389">
        <f>IF(K40=Lists!$F$13,0,1)</f>
        <v>1</v>
      </c>
      <c r="AN40" s="389">
        <f t="shared" si="7"/>
        <v>0</v>
      </c>
      <c r="AO40" s="389">
        <f t="shared" si="8"/>
        <v>1</v>
      </c>
      <c r="AP40" s="390">
        <f>IF($M40=Lists!$F$11,0,1)</f>
        <v>1</v>
      </c>
      <c r="AQ40" s="390">
        <f>IF($M40=Lists!$F$13,0,1)</f>
        <v>1</v>
      </c>
      <c r="AR40" s="390">
        <f t="shared" si="9"/>
        <v>0</v>
      </c>
      <c r="AS40" s="390">
        <f t="shared" si="10"/>
        <v>1</v>
      </c>
      <c r="AT40" s="391" t="s">
        <v>547</v>
      </c>
    </row>
    <row r="41" spans="1:46" s="100" customFormat="1" ht="30" customHeight="1" x14ac:dyDescent="0.2">
      <c r="A41" s="99"/>
      <c r="B41" s="343">
        <f t="shared" si="11"/>
        <v>37</v>
      </c>
      <c r="C41" s="392" t="str">
        <f>IF($N$1="Select company","",IF((HLOOKUP((VLOOKUP($N$1,Lists!$B$4:$C$22,2,FALSE)),'PC list edited'!$A$2:$BB$65,(B41+1),FALSE))=0,"",HLOOKUP((VLOOKUP($N$1,Lists!$B$4:$C$22,2,FALSE)),'PC list edited'!$A$2:$BB$65,(B41+1),FALSE)))</f>
        <v/>
      </c>
      <c r="D41" s="393" t="str">
        <f>IF($N$1="Select company","",IF((HLOOKUP(((VLOOKUP($N$1,Lists!$B$4:$C$22,2,FALSE))&amp;"PC"),'PC list edited'!$A$2:$BB$65,(B41+1),FALSE))=0,"",HLOOKUP(((VLOOKUP($N$1,Lists!$B$4:$C$22,2,FALSE))&amp;"PC"),'PC list edited'!$A$2:$BB$65,(B41+1),FALSE)))</f>
        <v/>
      </c>
      <c r="E41" s="394" t="str">
        <f>IF($N$1="Select company","",IF((HLOOKUP(((VLOOKUP($N$1,Lists!$B$4:$C$22,2,FALSE))&amp;"unit"),'PC list edited'!$A$2:$BB$65,(B41+1),FALSE))=0,"",HLOOKUP(((VLOOKUP($N$1,Lists!$B$4:$C$22,2,FALSE))&amp;"unit"),'PC list edited'!$A$2:$BB$65,(B41+1),FALSE)))</f>
        <v/>
      </c>
      <c r="F41" s="601"/>
      <c r="G41" s="601"/>
      <c r="H41" s="601"/>
      <c r="I41" s="602"/>
      <c r="J41" s="603"/>
      <c r="K41" s="602"/>
      <c r="L41" s="602"/>
      <c r="M41" s="602"/>
      <c r="N41" s="604"/>
      <c r="O41" s="153"/>
      <c r="Q41" s="29">
        <f t="shared" si="13"/>
        <v>0</v>
      </c>
      <c r="R41" s="144"/>
      <c r="S41" s="148"/>
      <c r="T41" s="120">
        <f t="shared" si="12"/>
        <v>0</v>
      </c>
      <c r="U41" s="120">
        <f t="shared" si="12"/>
        <v>0</v>
      </c>
      <c r="V41" s="120">
        <f t="shared" si="12"/>
        <v>0</v>
      </c>
      <c r="W41" s="120">
        <f t="shared" si="12"/>
        <v>0</v>
      </c>
      <c r="X41" s="120">
        <f t="shared" si="12"/>
        <v>0</v>
      </c>
      <c r="Y41" s="120">
        <f t="shared" si="12"/>
        <v>0</v>
      </c>
      <c r="Z41" s="120">
        <f t="shared" si="12"/>
        <v>0</v>
      </c>
      <c r="AA41" s="120">
        <f t="shared" si="12"/>
        <v>0</v>
      </c>
      <c r="AB41" s="120">
        <f t="shared" si="12"/>
        <v>0</v>
      </c>
      <c r="AC41" s="148"/>
      <c r="AD41" s="389">
        <f t="shared" si="2"/>
        <v>0</v>
      </c>
      <c r="AE41" s="389">
        <f t="shared" si="3"/>
        <v>0</v>
      </c>
      <c r="AF41" s="389">
        <f t="shared" si="4"/>
        <v>0</v>
      </c>
      <c r="AG41" s="148"/>
      <c r="AH41" s="390">
        <f>IF($I41=Lists!$F$11,0,1)</f>
        <v>1</v>
      </c>
      <c r="AI41" s="390">
        <f>IF($I41=Lists!$F$13,0,1)</f>
        <v>1</v>
      </c>
      <c r="AJ41" s="390">
        <f t="shared" si="5"/>
        <v>0</v>
      </c>
      <c r="AK41" s="390">
        <f t="shared" si="6"/>
        <v>1</v>
      </c>
      <c r="AL41" s="389">
        <f>IF(K41=Lists!$F$11,0,1)</f>
        <v>1</v>
      </c>
      <c r="AM41" s="389">
        <f>IF(K41=Lists!$F$13,0,1)</f>
        <v>1</v>
      </c>
      <c r="AN41" s="389">
        <f t="shared" si="7"/>
        <v>0</v>
      </c>
      <c r="AO41" s="389">
        <f t="shared" si="8"/>
        <v>1</v>
      </c>
      <c r="AP41" s="390">
        <f>IF($M41=Lists!$F$11,0,1)</f>
        <v>1</v>
      </c>
      <c r="AQ41" s="390">
        <f>IF($M41=Lists!$F$13,0,1)</f>
        <v>1</v>
      </c>
      <c r="AR41" s="390">
        <f t="shared" si="9"/>
        <v>0</v>
      </c>
      <c r="AS41" s="390">
        <f t="shared" si="10"/>
        <v>1</v>
      </c>
      <c r="AT41" s="391" t="s">
        <v>547</v>
      </c>
    </row>
    <row r="42" spans="1:46" s="100" customFormat="1" ht="30" customHeight="1" x14ac:dyDescent="0.2">
      <c r="A42" s="99"/>
      <c r="B42" s="343">
        <f t="shared" si="11"/>
        <v>38</v>
      </c>
      <c r="C42" s="392" t="str">
        <f>IF($N$1="Select company","",IF((HLOOKUP((VLOOKUP($N$1,Lists!$B$4:$C$22,2,FALSE)),'PC list edited'!$A$2:$BB$65,(B42+1),FALSE))=0,"",HLOOKUP((VLOOKUP($N$1,Lists!$B$4:$C$22,2,FALSE)),'PC list edited'!$A$2:$BB$65,(B42+1),FALSE)))</f>
        <v/>
      </c>
      <c r="D42" s="393" t="str">
        <f>IF($N$1="Select company","",IF((HLOOKUP(((VLOOKUP($N$1,Lists!$B$4:$C$22,2,FALSE))&amp;"PC"),'PC list edited'!$A$2:$BB$65,(B42+1),FALSE))=0,"",HLOOKUP(((VLOOKUP($N$1,Lists!$B$4:$C$22,2,FALSE))&amp;"PC"),'PC list edited'!$A$2:$BB$65,(B42+1),FALSE)))</f>
        <v/>
      </c>
      <c r="E42" s="394" t="str">
        <f>IF($N$1="Select company","",IF((HLOOKUP(((VLOOKUP($N$1,Lists!$B$4:$C$22,2,FALSE))&amp;"unit"),'PC list edited'!$A$2:$BB$65,(B42+1),FALSE))=0,"",HLOOKUP(((VLOOKUP($N$1,Lists!$B$4:$C$22,2,FALSE))&amp;"unit"),'PC list edited'!$A$2:$BB$65,(B42+1),FALSE)))</f>
        <v/>
      </c>
      <c r="F42" s="601"/>
      <c r="G42" s="601"/>
      <c r="H42" s="601"/>
      <c r="I42" s="602"/>
      <c r="J42" s="603"/>
      <c r="K42" s="602"/>
      <c r="L42" s="602"/>
      <c r="M42" s="602"/>
      <c r="N42" s="604"/>
      <c r="O42" s="153"/>
      <c r="Q42" s="29">
        <f t="shared" si="13"/>
        <v>0</v>
      </c>
      <c r="R42" s="95"/>
      <c r="S42" s="96"/>
      <c r="T42" s="120">
        <f t="shared" si="12"/>
        <v>0</v>
      </c>
      <c r="U42" s="120">
        <f t="shared" si="12"/>
        <v>0</v>
      </c>
      <c r="V42" s="120">
        <f t="shared" si="12"/>
        <v>0</v>
      </c>
      <c r="W42" s="120">
        <f t="shared" si="12"/>
        <v>0</v>
      </c>
      <c r="X42" s="120">
        <f t="shared" si="12"/>
        <v>0</v>
      </c>
      <c r="Y42" s="120">
        <f t="shared" si="12"/>
        <v>0</v>
      </c>
      <c r="Z42" s="120">
        <f t="shared" si="12"/>
        <v>0</v>
      </c>
      <c r="AA42" s="120">
        <f t="shared" si="12"/>
        <v>0</v>
      </c>
      <c r="AB42" s="120">
        <f t="shared" si="12"/>
        <v>0</v>
      </c>
      <c r="AC42" s="96"/>
      <c r="AD42" s="389">
        <f t="shared" si="2"/>
        <v>0</v>
      </c>
      <c r="AE42" s="389">
        <f t="shared" si="3"/>
        <v>0</v>
      </c>
      <c r="AF42" s="389">
        <f t="shared" si="4"/>
        <v>0</v>
      </c>
      <c r="AG42" s="96"/>
      <c r="AH42" s="390">
        <f>IF($I42=Lists!$F$11,0,1)</f>
        <v>1</v>
      </c>
      <c r="AI42" s="390">
        <f>IF($I42=Lists!$F$13,0,1)</f>
        <v>1</v>
      </c>
      <c r="AJ42" s="390">
        <f t="shared" si="5"/>
        <v>0</v>
      </c>
      <c r="AK42" s="390">
        <f t="shared" si="6"/>
        <v>1</v>
      </c>
      <c r="AL42" s="389">
        <f>IF(K42=Lists!$F$11,0,1)</f>
        <v>1</v>
      </c>
      <c r="AM42" s="389">
        <f>IF(K42=Lists!$F$13,0,1)</f>
        <v>1</v>
      </c>
      <c r="AN42" s="389">
        <f t="shared" si="7"/>
        <v>0</v>
      </c>
      <c r="AO42" s="389">
        <f t="shared" si="8"/>
        <v>1</v>
      </c>
      <c r="AP42" s="390">
        <f>IF($M42=Lists!$F$11,0,1)</f>
        <v>1</v>
      </c>
      <c r="AQ42" s="390">
        <f>IF($M42=Lists!$F$13,0,1)</f>
        <v>1</v>
      </c>
      <c r="AR42" s="390">
        <f t="shared" si="9"/>
        <v>0</v>
      </c>
      <c r="AS42" s="390">
        <f t="shared" si="10"/>
        <v>1</v>
      </c>
      <c r="AT42" s="391" t="s">
        <v>547</v>
      </c>
    </row>
    <row r="43" spans="1:46" s="100" customFormat="1" ht="30" customHeight="1" x14ac:dyDescent="0.2">
      <c r="A43" s="99"/>
      <c r="B43" s="343">
        <f t="shared" si="11"/>
        <v>39</v>
      </c>
      <c r="C43" s="392" t="str">
        <f>IF($N$1="Select company","",IF((HLOOKUP((VLOOKUP($N$1,Lists!$B$4:$C$22,2,FALSE)),'PC list edited'!$A$2:$BB$65,(B43+1),FALSE))=0,"",HLOOKUP((VLOOKUP($N$1,Lists!$B$4:$C$22,2,FALSE)),'PC list edited'!$A$2:$BB$65,(B43+1),FALSE)))</f>
        <v/>
      </c>
      <c r="D43" s="393" t="str">
        <f>IF($N$1="Select company","",IF((HLOOKUP(((VLOOKUP($N$1,Lists!$B$4:$C$22,2,FALSE))&amp;"PC"),'PC list edited'!$A$2:$BB$65,(B43+1),FALSE))=0,"",HLOOKUP(((VLOOKUP($N$1,Lists!$B$4:$C$22,2,FALSE))&amp;"PC"),'PC list edited'!$A$2:$BB$65,(B43+1),FALSE)))</f>
        <v/>
      </c>
      <c r="E43" s="394" t="str">
        <f>IF($N$1="Select company","",IF((HLOOKUP(((VLOOKUP($N$1,Lists!$B$4:$C$22,2,FALSE))&amp;"unit"),'PC list edited'!$A$2:$BB$65,(B43+1),FALSE))=0,"",HLOOKUP(((VLOOKUP($N$1,Lists!$B$4:$C$22,2,FALSE))&amp;"unit"),'PC list edited'!$A$2:$BB$65,(B43+1),FALSE)))</f>
        <v/>
      </c>
      <c r="F43" s="601"/>
      <c r="G43" s="601"/>
      <c r="H43" s="601"/>
      <c r="I43" s="602"/>
      <c r="J43" s="603"/>
      <c r="K43" s="602"/>
      <c r="L43" s="602"/>
      <c r="M43" s="602"/>
      <c r="N43" s="604"/>
      <c r="O43" s="153"/>
      <c r="Q43" s="29">
        <f t="shared" si="13"/>
        <v>0</v>
      </c>
      <c r="R43" s="95"/>
      <c r="S43" s="96"/>
      <c r="T43" s="120">
        <f t="shared" si="12"/>
        <v>0</v>
      </c>
      <c r="U43" s="120">
        <f t="shared" si="12"/>
        <v>0</v>
      </c>
      <c r="V43" s="120">
        <f t="shared" si="12"/>
        <v>0</v>
      </c>
      <c r="W43" s="120">
        <f t="shared" si="12"/>
        <v>0</v>
      </c>
      <c r="X43" s="120">
        <f t="shared" si="12"/>
        <v>0</v>
      </c>
      <c r="Y43" s="120">
        <f t="shared" si="12"/>
        <v>0</v>
      </c>
      <c r="Z43" s="120">
        <f t="shared" si="12"/>
        <v>0</v>
      </c>
      <c r="AA43" s="120">
        <f t="shared" si="12"/>
        <v>0</v>
      </c>
      <c r="AB43" s="120">
        <f t="shared" si="12"/>
        <v>0</v>
      </c>
      <c r="AC43" s="96"/>
      <c r="AD43" s="389">
        <f t="shared" si="2"/>
        <v>0</v>
      </c>
      <c r="AE43" s="389">
        <f t="shared" si="3"/>
        <v>0</v>
      </c>
      <c r="AF43" s="389">
        <f t="shared" si="4"/>
        <v>0</v>
      </c>
      <c r="AG43" s="96"/>
      <c r="AH43" s="390">
        <f>IF($I43=Lists!$F$11,0,1)</f>
        <v>1</v>
      </c>
      <c r="AI43" s="390">
        <f>IF($I43=Lists!$F$13,0,1)</f>
        <v>1</v>
      </c>
      <c r="AJ43" s="390">
        <f t="shared" si="5"/>
        <v>0</v>
      </c>
      <c r="AK43" s="390">
        <f t="shared" si="6"/>
        <v>1</v>
      </c>
      <c r="AL43" s="389">
        <f>IF(K43=Lists!$F$11,0,1)</f>
        <v>1</v>
      </c>
      <c r="AM43" s="389">
        <f>IF(K43=Lists!$F$13,0,1)</f>
        <v>1</v>
      </c>
      <c r="AN43" s="389">
        <f t="shared" si="7"/>
        <v>0</v>
      </c>
      <c r="AO43" s="389">
        <f t="shared" si="8"/>
        <v>1</v>
      </c>
      <c r="AP43" s="390">
        <f>IF($M43=Lists!$F$11,0,1)</f>
        <v>1</v>
      </c>
      <c r="AQ43" s="390">
        <f>IF($M43=Lists!$F$13,0,1)</f>
        <v>1</v>
      </c>
      <c r="AR43" s="390">
        <f t="shared" si="9"/>
        <v>0</v>
      </c>
      <c r="AS43" s="390">
        <f t="shared" si="10"/>
        <v>1</v>
      </c>
      <c r="AT43" s="391" t="s">
        <v>547</v>
      </c>
    </row>
    <row r="44" spans="1:46" s="100" customFormat="1" ht="30" customHeight="1" x14ac:dyDescent="0.2">
      <c r="A44" s="99"/>
      <c r="B44" s="343">
        <f t="shared" si="11"/>
        <v>40</v>
      </c>
      <c r="C44" s="392" t="str">
        <f>IF($N$1="Select company","",IF((HLOOKUP((VLOOKUP($N$1,Lists!$B$4:$C$22,2,FALSE)),'PC list edited'!$A$2:$BB$65,(B44+1),FALSE))=0,"",HLOOKUP((VLOOKUP($N$1,Lists!$B$4:$C$22,2,FALSE)),'PC list edited'!$A$2:$BB$65,(B44+1),FALSE)))</f>
        <v/>
      </c>
      <c r="D44" s="393" t="str">
        <f>IF($N$1="Select company","",IF((HLOOKUP(((VLOOKUP($N$1,Lists!$B$4:$C$22,2,FALSE))&amp;"PC"),'PC list edited'!$A$2:$BB$65,(B44+1),FALSE))=0,"",HLOOKUP(((VLOOKUP($N$1,Lists!$B$4:$C$22,2,FALSE))&amp;"PC"),'PC list edited'!$A$2:$BB$65,(B44+1),FALSE)))</f>
        <v/>
      </c>
      <c r="E44" s="394" t="str">
        <f>IF($N$1="Select company","",IF((HLOOKUP(((VLOOKUP($N$1,Lists!$B$4:$C$22,2,FALSE))&amp;"unit"),'PC list edited'!$A$2:$BB$65,(B44+1),FALSE))=0,"",HLOOKUP(((VLOOKUP($N$1,Lists!$B$4:$C$22,2,FALSE))&amp;"unit"),'PC list edited'!$A$2:$BB$65,(B44+1),FALSE)))</f>
        <v/>
      </c>
      <c r="F44" s="601"/>
      <c r="G44" s="601"/>
      <c r="H44" s="601"/>
      <c r="I44" s="602"/>
      <c r="J44" s="603"/>
      <c r="K44" s="602"/>
      <c r="L44" s="602"/>
      <c r="M44" s="602"/>
      <c r="N44" s="604"/>
      <c r="O44" s="153"/>
      <c r="Q44" s="29">
        <f t="shared" si="13"/>
        <v>0</v>
      </c>
      <c r="R44" s="95"/>
      <c r="S44" s="96"/>
      <c r="T44" s="120">
        <f t="shared" si="12"/>
        <v>0</v>
      </c>
      <c r="U44" s="120">
        <f t="shared" si="12"/>
        <v>0</v>
      </c>
      <c r="V44" s="120">
        <f t="shared" si="12"/>
        <v>0</v>
      </c>
      <c r="W44" s="120">
        <f t="shared" si="12"/>
        <v>0</v>
      </c>
      <c r="X44" s="120">
        <f t="shared" si="12"/>
        <v>0</v>
      </c>
      <c r="Y44" s="120">
        <f t="shared" si="12"/>
        <v>0</v>
      </c>
      <c r="Z44" s="120">
        <f t="shared" si="12"/>
        <v>0</v>
      </c>
      <c r="AA44" s="120">
        <f t="shared" si="12"/>
        <v>0</v>
      </c>
      <c r="AB44" s="120">
        <f t="shared" si="12"/>
        <v>0</v>
      </c>
      <c r="AC44" s="96"/>
      <c r="AD44" s="389">
        <f t="shared" si="2"/>
        <v>0</v>
      </c>
      <c r="AE44" s="389">
        <f t="shared" si="3"/>
        <v>0</v>
      </c>
      <c r="AF44" s="389">
        <f t="shared" si="4"/>
        <v>0</v>
      </c>
      <c r="AG44" s="96"/>
      <c r="AH44" s="390">
        <f>IF($I44=Lists!$F$11,0,1)</f>
        <v>1</v>
      </c>
      <c r="AI44" s="390">
        <f>IF($I44=Lists!$F$13,0,1)</f>
        <v>1</v>
      </c>
      <c r="AJ44" s="390">
        <f t="shared" si="5"/>
        <v>0</v>
      </c>
      <c r="AK44" s="390">
        <f t="shared" si="6"/>
        <v>1</v>
      </c>
      <c r="AL44" s="389">
        <f>IF(K44=Lists!$F$11,0,1)</f>
        <v>1</v>
      </c>
      <c r="AM44" s="389">
        <f>IF(K44=Lists!$F$13,0,1)</f>
        <v>1</v>
      </c>
      <c r="AN44" s="389">
        <f t="shared" si="7"/>
        <v>0</v>
      </c>
      <c r="AO44" s="389">
        <f t="shared" si="8"/>
        <v>1</v>
      </c>
      <c r="AP44" s="390">
        <f>IF($M44=Lists!$F$11,0,1)</f>
        <v>1</v>
      </c>
      <c r="AQ44" s="390">
        <f>IF($M44=Lists!$F$13,0,1)</f>
        <v>1</v>
      </c>
      <c r="AR44" s="390">
        <f t="shared" si="9"/>
        <v>0</v>
      </c>
      <c r="AS44" s="390">
        <f t="shared" si="10"/>
        <v>1</v>
      </c>
      <c r="AT44" s="391" t="s">
        <v>547</v>
      </c>
    </row>
    <row r="45" spans="1:46" s="100" customFormat="1" ht="30" customHeight="1" x14ac:dyDescent="0.2">
      <c r="A45" s="99"/>
      <c r="B45" s="343">
        <f t="shared" si="11"/>
        <v>41</v>
      </c>
      <c r="C45" s="392" t="str">
        <f>IF($N$1="Select company","",IF((HLOOKUP((VLOOKUP($N$1,Lists!$B$4:$C$22,2,FALSE)),'PC list edited'!$A$2:$BB$65,(B45+1),FALSE))=0,"",HLOOKUP((VLOOKUP($N$1,Lists!$B$4:$C$22,2,FALSE)),'PC list edited'!$A$2:$BB$65,(B45+1),FALSE)))</f>
        <v/>
      </c>
      <c r="D45" s="393" t="str">
        <f>IF($N$1="Select company","",IF((HLOOKUP(((VLOOKUP($N$1,Lists!$B$4:$C$22,2,FALSE))&amp;"PC"),'PC list edited'!$A$2:$BB$65,(B45+1),FALSE))=0,"",HLOOKUP(((VLOOKUP($N$1,Lists!$B$4:$C$22,2,FALSE))&amp;"PC"),'PC list edited'!$A$2:$BB$65,(B45+1),FALSE)))</f>
        <v/>
      </c>
      <c r="E45" s="394" t="str">
        <f>IF($N$1="Select company","",IF((HLOOKUP(((VLOOKUP($N$1,Lists!$B$4:$C$22,2,FALSE))&amp;"unit"),'PC list edited'!$A$2:$BB$65,(B45+1),FALSE))=0,"",HLOOKUP(((VLOOKUP($N$1,Lists!$B$4:$C$22,2,FALSE))&amp;"unit"),'PC list edited'!$A$2:$BB$65,(B45+1),FALSE)))</f>
        <v/>
      </c>
      <c r="F45" s="601"/>
      <c r="G45" s="601"/>
      <c r="H45" s="601"/>
      <c r="I45" s="602"/>
      <c r="J45" s="603"/>
      <c r="K45" s="602"/>
      <c r="L45" s="602"/>
      <c r="M45" s="602"/>
      <c r="N45" s="604"/>
      <c r="O45" s="153"/>
      <c r="Q45" s="29">
        <f t="shared" si="13"/>
        <v>0</v>
      </c>
      <c r="R45" s="95"/>
      <c r="S45" s="96"/>
      <c r="T45" s="120">
        <f t="shared" si="12"/>
        <v>0</v>
      </c>
      <c r="U45" s="120">
        <f t="shared" si="12"/>
        <v>0</v>
      </c>
      <c r="V45" s="120">
        <f t="shared" si="12"/>
        <v>0</v>
      </c>
      <c r="W45" s="120">
        <f t="shared" si="12"/>
        <v>0</v>
      </c>
      <c r="X45" s="120">
        <f t="shared" si="12"/>
        <v>0</v>
      </c>
      <c r="Y45" s="120">
        <f t="shared" si="12"/>
        <v>0</v>
      </c>
      <c r="Z45" s="120">
        <f t="shared" si="12"/>
        <v>0</v>
      </c>
      <c r="AA45" s="120">
        <f t="shared" si="12"/>
        <v>0</v>
      </c>
      <c r="AB45" s="120">
        <f t="shared" si="12"/>
        <v>0</v>
      </c>
      <c r="AC45" s="96"/>
      <c r="AD45" s="389">
        <f t="shared" si="2"/>
        <v>0</v>
      </c>
      <c r="AE45" s="389">
        <f t="shared" si="3"/>
        <v>0</v>
      </c>
      <c r="AF45" s="389">
        <f t="shared" si="4"/>
        <v>0</v>
      </c>
      <c r="AG45" s="96"/>
      <c r="AH45" s="390">
        <f>IF($I45=Lists!$F$11,0,1)</f>
        <v>1</v>
      </c>
      <c r="AI45" s="390">
        <f>IF($I45=Lists!$F$13,0,1)</f>
        <v>1</v>
      </c>
      <c r="AJ45" s="390">
        <f t="shared" si="5"/>
        <v>0</v>
      </c>
      <c r="AK45" s="390">
        <f t="shared" si="6"/>
        <v>1</v>
      </c>
      <c r="AL45" s="389">
        <f>IF(K45=Lists!$F$11,0,1)</f>
        <v>1</v>
      </c>
      <c r="AM45" s="389">
        <f>IF(K45=Lists!$F$13,0,1)</f>
        <v>1</v>
      </c>
      <c r="AN45" s="389">
        <f t="shared" si="7"/>
        <v>0</v>
      </c>
      <c r="AO45" s="389">
        <f t="shared" si="8"/>
        <v>1</v>
      </c>
      <c r="AP45" s="390">
        <f>IF($M45=Lists!$F$11,0,1)</f>
        <v>1</v>
      </c>
      <c r="AQ45" s="390">
        <f>IF($M45=Lists!$F$13,0,1)</f>
        <v>1</v>
      </c>
      <c r="AR45" s="390">
        <f t="shared" si="9"/>
        <v>0</v>
      </c>
      <c r="AS45" s="390">
        <f t="shared" si="10"/>
        <v>1</v>
      </c>
      <c r="AT45" s="391" t="s">
        <v>547</v>
      </c>
    </row>
    <row r="46" spans="1:46" s="100" customFormat="1" ht="30" customHeight="1" x14ac:dyDescent="0.2">
      <c r="A46" s="99"/>
      <c r="B46" s="343">
        <f t="shared" si="11"/>
        <v>42</v>
      </c>
      <c r="C46" s="392" t="str">
        <f>IF($N$1="Select company","",IF((HLOOKUP((VLOOKUP($N$1,Lists!$B$4:$C$22,2,FALSE)),'PC list edited'!$A$2:$BB$65,(B46+1),FALSE))=0,"",HLOOKUP((VLOOKUP($N$1,Lists!$B$4:$C$22,2,FALSE)),'PC list edited'!$A$2:$BB$65,(B46+1),FALSE)))</f>
        <v/>
      </c>
      <c r="D46" s="393" t="str">
        <f>IF($N$1="Select company","",IF((HLOOKUP(((VLOOKUP($N$1,Lists!$B$4:$C$22,2,FALSE))&amp;"PC"),'PC list edited'!$A$2:$BB$65,(B46+1),FALSE))=0,"",HLOOKUP(((VLOOKUP($N$1,Lists!$B$4:$C$22,2,FALSE))&amp;"PC"),'PC list edited'!$A$2:$BB$65,(B46+1),FALSE)))</f>
        <v/>
      </c>
      <c r="E46" s="394" t="str">
        <f>IF($N$1="Select company","",IF((HLOOKUP(((VLOOKUP($N$1,Lists!$B$4:$C$22,2,FALSE))&amp;"unit"),'PC list edited'!$A$2:$BB$65,(B46+1),FALSE))=0,"",HLOOKUP(((VLOOKUP($N$1,Lists!$B$4:$C$22,2,FALSE))&amp;"unit"),'PC list edited'!$A$2:$BB$65,(B46+1),FALSE)))</f>
        <v/>
      </c>
      <c r="F46" s="601"/>
      <c r="G46" s="601"/>
      <c r="H46" s="601"/>
      <c r="I46" s="602"/>
      <c r="J46" s="603"/>
      <c r="K46" s="602"/>
      <c r="L46" s="602"/>
      <c r="M46" s="602"/>
      <c r="N46" s="604"/>
      <c r="O46" s="153"/>
      <c r="Q46" s="29">
        <f t="shared" si="13"/>
        <v>0</v>
      </c>
      <c r="R46" s="95"/>
      <c r="S46" s="96"/>
      <c r="T46" s="120">
        <f t="shared" si="12"/>
        <v>0</v>
      </c>
      <c r="U46" s="120">
        <f t="shared" si="12"/>
        <v>0</v>
      </c>
      <c r="V46" s="120">
        <f t="shared" si="12"/>
        <v>0</v>
      </c>
      <c r="W46" s="120">
        <f t="shared" si="12"/>
        <v>0</v>
      </c>
      <c r="X46" s="120">
        <f t="shared" si="12"/>
        <v>0</v>
      </c>
      <c r="Y46" s="120">
        <f t="shared" si="12"/>
        <v>0</v>
      </c>
      <c r="Z46" s="120">
        <f t="shared" si="12"/>
        <v>0</v>
      </c>
      <c r="AA46" s="120">
        <f t="shared" si="12"/>
        <v>0</v>
      </c>
      <c r="AB46" s="120">
        <f t="shared" si="12"/>
        <v>0</v>
      </c>
      <c r="AC46" s="96"/>
      <c r="AD46" s="389">
        <f t="shared" si="2"/>
        <v>0</v>
      </c>
      <c r="AE46" s="389">
        <f t="shared" si="3"/>
        <v>0</v>
      </c>
      <c r="AF46" s="389">
        <f t="shared" si="4"/>
        <v>0</v>
      </c>
      <c r="AG46" s="96"/>
      <c r="AH46" s="390">
        <f>IF($I46=Lists!$F$11,0,1)</f>
        <v>1</v>
      </c>
      <c r="AI46" s="390">
        <f>IF($I46=Lists!$F$13,0,1)</f>
        <v>1</v>
      </c>
      <c r="AJ46" s="390">
        <f t="shared" si="5"/>
        <v>0</v>
      </c>
      <c r="AK46" s="390">
        <f t="shared" si="6"/>
        <v>1</v>
      </c>
      <c r="AL46" s="389">
        <f>IF(K46=Lists!$F$11,0,1)</f>
        <v>1</v>
      </c>
      <c r="AM46" s="389">
        <f>IF(K46=Lists!$F$13,0,1)</f>
        <v>1</v>
      </c>
      <c r="AN46" s="389">
        <f t="shared" si="7"/>
        <v>0</v>
      </c>
      <c r="AO46" s="389">
        <f t="shared" si="8"/>
        <v>1</v>
      </c>
      <c r="AP46" s="390">
        <f>IF($M46=Lists!$F$11,0,1)</f>
        <v>1</v>
      </c>
      <c r="AQ46" s="390">
        <f>IF($M46=Lists!$F$13,0,1)</f>
        <v>1</v>
      </c>
      <c r="AR46" s="390">
        <f t="shared" si="9"/>
        <v>0</v>
      </c>
      <c r="AS46" s="390">
        <f t="shared" si="10"/>
        <v>1</v>
      </c>
      <c r="AT46" s="391" t="s">
        <v>547</v>
      </c>
    </row>
    <row r="47" spans="1:46" s="100" customFormat="1" ht="30" customHeight="1" x14ac:dyDescent="0.2">
      <c r="A47" s="99"/>
      <c r="B47" s="343">
        <f t="shared" si="11"/>
        <v>43</v>
      </c>
      <c r="C47" s="392" t="str">
        <f>IF($N$1="Select company","",IF((HLOOKUP((VLOOKUP($N$1,Lists!$B$4:$C$22,2,FALSE)),'PC list edited'!$A$2:$BB$65,(B47+1),FALSE))=0,"",HLOOKUP((VLOOKUP($N$1,Lists!$B$4:$C$22,2,FALSE)),'PC list edited'!$A$2:$BB$65,(B47+1),FALSE)))</f>
        <v/>
      </c>
      <c r="D47" s="393" t="str">
        <f>IF($N$1="Select company","",IF((HLOOKUP(((VLOOKUP($N$1,Lists!$B$4:$C$22,2,FALSE))&amp;"PC"),'PC list edited'!$A$2:$BB$65,(B47+1),FALSE))=0,"",HLOOKUP(((VLOOKUP($N$1,Lists!$B$4:$C$22,2,FALSE))&amp;"PC"),'PC list edited'!$A$2:$BB$65,(B47+1),FALSE)))</f>
        <v/>
      </c>
      <c r="E47" s="394" t="str">
        <f>IF($N$1="Select company","",IF((HLOOKUP(((VLOOKUP($N$1,Lists!$B$4:$C$22,2,FALSE))&amp;"unit"),'PC list edited'!$A$2:$BB$65,(B47+1),FALSE))=0,"",HLOOKUP(((VLOOKUP($N$1,Lists!$B$4:$C$22,2,FALSE))&amp;"unit"),'PC list edited'!$A$2:$BB$65,(B47+1),FALSE)))</f>
        <v/>
      </c>
      <c r="F47" s="601"/>
      <c r="G47" s="601"/>
      <c r="H47" s="601"/>
      <c r="I47" s="602"/>
      <c r="J47" s="603"/>
      <c r="K47" s="602"/>
      <c r="L47" s="602"/>
      <c r="M47" s="602"/>
      <c r="N47" s="604"/>
      <c r="O47" s="153"/>
      <c r="Q47" s="29">
        <f t="shared" si="13"/>
        <v>0</v>
      </c>
      <c r="R47" s="95"/>
      <c r="S47" s="96"/>
      <c r="T47" s="120">
        <f t="shared" si="12"/>
        <v>0</v>
      </c>
      <c r="U47" s="120">
        <f t="shared" si="12"/>
        <v>0</v>
      </c>
      <c r="V47" s="120">
        <f t="shared" si="12"/>
        <v>0</v>
      </c>
      <c r="W47" s="120">
        <f t="shared" si="12"/>
        <v>0</v>
      </c>
      <c r="X47" s="120">
        <f t="shared" si="12"/>
        <v>0</v>
      </c>
      <c r="Y47" s="120">
        <f t="shared" si="12"/>
        <v>0</v>
      </c>
      <c r="Z47" s="120">
        <f t="shared" si="12"/>
        <v>0</v>
      </c>
      <c r="AA47" s="120">
        <f t="shared" si="12"/>
        <v>0</v>
      </c>
      <c r="AB47" s="120">
        <f t="shared" si="12"/>
        <v>0</v>
      </c>
      <c r="AC47" s="96"/>
      <c r="AD47" s="389">
        <f t="shared" si="2"/>
        <v>0</v>
      </c>
      <c r="AE47" s="389">
        <f t="shared" si="3"/>
        <v>0</v>
      </c>
      <c r="AF47" s="389">
        <f t="shared" si="4"/>
        <v>0</v>
      </c>
      <c r="AG47" s="96"/>
      <c r="AH47" s="390">
        <f>IF($I47=Lists!$F$11,0,1)</f>
        <v>1</v>
      </c>
      <c r="AI47" s="390">
        <f>IF($I47=Lists!$F$13,0,1)</f>
        <v>1</v>
      </c>
      <c r="AJ47" s="390">
        <f t="shared" si="5"/>
        <v>0</v>
      </c>
      <c r="AK47" s="390">
        <f t="shared" si="6"/>
        <v>1</v>
      </c>
      <c r="AL47" s="389">
        <f>IF(K47=Lists!$F$11,0,1)</f>
        <v>1</v>
      </c>
      <c r="AM47" s="389">
        <f>IF(K47=Lists!$F$13,0,1)</f>
        <v>1</v>
      </c>
      <c r="AN47" s="389">
        <f t="shared" si="7"/>
        <v>0</v>
      </c>
      <c r="AO47" s="389">
        <f t="shared" si="8"/>
        <v>1</v>
      </c>
      <c r="AP47" s="390">
        <f>IF($M47=Lists!$F$11,0,1)</f>
        <v>1</v>
      </c>
      <c r="AQ47" s="390">
        <f>IF($M47=Lists!$F$13,0,1)</f>
        <v>1</v>
      </c>
      <c r="AR47" s="390">
        <f t="shared" si="9"/>
        <v>0</v>
      </c>
      <c r="AS47" s="390">
        <f t="shared" si="10"/>
        <v>1</v>
      </c>
      <c r="AT47" s="391" t="s">
        <v>547</v>
      </c>
    </row>
    <row r="48" spans="1:46" s="100" customFormat="1" ht="30" customHeight="1" x14ac:dyDescent="0.2">
      <c r="A48" s="99"/>
      <c r="B48" s="343">
        <f t="shared" si="11"/>
        <v>44</v>
      </c>
      <c r="C48" s="392" t="str">
        <f>IF($N$1="Select company","",IF((HLOOKUP((VLOOKUP($N$1,Lists!$B$4:$C$22,2,FALSE)),'PC list edited'!$A$2:$BB$65,(B48+1),FALSE))=0,"",HLOOKUP((VLOOKUP($N$1,Lists!$B$4:$C$22,2,FALSE)),'PC list edited'!$A$2:$BB$65,(B48+1),FALSE)))</f>
        <v/>
      </c>
      <c r="D48" s="393" t="str">
        <f>IF($N$1="Select company","",IF((HLOOKUP(((VLOOKUP($N$1,Lists!$B$4:$C$22,2,FALSE))&amp;"PC"),'PC list edited'!$A$2:$BB$65,(B48+1),FALSE))=0,"",HLOOKUP(((VLOOKUP($N$1,Lists!$B$4:$C$22,2,FALSE))&amp;"PC"),'PC list edited'!$A$2:$BB$65,(B48+1),FALSE)))</f>
        <v/>
      </c>
      <c r="E48" s="394" t="str">
        <f>IF($N$1="Select company","",IF((HLOOKUP(((VLOOKUP($N$1,Lists!$B$4:$C$22,2,FALSE))&amp;"unit"),'PC list edited'!$A$2:$BB$65,(B48+1),FALSE))=0,"",HLOOKUP(((VLOOKUP($N$1,Lists!$B$4:$C$22,2,FALSE))&amp;"unit"),'PC list edited'!$A$2:$BB$65,(B48+1),FALSE)))</f>
        <v/>
      </c>
      <c r="F48" s="601"/>
      <c r="G48" s="601"/>
      <c r="H48" s="601"/>
      <c r="I48" s="602"/>
      <c r="J48" s="603"/>
      <c r="K48" s="602"/>
      <c r="L48" s="602"/>
      <c r="M48" s="602"/>
      <c r="N48" s="604"/>
      <c r="O48" s="153"/>
      <c r="Q48" s="29">
        <f t="shared" si="13"/>
        <v>0</v>
      </c>
      <c r="R48" s="95"/>
      <c r="S48" s="96"/>
      <c r="T48" s="120">
        <f t="shared" si="12"/>
        <v>0</v>
      </c>
      <c r="U48" s="120">
        <f t="shared" si="12"/>
        <v>0</v>
      </c>
      <c r="V48" s="120">
        <f t="shared" si="12"/>
        <v>0</v>
      </c>
      <c r="W48" s="120">
        <f t="shared" si="12"/>
        <v>0</v>
      </c>
      <c r="X48" s="120">
        <f t="shared" si="12"/>
        <v>0</v>
      </c>
      <c r="Y48" s="120">
        <f t="shared" si="12"/>
        <v>0</v>
      </c>
      <c r="Z48" s="120">
        <f t="shared" si="12"/>
        <v>0</v>
      </c>
      <c r="AA48" s="120">
        <f t="shared" si="12"/>
        <v>0</v>
      </c>
      <c r="AB48" s="120">
        <f t="shared" si="12"/>
        <v>0</v>
      </c>
      <c r="AC48" s="96"/>
      <c r="AD48" s="389">
        <f t="shared" si="2"/>
        <v>0</v>
      </c>
      <c r="AE48" s="389">
        <f t="shared" si="3"/>
        <v>0</v>
      </c>
      <c r="AF48" s="389">
        <f t="shared" si="4"/>
        <v>0</v>
      </c>
      <c r="AG48" s="96"/>
      <c r="AH48" s="390">
        <f>IF($I48=Lists!$F$11,0,1)</f>
        <v>1</v>
      </c>
      <c r="AI48" s="390">
        <f>IF($I48=Lists!$F$13,0,1)</f>
        <v>1</v>
      </c>
      <c r="AJ48" s="390">
        <f t="shared" si="5"/>
        <v>0</v>
      </c>
      <c r="AK48" s="390">
        <f t="shared" si="6"/>
        <v>1</v>
      </c>
      <c r="AL48" s="389">
        <f>IF(K48=Lists!$F$11,0,1)</f>
        <v>1</v>
      </c>
      <c r="AM48" s="389">
        <f>IF(K48=Lists!$F$13,0,1)</f>
        <v>1</v>
      </c>
      <c r="AN48" s="389">
        <f t="shared" si="7"/>
        <v>0</v>
      </c>
      <c r="AO48" s="389">
        <f t="shared" si="8"/>
        <v>1</v>
      </c>
      <c r="AP48" s="390">
        <f>IF($M48=Lists!$F$11,0,1)</f>
        <v>1</v>
      </c>
      <c r="AQ48" s="390">
        <f>IF($M48=Lists!$F$13,0,1)</f>
        <v>1</v>
      </c>
      <c r="AR48" s="390">
        <f t="shared" si="9"/>
        <v>0</v>
      </c>
      <c r="AS48" s="390">
        <f t="shared" si="10"/>
        <v>1</v>
      </c>
      <c r="AT48" s="391" t="s">
        <v>547</v>
      </c>
    </row>
    <row r="49" spans="1:46" s="100" customFormat="1" ht="30" customHeight="1" x14ac:dyDescent="0.2">
      <c r="A49" s="99"/>
      <c r="B49" s="343">
        <f t="shared" si="11"/>
        <v>45</v>
      </c>
      <c r="C49" s="392" t="str">
        <f>IF($N$1="Select company","",IF((HLOOKUP((VLOOKUP($N$1,Lists!$B$4:$C$22,2,FALSE)),'PC list edited'!$A$2:$BB$65,(B49+1),FALSE))=0,"",HLOOKUP((VLOOKUP($N$1,Lists!$B$4:$C$22,2,FALSE)),'PC list edited'!$A$2:$BB$65,(B49+1),FALSE)))</f>
        <v/>
      </c>
      <c r="D49" s="393" t="str">
        <f>IF($N$1="Select company","",IF((HLOOKUP(((VLOOKUP($N$1,Lists!$B$4:$C$22,2,FALSE))&amp;"PC"),'PC list edited'!$A$2:$BB$65,(B49+1),FALSE))=0,"",HLOOKUP(((VLOOKUP($N$1,Lists!$B$4:$C$22,2,FALSE))&amp;"PC"),'PC list edited'!$A$2:$BB$65,(B49+1),FALSE)))</f>
        <v/>
      </c>
      <c r="E49" s="394" t="str">
        <f>IF($N$1="Select company","",IF((HLOOKUP(((VLOOKUP($N$1,Lists!$B$4:$C$22,2,FALSE))&amp;"unit"),'PC list edited'!$A$2:$BB$65,(B49+1),FALSE))=0,"",HLOOKUP(((VLOOKUP($N$1,Lists!$B$4:$C$22,2,FALSE))&amp;"unit"),'PC list edited'!$A$2:$BB$65,(B49+1),FALSE)))</f>
        <v/>
      </c>
      <c r="F49" s="601"/>
      <c r="G49" s="601"/>
      <c r="H49" s="601"/>
      <c r="I49" s="602"/>
      <c r="J49" s="603"/>
      <c r="K49" s="602"/>
      <c r="L49" s="602"/>
      <c r="M49" s="602"/>
      <c r="N49" s="604"/>
      <c r="O49" s="153"/>
      <c r="Q49" s="29">
        <f t="shared" si="13"/>
        <v>0</v>
      </c>
      <c r="R49" s="95"/>
      <c r="S49" s="96"/>
      <c r="T49" s="120">
        <f t="shared" si="12"/>
        <v>0</v>
      </c>
      <c r="U49" s="120">
        <f t="shared" si="12"/>
        <v>0</v>
      </c>
      <c r="V49" s="120">
        <f t="shared" si="12"/>
        <v>0</v>
      </c>
      <c r="W49" s="120">
        <f t="shared" ref="W49:AB59" si="14">IF($C49="",0,IF(ISBLANK(I49)=FALSE,0,1))</f>
        <v>0</v>
      </c>
      <c r="X49" s="120">
        <f t="shared" si="14"/>
        <v>0</v>
      </c>
      <c r="Y49" s="120">
        <f t="shared" si="14"/>
        <v>0</v>
      </c>
      <c r="Z49" s="120">
        <f t="shared" si="14"/>
        <v>0</v>
      </c>
      <c r="AA49" s="120">
        <f t="shared" si="14"/>
        <v>0</v>
      </c>
      <c r="AB49" s="120">
        <f t="shared" si="14"/>
        <v>0</v>
      </c>
      <c r="AC49" s="96"/>
      <c r="AD49" s="389">
        <f t="shared" si="2"/>
        <v>0</v>
      </c>
      <c r="AE49" s="389">
        <f t="shared" si="3"/>
        <v>0</v>
      </c>
      <c r="AF49" s="389">
        <f t="shared" si="4"/>
        <v>0</v>
      </c>
      <c r="AG49" s="96"/>
      <c r="AH49" s="390">
        <f>IF($I49=Lists!$F$11,0,1)</f>
        <v>1</v>
      </c>
      <c r="AI49" s="390">
        <f>IF($I49=Lists!$F$13,0,1)</f>
        <v>1</v>
      </c>
      <c r="AJ49" s="390">
        <f t="shared" si="5"/>
        <v>0</v>
      </c>
      <c r="AK49" s="390">
        <f t="shared" si="6"/>
        <v>1</v>
      </c>
      <c r="AL49" s="389">
        <f>IF(K49=Lists!$F$11,0,1)</f>
        <v>1</v>
      </c>
      <c r="AM49" s="389">
        <f>IF(K49=Lists!$F$13,0,1)</f>
        <v>1</v>
      </c>
      <c r="AN49" s="389">
        <f t="shared" si="7"/>
        <v>0</v>
      </c>
      <c r="AO49" s="389">
        <f t="shared" si="8"/>
        <v>1</v>
      </c>
      <c r="AP49" s="390">
        <f>IF($M49=Lists!$F$11,0,1)</f>
        <v>1</v>
      </c>
      <c r="AQ49" s="390">
        <f>IF($M49=Lists!$F$13,0,1)</f>
        <v>1</v>
      </c>
      <c r="AR49" s="390">
        <f t="shared" si="9"/>
        <v>0</v>
      </c>
      <c r="AS49" s="390">
        <f t="shared" si="10"/>
        <v>1</v>
      </c>
      <c r="AT49" s="391" t="s">
        <v>547</v>
      </c>
    </row>
    <row r="50" spans="1:46" s="100" customFormat="1" ht="30" customHeight="1" x14ac:dyDescent="0.2">
      <c r="A50" s="99"/>
      <c r="B50" s="343">
        <f t="shared" si="11"/>
        <v>46</v>
      </c>
      <c r="C50" s="392" t="str">
        <f>IF($N$1="Select company","",IF((HLOOKUP((VLOOKUP($N$1,Lists!$B$4:$C$22,2,FALSE)),'PC list edited'!$A$2:$BB$65,(B50+1),FALSE))=0,"",HLOOKUP((VLOOKUP($N$1,Lists!$B$4:$C$22,2,FALSE)),'PC list edited'!$A$2:$BB$65,(B50+1),FALSE)))</f>
        <v/>
      </c>
      <c r="D50" s="393" t="str">
        <f>IF($N$1="Select company","",IF((HLOOKUP(((VLOOKUP($N$1,Lists!$B$4:$C$22,2,FALSE))&amp;"PC"),'PC list edited'!$A$2:$BB$65,(B50+1),FALSE))=0,"",HLOOKUP(((VLOOKUP($N$1,Lists!$B$4:$C$22,2,FALSE))&amp;"PC"),'PC list edited'!$A$2:$BB$65,(B50+1),FALSE)))</f>
        <v/>
      </c>
      <c r="E50" s="394" t="str">
        <f>IF($N$1="Select company","",IF((HLOOKUP(((VLOOKUP($N$1,Lists!$B$4:$C$22,2,FALSE))&amp;"unit"),'PC list edited'!$A$2:$BB$65,(B50+1),FALSE))=0,"",HLOOKUP(((VLOOKUP($N$1,Lists!$B$4:$C$22,2,FALSE))&amp;"unit"),'PC list edited'!$A$2:$BB$65,(B50+1),FALSE)))</f>
        <v/>
      </c>
      <c r="F50" s="601"/>
      <c r="G50" s="601"/>
      <c r="H50" s="601"/>
      <c r="I50" s="602"/>
      <c r="J50" s="603"/>
      <c r="K50" s="602"/>
      <c r="L50" s="602"/>
      <c r="M50" s="602"/>
      <c r="N50" s="604"/>
      <c r="O50" s="153"/>
      <c r="Q50" s="29">
        <f t="shared" si="13"/>
        <v>0</v>
      </c>
      <c r="R50" s="95"/>
      <c r="S50" s="96"/>
      <c r="T50" s="120">
        <f t="shared" ref="T50:V59" si="15">IF($C50="",0,IF(ISBLANK(F50)=FALSE,0,1))</f>
        <v>0</v>
      </c>
      <c r="U50" s="120">
        <f t="shared" si="15"/>
        <v>0</v>
      </c>
      <c r="V50" s="120">
        <f t="shared" si="15"/>
        <v>0</v>
      </c>
      <c r="W50" s="120">
        <f t="shared" si="14"/>
        <v>0</v>
      </c>
      <c r="X50" s="120">
        <f t="shared" si="14"/>
        <v>0</v>
      </c>
      <c r="Y50" s="120">
        <f t="shared" si="14"/>
        <v>0</v>
      </c>
      <c r="Z50" s="120">
        <f t="shared" si="14"/>
        <v>0</v>
      </c>
      <c r="AA50" s="120">
        <f t="shared" si="14"/>
        <v>0</v>
      </c>
      <c r="AB50" s="120">
        <f t="shared" si="14"/>
        <v>0</v>
      </c>
      <c r="AC50" s="96"/>
      <c r="AD50" s="389">
        <f t="shared" si="2"/>
        <v>0</v>
      </c>
      <c r="AE50" s="389">
        <f t="shared" si="3"/>
        <v>0</v>
      </c>
      <c r="AF50" s="389">
        <f t="shared" si="4"/>
        <v>0</v>
      </c>
      <c r="AG50" s="96"/>
      <c r="AH50" s="390">
        <f>IF($I50=Lists!$F$11,0,1)</f>
        <v>1</v>
      </c>
      <c r="AI50" s="390">
        <f>IF($I50=Lists!$F$13,0,1)</f>
        <v>1</v>
      </c>
      <c r="AJ50" s="390">
        <f t="shared" si="5"/>
        <v>0</v>
      </c>
      <c r="AK50" s="390">
        <f t="shared" si="6"/>
        <v>1</v>
      </c>
      <c r="AL50" s="389">
        <f>IF(K50=Lists!$F$11,0,1)</f>
        <v>1</v>
      </c>
      <c r="AM50" s="389">
        <f>IF(K50=Lists!$F$13,0,1)</f>
        <v>1</v>
      </c>
      <c r="AN50" s="389">
        <f t="shared" si="7"/>
        <v>0</v>
      </c>
      <c r="AO50" s="389">
        <f t="shared" si="8"/>
        <v>1</v>
      </c>
      <c r="AP50" s="390">
        <f>IF($M50=Lists!$F$11,0,1)</f>
        <v>1</v>
      </c>
      <c r="AQ50" s="390">
        <f>IF($M50=Lists!$F$13,0,1)</f>
        <v>1</v>
      </c>
      <c r="AR50" s="390">
        <f t="shared" si="9"/>
        <v>0</v>
      </c>
      <c r="AS50" s="390">
        <f t="shared" si="10"/>
        <v>1</v>
      </c>
      <c r="AT50" s="391" t="s">
        <v>547</v>
      </c>
    </row>
    <row r="51" spans="1:46" s="100" customFormat="1" ht="30" customHeight="1" x14ac:dyDescent="0.2">
      <c r="A51" s="99"/>
      <c r="B51" s="343">
        <f t="shared" si="11"/>
        <v>47</v>
      </c>
      <c r="C51" s="392" t="str">
        <f>IF($N$1="Select company","",IF((HLOOKUP((VLOOKUP($N$1,Lists!$B$4:$C$22,2,FALSE)),'PC list edited'!$A$2:$BB$65,(B51+1),FALSE))=0,"",HLOOKUP((VLOOKUP($N$1,Lists!$B$4:$C$22,2,FALSE)),'PC list edited'!$A$2:$BB$65,(B51+1),FALSE)))</f>
        <v/>
      </c>
      <c r="D51" s="393" t="str">
        <f>IF($N$1="Select company","",IF((HLOOKUP(((VLOOKUP($N$1,Lists!$B$4:$C$22,2,FALSE))&amp;"PC"),'PC list edited'!$A$2:$BB$65,(B51+1),FALSE))=0,"",HLOOKUP(((VLOOKUP($N$1,Lists!$B$4:$C$22,2,FALSE))&amp;"PC"),'PC list edited'!$A$2:$BB$65,(B51+1),FALSE)))</f>
        <v/>
      </c>
      <c r="E51" s="394" t="str">
        <f>IF($N$1="Select company","",IF((HLOOKUP(((VLOOKUP($N$1,Lists!$B$4:$C$22,2,FALSE))&amp;"unit"),'PC list edited'!$A$2:$BB$65,(B51+1),FALSE))=0,"",HLOOKUP(((VLOOKUP($N$1,Lists!$B$4:$C$22,2,FALSE))&amp;"unit"),'PC list edited'!$A$2:$BB$65,(B51+1),FALSE)))</f>
        <v/>
      </c>
      <c r="F51" s="601"/>
      <c r="G51" s="601"/>
      <c r="H51" s="601"/>
      <c r="I51" s="602"/>
      <c r="J51" s="603"/>
      <c r="K51" s="602"/>
      <c r="L51" s="602"/>
      <c r="M51" s="602"/>
      <c r="N51" s="604"/>
      <c r="O51" s="153"/>
      <c r="Q51" s="29">
        <f t="shared" si="13"/>
        <v>0</v>
      </c>
      <c r="R51" s="95"/>
      <c r="S51" s="96"/>
      <c r="T51" s="120">
        <f t="shared" si="15"/>
        <v>0</v>
      </c>
      <c r="U51" s="120">
        <f t="shared" si="15"/>
        <v>0</v>
      </c>
      <c r="V51" s="120">
        <f t="shared" si="15"/>
        <v>0</v>
      </c>
      <c r="W51" s="120">
        <f t="shared" si="14"/>
        <v>0</v>
      </c>
      <c r="X51" s="120">
        <f t="shared" si="14"/>
        <v>0</v>
      </c>
      <c r="Y51" s="120">
        <f t="shared" si="14"/>
        <v>0</v>
      </c>
      <c r="Z51" s="120">
        <f t="shared" si="14"/>
        <v>0</v>
      </c>
      <c r="AA51" s="120">
        <f t="shared" si="14"/>
        <v>0</v>
      </c>
      <c r="AB51" s="120">
        <f t="shared" si="14"/>
        <v>0</v>
      </c>
      <c r="AC51" s="96"/>
      <c r="AD51" s="389">
        <f t="shared" si="2"/>
        <v>0</v>
      </c>
      <c r="AE51" s="389">
        <f t="shared" si="3"/>
        <v>0</v>
      </c>
      <c r="AF51" s="389">
        <f t="shared" si="4"/>
        <v>0</v>
      </c>
      <c r="AG51" s="96"/>
      <c r="AH51" s="390">
        <f>IF($I51=Lists!$F$11,0,1)</f>
        <v>1</v>
      </c>
      <c r="AI51" s="390">
        <f>IF($I51=Lists!$F$13,0,1)</f>
        <v>1</v>
      </c>
      <c r="AJ51" s="390">
        <f t="shared" si="5"/>
        <v>0</v>
      </c>
      <c r="AK51" s="390">
        <f t="shared" si="6"/>
        <v>1</v>
      </c>
      <c r="AL51" s="389">
        <f>IF(K51=Lists!$F$11,0,1)</f>
        <v>1</v>
      </c>
      <c r="AM51" s="389">
        <f>IF(K51=Lists!$F$13,0,1)</f>
        <v>1</v>
      </c>
      <c r="AN51" s="389">
        <f t="shared" si="7"/>
        <v>0</v>
      </c>
      <c r="AO51" s="389">
        <f t="shared" si="8"/>
        <v>1</v>
      </c>
      <c r="AP51" s="390">
        <f>IF($M51=Lists!$F$11,0,1)</f>
        <v>1</v>
      </c>
      <c r="AQ51" s="390">
        <f>IF($M51=Lists!$F$13,0,1)</f>
        <v>1</v>
      </c>
      <c r="AR51" s="390">
        <f t="shared" si="9"/>
        <v>0</v>
      </c>
      <c r="AS51" s="390">
        <f t="shared" si="10"/>
        <v>1</v>
      </c>
      <c r="AT51" s="391" t="s">
        <v>547</v>
      </c>
    </row>
    <row r="52" spans="1:46" s="100" customFormat="1" ht="30" customHeight="1" x14ac:dyDescent="0.2">
      <c r="A52" s="99"/>
      <c r="B52" s="343">
        <f t="shared" si="11"/>
        <v>48</v>
      </c>
      <c r="C52" s="392" t="str">
        <f>IF($N$1="Select company","",IF((HLOOKUP((VLOOKUP($N$1,Lists!$B$4:$C$22,2,FALSE)),'PC list edited'!$A$2:$BB$65,(B52+1),FALSE))=0,"",HLOOKUP((VLOOKUP($N$1,Lists!$B$4:$C$22,2,FALSE)),'PC list edited'!$A$2:$BB$65,(B52+1),FALSE)))</f>
        <v/>
      </c>
      <c r="D52" s="393" t="str">
        <f>IF($N$1="Select company","",IF((HLOOKUP(((VLOOKUP($N$1,Lists!$B$4:$C$22,2,FALSE))&amp;"PC"),'PC list edited'!$A$2:$BB$65,(B52+1),FALSE))=0,"",HLOOKUP(((VLOOKUP($N$1,Lists!$B$4:$C$22,2,FALSE))&amp;"PC"),'PC list edited'!$A$2:$BB$65,(B52+1),FALSE)))</f>
        <v/>
      </c>
      <c r="E52" s="394" t="str">
        <f>IF($N$1="Select company","",IF((HLOOKUP(((VLOOKUP($N$1,Lists!$B$4:$C$22,2,FALSE))&amp;"unit"),'PC list edited'!$A$2:$BB$65,(B52+1),FALSE))=0,"",HLOOKUP(((VLOOKUP($N$1,Lists!$B$4:$C$22,2,FALSE))&amp;"unit"),'PC list edited'!$A$2:$BB$65,(B52+1),FALSE)))</f>
        <v/>
      </c>
      <c r="F52" s="601"/>
      <c r="G52" s="601"/>
      <c r="H52" s="601"/>
      <c r="I52" s="602"/>
      <c r="J52" s="603"/>
      <c r="K52" s="602"/>
      <c r="L52" s="602"/>
      <c r="M52" s="602"/>
      <c r="N52" s="604"/>
      <c r="O52" s="153"/>
      <c r="Q52" s="29">
        <f t="shared" si="13"/>
        <v>0</v>
      </c>
      <c r="R52" s="95"/>
      <c r="S52" s="96"/>
      <c r="T52" s="120">
        <f t="shared" si="15"/>
        <v>0</v>
      </c>
      <c r="U52" s="120">
        <f t="shared" si="15"/>
        <v>0</v>
      </c>
      <c r="V52" s="120">
        <f t="shared" si="15"/>
        <v>0</v>
      </c>
      <c r="W52" s="120">
        <f t="shared" si="14"/>
        <v>0</v>
      </c>
      <c r="X52" s="120">
        <f t="shared" si="14"/>
        <v>0</v>
      </c>
      <c r="Y52" s="120">
        <f t="shared" si="14"/>
        <v>0</v>
      </c>
      <c r="Z52" s="120">
        <f t="shared" si="14"/>
        <v>0</v>
      </c>
      <c r="AA52" s="120">
        <f t="shared" si="14"/>
        <v>0</v>
      </c>
      <c r="AB52" s="120">
        <f t="shared" si="14"/>
        <v>0</v>
      </c>
      <c r="AC52" s="96"/>
      <c r="AD52" s="389">
        <f t="shared" si="2"/>
        <v>0</v>
      </c>
      <c r="AE52" s="389">
        <f t="shared" si="3"/>
        <v>0</v>
      </c>
      <c r="AF52" s="389">
        <f t="shared" si="4"/>
        <v>0</v>
      </c>
      <c r="AG52" s="96"/>
      <c r="AH52" s="390">
        <f>IF($I52=Lists!$F$11,0,1)</f>
        <v>1</v>
      </c>
      <c r="AI52" s="390">
        <f>IF($I52=Lists!$F$13,0,1)</f>
        <v>1</v>
      </c>
      <c r="AJ52" s="390">
        <f t="shared" si="5"/>
        <v>0</v>
      </c>
      <c r="AK52" s="390">
        <f t="shared" si="6"/>
        <v>1</v>
      </c>
      <c r="AL52" s="389">
        <f>IF(K52=Lists!$F$11,0,1)</f>
        <v>1</v>
      </c>
      <c r="AM52" s="389">
        <f>IF(K52=Lists!$F$13,0,1)</f>
        <v>1</v>
      </c>
      <c r="AN52" s="389">
        <f t="shared" si="7"/>
        <v>0</v>
      </c>
      <c r="AO52" s="389">
        <f t="shared" si="8"/>
        <v>1</v>
      </c>
      <c r="AP52" s="390">
        <f>IF($M52=Lists!$F$11,0,1)</f>
        <v>1</v>
      </c>
      <c r="AQ52" s="390">
        <f>IF($M52=Lists!$F$13,0,1)</f>
        <v>1</v>
      </c>
      <c r="AR52" s="390">
        <f t="shared" si="9"/>
        <v>0</v>
      </c>
      <c r="AS52" s="390">
        <f t="shared" si="10"/>
        <v>1</v>
      </c>
      <c r="AT52" s="391" t="s">
        <v>547</v>
      </c>
    </row>
    <row r="53" spans="1:46" s="100" customFormat="1" ht="30" customHeight="1" x14ac:dyDescent="0.2">
      <c r="A53" s="99"/>
      <c r="B53" s="343">
        <f t="shared" si="11"/>
        <v>49</v>
      </c>
      <c r="C53" s="392" t="str">
        <f>IF($N$1="Select company","",IF((HLOOKUP((VLOOKUP($N$1,Lists!$B$4:$C$22,2,FALSE)),'PC list edited'!$A$2:$BB$65,(B53+1),FALSE))=0,"",HLOOKUP((VLOOKUP($N$1,Lists!$B$4:$C$22,2,FALSE)),'PC list edited'!$A$2:$BB$65,(B53+1),FALSE)))</f>
        <v/>
      </c>
      <c r="D53" s="393" t="str">
        <f>IF($N$1="Select company","",IF((HLOOKUP(((VLOOKUP($N$1,Lists!$B$4:$C$22,2,FALSE))&amp;"PC"),'PC list edited'!$A$2:$BB$65,(B53+1),FALSE))=0,"",HLOOKUP(((VLOOKUP($N$1,Lists!$B$4:$C$22,2,FALSE))&amp;"PC"),'PC list edited'!$A$2:$BB$65,(B53+1),FALSE)))</f>
        <v/>
      </c>
      <c r="E53" s="394" t="str">
        <f>IF($N$1="Select company","",IF((HLOOKUP(((VLOOKUP($N$1,Lists!$B$4:$C$22,2,FALSE))&amp;"unit"),'PC list edited'!$A$2:$BB$65,(B53+1),FALSE))=0,"",HLOOKUP(((VLOOKUP($N$1,Lists!$B$4:$C$22,2,FALSE))&amp;"unit"),'PC list edited'!$A$2:$BB$65,(B53+1),FALSE)))</f>
        <v/>
      </c>
      <c r="F53" s="601"/>
      <c r="G53" s="601"/>
      <c r="H53" s="601"/>
      <c r="I53" s="602"/>
      <c r="J53" s="603"/>
      <c r="K53" s="602"/>
      <c r="L53" s="602"/>
      <c r="M53" s="602"/>
      <c r="N53" s="604"/>
      <c r="O53" s="153"/>
      <c r="Q53" s="29">
        <f t="shared" si="13"/>
        <v>0</v>
      </c>
      <c r="R53" s="95"/>
      <c r="S53" s="96"/>
      <c r="T53" s="120">
        <f t="shared" si="15"/>
        <v>0</v>
      </c>
      <c r="U53" s="120">
        <f t="shared" si="15"/>
        <v>0</v>
      </c>
      <c r="V53" s="120">
        <f t="shared" si="15"/>
        <v>0</v>
      </c>
      <c r="W53" s="120">
        <f t="shared" si="14"/>
        <v>0</v>
      </c>
      <c r="X53" s="120">
        <f t="shared" si="14"/>
        <v>0</v>
      </c>
      <c r="Y53" s="120">
        <f t="shared" si="14"/>
        <v>0</v>
      </c>
      <c r="Z53" s="120">
        <f t="shared" si="14"/>
        <v>0</v>
      </c>
      <c r="AA53" s="120">
        <f t="shared" si="14"/>
        <v>0</v>
      </c>
      <c r="AB53" s="120">
        <f t="shared" si="14"/>
        <v>0</v>
      </c>
      <c r="AC53" s="96"/>
      <c r="AD53" s="389">
        <f t="shared" si="2"/>
        <v>0</v>
      </c>
      <c r="AE53" s="389">
        <f t="shared" si="3"/>
        <v>0</v>
      </c>
      <c r="AF53" s="389">
        <f t="shared" si="4"/>
        <v>0</v>
      </c>
      <c r="AG53" s="96"/>
      <c r="AH53" s="390">
        <f>IF($I53=Lists!$F$11,0,1)</f>
        <v>1</v>
      </c>
      <c r="AI53" s="390">
        <f>IF($I53=Lists!$F$13,0,1)</f>
        <v>1</v>
      </c>
      <c r="AJ53" s="390">
        <f t="shared" si="5"/>
        <v>0</v>
      </c>
      <c r="AK53" s="390">
        <f t="shared" si="6"/>
        <v>1</v>
      </c>
      <c r="AL53" s="389">
        <f>IF(K53=Lists!$F$11,0,1)</f>
        <v>1</v>
      </c>
      <c r="AM53" s="389">
        <f>IF(K53=Lists!$F$13,0,1)</f>
        <v>1</v>
      </c>
      <c r="AN53" s="389">
        <f t="shared" si="7"/>
        <v>0</v>
      </c>
      <c r="AO53" s="389">
        <f t="shared" si="8"/>
        <v>1</v>
      </c>
      <c r="AP53" s="390">
        <f>IF($M53=Lists!$F$11,0,1)</f>
        <v>1</v>
      </c>
      <c r="AQ53" s="390">
        <f>IF($M53=Lists!$F$13,0,1)</f>
        <v>1</v>
      </c>
      <c r="AR53" s="390">
        <f t="shared" si="9"/>
        <v>0</v>
      </c>
      <c r="AS53" s="390">
        <f t="shared" si="10"/>
        <v>1</v>
      </c>
      <c r="AT53" s="391" t="s">
        <v>547</v>
      </c>
    </row>
    <row r="54" spans="1:46" s="100" customFormat="1" ht="30" customHeight="1" x14ac:dyDescent="0.2">
      <c r="A54" s="99"/>
      <c r="B54" s="343">
        <f t="shared" si="11"/>
        <v>50</v>
      </c>
      <c r="C54" s="392" t="str">
        <f>IF($N$1="Select company","",IF((HLOOKUP((VLOOKUP($N$1,Lists!$B$4:$C$22,2,FALSE)),'PC list edited'!$A$2:$BB$65,(B54+1),FALSE))=0,"",HLOOKUP((VLOOKUP($N$1,Lists!$B$4:$C$22,2,FALSE)),'PC list edited'!$A$2:$BB$65,(B54+1),FALSE)))</f>
        <v/>
      </c>
      <c r="D54" s="393" t="str">
        <f>IF($N$1="Select company","",IF((HLOOKUP(((VLOOKUP($N$1,Lists!$B$4:$C$22,2,FALSE))&amp;"PC"),'PC list edited'!$A$2:$BB$65,(B54+1),FALSE))=0,"",HLOOKUP(((VLOOKUP($N$1,Lists!$B$4:$C$22,2,FALSE))&amp;"PC"),'PC list edited'!$A$2:$BB$65,(B54+1),FALSE)))</f>
        <v/>
      </c>
      <c r="E54" s="394" t="str">
        <f>IF($N$1="Select company","",IF((HLOOKUP(((VLOOKUP($N$1,Lists!$B$4:$C$22,2,FALSE))&amp;"unit"),'PC list edited'!$A$2:$BB$65,(B54+1),FALSE))=0,"",HLOOKUP(((VLOOKUP($N$1,Lists!$B$4:$C$22,2,FALSE))&amp;"unit"),'PC list edited'!$A$2:$BB$65,(B54+1),FALSE)))</f>
        <v/>
      </c>
      <c r="F54" s="601"/>
      <c r="G54" s="601"/>
      <c r="H54" s="601"/>
      <c r="I54" s="602"/>
      <c r="J54" s="603"/>
      <c r="K54" s="602"/>
      <c r="L54" s="602"/>
      <c r="M54" s="602"/>
      <c r="N54" s="604"/>
      <c r="O54" s="153"/>
      <c r="Q54" s="29">
        <f t="shared" si="13"/>
        <v>0</v>
      </c>
      <c r="R54" s="95"/>
      <c r="S54" s="96"/>
      <c r="T54" s="120">
        <f t="shared" si="15"/>
        <v>0</v>
      </c>
      <c r="U54" s="120">
        <f t="shared" si="15"/>
        <v>0</v>
      </c>
      <c r="V54" s="120">
        <f t="shared" si="15"/>
        <v>0</v>
      </c>
      <c r="W54" s="120">
        <f t="shared" si="14"/>
        <v>0</v>
      </c>
      <c r="X54" s="120">
        <f t="shared" si="14"/>
        <v>0</v>
      </c>
      <c r="Y54" s="120">
        <f t="shared" si="14"/>
        <v>0</v>
      </c>
      <c r="Z54" s="120">
        <f t="shared" si="14"/>
        <v>0</v>
      </c>
      <c r="AA54" s="120">
        <f t="shared" si="14"/>
        <v>0</v>
      </c>
      <c r="AB54" s="120">
        <f t="shared" si="14"/>
        <v>0</v>
      </c>
      <c r="AC54" s="96"/>
      <c r="AD54" s="389">
        <f t="shared" si="2"/>
        <v>0</v>
      </c>
      <c r="AE54" s="389">
        <f t="shared" si="3"/>
        <v>0</v>
      </c>
      <c r="AF54" s="389">
        <f t="shared" si="4"/>
        <v>0</v>
      </c>
      <c r="AG54" s="96"/>
      <c r="AH54" s="390">
        <f>IF($I54=Lists!$F$11,0,1)</f>
        <v>1</v>
      </c>
      <c r="AI54" s="390">
        <f>IF($I54=Lists!$F$13,0,1)</f>
        <v>1</v>
      </c>
      <c r="AJ54" s="390">
        <f t="shared" si="5"/>
        <v>0</v>
      </c>
      <c r="AK54" s="390">
        <f t="shared" si="6"/>
        <v>1</v>
      </c>
      <c r="AL54" s="389">
        <f>IF(K54=Lists!$F$11,0,1)</f>
        <v>1</v>
      </c>
      <c r="AM54" s="389">
        <f>IF(K54=Lists!$F$13,0,1)</f>
        <v>1</v>
      </c>
      <c r="AN54" s="389">
        <f t="shared" si="7"/>
        <v>0</v>
      </c>
      <c r="AO54" s="389">
        <f t="shared" si="8"/>
        <v>1</v>
      </c>
      <c r="AP54" s="390">
        <f>IF($M54=Lists!$F$11,0,1)</f>
        <v>1</v>
      </c>
      <c r="AQ54" s="390">
        <f>IF($M54=Lists!$F$13,0,1)</f>
        <v>1</v>
      </c>
      <c r="AR54" s="390">
        <f t="shared" si="9"/>
        <v>0</v>
      </c>
      <c r="AS54" s="390">
        <f t="shared" si="10"/>
        <v>1</v>
      </c>
      <c r="AT54" s="391" t="s">
        <v>547</v>
      </c>
    </row>
    <row r="55" spans="1:46" s="100" customFormat="1" ht="30" customHeight="1" x14ac:dyDescent="0.2">
      <c r="A55" s="99"/>
      <c r="B55" s="343">
        <f t="shared" si="11"/>
        <v>51</v>
      </c>
      <c r="C55" s="392" t="str">
        <f>IF($N$1="Select company","",IF((HLOOKUP((VLOOKUP($N$1,Lists!$B$4:$C$22,2,FALSE)),'PC list edited'!$A$2:$BB$65,(B55+1),FALSE))=0,"",HLOOKUP((VLOOKUP($N$1,Lists!$B$4:$C$22,2,FALSE)),'PC list edited'!$A$2:$BB$65,(B55+1),FALSE)))</f>
        <v/>
      </c>
      <c r="D55" s="393" t="str">
        <f>IF($N$1="Select company","",IF((HLOOKUP(((VLOOKUP($N$1,Lists!$B$4:$C$22,2,FALSE))&amp;"PC"),'PC list edited'!$A$2:$BB$65,(B55+1),FALSE))=0,"",HLOOKUP(((VLOOKUP($N$1,Lists!$B$4:$C$22,2,FALSE))&amp;"PC"),'PC list edited'!$A$2:$BB$65,(B55+1),FALSE)))</f>
        <v/>
      </c>
      <c r="E55" s="394" t="str">
        <f>IF($N$1="Select company","",IF((HLOOKUP(((VLOOKUP($N$1,Lists!$B$4:$C$22,2,FALSE))&amp;"unit"),'PC list edited'!$A$2:$BB$65,(B55+1),FALSE))=0,"",HLOOKUP(((VLOOKUP($N$1,Lists!$B$4:$C$22,2,FALSE))&amp;"unit"),'PC list edited'!$A$2:$BB$65,(B55+1),FALSE)))</f>
        <v/>
      </c>
      <c r="F55" s="601"/>
      <c r="G55" s="601"/>
      <c r="H55" s="601"/>
      <c r="I55" s="602"/>
      <c r="J55" s="603"/>
      <c r="K55" s="602"/>
      <c r="L55" s="602"/>
      <c r="M55" s="602"/>
      <c r="N55" s="604"/>
      <c r="O55" s="153"/>
      <c r="Q55" s="29">
        <f t="shared" si="13"/>
        <v>0</v>
      </c>
      <c r="R55" s="95"/>
      <c r="S55" s="96"/>
      <c r="T55" s="120">
        <f t="shared" si="15"/>
        <v>0</v>
      </c>
      <c r="U55" s="120">
        <f t="shared" si="15"/>
        <v>0</v>
      </c>
      <c r="V55" s="120">
        <f t="shared" si="15"/>
        <v>0</v>
      </c>
      <c r="W55" s="120">
        <f t="shared" si="14"/>
        <v>0</v>
      </c>
      <c r="X55" s="120">
        <f t="shared" si="14"/>
        <v>0</v>
      </c>
      <c r="Y55" s="120">
        <f t="shared" si="14"/>
        <v>0</v>
      </c>
      <c r="Z55" s="120">
        <f t="shared" si="14"/>
        <v>0</v>
      </c>
      <c r="AA55" s="120">
        <f t="shared" si="14"/>
        <v>0</v>
      </c>
      <c r="AB55" s="120">
        <f t="shared" si="14"/>
        <v>0</v>
      </c>
      <c r="AC55" s="96"/>
      <c r="AD55" s="389">
        <f t="shared" si="2"/>
        <v>0</v>
      </c>
      <c r="AE55" s="389">
        <f t="shared" si="3"/>
        <v>0</v>
      </c>
      <c r="AF55" s="389">
        <f t="shared" si="4"/>
        <v>0</v>
      </c>
      <c r="AG55" s="96"/>
      <c r="AH55" s="390">
        <f>IF($I55=Lists!$F$11,0,1)</f>
        <v>1</v>
      </c>
      <c r="AI55" s="390">
        <f>IF($I55=Lists!$F$13,0,1)</f>
        <v>1</v>
      </c>
      <c r="AJ55" s="390">
        <f t="shared" si="5"/>
        <v>0</v>
      </c>
      <c r="AK55" s="390">
        <f t="shared" si="6"/>
        <v>1</v>
      </c>
      <c r="AL55" s="389">
        <f>IF(K55=Lists!$F$11,0,1)</f>
        <v>1</v>
      </c>
      <c r="AM55" s="389">
        <f>IF(K55=Lists!$F$13,0,1)</f>
        <v>1</v>
      </c>
      <c r="AN55" s="389">
        <f t="shared" si="7"/>
        <v>0</v>
      </c>
      <c r="AO55" s="389">
        <f t="shared" si="8"/>
        <v>1</v>
      </c>
      <c r="AP55" s="390">
        <f>IF($M55=Lists!$F$11,0,1)</f>
        <v>1</v>
      </c>
      <c r="AQ55" s="390">
        <f>IF($M55=Lists!$F$13,0,1)</f>
        <v>1</v>
      </c>
      <c r="AR55" s="390">
        <f t="shared" si="9"/>
        <v>0</v>
      </c>
      <c r="AS55" s="390">
        <f t="shared" si="10"/>
        <v>1</v>
      </c>
      <c r="AT55" s="391" t="s">
        <v>547</v>
      </c>
    </row>
    <row r="56" spans="1:46" s="100" customFormat="1" ht="30" customHeight="1" x14ac:dyDescent="0.2">
      <c r="A56" s="99"/>
      <c r="B56" s="343">
        <f t="shared" si="11"/>
        <v>52</v>
      </c>
      <c r="C56" s="392" t="str">
        <f>IF($N$1="Select company","",IF((HLOOKUP((VLOOKUP($N$1,Lists!$B$4:$C$22,2,FALSE)),'PC list edited'!$A$2:$BB$65,(B56+1),FALSE))=0,"",HLOOKUP((VLOOKUP($N$1,Lists!$B$4:$C$22,2,FALSE)),'PC list edited'!$A$2:$BB$65,(B56+1),FALSE)))</f>
        <v/>
      </c>
      <c r="D56" s="393" t="str">
        <f>IF($N$1="Select company","",IF((HLOOKUP(((VLOOKUP($N$1,Lists!$B$4:$C$22,2,FALSE))&amp;"PC"),'PC list edited'!$A$2:$BB$65,(B56+1),FALSE))=0,"",HLOOKUP(((VLOOKUP($N$1,Lists!$B$4:$C$22,2,FALSE))&amp;"PC"),'PC list edited'!$A$2:$BB$65,(B56+1),FALSE)))</f>
        <v/>
      </c>
      <c r="E56" s="394" t="str">
        <f>IF($N$1="Select company","",IF((HLOOKUP(((VLOOKUP($N$1,Lists!$B$4:$C$22,2,FALSE))&amp;"unit"),'PC list edited'!$A$2:$BB$65,(B56+1),FALSE))=0,"",HLOOKUP(((VLOOKUP($N$1,Lists!$B$4:$C$22,2,FALSE))&amp;"unit"),'PC list edited'!$A$2:$BB$65,(B56+1),FALSE)))</f>
        <v/>
      </c>
      <c r="F56" s="601"/>
      <c r="G56" s="601"/>
      <c r="H56" s="601"/>
      <c r="I56" s="602"/>
      <c r="J56" s="603"/>
      <c r="K56" s="602"/>
      <c r="L56" s="602"/>
      <c r="M56" s="602"/>
      <c r="N56" s="604"/>
      <c r="O56" s="153"/>
      <c r="Q56" s="29">
        <f t="shared" si="13"/>
        <v>0</v>
      </c>
      <c r="R56" s="95"/>
      <c r="S56" s="96"/>
      <c r="T56" s="120">
        <f t="shared" si="15"/>
        <v>0</v>
      </c>
      <c r="U56" s="120">
        <f t="shared" si="15"/>
        <v>0</v>
      </c>
      <c r="V56" s="120">
        <f t="shared" si="15"/>
        <v>0</v>
      </c>
      <c r="W56" s="120">
        <f t="shared" si="14"/>
        <v>0</v>
      </c>
      <c r="X56" s="120">
        <f t="shared" si="14"/>
        <v>0</v>
      </c>
      <c r="Y56" s="120">
        <f t="shared" si="14"/>
        <v>0</v>
      </c>
      <c r="Z56" s="120">
        <f t="shared" si="14"/>
        <v>0</v>
      </c>
      <c r="AA56" s="120">
        <f t="shared" si="14"/>
        <v>0</v>
      </c>
      <c r="AB56" s="120">
        <f t="shared" si="14"/>
        <v>0</v>
      </c>
      <c r="AC56" s="96"/>
      <c r="AD56" s="389">
        <f t="shared" si="2"/>
        <v>0</v>
      </c>
      <c r="AE56" s="389">
        <f t="shared" si="3"/>
        <v>0</v>
      </c>
      <c r="AF56" s="389">
        <f t="shared" si="4"/>
        <v>0</v>
      </c>
      <c r="AG56" s="96"/>
      <c r="AH56" s="390">
        <f>IF($I56=Lists!$F$11,0,1)</f>
        <v>1</v>
      </c>
      <c r="AI56" s="390">
        <f>IF($I56=Lists!$F$13,0,1)</f>
        <v>1</v>
      </c>
      <c r="AJ56" s="390">
        <f t="shared" si="5"/>
        <v>0</v>
      </c>
      <c r="AK56" s="390">
        <f t="shared" si="6"/>
        <v>1</v>
      </c>
      <c r="AL56" s="389">
        <f>IF(K56=Lists!$F$11,0,1)</f>
        <v>1</v>
      </c>
      <c r="AM56" s="389">
        <f>IF(K56=Lists!$F$13,0,1)</f>
        <v>1</v>
      </c>
      <c r="AN56" s="389">
        <f t="shared" si="7"/>
        <v>0</v>
      </c>
      <c r="AO56" s="389">
        <f t="shared" si="8"/>
        <v>1</v>
      </c>
      <c r="AP56" s="390">
        <f>IF($M56=Lists!$F$11,0,1)</f>
        <v>1</v>
      </c>
      <c r="AQ56" s="390">
        <f>IF($M56=Lists!$F$13,0,1)</f>
        <v>1</v>
      </c>
      <c r="AR56" s="390">
        <f t="shared" si="9"/>
        <v>0</v>
      </c>
      <c r="AS56" s="390">
        <f t="shared" si="10"/>
        <v>1</v>
      </c>
      <c r="AT56" s="391" t="s">
        <v>547</v>
      </c>
    </row>
    <row r="57" spans="1:46" s="100" customFormat="1" ht="30" customHeight="1" x14ac:dyDescent="0.2">
      <c r="A57" s="99"/>
      <c r="B57" s="343">
        <f t="shared" si="11"/>
        <v>53</v>
      </c>
      <c r="C57" s="392" t="str">
        <f>IF($N$1="Select company","",IF((HLOOKUP((VLOOKUP($N$1,Lists!$B$4:$C$22,2,FALSE)),'PC list edited'!$A$2:$BB$65,(B57+1),FALSE))=0,"",HLOOKUP((VLOOKUP($N$1,Lists!$B$4:$C$22,2,FALSE)),'PC list edited'!$A$2:$BB$65,(B57+1),FALSE)))</f>
        <v/>
      </c>
      <c r="D57" s="393" t="str">
        <f>IF($N$1="Select company","",IF((HLOOKUP(((VLOOKUP($N$1,Lists!$B$4:$C$22,2,FALSE))&amp;"PC"),'PC list edited'!$A$2:$BB$65,(B57+1),FALSE))=0,"",HLOOKUP(((VLOOKUP($N$1,Lists!$B$4:$C$22,2,FALSE))&amp;"PC"),'PC list edited'!$A$2:$BB$65,(B57+1),FALSE)))</f>
        <v/>
      </c>
      <c r="E57" s="394" t="str">
        <f>IF($N$1="Select company","",IF((HLOOKUP(((VLOOKUP($N$1,Lists!$B$4:$C$22,2,FALSE))&amp;"unit"),'PC list edited'!$A$2:$BB$65,(B57+1),FALSE))=0,"",HLOOKUP(((VLOOKUP($N$1,Lists!$B$4:$C$22,2,FALSE))&amp;"unit"),'PC list edited'!$A$2:$BB$65,(B57+1),FALSE)))</f>
        <v/>
      </c>
      <c r="F57" s="601"/>
      <c r="G57" s="601"/>
      <c r="H57" s="601"/>
      <c r="I57" s="602"/>
      <c r="J57" s="603"/>
      <c r="K57" s="602"/>
      <c r="L57" s="602"/>
      <c r="M57" s="602"/>
      <c r="N57" s="604"/>
      <c r="O57" s="153"/>
      <c r="Q57" s="29">
        <f t="shared" si="13"/>
        <v>0</v>
      </c>
      <c r="R57" s="95"/>
      <c r="S57" s="96"/>
      <c r="T57" s="120">
        <f t="shared" si="15"/>
        <v>0</v>
      </c>
      <c r="U57" s="120">
        <f t="shared" si="15"/>
        <v>0</v>
      </c>
      <c r="V57" s="120">
        <f t="shared" si="15"/>
        <v>0</v>
      </c>
      <c r="W57" s="120">
        <f t="shared" si="14"/>
        <v>0</v>
      </c>
      <c r="X57" s="120">
        <f t="shared" si="14"/>
        <v>0</v>
      </c>
      <c r="Y57" s="120">
        <f t="shared" si="14"/>
        <v>0</v>
      </c>
      <c r="Z57" s="120">
        <f t="shared" si="14"/>
        <v>0</v>
      </c>
      <c r="AA57" s="120">
        <f t="shared" si="14"/>
        <v>0</v>
      </c>
      <c r="AB57" s="120">
        <f t="shared" si="14"/>
        <v>0</v>
      </c>
      <c r="AC57" s="96"/>
      <c r="AD57" s="389">
        <f t="shared" si="2"/>
        <v>0</v>
      </c>
      <c r="AE57" s="389">
        <f t="shared" si="3"/>
        <v>0</v>
      </c>
      <c r="AF57" s="389">
        <f t="shared" si="4"/>
        <v>0</v>
      </c>
      <c r="AG57" s="96"/>
      <c r="AH57" s="390">
        <f>IF($I57=Lists!$F$11,0,1)</f>
        <v>1</v>
      </c>
      <c r="AI57" s="390">
        <f>IF($I57=Lists!$F$13,0,1)</f>
        <v>1</v>
      </c>
      <c r="AJ57" s="390">
        <f t="shared" si="5"/>
        <v>0</v>
      </c>
      <c r="AK57" s="390">
        <f t="shared" si="6"/>
        <v>1</v>
      </c>
      <c r="AL57" s="389">
        <f>IF(K57=Lists!$F$11,0,1)</f>
        <v>1</v>
      </c>
      <c r="AM57" s="389">
        <f>IF(K57=Lists!$F$13,0,1)</f>
        <v>1</v>
      </c>
      <c r="AN57" s="389">
        <f t="shared" si="7"/>
        <v>0</v>
      </c>
      <c r="AO57" s="389">
        <f t="shared" si="8"/>
        <v>1</v>
      </c>
      <c r="AP57" s="390">
        <f>IF($M57=Lists!$F$11,0,1)</f>
        <v>1</v>
      </c>
      <c r="AQ57" s="390">
        <f>IF($M57=Lists!$F$13,0,1)</f>
        <v>1</v>
      </c>
      <c r="AR57" s="390">
        <f t="shared" si="9"/>
        <v>0</v>
      </c>
      <c r="AS57" s="390">
        <f t="shared" si="10"/>
        <v>1</v>
      </c>
      <c r="AT57" s="391" t="s">
        <v>547</v>
      </c>
    </row>
    <row r="58" spans="1:46" s="100" customFormat="1" ht="30" customHeight="1" x14ac:dyDescent="0.2">
      <c r="A58" s="99"/>
      <c r="B58" s="343">
        <f t="shared" si="11"/>
        <v>54</v>
      </c>
      <c r="C58" s="392" t="str">
        <f>IF($N$1="Select company","",IF((HLOOKUP((VLOOKUP($N$1,Lists!$B$4:$C$22,2,FALSE)),'PC list edited'!$A$2:$BB$65,(B58+1),FALSE))=0,"",HLOOKUP((VLOOKUP($N$1,Lists!$B$4:$C$22,2,FALSE)),'PC list edited'!$A$2:$BB$65,(B58+1),FALSE)))</f>
        <v/>
      </c>
      <c r="D58" s="393" t="str">
        <f>IF($N$1="Select company","",IF((HLOOKUP(((VLOOKUP($N$1,Lists!$B$4:$C$22,2,FALSE))&amp;"PC"),'PC list edited'!$A$2:$BB$65,(B58+1),FALSE))=0,"",HLOOKUP(((VLOOKUP($N$1,Lists!$B$4:$C$22,2,FALSE))&amp;"PC"),'PC list edited'!$A$2:$BB$65,(B58+1),FALSE)))</f>
        <v/>
      </c>
      <c r="E58" s="394" t="str">
        <f>IF($N$1="Select company","",IF((HLOOKUP(((VLOOKUP($N$1,Lists!$B$4:$C$22,2,FALSE))&amp;"unit"),'PC list edited'!$A$2:$BB$65,(B58+1),FALSE))=0,"",HLOOKUP(((VLOOKUP($N$1,Lists!$B$4:$C$22,2,FALSE))&amp;"unit"),'PC list edited'!$A$2:$BB$65,(B58+1),FALSE)))</f>
        <v/>
      </c>
      <c r="F58" s="601"/>
      <c r="G58" s="601"/>
      <c r="H58" s="601"/>
      <c r="I58" s="602"/>
      <c r="J58" s="603"/>
      <c r="K58" s="602"/>
      <c r="L58" s="602"/>
      <c r="M58" s="602"/>
      <c r="N58" s="604"/>
      <c r="O58" s="153"/>
      <c r="Q58" s="29">
        <f t="shared" si="13"/>
        <v>0</v>
      </c>
      <c r="R58" s="95"/>
      <c r="S58" s="96"/>
      <c r="T58" s="120">
        <f t="shared" si="15"/>
        <v>0</v>
      </c>
      <c r="U58" s="120">
        <f t="shared" si="15"/>
        <v>0</v>
      </c>
      <c r="V58" s="120">
        <f t="shared" si="15"/>
        <v>0</v>
      </c>
      <c r="W58" s="120">
        <f t="shared" si="14"/>
        <v>0</v>
      </c>
      <c r="X58" s="120">
        <f t="shared" si="14"/>
        <v>0</v>
      </c>
      <c r="Y58" s="120">
        <f t="shared" si="14"/>
        <v>0</v>
      </c>
      <c r="Z58" s="120">
        <f t="shared" si="14"/>
        <v>0</v>
      </c>
      <c r="AA58" s="120">
        <f t="shared" si="14"/>
        <v>0</v>
      </c>
      <c r="AB58" s="120">
        <f t="shared" si="14"/>
        <v>0</v>
      </c>
      <c r="AC58" s="96"/>
      <c r="AD58" s="389">
        <f t="shared" si="2"/>
        <v>0</v>
      </c>
      <c r="AE58" s="389">
        <f t="shared" si="3"/>
        <v>0</v>
      </c>
      <c r="AF58" s="389">
        <f t="shared" si="4"/>
        <v>0</v>
      </c>
      <c r="AG58" s="96"/>
      <c r="AH58" s="390">
        <f>IF($I58=Lists!$F$11,0,1)</f>
        <v>1</v>
      </c>
      <c r="AI58" s="390">
        <f>IF($I58=Lists!$F$13,0,1)</f>
        <v>1</v>
      </c>
      <c r="AJ58" s="390">
        <f t="shared" si="5"/>
        <v>0</v>
      </c>
      <c r="AK58" s="390">
        <f t="shared" si="6"/>
        <v>1</v>
      </c>
      <c r="AL58" s="389">
        <f>IF(K58=Lists!$F$11,0,1)</f>
        <v>1</v>
      </c>
      <c r="AM58" s="389">
        <f>IF(K58=Lists!$F$13,0,1)</f>
        <v>1</v>
      </c>
      <c r="AN58" s="389">
        <f t="shared" si="7"/>
        <v>0</v>
      </c>
      <c r="AO58" s="389">
        <f t="shared" si="8"/>
        <v>1</v>
      </c>
      <c r="AP58" s="390">
        <f>IF($M58=Lists!$F$11,0,1)</f>
        <v>1</v>
      </c>
      <c r="AQ58" s="390">
        <f>IF($M58=Lists!$F$13,0,1)</f>
        <v>1</v>
      </c>
      <c r="AR58" s="390">
        <f t="shared" si="9"/>
        <v>0</v>
      </c>
      <c r="AS58" s="390">
        <f t="shared" si="10"/>
        <v>1</v>
      </c>
      <c r="AT58" s="391" t="s">
        <v>547</v>
      </c>
    </row>
    <row r="59" spans="1:46" s="100" customFormat="1" ht="30" customHeight="1" thickBot="1" x14ac:dyDescent="0.25">
      <c r="A59" s="99"/>
      <c r="B59" s="344">
        <f t="shared" si="11"/>
        <v>55</v>
      </c>
      <c r="C59" s="395" t="str">
        <f>IF($N$1="Select company","",IF((HLOOKUP((VLOOKUP($N$1,Lists!$B$4:$C$22,2,FALSE)),'PC list edited'!$A$2:$BB$65,(B59+1),FALSE))=0,"",HLOOKUP((VLOOKUP($N$1,Lists!$B$4:$C$22,2,FALSE)),'PC list edited'!$A$2:$BB$65,(B59+1),FALSE)))</f>
        <v/>
      </c>
      <c r="D59" s="396" t="str">
        <f>IF($N$1="Select company","",IF((HLOOKUP(((VLOOKUP($N$1,Lists!$B$4:$C$22,2,FALSE))&amp;"PC"),'PC list edited'!$A$2:$BB$65,(B59+1),FALSE))=0,"",HLOOKUP(((VLOOKUP($N$1,Lists!$B$4:$C$22,2,FALSE))&amp;"PC"),'PC list edited'!$A$2:$BB$65,(B59+1),FALSE)))</f>
        <v/>
      </c>
      <c r="E59" s="397" t="str">
        <f>IF($N$1="Select company","",IF((HLOOKUP(((VLOOKUP($N$1,Lists!$B$4:$C$22,2,FALSE))&amp;"unit"),'PC list edited'!$A$2:$BB$65,(B59+1),FALSE))=0,"",HLOOKUP(((VLOOKUP($N$1,Lists!$B$4:$C$22,2,FALSE))&amp;"unit"),'PC list edited'!$A$2:$BB$65,(B59+1),FALSE)))</f>
        <v/>
      </c>
      <c r="F59" s="605"/>
      <c r="G59" s="605"/>
      <c r="H59" s="605"/>
      <c r="I59" s="606"/>
      <c r="J59" s="607"/>
      <c r="K59" s="606"/>
      <c r="L59" s="606"/>
      <c r="M59" s="606"/>
      <c r="N59" s="608"/>
      <c r="O59" s="153"/>
      <c r="Q59" s="29">
        <f t="shared" si="13"/>
        <v>0</v>
      </c>
      <c r="R59" s="95"/>
      <c r="S59" s="96"/>
      <c r="T59" s="120">
        <f t="shared" si="15"/>
        <v>0</v>
      </c>
      <c r="U59" s="120">
        <f t="shared" si="15"/>
        <v>0</v>
      </c>
      <c r="V59" s="120">
        <f t="shared" si="15"/>
        <v>0</v>
      </c>
      <c r="W59" s="120">
        <f t="shared" si="14"/>
        <v>0</v>
      </c>
      <c r="X59" s="120">
        <f t="shared" si="14"/>
        <v>0</v>
      </c>
      <c r="Y59" s="120">
        <f t="shared" si="14"/>
        <v>0</v>
      </c>
      <c r="Z59" s="120">
        <f t="shared" si="14"/>
        <v>0</v>
      </c>
      <c r="AA59" s="120">
        <f t="shared" si="14"/>
        <v>0</v>
      </c>
      <c r="AB59" s="120">
        <f t="shared" si="14"/>
        <v>0</v>
      </c>
      <c r="AC59" s="96"/>
      <c r="AD59" s="389">
        <f t="shared" si="2"/>
        <v>0</v>
      </c>
      <c r="AE59" s="389">
        <f t="shared" si="3"/>
        <v>0</v>
      </c>
      <c r="AF59" s="389">
        <f t="shared" si="4"/>
        <v>0</v>
      </c>
      <c r="AG59" s="96"/>
      <c r="AH59" s="390">
        <f>IF($I59=Lists!$F$11,0,1)</f>
        <v>1</v>
      </c>
      <c r="AI59" s="390">
        <f>IF($I59=Lists!$F$13,0,1)</f>
        <v>1</v>
      </c>
      <c r="AJ59" s="390">
        <f t="shared" si="5"/>
        <v>0</v>
      </c>
      <c r="AK59" s="390">
        <f t="shared" si="6"/>
        <v>1</v>
      </c>
      <c r="AL59" s="389">
        <f>IF(K59=Lists!$F$11,0,1)</f>
        <v>1</v>
      </c>
      <c r="AM59" s="389">
        <f>IF(K59=Lists!$F$13,0,1)</f>
        <v>1</v>
      </c>
      <c r="AN59" s="389">
        <f t="shared" si="7"/>
        <v>0</v>
      </c>
      <c r="AO59" s="389">
        <f t="shared" si="8"/>
        <v>1</v>
      </c>
      <c r="AP59" s="390">
        <f>IF($M59=Lists!$F$11,0,1)</f>
        <v>1</v>
      </c>
      <c r="AQ59" s="390">
        <f>IF($M59=Lists!$F$13,0,1)</f>
        <v>1</v>
      </c>
      <c r="AR59" s="390">
        <f t="shared" si="9"/>
        <v>0</v>
      </c>
      <c r="AS59" s="390">
        <f t="shared" si="10"/>
        <v>1</v>
      </c>
      <c r="AT59" s="391" t="s">
        <v>547</v>
      </c>
    </row>
    <row r="60" spans="1:46" s="100" customFormat="1" ht="17.100000000000001" customHeight="1" x14ac:dyDescent="0.2">
      <c r="A60" s="99"/>
      <c r="B60" s="311"/>
      <c r="C60" s="311"/>
      <c r="D60" s="99"/>
      <c r="F60" s="99"/>
      <c r="G60" s="99"/>
      <c r="H60" s="99"/>
      <c r="I60" s="99"/>
      <c r="J60" s="99"/>
      <c r="K60" s="99"/>
      <c r="L60" s="99"/>
      <c r="M60" s="99"/>
      <c r="N60" s="99"/>
      <c r="O60" s="153"/>
      <c r="Q60" s="95"/>
      <c r="R60" s="95"/>
      <c r="S60" s="96"/>
      <c r="T60" s="95"/>
      <c r="U60" s="95"/>
      <c r="V60" s="95"/>
      <c r="W60" s="95"/>
      <c r="X60" s="95"/>
      <c r="Y60" s="95"/>
      <c r="Z60" s="95"/>
      <c r="AA60" s="95"/>
      <c r="AB60" s="95"/>
      <c r="AC60" s="96"/>
      <c r="AG60" s="96"/>
      <c r="AH60" s="378"/>
      <c r="AI60" s="378"/>
      <c r="AJ60" s="378"/>
    </row>
    <row r="61" spans="1:46" s="187" customFormat="1" x14ac:dyDescent="0.2">
      <c r="B61" s="398" t="s">
        <v>90</v>
      </c>
      <c r="C61" s="398"/>
      <c r="N61" s="150"/>
      <c r="O61" s="95"/>
      <c r="Q61" s="95"/>
      <c r="R61" s="95"/>
      <c r="S61" s="96"/>
      <c r="T61" s="95"/>
      <c r="U61" s="95"/>
      <c r="V61" s="95"/>
      <c r="W61" s="95"/>
      <c r="X61" s="95"/>
      <c r="Y61" s="95"/>
      <c r="Z61" s="95"/>
      <c r="AA61" s="95"/>
      <c r="AB61" s="95"/>
      <c r="AC61" s="96"/>
      <c r="AG61" s="96"/>
    </row>
    <row r="62" spans="1:46" s="187" customFormat="1" x14ac:dyDescent="0.2">
      <c r="B62" s="162"/>
      <c r="C62" s="162"/>
      <c r="M62" s="150"/>
      <c r="O62" s="95"/>
      <c r="Q62" s="95"/>
      <c r="R62" s="95"/>
      <c r="S62" s="96"/>
      <c r="T62" s="95"/>
      <c r="U62" s="95"/>
      <c r="V62" s="95"/>
      <c r="W62" s="95"/>
      <c r="X62" s="95"/>
      <c r="Y62" s="95"/>
      <c r="Z62" s="95"/>
      <c r="AA62" s="95"/>
      <c r="AB62" s="95"/>
      <c r="AC62" s="96"/>
      <c r="AG62" s="96"/>
    </row>
    <row r="63" spans="1:46" s="187" customFormat="1" x14ac:dyDescent="0.2">
      <c r="B63" s="30"/>
      <c r="C63" s="164" t="s">
        <v>91</v>
      </c>
      <c r="M63" s="150"/>
      <c r="O63" s="95"/>
      <c r="Q63" s="95"/>
      <c r="R63" s="95"/>
      <c r="S63" s="96"/>
      <c r="T63" s="95"/>
      <c r="U63" s="95"/>
      <c r="V63" s="95"/>
      <c r="W63" s="95"/>
      <c r="X63" s="95"/>
      <c r="Y63" s="95"/>
      <c r="Z63" s="95"/>
      <c r="AA63" s="95"/>
      <c r="AB63" s="95"/>
      <c r="AC63" s="96"/>
      <c r="AG63" s="96"/>
    </row>
    <row r="64" spans="1:46" s="187" customFormat="1" x14ac:dyDescent="0.2">
      <c r="B64" s="162"/>
      <c r="C64" s="163"/>
      <c r="M64" s="150"/>
      <c r="O64" s="95"/>
      <c r="Q64" s="95"/>
      <c r="R64" s="95"/>
      <c r="S64" s="96"/>
      <c r="T64" s="95"/>
      <c r="U64" s="95"/>
      <c r="V64" s="95"/>
      <c r="W64" s="95"/>
      <c r="X64" s="95"/>
      <c r="Y64" s="95"/>
      <c r="Z64" s="95"/>
      <c r="AA64" s="95"/>
      <c r="AB64" s="95"/>
      <c r="AC64" s="96"/>
      <c r="AG64" s="96"/>
    </row>
    <row r="65" spans="1:33" s="187" customFormat="1" x14ac:dyDescent="0.2">
      <c r="B65" s="165"/>
      <c r="C65" s="164" t="s">
        <v>92</v>
      </c>
      <c r="M65" s="150"/>
      <c r="O65" s="95"/>
      <c r="Q65" s="95"/>
      <c r="R65" s="95"/>
      <c r="S65" s="96"/>
      <c r="T65" s="95"/>
      <c r="U65" s="95"/>
      <c r="V65" s="95"/>
      <c r="W65" s="95"/>
      <c r="X65" s="95"/>
      <c r="Y65" s="95"/>
      <c r="Z65" s="95"/>
      <c r="AA65" s="95"/>
      <c r="AB65" s="95"/>
      <c r="AC65" s="96"/>
      <c r="AG65" s="96"/>
    </row>
    <row r="66" spans="1:33" s="187" customFormat="1" x14ac:dyDescent="0.2">
      <c r="B66" s="166"/>
      <c r="C66" s="164"/>
      <c r="M66" s="150"/>
      <c r="O66" s="95"/>
      <c r="Q66" s="95"/>
      <c r="R66" s="95"/>
      <c r="S66" s="96"/>
      <c r="T66" s="95"/>
      <c r="U66" s="95"/>
      <c r="V66" s="95"/>
      <c r="W66" s="95"/>
      <c r="X66" s="95"/>
      <c r="Y66" s="95"/>
      <c r="Z66" s="95"/>
      <c r="AA66" s="95"/>
      <c r="AB66" s="95"/>
      <c r="AC66" s="96"/>
      <c r="AG66" s="96"/>
    </row>
    <row r="67" spans="1:33" s="187" customFormat="1" x14ac:dyDescent="0.2">
      <c r="B67" s="167"/>
      <c r="C67" s="164" t="s">
        <v>93</v>
      </c>
      <c r="M67" s="150"/>
      <c r="O67" s="95"/>
      <c r="Q67" s="95"/>
      <c r="R67" s="95"/>
      <c r="S67" s="96"/>
      <c r="T67" s="95"/>
      <c r="U67" s="95"/>
      <c r="V67" s="95"/>
      <c r="W67" s="95"/>
      <c r="X67" s="95"/>
      <c r="Y67" s="95"/>
      <c r="Z67" s="95"/>
      <c r="AA67" s="95"/>
      <c r="AB67" s="95"/>
      <c r="AC67" s="96"/>
      <c r="AG67" s="96"/>
    </row>
    <row r="68" spans="1:33" s="206" customFormat="1" x14ac:dyDescent="0.2">
      <c r="A68" s="172"/>
      <c r="B68" s="172"/>
      <c r="C68" s="173"/>
      <c r="I68" s="399"/>
      <c r="J68" s="99"/>
      <c r="K68" s="95"/>
      <c r="L68" s="95"/>
      <c r="R68" s="99"/>
      <c r="S68" s="96"/>
      <c r="T68" s="95"/>
      <c r="U68" s="95"/>
      <c r="V68" s="95"/>
      <c r="W68" s="96"/>
    </row>
    <row r="69" spans="1:33" s="206" customFormat="1" ht="15" thickBot="1" x14ac:dyDescent="0.25">
      <c r="C69" s="207"/>
      <c r="I69" s="400"/>
      <c r="J69" s="99"/>
      <c r="K69" s="95"/>
      <c r="L69" s="95"/>
      <c r="R69" s="99"/>
      <c r="S69" s="96"/>
      <c r="T69" s="95"/>
      <c r="U69" s="95"/>
      <c r="V69" s="95"/>
      <c r="W69" s="96"/>
    </row>
    <row r="70" spans="1:33" s="137" customFormat="1" ht="16.5" thickBot="1" x14ac:dyDescent="0.25">
      <c r="B70" s="168" t="str">
        <f ca="1" xml:space="preserve"> RIGHT(CELL("filename", $A$1), LEN(CELL("filename", $A$1)) - SEARCH("]", CELL("filename", $A$1)))&amp;" - Table guidance"</f>
        <v>3A - Table guidance</v>
      </c>
      <c r="C70" s="169"/>
      <c r="D70" s="170"/>
      <c r="E70" s="170"/>
      <c r="F70" s="170"/>
      <c r="G70" s="170"/>
      <c r="H70" s="170"/>
      <c r="I70" s="170"/>
      <c r="J70" s="170"/>
      <c r="K70" s="170"/>
      <c r="L70" s="170"/>
      <c r="M70" s="170"/>
      <c r="N70" s="288"/>
      <c r="R70" s="99"/>
      <c r="S70" s="96"/>
      <c r="T70" s="95"/>
      <c r="U70" s="95"/>
      <c r="V70" s="95"/>
      <c r="W70" s="96"/>
    </row>
    <row r="71" spans="1:33" s="137" customFormat="1" x14ac:dyDescent="0.2">
      <c r="B71" s="99"/>
      <c r="C71" s="177"/>
      <c r="D71" s="99"/>
      <c r="E71" s="99"/>
      <c r="F71" s="99"/>
      <c r="J71" s="99"/>
      <c r="L71" s="95"/>
      <c r="R71" s="99"/>
      <c r="S71" s="96"/>
      <c r="T71" s="95"/>
      <c r="U71" s="95"/>
      <c r="V71" s="95"/>
      <c r="W71" s="96"/>
    </row>
    <row r="72" spans="1:33" s="206" customFormat="1" ht="95.45" customHeight="1" x14ac:dyDescent="0.2">
      <c r="B72"/>
      <c r="C72"/>
      <c r="D72" s="84"/>
      <c r="E72"/>
      <c r="F72"/>
      <c r="G72"/>
      <c r="H72"/>
      <c r="I72" s="137"/>
      <c r="J72" s="99"/>
      <c r="K72" s="137"/>
      <c r="L72" s="95"/>
      <c r="R72" s="99"/>
      <c r="S72" s="96"/>
      <c r="T72" s="112" t="s">
        <v>96</v>
      </c>
      <c r="U72" s="95"/>
      <c r="V72" s="95"/>
      <c r="W72" s="96"/>
    </row>
    <row r="73" spans="1:33" customFormat="1" x14ac:dyDescent="0.2">
      <c r="O73" s="95"/>
      <c r="Q73" s="95"/>
      <c r="R73" s="95"/>
      <c r="S73" s="96"/>
      <c r="T73" s="95"/>
      <c r="U73" s="95"/>
      <c r="V73" s="95"/>
      <c r="W73" s="95"/>
      <c r="X73" s="95"/>
      <c r="Y73" s="95"/>
      <c r="Z73" s="95"/>
      <c r="AA73" s="95"/>
      <c r="AB73" s="95"/>
      <c r="AC73" s="96"/>
      <c r="AG73" s="96"/>
    </row>
    <row r="74" spans="1:33" customFormat="1" ht="15" thickBot="1" x14ac:dyDescent="0.25">
      <c r="O74" s="95"/>
      <c r="Q74" s="95"/>
      <c r="R74" s="95"/>
      <c r="S74" s="96"/>
      <c r="T74" s="95"/>
      <c r="U74" s="95"/>
      <c r="V74" s="95"/>
      <c r="W74" s="95"/>
      <c r="X74" s="95"/>
      <c r="Y74" s="95"/>
      <c r="Z74" s="95"/>
      <c r="AA74" s="95"/>
      <c r="AB74" s="95"/>
      <c r="AC74" s="96"/>
      <c r="AG74" s="96"/>
    </row>
    <row r="75" spans="1:33" s="137" customFormat="1" ht="16.5" thickBot="1" x14ac:dyDescent="0.25">
      <c r="B75" s="168" t="str">
        <f ca="1" xml:space="preserve"> RIGHT(CELL("filename", $A$1), LEN(CELL("filename", $A$1)) - SEARCH("]", CELL("filename", $A$1)))&amp;" - Column definitions"</f>
        <v>3A - Column definitions</v>
      </c>
      <c r="C75" s="169"/>
      <c r="D75" s="170"/>
      <c r="E75" s="170"/>
      <c r="F75" s="170"/>
      <c r="G75" s="170"/>
      <c r="H75" s="170"/>
      <c r="I75" s="170"/>
      <c r="J75" s="170"/>
      <c r="K75" s="170"/>
      <c r="L75" s="170"/>
      <c r="M75" s="170"/>
      <c r="N75" s="288"/>
      <c r="R75" s="99"/>
      <c r="S75" s="96"/>
      <c r="T75" s="95"/>
      <c r="U75" s="95"/>
      <c r="V75" s="95"/>
      <c r="W75" s="96"/>
    </row>
    <row r="76" spans="1:33" s="137" customFormat="1" ht="15" thickBot="1" x14ac:dyDescent="0.25">
      <c r="B76" s="99"/>
      <c r="C76" s="177"/>
      <c r="D76" s="99"/>
      <c r="E76" s="99"/>
      <c r="F76" s="99"/>
      <c r="J76" s="99"/>
      <c r="L76" s="95"/>
      <c r="R76" s="99"/>
      <c r="S76" s="96"/>
      <c r="T76" s="95"/>
      <c r="U76" s="95"/>
      <c r="V76" s="95"/>
      <c r="W76" s="96"/>
    </row>
    <row r="77" spans="1:33" s="206" customFormat="1" ht="15" thickBot="1" x14ac:dyDescent="0.25">
      <c r="B77" s="178" t="s">
        <v>94</v>
      </c>
      <c r="C77" s="179" t="s">
        <v>95</v>
      </c>
      <c r="D77" s="401"/>
      <c r="E77" s="401"/>
      <c r="F77" s="401"/>
      <c r="G77" s="401"/>
      <c r="H77" s="401"/>
      <c r="I77" s="402"/>
      <c r="J77" s="403"/>
      <c r="K77" s="402"/>
      <c r="L77" s="404"/>
      <c r="M77" s="405"/>
      <c r="N77" s="406"/>
      <c r="R77" s="99"/>
      <c r="S77" s="96"/>
      <c r="T77" s="112" t="s">
        <v>96</v>
      </c>
      <c r="U77" s="95"/>
      <c r="V77" s="95"/>
      <c r="W77" s="96"/>
    </row>
    <row r="78" spans="1:33" s="137" customFormat="1" x14ac:dyDescent="0.2">
      <c r="B78" s="407" t="s">
        <v>534</v>
      </c>
      <c r="C78" s="827" t="s">
        <v>558</v>
      </c>
      <c r="D78" s="827"/>
      <c r="E78" s="827"/>
      <c r="F78" s="827"/>
      <c r="G78" s="827"/>
      <c r="H78" s="827"/>
      <c r="I78" s="827"/>
      <c r="J78" s="827"/>
      <c r="K78" s="827"/>
      <c r="L78" s="827"/>
      <c r="M78" s="827"/>
      <c r="N78" s="828"/>
      <c r="R78" s="99"/>
      <c r="S78" s="96"/>
      <c r="T78" s="186">
        <v>1</v>
      </c>
      <c r="U78" s="95"/>
      <c r="V78" s="95"/>
      <c r="W78" s="96"/>
    </row>
    <row r="79" spans="1:33" s="137" customFormat="1" x14ac:dyDescent="0.2">
      <c r="B79" s="343" t="s">
        <v>535</v>
      </c>
      <c r="C79" s="829" t="s">
        <v>559</v>
      </c>
      <c r="D79" s="829"/>
      <c r="E79" s="829"/>
      <c r="F79" s="829"/>
      <c r="G79" s="829"/>
      <c r="H79" s="829"/>
      <c r="I79" s="829"/>
      <c r="J79" s="829"/>
      <c r="K79" s="829"/>
      <c r="L79" s="829"/>
      <c r="M79" s="829"/>
      <c r="N79" s="830"/>
      <c r="O79"/>
      <c r="P79"/>
      <c r="Q79"/>
      <c r="R79" s="99"/>
      <c r="S79" s="96"/>
      <c r="T79" s="186">
        <v>1</v>
      </c>
      <c r="W79" s="96"/>
    </row>
    <row r="80" spans="1:33" s="137" customFormat="1" ht="38.25" x14ac:dyDescent="0.2">
      <c r="B80" s="343" t="s">
        <v>536</v>
      </c>
      <c r="C80" s="806" t="s">
        <v>560</v>
      </c>
      <c r="D80" s="806"/>
      <c r="E80" s="806"/>
      <c r="F80" s="806"/>
      <c r="G80" s="806"/>
      <c r="H80" s="806"/>
      <c r="I80" s="806"/>
      <c r="J80" s="806"/>
      <c r="K80" s="806"/>
      <c r="L80" s="806"/>
      <c r="M80" s="806"/>
      <c r="N80" s="807"/>
      <c r="O80"/>
      <c r="P80"/>
      <c r="Q80"/>
      <c r="R80" s="99"/>
      <c r="S80" s="96"/>
      <c r="T80" s="186" t="s">
        <v>98</v>
      </c>
      <c r="W80" s="96"/>
    </row>
    <row r="81" spans="2:20" customFormat="1" ht="76.5" x14ac:dyDescent="0.2">
      <c r="B81" s="343" t="s">
        <v>537</v>
      </c>
      <c r="C81" s="806" t="s">
        <v>561</v>
      </c>
      <c r="D81" s="806"/>
      <c r="E81" s="806"/>
      <c r="F81" s="806"/>
      <c r="G81" s="806"/>
      <c r="H81" s="806"/>
      <c r="I81" s="806"/>
      <c r="J81" s="806"/>
      <c r="K81" s="806"/>
      <c r="L81" s="806"/>
      <c r="M81" s="806"/>
      <c r="N81" s="807"/>
      <c r="R81" s="95"/>
      <c r="S81" s="96"/>
      <c r="T81" s="186" t="s">
        <v>271</v>
      </c>
    </row>
    <row r="82" spans="2:20" customFormat="1" ht="25.5" x14ac:dyDescent="0.2">
      <c r="B82" s="343" t="s">
        <v>538</v>
      </c>
      <c r="C82" s="823" t="s">
        <v>562</v>
      </c>
      <c r="D82" s="823"/>
      <c r="E82" s="823"/>
      <c r="F82" s="823"/>
      <c r="G82" s="823"/>
      <c r="H82" s="823"/>
      <c r="I82" s="823"/>
      <c r="J82" s="823"/>
      <c r="K82" s="823"/>
      <c r="L82" s="823"/>
      <c r="M82" s="823"/>
      <c r="N82" s="824"/>
      <c r="R82" s="95"/>
      <c r="S82" s="96"/>
      <c r="T82" s="186" t="s">
        <v>101</v>
      </c>
    </row>
    <row r="83" spans="2:20" customFormat="1" ht="76.5" x14ac:dyDescent="0.2">
      <c r="B83" s="343" t="s">
        <v>539</v>
      </c>
      <c r="C83" s="823" t="s">
        <v>563</v>
      </c>
      <c r="D83" s="823"/>
      <c r="E83" s="823"/>
      <c r="F83" s="823"/>
      <c r="G83" s="823"/>
      <c r="H83" s="823"/>
      <c r="I83" s="823"/>
      <c r="J83" s="823"/>
      <c r="K83" s="823"/>
      <c r="L83" s="823"/>
      <c r="M83" s="823"/>
      <c r="N83" s="824"/>
      <c r="R83" s="95"/>
      <c r="S83" s="96"/>
      <c r="T83" s="186" t="s">
        <v>271</v>
      </c>
    </row>
    <row r="84" spans="2:20" customFormat="1" ht="25.5" x14ac:dyDescent="0.2">
      <c r="B84" s="343" t="s">
        <v>540</v>
      </c>
      <c r="C84" s="823" t="s">
        <v>564</v>
      </c>
      <c r="D84" s="823"/>
      <c r="E84" s="823"/>
      <c r="F84" s="823"/>
      <c r="G84" s="823"/>
      <c r="H84" s="823"/>
      <c r="I84" s="823"/>
      <c r="J84" s="823"/>
      <c r="K84" s="823"/>
      <c r="L84" s="823"/>
      <c r="M84" s="823"/>
      <c r="N84" s="824"/>
      <c r="R84" s="95"/>
      <c r="S84" s="96"/>
      <c r="T84" s="186" t="s">
        <v>101</v>
      </c>
    </row>
    <row r="85" spans="2:20" customFormat="1" ht="76.5" x14ac:dyDescent="0.2">
      <c r="B85" s="343" t="s">
        <v>541</v>
      </c>
      <c r="C85" s="823" t="s">
        <v>565</v>
      </c>
      <c r="D85" s="823"/>
      <c r="E85" s="823"/>
      <c r="F85" s="823"/>
      <c r="G85" s="823"/>
      <c r="H85" s="823"/>
      <c r="I85" s="823"/>
      <c r="J85" s="823"/>
      <c r="K85" s="823"/>
      <c r="L85" s="823"/>
      <c r="M85" s="823"/>
      <c r="N85" s="824"/>
      <c r="R85" s="95"/>
      <c r="S85" s="96"/>
      <c r="T85" s="186" t="s">
        <v>271</v>
      </c>
    </row>
    <row r="86" spans="2:20" customFormat="1" ht="26.25" thickBot="1" x14ac:dyDescent="0.25">
      <c r="B86" s="344" t="s">
        <v>542</v>
      </c>
      <c r="C86" s="825" t="s">
        <v>566</v>
      </c>
      <c r="D86" s="825"/>
      <c r="E86" s="825"/>
      <c r="F86" s="825"/>
      <c r="G86" s="825"/>
      <c r="H86" s="825"/>
      <c r="I86" s="825"/>
      <c r="J86" s="825"/>
      <c r="K86" s="825"/>
      <c r="L86" s="825"/>
      <c r="M86" s="825"/>
      <c r="N86" s="826"/>
      <c r="R86" s="95"/>
      <c r="S86" s="96"/>
      <c r="T86" s="186" t="s">
        <v>101</v>
      </c>
    </row>
    <row r="87" spans="2:20" customFormat="1" ht="25.5" x14ac:dyDescent="0.2">
      <c r="R87" s="95"/>
      <c r="S87" s="96"/>
      <c r="T87" s="186" t="s">
        <v>101</v>
      </c>
    </row>
    <row r="88" spans="2:20" customFormat="1" ht="25.5" hidden="1" x14ac:dyDescent="0.2">
      <c r="R88" s="95"/>
      <c r="S88" s="96"/>
      <c r="T88" s="186" t="s">
        <v>101</v>
      </c>
    </row>
    <row r="89" spans="2:20" customFormat="1" ht="25.5" hidden="1" x14ac:dyDescent="0.2">
      <c r="R89" s="95"/>
      <c r="S89" s="96"/>
      <c r="T89" s="186" t="s">
        <v>101</v>
      </c>
    </row>
    <row r="90" spans="2:20" customFormat="1" hidden="1" x14ac:dyDescent="0.2">
      <c r="R90" s="95"/>
      <c r="S90" s="96"/>
      <c r="T90" s="95"/>
    </row>
    <row r="91" spans="2:20" customFormat="1" hidden="1" x14ac:dyDescent="0.2">
      <c r="R91" s="95"/>
      <c r="S91" s="96"/>
      <c r="T91" s="95"/>
    </row>
    <row r="92" spans="2:20" customFormat="1" hidden="1" x14ac:dyDescent="0.2">
      <c r="R92" s="95"/>
      <c r="S92" s="96"/>
      <c r="T92" s="95"/>
    </row>
    <row r="93" spans="2:20" customFormat="1" hidden="1" x14ac:dyDescent="0.2">
      <c r="R93" s="95"/>
      <c r="S93" s="96"/>
      <c r="T93" s="95"/>
    </row>
    <row r="94" spans="2:20" customFormat="1" hidden="1" x14ac:dyDescent="0.2">
      <c r="R94" s="95"/>
      <c r="S94" s="96"/>
      <c r="T94" s="95"/>
    </row>
    <row r="95" spans="2:20" customFormat="1" hidden="1" x14ac:dyDescent="0.2">
      <c r="R95" s="95"/>
      <c r="S95" s="96"/>
      <c r="T95" s="95"/>
    </row>
    <row r="96" spans="2:20" customFormat="1" hidden="1" x14ac:dyDescent="0.2">
      <c r="R96" s="95"/>
      <c r="S96" s="96"/>
      <c r="T96" s="95"/>
    </row>
    <row r="97" customFormat="1" hidden="1" x14ac:dyDescent="0.2"/>
    <row r="98" customFormat="1" hidden="1" x14ac:dyDescent="0.2"/>
    <row r="99" customFormat="1" hidden="1" x14ac:dyDescent="0.2"/>
    <row r="100" customFormat="1" hidden="1" x14ac:dyDescent="0.2"/>
    <row r="101" customFormat="1" hidden="1" x14ac:dyDescent="0.2"/>
    <row r="102" customFormat="1" hidden="1" x14ac:dyDescent="0.2"/>
    <row r="103" customFormat="1" hidden="1" x14ac:dyDescent="0.2"/>
  </sheetData>
  <sheetProtection algorithmName="SHA-512" hashValue="4uHkR2wrsliByACgAk1FPM/j9XPxaW6xM8fKzr8cf+7wXxattdjTkbbZvzyFYcuMOV8CSUAb6qZTyun3XYMEIQ==" saltValue="BCc7ZxE4jTU82Eb2xAEN/g==" spinCount="100000" sheet="1" objects="1" scenarios="1"/>
  <mergeCells count="9">
    <mergeCell ref="C84:N84"/>
    <mergeCell ref="C85:N85"/>
    <mergeCell ref="C86:N86"/>
    <mergeCell ref="C78:N78"/>
    <mergeCell ref="C79:N79"/>
    <mergeCell ref="C80:N80"/>
    <mergeCell ref="C81:N81"/>
    <mergeCell ref="C82:N82"/>
    <mergeCell ref="C83:N83"/>
  </mergeCells>
  <conditionalFormatting sqref="P5:Q59">
    <cfRule type="cellIs" dxfId="39" priority="13" operator="equal">
      <formula>0</formula>
    </cfRule>
  </conditionalFormatting>
  <printOptions horizontalCentered="1"/>
  <pageMargins left="0.39370078740157483" right="0.39370078740157483" top="0.78740157480314965" bottom="0.78740157480314965" header="0.31496062992125984" footer="0.31496062992125984"/>
  <pageSetup paperSize="8" scale="44" fitToHeight="0" orientation="portrait" r:id="rId1"/>
  <headerFooter>
    <oddHeader>&amp;L&amp;9&amp;K857362Page &amp;P of &amp;N&amp;C&amp;9 &amp;K8573622016 annual performance report tables (Jan 2016)&amp;R&amp;9&amp;G</oddHeader>
    <oddFooter>&amp;L&amp;9&amp;K857362&amp;A&amp;R&amp;9&amp;K857362Printed: &amp;D &amp;T</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9" id="{A9E25563-0041-40CC-9DD4-C9FAEB0E0361}">
            <xm:f>I5=Lists!$F$16</xm:f>
            <x14:dxf>
              <fill>
                <patternFill>
                  <bgColor rgb="FFE0DCD8"/>
                </patternFill>
              </fill>
            </x14:dxf>
          </x14:cfRule>
          <x14:cfRule type="expression" priority="10" id="{744E93E1-46DD-4CBD-82E0-625EFF7B7179}">
            <xm:f>I5=Lists!$F$15</xm:f>
            <x14:dxf>
              <fill>
                <patternFill>
                  <bgColor rgb="FFE0DCD8"/>
                </patternFill>
              </fill>
            </x14:dxf>
          </x14:cfRule>
          <x14:cfRule type="expression" priority="11" id="{707EE4B1-0291-463F-8E26-85E4DD55D361}">
            <xm:f>I5=Lists!$F$14</xm:f>
            <x14:dxf>
              <fill>
                <patternFill>
                  <bgColor rgb="FFE0DCD8"/>
                </patternFill>
              </fill>
            </x14:dxf>
          </x14:cfRule>
          <x14:cfRule type="expression" priority="12" id="{0766AFC6-67B9-43A3-B735-EA6B8C679E3B}">
            <xm:f>I5=Lists!$F$12</xm:f>
            <x14:dxf>
              <font>
                <color auto="1"/>
              </font>
              <fill>
                <patternFill>
                  <bgColor rgb="FFE0DCD8"/>
                </patternFill>
              </fill>
            </x14:dxf>
          </x14:cfRule>
          <xm:sqref>J5:J59</xm:sqref>
        </x14:conditionalFormatting>
        <x14:conditionalFormatting xmlns:xm="http://schemas.microsoft.com/office/excel/2006/main">
          <x14:cfRule type="expression" priority="5" id="{F69E6454-E493-4BEB-82ED-832A15E2A4C6}">
            <xm:f>K5=Lists!$F$16</xm:f>
            <x14:dxf>
              <fill>
                <patternFill>
                  <bgColor rgb="FFE0DCD8"/>
                </patternFill>
              </fill>
            </x14:dxf>
          </x14:cfRule>
          <x14:cfRule type="expression" priority="6" id="{63F4D9E1-AFF7-4290-871B-712E643C504B}">
            <xm:f>K5=Lists!$F$15</xm:f>
            <x14:dxf>
              <fill>
                <patternFill>
                  <bgColor rgb="FFE0DCD8"/>
                </patternFill>
              </fill>
            </x14:dxf>
          </x14:cfRule>
          <x14:cfRule type="expression" priority="7" id="{627EDD62-D94D-4A0E-84C1-F3C2E2DCF8AA}">
            <xm:f>K5=Lists!$F$14</xm:f>
            <x14:dxf>
              <fill>
                <patternFill>
                  <bgColor rgb="FFE0DCD8"/>
                </patternFill>
              </fill>
            </x14:dxf>
          </x14:cfRule>
          <x14:cfRule type="expression" priority="8" id="{CDD2C458-6B8D-4215-9020-60B771EF8EE9}">
            <xm:f>K5=Lists!$F$12</xm:f>
            <x14:dxf>
              <font>
                <color auto="1"/>
              </font>
              <fill>
                <patternFill>
                  <bgColor rgb="FFE0DCD8"/>
                </patternFill>
              </fill>
            </x14:dxf>
          </x14:cfRule>
          <xm:sqref>L5:L59</xm:sqref>
        </x14:conditionalFormatting>
        <x14:conditionalFormatting xmlns:xm="http://schemas.microsoft.com/office/excel/2006/main">
          <x14:cfRule type="expression" priority="1" id="{ADA781DA-03C2-403B-8F25-5AAF4237E54A}">
            <xm:f>M5=Lists!$F$16</xm:f>
            <x14:dxf>
              <fill>
                <patternFill>
                  <bgColor rgb="FFE0DCD8"/>
                </patternFill>
              </fill>
            </x14:dxf>
          </x14:cfRule>
          <x14:cfRule type="expression" priority="2" id="{00B40E04-927E-4785-89F9-72F4091C5C1E}">
            <xm:f>M5=Lists!$F$15</xm:f>
            <x14:dxf>
              <fill>
                <patternFill>
                  <bgColor rgb="FFE0DCD8"/>
                </patternFill>
              </fill>
            </x14:dxf>
          </x14:cfRule>
          <x14:cfRule type="expression" priority="3" id="{2B30CA79-787E-44E0-8F7D-34610284DB1F}">
            <xm:f>M5=Lists!$F$14</xm:f>
            <x14:dxf>
              <fill>
                <patternFill>
                  <bgColor rgb="FFE0DCD8"/>
                </patternFill>
              </fill>
            </x14:dxf>
          </x14:cfRule>
          <x14:cfRule type="expression" priority="4" id="{A3FAF9E0-EF65-4430-8BEE-BCEC3463DE7F}">
            <xm:f>M5=Lists!$F$12</xm:f>
            <x14:dxf>
              <font>
                <color auto="1"/>
              </font>
              <fill>
                <patternFill>
                  <bgColor rgb="FFE0DCD8"/>
                </patternFill>
              </fill>
            </x14:dxf>
          </x14:cfRule>
          <xm:sqref>N5:N59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0000000}">
          <x14:formula1>
            <xm:f>Lists!$F$11:$F$16</xm:f>
          </x14:formula1>
          <xm:sqref>I5:I59 K5:K59 M5:M59</xm:sqref>
        </x14:dataValidation>
        <x14:dataValidation type="list" allowBlank="1" showInputMessage="1" showErrorMessage="1" xr:uid="{00000000-0002-0000-1400-000001000000}">
          <x14:formula1>
            <xm:f>Lists!$F$6:$F$8</xm:f>
          </x14:formula1>
          <xm:sqref>H5:H59</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3479"/>
    <pageSetUpPr fitToPage="1"/>
  </sheetPr>
  <dimension ref="H1:H35"/>
  <sheetViews>
    <sheetView topLeftCell="XFD1048576" zoomScaleNormal="100" workbookViewId="0">
      <selection activeCell="C28" sqref="C28"/>
    </sheetView>
  </sheetViews>
  <sheetFormatPr defaultColWidth="0" defaultRowHeight="14.1" customHeight="1" zeroHeight="1" x14ac:dyDescent="0.2"/>
  <cols>
    <col min="1" max="7" width="8.625" hidden="1" customWidth="1"/>
    <col min="8" max="8" width="8.875" hidden="1" customWidth="1"/>
    <col min="9" max="16384" width="8.625" hidden="1"/>
  </cols>
  <sheetData>
    <row r="1" ht="14.25" hidden="1" x14ac:dyDescent="0.2"/>
    <row r="35" spans="8:8" ht="14.1" hidden="1" customHeight="1" x14ac:dyDescent="0.2">
      <c r="H35" t="s">
        <v>60</v>
      </c>
    </row>
  </sheetData>
  <sheetProtection algorithmName="SHA-512" hashValue="W7RUalaQ9USX0kXakLBiEFQ6693egnJqWt8qg46UHN1TjOKpEbhleMLMak/M0X2ilhtrtQaIt1GiU35s3zuOLw==" saltValue="appw/UJXEJRbvJpBBZL/Vg==" spinCount="100000" sheet="1" objects="1" scenarios="1"/>
  <printOptions horizontalCentered="1"/>
  <pageMargins left="0.39370078740157483" right="0.39370078740157483" top="0.78740157480314965" bottom="0.78740157480314965" header="0.31496062992125984" footer="0.31496062992125984"/>
  <pageSetup paperSize="8"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R60"/>
  <sheetViews>
    <sheetView showGridLines="0" zoomScaleNormal="100" workbookViewId="0">
      <selection activeCell="C43" sqref="C43:I43"/>
    </sheetView>
  </sheetViews>
  <sheetFormatPr defaultColWidth="0" defaultRowHeight="14.25" zeroHeight="1" x14ac:dyDescent="0.2"/>
  <cols>
    <col min="1" max="1" width="2.375" style="99" customWidth="1"/>
    <col min="2" max="2" width="4.125" style="99" customWidth="1"/>
    <col min="3" max="3" width="45.875" style="99" customWidth="1"/>
    <col min="4" max="5" width="5.625" style="99" customWidth="1"/>
    <col min="6" max="9" width="11.125" style="99" customWidth="1"/>
    <col min="10" max="10" width="2.625" style="95" customWidth="1"/>
    <col min="11" max="11" width="18.875" style="95" bestFit="1" customWidth="1"/>
    <col min="12" max="12" width="1.625" style="95" customWidth="1"/>
    <col min="13" max="13" width="1.625" style="96" hidden="1" customWidth="1"/>
    <col min="14" max="15" width="8.625" style="95" hidden="1" customWidth="1"/>
    <col min="16" max="16" width="1.625" style="96" hidden="1" customWidth="1"/>
    <col min="17" max="17" width="8.875" style="95" hidden="1" customWidth="1"/>
    <col min="18" max="18" width="8.875" style="99" hidden="1" customWidth="1"/>
    <col min="19" max="16384" width="8" style="99" hidden="1"/>
  </cols>
  <sheetData>
    <row r="1" spans="2:15" ht="20.25" x14ac:dyDescent="0.2">
      <c r="B1" s="91" t="s">
        <v>567</v>
      </c>
      <c r="C1" s="91"/>
      <c r="D1" s="91"/>
      <c r="E1" s="91"/>
      <c r="F1" s="91"/>
      <c r="G1" s="91"/>
      <c r="H1" s="91"/>
      <c r="I1" s="93" t="str">
        <f>Validation!B3</f>
        <v>Yorkshire Water</v>
      </c>
      <c r="J1" s="91"/>
      <c r="K1" s="94" t="s">
        <v>62</v>
      </c>
    </row>
    <row r="2" spans="2:15" ht="15" thickBot="1" x14ac:dyDescent="0.25">
      <c r="B2" s="98" t="s">
        <v>48</v>
      </c>
      <c r="C2" s="296"/>
      <c r="I2" s="297"/>
    </row>
    <row r="3" spans="2:15" ht="18.95" customHeight="1" x14ac:dyDescent="0.2">
      <c r="B3" s="831" t="s">
        <v>63</v>
      </c>
      <c r="C3" s="832"/>
      <c r="D3" s="753" t="s">
        <v>64</v>
      </c>
      <c r="E3" s="756" t="s">
        <v>65</v>
      </c>
      <c r="F3" s="758" t="s">
        <v>404</v>
      </c>
      <c r="G3" s="759"/>
      <c r="H3" s="835" t="s">
        <v>405</v>
      </c>
      <c r="I3" s="836"/>
      <c r="K3" s="699" t="s">
        <v>69</v>
      </c>
    </row>
    <row r="4" spans="2:15" ht="15" thickBot="1" x14ac:dyDescent="0.25">
      <c r="B4" s="833"/>
      <c r="C4" s="834"/>
      <c r="D4" s="755"/>
      <c r="E4" s="757"/>
      <c r="F4" s="298" t="s">
        <v>477</v>
      </c>
      <c r="G4" s="299" t="s">
        <v>478</v>
      </c>
      <c r="H4" s="300" t="s">
        <v>477</v>
      </c>
      <c r="I4" s="301" t="s">
        <v>478</v>
      </c>
      <c r="K4" s="701"/>
    </row>
    <row r="5" spans="2:15" ht="15" thickBot="1" x14ac:dyDescent="0.25">
      <c r="H5" s="346"/>
      <c r="I5" s="346"/>
    </row>
    <row r="6" spans="2:15" x14ac:dyDescent="0.2">
      <c r="B6" s="347" t="s">
        <v>568</v>
      </c>
      <c r="C6" s="348"/>
      <c r="H6" s="346"/>
      <c r="I6" s="346"/>
      <c r="N6" s="702" t="s">
        <v>73</v>
      </c>
      <c r="O6" s="702"/>
    </row>
    <row r="7" spans="2:15" ht="15" thickBot="1" x14ac:dyDescent="0.25">
      <c r="B7" s="349" t="s">
        <v>124</v>
      </c>
      <c r="C7" s="350" t="s">
        <v>569</v>
      </c>
      <c r="H7" s="346"/>
      <c r="I7" s="346"/>
      <c r="K7" s="256"/>
      <c r="N7" s="112" t="s">
        <v>74</v>
      </c>
      <c r="O7" s="147"/>
    </row>
    <row r="8" spans="2:15" x14ac:dyDescent="0.2">
      <c r="B8" s="342">
        <v>1</v>
      </c>
      <c r="C8" s="314" t="s">
        <v>570</v>
      </c>
      <c r="D8" s="315" t="s">
        <v>571</v>
      </c>
      <c r="E8" s="316">
        <v>3</v>
      </c>
      <c r="F8" s="587">
        <v>59.317999999999998</v>
      </c>
      <c r="G8" s="588">
        <v>45.643000000000001</v>
      </c>
      <c r="H8" s="351"/>
      <c r="I8" s="352"/>
      <c r="K8" s="29">
        <f xml:space="preserve"> IF( SUM( M8:P8 ) = 0, 0, $N$7 )</f>
        <v>0</v>
      </c>
      <c r="N8" s="120">
        <f xml:space="preserve"> IF( ISNUMBER( F8 ), 0, 1 )</f>
        <v>0</v>
      </c>
      <c r="O8" s="120">
        <f t="shared" ref="O8" si="0" xml:space="preserve"> IF( ISNUMBER( G8 ), 0, 1 )</f>
        <v>0</v>
      </c>
    </row>
    <row r="9" spans="2:15" x14ac:dyDescent="0.2">
      <c r="B9" s="343">
        <v>2</v>
      </c>
      <c r="C9" s="320" t="s">
        <v>572</v>
      </c>
      <c r="D9" s="321" t="s">
        <v>571</v>
      </c>
      <c r="E9" s="322">
        <v>3</v>
      </c>
      <c r="F9" s="589">
        <v>68.513999999999996</v>
      </c>
      <c r="G9" s="590">
        <v>47.182000000000002</v>
      </c>
      <c r="H9" s="353"/>
      <c r="I9" s="354"/>
      <c r="K9" s="29">
        <f t="shared" ref="K9:K13" si="1" xml:space="preserve"> IF( SUM( M9:P9 ) = 0, 0, $N$7 )</f>
        <v>0</v>
      </c>
      <c r="N9" s="120">
        <f>IF(Validation!$H$3=1,0,IF(ISNUMBER(F9),0,1))</f>
        <v>0</v>
      </c>
      <c r="O9" s="120">
        <f>IF(Validation!$H$3=1,0,IF(ISNUMBER(G9),0,1))</f>
        <v>0</v>
      </c>
    </row>
    <row r="10" spans="2:15" x14ac:dyDescent="0.2">
      <c r="B10" s="343">
        <v>3</v>
      </c>
      <c r="C10" s="320" t="s">
        <v>573</v>
      </c>
      <c r="D10" s="321" t="s">
        <v>571</v>
      </c>
      <c r="E10" s="322">
        <v>3</v>
      </c>
      <c r="F10" s="589">
        <v>960.75199999999995</v>
      </c>
      <c r="G10" s="590">
        <v>952.06600000000003</v>
      </c>
      <c r="H10" s="353"/>
      <c r="I10" s="354"/>
      <c r="K10" s="29">
        <f t="shared" si="1"/>
        <v>0</v>
      </c>
      <c r="N10" s="120">
        <f>IF(Validation!$H$3=1,0,IF(ISNUMBER(F10),0,1))</f>
        <v>0</v>
      </c>
      <c r="O10" s="120">
        <f>IF(Validation!$H$3=1,0,IF(ISNUMBER(G10),0,1))</f>
        <v>0</v>
      </c>
    </row>
    <row r="11" spans="2:15" x14ac:dyDescent="0.2">
      <c r="B11" s="343">
        <v>4</v>
      </c>
      <c r="C11" s="320" t="s">
        <v>246</v>
      </c>
      <c r="D11" s="321" t="s">
        <v>571</v>
      </c>
      <c r="E11" s="322">
        <v>3</v>
      </c>
      <c r="F11" s="124">
        <f>SUM(F8:F10)</f>
        <v>1088.5839999999998</v>
      </c>
      <c r="G11" s="327">
        <f t="shared" ref="G11:I11" si="2">SUM(G8:G10)</f>
        <v>1044.8910000000001</v>
      </c>
      <c r="H11" s="328">
        <f t="shared" si="2"/>
        <v>0</v>
      </c>
      <c r="I11" s="329">
        <f t="shared" si="2"/>
        <v>0</v>
      </c>
      <c r="K11" s="256"/>
    </row>
    <row r="12" spans="2:15" x14ac:dyDescent="0.2">
      <c r="B12" s="343">
        <v>5</v>
      </c>
      <c r="C12" s="320" t="s">
        <v>574</v>
      </c>
      <c r="D12" s="321" t="s">
        <v>571</v>
      </c>
      <c r="E12" s="322">
        <v>3</v>
      </c>
      <c r="F12" s="589">
        <v>66.561999999999998</v>
      </c>
      <c r="G12" s="590">
        <v>41.069000000000003</v>
      </c>
      <c r="H12" s="355"/>
      <c r="I12" s="356"/>
      <c r="K12" s="29">
        <f t="shared" si="1"/>
        <v>0</v>
      </c>
      <c r="N12" s="120">
        <f t="shared" ref="N12:O13" si="3" xml:space="preserve"> IF( ISNUMBER( F12 ), 0, 1 )</f>
        <v>0</v>
      </c>
      <c r="O12" s="120">
        <f t="shared" si="3"/>
        <v>0</v>
      </c>
    </row>
    <row r="13" spans="2:15" ht="15" thickBot="1" x14ac:dyDescent="0.25">
      <c r="B13" s="344">
        <v>6</v>
      </c>
      <c r="C13" s="334" t="s">
        <v>575</v>
      </c>
      <c r="D13" s="335" t="s">
        <v>576</v>
      </c>
      <c r="E13" s="336">
        <v>2</v>
      </c>
      <c r="F13" s="686">
        <v>153.46</v>
      </c>
      <c r="G13" s="687">
        <v>107.55</v>
      </c>
      <c r="H13" s="357"/>
      <c r="I13" s="358"/>
      <c r="K13" s="29">
        <f t="shared" si="1"/>
        <v>0</v>
      </c>
      <c r="N13" s="120">
        <f t="shared" si="3"/>
        <v>0</v>
      </c>
      <c r="O13" s="120">
        <f t="shared" si="3"/>
        <v>0</v>
      </c>
    </row>
    <row r="14" spans="2:15" x14ac:dyDescent="0.2">
      <c r="B14" s="359"/>
      <c r="C14" s="177"/>
      <c r="D14" s="310"/>
      <c r="E14" s="310"/>
      <c r="F14" s="360"/>
      <c r="G14" s="360"/>
      <c r="H14" s="361"/>
      <c r="I14" s="361"/>
      <c r="K14" s="136"/>
      <c r="N14" s="332"/>
      <c r="O14" s="137"/>
    </row>
    <row r="15" spans="2:15" ht="15" thickBot="1" x14ac:dyDescent="0.25">
      <c r="B15" s="359"/>
      <c r="C15" s="177"/>
      <c r="D15" s="310"/>
      <c r="E15" s="310"/>
      <c r="F15" s="360"/>
      <c r="G15" s="360"/>
      <c r="H15" s="361"/>
      <c r="I15" s="361"/>
      <c r="K15" s="136"/>
      <c r="N15" s="332"/>
      <c r="O15" s="137"/>
    </row>
    <row r="16" spans="2:15" ht="15" thickBot="1" x14ac:dyDescent="0.25">
      <c r="B16" s="359"/>
      <c r="C16" s="177"/>
      <c r="D16" s="310"/>
      <c r="E16" s="310"/>
      <c r="F16" s="362" t="s">
        <v>281</v>
      </c>
      <c r="G16" s="363" t="s">
        <v>282</v>
      </c>
      <c r="H16" s="364" t="s">
        <v>281</v>
      </c>
      <c r="I16" s="365" t="s">
        <v>282</v>
      </c>
      <c r="K16" s="136"/>
      <c r="N16" s="332"/>
      <c r="O16" s="137"/>
    </row>
    <row r="17" spans="1:17" ht="15" thickBot="1" x14ac:dyDescent="0.25">
      <c r="B17" s="366" t="s">
        <v>133</v>
      </c>
      <c r="C17" s="367" t="s">
        <v>577</v>
      </c>
      <c r="D17" s="312"/>
      <c r="E17" s="312"/>
      <c r="H17" s="346"/>
      <c r="I17" s="346"/>
      <c r="K17" s="136"/>
      <c r="N17" s="332"/>
      <c r="O17" s="137"/>
    </row>
    <row r="18" spans="1:17" x14ac:dyDescent="0.2">
      <c r="B18" s="342">
        <v>7</v>
      </c>
      <c r="C18" s="314" t="s">
        <v>578</v>
      </c>
      <c r="D18" s="368" t="s">
        <v>579</v>
      </c>
      <c r="E18" s="316">
        <v>3</v>
      </c>
      <c r="F18" s="591">
        <v>0.88</v>
      </c>
      <c r="G18" s="592">
        <v>0</v>
      </c>
      <c r="H18" s="369"/>
      <c r="I18" s="370"/>
      <c r="K18" s="29">
        <f t="shared" ref="K18:K19" si="4" xml:space="preserve"> IF( SUM( M18:P18 ) = 0, 0, $N$7 )</f>
        <v>0</v>
      </c>
      <c r="N18" s="120">
        <f t="shared" ref="N18:N20" si="5" xml:space="preserve"> IF( ISNUMBER( F18 ), 0, 1 )</f>
        <v>0</v>
      </c>
      <c r="O18" s="120">
        <f>IF(Validation!$H$3=1,0,IF(ISNUMBER(G18),0,1))</f>
        <v>0</v>
      </c>
    </row>
    <row r="19" spans="1:17" ht="15" thickBot="1" x14ac:dyDescent="0.25">
      <c r="B19" s="343">
        <v>8</v>
      </c>
      <c r="C19" s="320" t="s">
        <v>580</v>
      </c>
      <c r="D19" s="371" t="s">
        <v>579</v>
      </c>
      <c r="E19" s="322">
        <v>3</v>
      </c>
      <c r="F19" s="593">
        <v>53.68</v>
      </c>
      <c r="G19" s="594">
        <v>0</v>
      </c>
      <c r="H19" s="372"/>
      <c r="I19" s="373"/>
      <c r="K19" s="29">
        <f t="shared" si="4"/>
        <v>0</v>
      </c>
      <c r="N19" s="120">
        <f t="shared" si="5"/>
        <v>0</v>
      </c>
      <c r="O19" s="120">
        <f>IF(Validation!$H$3=1,0,IF(ISNUMBER(G19),0,1))</f>
        <v>0</v>
      </c>
    </row>
    <row r="20" spans="1:17" ht="15" thickBot="1" x14ac:dyDescent="0.25">
      <c r="B20" s="344">
        <v>9</v>
      </c>
      <c r="C20" s="334" t="s">
        <v>581</v>
      </c>
      <c r="D20" s="335" t="s">
        <v>579</v>
      </c>
      <c r="E20" s="336">
        <v>3</v>
      </c>
      <c r="F20" s="595">
        <v>1239.58</v>
      </c>
      <c r="G20" s="187"/>
      <c r="H20" s="374"/>
      <c r="I20" s="375"/>
      <c r="K20" s="29">
        <f xml:space="preserve"> IF( SUM( M20:P20 ) = 0, 0, $N$7 )</f>
        <v>0</v>
      </c>
      <c r="N20" s="120">
        <f t="shared" si="5"/>
        <v>0</v>
      </c>
      <c r="O20" s="137"/>
    </row>
    <row r="21" spans="1:17" s="95" customFormat="1" x14ac:dyDescent="0.2">
      <c r="D21" s="112"/>
      <c r="E21" s="112"/>
      <c r="G21" s="187"/>
      <c r="I21" s="150"/>
      <c r="K21" s="146"/>
      <c r="M21" s="96"/>
      <c r="N21" s="332"/>
      <c r="O21" s="137"/>
      <c r="P21" s="96"/>
    </row>
    <row r="22" spans="1:17" s="187" customFormat="1" x14ac:dyDescent="0.2">
      <c r="B22" s="703" t="s">
        <v>90</v>
      </c>
      <c r="C22" s="703"/>
      <c r="I22" s="150"/>
      <c r="J22" s="95"/>
      <c r="K22" s="146"/>
      <c r="L22" s="95"/>
      <c r="M22" s="96"/>
      <c r="N22" s="332"/>
      <c r="O22" s="137"/>
      <c r="P22" s="96"/>
      <c r="Q22" s="95"/>
    </row>
    <row r="23" spans="1:17" s="187" customFormat="1" x14ac:dyDescent="0.2">
      <c r="B23" s="162"/>
      <c r="C23" s="163"/>
      <c r="I23" s="150"/>
      <c r="J23" s="144"/>
      <c r="K23" s="146"/>
      <c r="L23" s="144"/>
      <c r="M23" s="148"/>
      <c r="N23" s="332"/>
      <c r="O23" s="137"/>
      <c r="P23" s="148"/>
      <c r="Q23" s="137"/>
    </row>
    <row r="24" spans="1:17" s="187" customFormat="1" ht="12" x14ac:dyDescent="0.2">
      <c r="B24" s="30"/>
      <c r="C24" s="164" t="s">
        <v>91</v>
      </c>
      <c r="I24" s="150"/>
      <c r="J24" s="150"/>
      <c r="K24" s="150"/>
      <c r="L24" s="150"/>
      <c r="M24" s="145"/>
      <c r="N24" s="232"/>
      <c r="P24" s="145"/>
    </row>
    <row r="25" spans="1:17" s="187" customFormat="1" ht="12" x14ac:dyDescent="0.2">
      <c r="B25" s="162"/>
      <c r="C25" s="163"/>
      <c r="I25" s="150"/>
      <c r="J25" s="150"/>
      <c r="K25" s="150"/>
      <c r="L25" s="150"/>
      <c r="M25" s="145"/>
      <c r="N25" s="232"/>
      <c r="P25" s="145"/>
    </row>
    <row r="26" spans="1:17" s="187" customFormat="1" ht="12" x14ac:dyDescent="0.2">
      <c r="B26" s="165"/>
      <c r="C26" s="164" t="s">
        <v>92</v>
      </c>
      <c r="I26" s="150"/>
      <c r="J26" s="150"/>
      <c r="K26" s="150"/>
      <c r="L26" s="150"/>
      <c r="M26" s="145"/>
      <c r="N26" s="232"/>
      <c r="P26" s="145"/>
    </row>
    <row r="27" spans="1:17" s="187" customFormat="1" ht="12" x14ac:dyDescent="0.2">
      <c r="B27" s="166"/>
      <c r="C27" s="164"/>
      <c r="I27" s="150"/>
      <c r="J27" s="150"/>
      <c r="K27" s="150"/>
      <c r="L27" s="150"/>
      <c r="M27" s="145"/>
      <c r="N27" s="232"/>
      <c r="P27" s="145"/>
    </row>
    <row r="28" spans="1:17" s="187" customFormat="1" ht="12" x14ac:dyDescent="0.2">
      <c r="B28" s="167"/>
      <c r="C28" s="164" t="s">
        <v>93</v>
      </c>
      <c r="I28" s="150"/>
      <c r="J28" s="150"/>
      <c r="K28" s="150"/>
      <c r="L28" s="150"/>
      <c r="M28" s="145"/>
      <c r="N28" s="232"/>
      <c r="P28" s="145"/>
    </row>
    <row r="29" spans="1:17" s="206" customFormat="1" ht="12.75" x14ac:dyDescent="0.2">
      <c r="A29" s="172"/>
      <c r="B29" s="172"/>
      <c r="C29" s="173"/>
      <c r="I29" s="153"/>
      <c r="J29" s="150"/>
      <c r="K29" s="150"/>
      <c r="L29" s="150"/>
      <c r="M29" s="145"/>
      <c r="N29" s="232"/>
      <c r="O29" s="187"/>
      <c r="P29" s="145"/>
      <c r="Q29" s="187"/>
    </row>
    <row r="30" spans="1:17" s="137" customFormat="1" ht="15" thickBot="1" x14ac:dyDescent="0.25">
      <c r="C30" s="174"/>
      <c r="I30" s="144"/>
      <c r="J30" s="150"/>
      <c r="K30" s="150"/>
      <c r="L30" s="150"/>
      <c r="M30" s="145"/>
      <c r="N30" s="232"/>
      <c r="O30" s="187"/>
      <c r="P30" s="145"/>
      <c r="Q30" s="187"/>
    </row>
    <row r="31" spans="1:17" s="137" customFormat="1" ht="16.5" thickBot="1" x14ac:dyDescent="0.25">
      <c r="B31" s="168" t="str">
        <f ca="1" xml:space="preserve"> RIGHT(CELL("filename", $A$1), LEN(CELL("filename", $A$1)) - SEARCH("]", CELL("filename", $A$1)))&amp;" - Line definitions"</f>
        <v>4A - Line definitions</v>
      </c>
      <c r="C31" s="169"/>
      <c r="D31" s="170"/>
      <c r="E31" s="170"/>
      <c r="F31" s="170"/>
      <c r="G31" s="170"/>
      <c r="H31" s="170"/>
      <c r="I31" s="288"/>
      <c r="J31" s="153"/>
      <c r="K31" s="150"/>
      <c r="L31" s="150"/>
      <c r="M31" s="145"/>
      <c r="N31" s="376"/>
      <c r="O31" s="206"/>
      <c r="P31" s="145"/>
      <c r="Q31" s="206"/>
    </row>
    <row r="32" spans="1:17" s="137" customFormat="1" ht="15" thickBot="1" x14ac:dyDescent="0.25">
      <c r="B32" s="99"/>
      <c r="C32" s="177"/>
      <c r="D32" s="99"/>
      <c r="E32" s="99"/>
      <c r="F32" s="99"/>
      <c r="I32" s="144"/>
      <c r="J32" s="153"/>
      <c r="K32" s="150"/>
      <c r="L32" s="150"/>
      <c r="M32" s="145"/>
      <c r="N32" s="376"/>
      <c r="O32" s="206"/>
      <c r="P32" s="145"/>
      <c r="Q32" s="206"/>
    </row>
    <row r="33" spans="2:17" s="206" customFormat="1" ht="15" thickBot="1" x14ac:dyDescent="0.25">
      <c r="B33" s="339" t="s">
        <v>94</v>
      </c>
      <c r="C33" s="340" t="s">
        <v>95</v>
      </c>
      <c r="D33" s="180"/>
      <c r="E33" s="180"/>
      <c r="F33" s="180"/>
      <c r="G33" s="180"/>
      <c r="H33" s="180"/>
      <c r="I33" s="341"/>
      <c r="J33" s="153"/>
      <c r="K33" s="146"/>
      <c r="L33" s="144"/>
      <c r="M33" s="148"/>
      <c r="N33" s="112" t="s">
        <v>96</v>
      </c>
      <c r="O33" s="137"/>
      <c r="P33" s="148"/>
      <c r="Q33" s="137"/>
    </row>
    <row r="34" spans="2:17" s="137" customFormat="1" x14ac:dyDescent="0.2">
      <c r="B34" s="342">
        <v>1</v>
      </c>
      <c r="C34" s="773" t="s">
        <v>582</v>
      </c>
      <c r="D34" s="774"/>
      <c r="E34" s="774"/>
      <c r="F34" s="774"/>
      <c r="G34" s="774"/>
      <c r="H34" s="774"/>
      <c r="I34" s="775"/>
      <c r="J34" s="153"/>
      <c r="K34" s="146"/>
      <c r="L34" s="144"/>
      <c r="M34" s="148"/>
      <c r="N34" s="186">
        <v>1</v>
      </c>
      <c r="P34" s="148"/>
    </row>
    <row r="35" spans="2:17" s="137" customFormat="1" x14ac:dyDescent="0.2">
      <c r="B35" s="343">
        <v>2</v>
      </c>
      <c r="C35" s="768" t="s">
        <v>583</v>
      </c>
      <c r="D35" s="769"/>
      <c r="E35" s="769"/>
      <c r="F35" s="769"/>
      <c r="G35" s="769"/>
      <c r="H35" s="769"/>
      <c r="I35" s="770"/>
      <c r="J35" s="153"/>
      <c r="K35" s="153"/>
      <c r="L35" s="144"/>
      <c r="M35" s="148"/>
      <c r="N35" s="292">
        <v>1</v>
      </c>
      <c r="O35" s="206"/>
      <c r="P35" s="148"/>
      <c r="Q35" s="206"/>
    </row>
    <row r="36" spans="2:17" s="137" customFormat="1" x14ac:dyDescent="0.2">
      <c r="B36" s="343">
        <v>3</v>
      </c>
      <c r="C36" s="768" t="s">
        <v>584</v>
      </c>
      <c r="D36" s="769"/>
      <c r="E36" s="769"/>
      <c r="F36" s="769"/>
      <c r="G36" s="769"/>
      <c r="H36" s="769"/>
      <c r="I36" s="770"/>
      <c r="J36" s="153"/>
      <c r="K36" s="146"/>
      <c r="L36" s="144"/>
      <c r="M36" s="148"/>
      <c r="N36" s="235">
        <v>1</v>
      </c>
      <c r="P36" s="148"/>
    </row>
    <row r="37" spans="2:17" s="137" customFormat="1" x14ac:dyDescent="0.2">
      <c r="B37" s="343">
        <v>4</v>
      </c>
      <c r="C37" s="768" t="s">
        <v>585</v>
      </c>
      <c r="D37" s="769"/>
      <c r="E37" s="769"/>
      <c r="F37" s="769"/>
      <c r="G37" s="769"/>
      <c r="H37" s="769"/>
      <c r="I37" s="770"/>
      <c r="J37" s="153"/>
      <c r="K37" s="146"/>
      <c r="L37" s="144"/>
      <c r="M37" s="148"/>
      <c r="N37" s="235">
        <v>1</v>
      </c>
      <c r="P37" s="148"/>
    </row>
    <row r="38" spans="2:17" s="137" customFormat="1" ht="38.25" x14ac:dyDescent="0.2">
      <c r="B38" s="343">
        <v>5</v>
      </c>
      <c r="C38" s="768" t="s">
        <v>586</v>
      </c>
      <c r="D38" s="769"/>
      <c r="E38" s="769"/>
      <c r="F38" s="769"/>
      <c r="G38" s="769"/>
      <c r="H38" s="769"/>
      <c r="I38" s="770"/>
      <c r="J38" s="153"/>
      <c r="K38" s="146"/>
      <c r="L38" s="144"/>
      <c r="M38" s="148"/>
      <c r="N38" s="236" t="s">
        <v>98</v>
      </c>
      <c r="P38" s="148"/>
    </row>
    <row r="39" spans="2:17" s="137" customFormat="1" ht="153" x14ac:dyDescent="0.2">
      <c r="B39" s="343">
        <v>6</v>
      </c>
      <c r="C39" s="768" t="s">
        <v>587</v>
      </c>
      <c r="D39" s="769"/>
      <c r="E39" s="769"/>
      <c r="F39" s="769"/>
      <c r="G39" s="769"/>
      <c r="H39" s="769"/>
      <c r="I39" s="770"/>
      <c r="J39" s="153"/>
      <c r="K39" s="146"/>
      <c r="L39" s="144"/>
      <c r="M39" s="148"/>
      <c r="N39" s="186" t="s">
        <v>588</v>
      </c>
      <c r="O39" s="146"/>
      <c r="P39" s="148"/>
      <c r="Q39" s="146"/>
    </row>
    <row r="40" spans="2:17" s="137" customFormat="1" ht="153" x14ac:dyDescent="0.2">
      <c r="B40" s="343">
        <v>7</v>
      </c>
      <c r="C40" s="768" t="s">
        <v>589</v>
      </c>
      <c r="D40" s="769"/>
      <c r="E40" s="769"/>
      <c r="F40" s="769"/>
      <c r="G40" s="769"/>
      <c r="H40" s="769"/>
      <c r="I40" s="770"/>
      <c r="J40" s="153"/>
      <c r="K40" s="146"/>
      <c r="L40" s="144"/>
      <c r="M40" s="148"/>
      <c r="N40" s="186" t="s">
        <v>588</v>
      </c>
      <c r="O40" s="146"/>
      <c r="P40" s="148"/>
      <c r="Q40" s="146"/>
    </row>
    <row r="41" spans="2:17" s="137" customFormat="1" x14ac:dyDescent="0.2">
      <c r="B41" s="343">
        <v>8</v>
      </c>
      <c r="C41" s="768" t="s">
        <v>590</v>
      </c>
      <c r="D41" s="769"/>
      <c r="E41" s="769"/>
      <c r="F41" s="769"/>
      <c r="G41" s="769"/>
      <c r="H41" s="769"/>
      <c r="I41" s="770"/>
      <c r="J41" s="153"/>
      <c r="K41" s="146"/>
      <c r="L41" s="144"/>
      <c r="M41" s="148"/>
      <c r="N41" s="235">
        <v>1</v>
      </c>
      <c r="O41" s="146"/>
      <c r="P41" s="148"/>
      <c r="Q41" s="146"/>
    </row>
    <row r="42" spans="2:17" x14ac:dyDescent="0.2">
      <c r="B42" s="343">
        <v>9</v>
      </c>
      <c r="C42" s="768" t="s">
        <v>591</v>
      </c>
      <c r="D42" s="769"/>
      <c r="E42" s="769"/>
      <c r="F42" s="769"/>
      <c r="G42" s="769"/>
      <c r="H42" s="769"/>
      <c r="I42" s="770"/>
      <c r="J42" s="153"/>
      <c r="N42" s="183">
        <v>1</v>
      </c>
    </row>
    <row r="43" spans="2:17" ht="26.25" thickBot="1" x14ac:dyDescent="0.25">
      <c r="B43" s="344">
        <v>10</v>
      </c>
      <c r="C43" s="765" t="s">
        <v>592</v>
      </c>
      <c r="D43" s="766"/>
      <c r="E43" s="766"/>
      <c r="F43" s="766"/>
      <c r="G43" s="766"/>
      <c r="H43" s="766"/>
      <c r="I43" s="767"/>
      <c r="J43" s="153"/>
      <c r="N43" s="186" t="s">
        <v>101</v>
      </c>
    </row>
    <row r="44" spans="2:17" x14ac:dyDescent="0.2">
      <c r="J44" s="153"/>
    </row>
    <row r="45" spans="2:17" hidden="1" x14ac:dyDescent="0.2">
      <c r="J45" s="153"/>
    </row>
    <row r="46" spans="2:17" hidden="1" x14ac:dyDescent="0.2">
      <c r="J46" s="153"/>
    </row>
    <row r="47" spans="2:17" hidden="1" x14ac:dyDescent="0.2">
      <c r="J47" s="153"/>
    </row>
    <row r="48" spans="2:17" hidden="1" x14ac:dyDescent="0.2">
      <c r="J48" s="153"/>
    </row>
    <row r="49" spans="10:10" hidden="1" x14ac:dyDescent="0.2">
      <c r="J49" s="153"/>
    </row>
    <row r="50" spans="10:10" hidden="1" x14ac:dyDescent="0.2">
      <c r="J50" s="153"/>
    </row>
    <row r="51" spans="10:10" hidden="1" x14ac:dyDescent="0.2">
      <c r="J51" s="153"/>
    </row>
    <row r="52" spans="10:10" hidden="1" x14ac:dyDescent="0.2">
      <c r="J52" s="153"/>
    </row>
    <row r="53" spans="10:10" hidden="1" x14ac:dyDescent="0.2">
      <c r="J53" s="153"/>
    </row>
    <row r="54" spans="10:10" hidden="1" x14ac:dyDescent="0.2">
      <c r="J54" s="153"/>
    </row>
    <row r="55" spans="10:10" hidden="1" x14ac:dyDescent="0.2">
      <c r="J55" s="153"/>
    </row>
    <row r="56" spans="10:10" hidden="1" x14ac:dyDescent="0.2">
      <c r="J56" s="153"/>
    </row>
    <row r="57" spans="10:10" hidden="1" x14ac:dyDescent="0.2">
      <c r="J57" s="153"/>
    </row>
    <row r="58" spans="10:10" hidden="1" x14ac:dyDescent="0.2">
      <c r="J58" s="153"/>
    </row>
    <row r="59" spans="10:10" hidden="1" x14ac:dyDescent="0.2">
      <c r="J59" s="153"/>
    </row>
    <row r="60" spans="10:10" hidden="1" x14ac:dyDescent="0.2">
      <c r="J60" s="153"/>
    </row>
  </sheetData>
  <sheetProtection algorithmName="SHA-512" hashValue="548QrH1ICVDWq0wa5p2ZzK4SuUhbgSF38cGRxum6C6hjTDA9ZPadelrctpzXXe1TlJGtKM+m8+4spdidOS3F5g==" saltValue="pl7++sWzrTywYRGPP/cRBQ==" spinCount="100000" sheet="1" objects="1" scenarios="1"/>
  <mergeCells count="18">
    <mergeCell ref="K3:K4"/>
    <mergeCell ref="B3:C4"/>
    <mergeCell ref="D3:D4"/>
    <mergeCell ref="E3:E4"/>
    <mergeCell ref="F3:G3"/>
    <mergeCell ref="H3:I3"/>
    <mergeCell ref="C43:I43"/>
    <mergeCell ref="N6:O6"/>
    <mergeCell ref="B22:C22"/>
    <mergeCell ref="C34:I34"/>
    <mergeCell ref="C35:I35"/>
    <mergeCell ref="C36:I36"/>
    <mergeCell ref="C37:I37"/>
    <mergeCell ref="C38:I38"/>
    <mergeCell ref="C39:I39"/>
    <mergeCell ref="C40:I40"/>
    <mergeCell ref="C41:I41"/>
    <mergeCell ref="C42:I42"/>
  </mergeCells>
  <conditionalFormatting sqref="K8:K10">
    <cfRule type="cellIs" dxfId="37" priority="3" operator="equal">
      <formula>0</formula>
    </cfRule>
  </conditionalFormatting>
  <conditionalFormatting sqref="K12:K22">
    <cfRule type="cellIs" dxfId="36" priority="2" operator="equal">
      <formula>0</formula>
    </cfRule>
  </conditionalFormatting>
  <printOptions horizontalCentered="1"/>
  <pageMargins left="0.39370078740157483" right="0.39370078740157483" top="0.78740157480314965" bottom="0.78740157480314965" header="0.31496062992125984" footer="0.31496062992125984"/>
  <pageSetup paperSize="8" scale="97"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29" id="{069CDA95-99D4-460C-855E-4E01C39F5461}">
            <xm:f>Validation!$H$3=1</xm:f>
            <x14:dxf>
              <fill>
                <patternFill>
                  <bgColor rgb="FFE0DCD8"/>
                </patternFill>
              </fill>
            </x14:dxf>
          </x14:cfRule>
          <xm:sqref>F9:G10 G18:G19</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Q62"/>
  <sheetViews>
    <sheetView showGridLines="0" zoomScaleNormal="100" workbookViewId="0">
      <selection activeCell="C28" sqref="C28"/>
    </sheetView>
  </sheetViews>
  <sheetFormatPr defaultColWidth="0" defaultRowHeight="14.25" zeroHeight="1" x14ac:dyDescent="0.2"/>
  <cols>
    <col min="1" max="1" width="2.375" style="99" customWidth="1"/>
    <col min="2" max="2" width="4.125" style="99" customWidth="1"/>
    <col min="3" max="3" width="33.5" style="99" customWidth="1"/>
    <col min="4" max="5" width="5.625" style="99" customWidth="1"/>
    <col min="6" max="9" width="11.125" style="99" customWidth="1"/>
    <col min="10" max="10" width="2.625" style="95" customWidth="1"/>
    <col min="11" max="11" width="18.875" style="95" bestFit="1" customWidth="1"/>
    <col min="12" max="12" width="1.625" style="95" customWidth="1"/>
    <col min="13" max="13" width="1.625" style="96" hidden="1" customWidth="1"/>
    <col min="14" max="15" width="8.625" style="95" hidden="1" customWidth="1"/>
    <col min="16" max="16" width="1.625" style="96" hidden="1" customWidth="1"/>
    <col min="17" max="17" width="8.875" style="95" hidden="1" customWidth="1"/>
    <col min="18" max="16384" width="8" style="99" hidden="1"/>
  </cols>
  <sheetData>
    <row r="1" spans="2:15" ht="20.25" x14ac:dyDescent="0.2">
      <c r="B1" s="91" t="s">
        <v>593</v>
      </c>
      <c r="C1" s="91"/>
      <c r="D1" s="91"/>
      <c r="E1" s="91"/>
      <c r="F1" s="91"/>
      <c r="G1" s="91"/>
      <c r="H1" s="91"/>
      <c r="I1" s="93" t="str">
        <f>Validation!B3</f>
        <v>Yorkshire Water</v>
      </c>
      <c r="J1" s="91"/>
      <c r="K1" s="94" t="s">
        <v>62</v>
      </c>
    </row>
    <row r="2" spans="2:15" ht="15" thickBot="1" x14ac:dyDescent="0.25">
      <c r="B2" s="98" t="s">
        <v>48</v>
      </c>
      <c r="C2" s="296"/>
      <c r="I2" s="297"/>
    </row>
    <row r="3" spans="2:15" ht="18.95" customHeight="1" thickBot="1" x14ac:dyDescent="0.25">
      <c r="B3" s="752" t="s">
        <v>63</v>
      </c>
      <c r="C3" s="753"/>
      <c r="D3" s="753" t="s">
        <v>64</v>
      </c>
      <c r="E3" s="837" t="s">
        <v>65</v>
      </c>
      <c r="F3" s="758" t="s">
        <v>404</v>
      </c>
      <c r="G3" s="759"/>
      <c r="H3" s="835" t="s">
        <v>594</v>
      </c>
      <c r="I3" s="836"/>
      <c r="K3" s="216" t="s">
        <v>69</v>
      </c>
    </row>
    <row r="4" spans="2:15" ht="15" thickBot="1" x14ac:dyDescent="0.25">
      <c r="B4" s="754"/>
      <c r="C4" s="755"/>
      <c r="D4" s="755"/>
      <c r="E4" s="838"/>
      <c r="F4" s="298" t="s">
        <v>281</v>
      </c>
      <c r="G4" s="299" t="s">
        <v>282</v>
      </c>
      <c r="H4" s="300" t="s">
        <v>281</v>
      </c>
      <c r="I4" s="301" t="s">
        <v>282</v>
      </c>
    </row>
    <row r="5" spans="2:15" ht="15" thickBot="1" x14ac:dyDescent="0.25"/>
    <row r="6" spans="2:15" ht="15" thickBot="1" x14ac:dyDescent="0.25">
      <c r="B6" s="302" t="s">
        <v>124</v>
      </c>
      <c r="C6" s="32" t="s">
        <v>595</v>
      </c>
    </row>
    <row r="7" spans="2:15" ht="15" thickBot="1" x14ac:dyDescent="0.25">
      <c r="B7" s="303">
        <v>1</v>
      </c>
      <c r="C7" s="304" t="s">
        <v>596</v>
      </c>
      <c r="D7" s="305" t="s">
        <v>76</v>
      </c>
      <c r="E7" s="306">
        <v>3</v>
      </c>
      <c r="F7" s="158">
        <f>+F14-F13</f>
        <v>270.65800000000002</v>
      </c>
      <c r="G7" s="160">
        <f t="shared" ref="G7:I7" si="0">+G14-G13</f>
        <v>311.13</v>
      </c>
      <c r="H7" s="307">
        <f t="shared" si="0"/>
        <v>0</v>
      </c>
      <c r="I7" s="308">
        <f t="shared" si="0"/>
        <v>0</v>
      </c>
    </row>
    <row r="8" spans="2:15" ht="15" thickBot="1" x14ac:dyDescent="0.25">
      <c r="B8" s="177"/>
      <c r="C8" s="177"/>
      <c r="D8" s="309"/>
      <c r="E8" s="310"/>
      <c r="F8" s="311"/>
      <c r="G8" s="311"/>
      <c r="H8" s="311"/>
      <c r="I8" s="311"/>
      <c r="N8" s="702" t="s">
        <v>73</v>
      </c>
      <c r="O8" s="702"/>
    </row>
    <row r="9" spans="2:15" ht="15" thickBot="1" x14ac:dyDescent="0.25">
      <c r="B9" s="302" t="s">
        <v>133</v>
      </c>
      <c r="C9" s="32" t="s">
        <v>597</v>
      </c>
      <c r="D9" s="312"/>
      <c r="E9" s="312"/>
      <c r="F9" s="162"/>
      <c r="G9" s="162"/>
      <c r="H9" s="162"/>
      <c r="I9" s="162"/>
      <c r="K9" s="256"/>
      <c r="N9" s="112" t="s">
        <v>74</v>
      </c>
      <c r="O9" s="147"/>
    </row>
    <row r="10" spans="2:15" x14ac:dyDescent="0.2">
      <c r="B10" s="313">
        <v>2</v>
      </c>
      <c r="C10" s="314" t="s">
        <v>322</v>
      </c>
      <c r="D10" s="315" t="s">
        <v>76</v>
      </c>
      <c r="E10" s="316">
        <v>3</v>
      </c>
      <c r="F10" s="42">
        <v>7.5089999999999995</v>
      </c>
      <c r="G10" s="44">
        <v>9.7860000000000014</v>
      </c>
      <c r="H10" s="317"/>
      <c r="I10" s="318"/>
      <c r="K10" s="29">
        <f xml:space="preserve"> IF( SUM( M10:P10 ) = 0, 0, $N$9 )</f>
        <v>0</v>
      </c>
      <c r="N10" s="120">
        <f xml:space="preserve"> IF( ISNUMBER( F10 ), 0, 1 )</f>
        <v>0</v>
      </c>
      <c r="O10" s="120">
        <f>IF(Validation!$H$3=1,0,IF(ISNUMBER(G10),0,1))</f>
        <v>0</v>
      </c>
    </row>
    <row r="11" spans="2:15" x14ac:dyDescent="0.2">
      <c r="B11" s="319">
        <v>3</v>
      </c>
      <c r="C11" s="320" t="s">
        <v>598</v>
      </c>
      <c r="D11" s="321" t="s">
        <v>76</v>
      </c>
      <c r="E11" s="322">
        <v>3</v>
      </c>
      <c r="F11" s="48">
        <v>1.6279999999999999</v>
      </c>
      <c r="G11" s="50">
        <v>2E-3</v>
      </c>
      <c r="H11" s="323"/>
      <c r="I11" s="324"/>
      <c r="K11" s="29">
        <f xml:space="preserve"> IF( SUM( M11:P11 ) = 0, 0, $N$9 )</f>
        <v>0</v>
      </c>
      <c r="N11" s="120">
        <f t="shared" ref="N11:N12" si="1" xml:space="preserve"> IF( ISNUMBER( F11 ), 0, 1 )</f>
        <v>0</v>
      </c>
      <c r="O11" s="120">
        <f>IF(Validation!$H$3=1,0,IF(ISNUMBER(G11),0,1))</f>
        <v>0</v>
      </c>
    </row>
    <row r="12" spans="2:15" x14ac:dyDescent="0.2">
      <c r="B12" s="319">
        <v>4</v>
      </c>
      <c r="C12" s="320" t="s">
        <v>599</v>
      </c>
      <c r="D12" s="321" t="s">
        <v>76</v>
      </c>
      <c r="E12" s="322">
        <v>3</v>
      </c>
      <c r="F12" s="48">
        <v>0</v>
      </c>
      <c r="G12" s="50">
        <v>0</v>
      </c>
      <c r="H12" s="325"/>
      <c r="I12" s="326"/>
      <c r="K12" s="29">
        <f t="shared" ref="K12" si="2" xml:space="preserve"> IF( SUM( M12:P12 ) = 0, 0, $N$9 )</f>
        <v>0</v>
      </c>
      <c r="N12" s="120">
        <f t="shared" si="1"/>
        <v>0</v>
      </c>
      <c r="O12" s="120">
        <f>IF(Validation!$H$3=1,0,IF(ISNUMBER(G12),0,1))</f>
        <v>0</v>
      </c>
    </row>
    <row r="13" spans="2:15" x14ac:dyDescent="0.2">
      <c r="B13" s="319">
        <v>5</v>
      </c>
      <c r="C13" s="320" t="s">
        <v>600</v>
      </c>
      <c r="D13" s="321" t="s">
        <v>76</v>
      </c>
      <c r="E13" s="322">
        <v>3</v>
      </c>
      <c r="F13" s="124">
        <f>SUM(F10:F12)</f>
        <v>9.1369999999999987</v>
      </c>
      <c r="G13" s="327">
        <f t="shared" ref="G13:I13" si="3">SUM(G10:G12)</f>
        <v>9.788000000000002</v>
      </c>
      <c r="H13" s="328">
        <f t="shared" si="3"/>
        <v>0</v>
      </c>
      <c r="I13" s="329">
        <f t="shared" si="3"/>
        <v>0</v>
      </c>
      <c r="K13" s="256"/>
      <c r="N13" s="147"/>
      <c r="O13" s="147"/>
    </row>
    <row r="14" spans="2:15" x14ac:dyDescent="0.2">
      <c r="B14" s="319">
        <v>6</v>
      </c>
      <c r="C14" s="320" t="s">
        <v>595</v>
      </c>
      <c r="D14" s="321" t="s">
        <v>76</v>
      </c>
      <c r="E14" s="322">
        <v>3</v>
      </c>
      <c r="F14" s="330">
        <f>'2B'!F33</f>
        <v>279.79500000000002</v>
      </c>
      <c r="G14" s="331">
        <f>'2B'!G33</f>
        <v>320.91800000000001</v>
      </c>
      <c r="H14" s="325"/>
      <c r="I14" s="326"/>
      <c r="K14" s="256"/>
      <c r="N14" s="332"/>
      <c r="O14" s="137"/>
    </row>
    <row r="15" spans="2:15" x14ac:dyDescent="0.2">
      <c r="B15" s="319">
        <v>7</v>
      </c>
      <c r="C15" s="320" t="s">
        <v>601</v>
      </c>
      <c r="D15" s="321" t="s">
        <v>76</v>
      </c>
      <c r="E15" s="322">
        <v>3</v>
      </c>
      <c r="F15" s="583">
        <v>263.87799999999999</v>
      </c>
      <c r="G15" s="584">
        <v>302.66199999999998</v>
      </c>
      <c r="H15" s="325"/>
      <c r="I15" s="326"/>
      <c r="K15" s="29">
        <f xml:space="preserve"> IF( SUM( M15:P15 ) = 0, 0, $N$9 )</f>
        <v>0</v>
      </c>
      <c r="N15" s="120">
        <f t="shared" ref="N15:N16" si="4" xml:space="preserve"> IF( ISNUMBER( F15 ), 0, 1 )</f>
        <v>0</v>
      </c>
      <c r="O15" s="120">
        <f>IF(Validation!$H$3=1,0,IF(ISNUMBER(G15),0,1))</f>
        <v>0</v>
      </c>
    </row>
    <row r="16" spans="2:15" ht="15" thickBot="1" x14ac:dyDescent="0.25">
      <c r="B16" s="333">
        <v>8</v>
      </c>
      <c r="C16" s="334" t="s">
        <v>602</v>
      </c>
      <c r="D16" s="335" t="s">
        <v>76</v>
      </c>
      <c r="E16" s="336">
        <v>3</v>
      </c>
      <c r="F16" s="585">
        <v>350.71699999999998</v>
      </c>
      <c r="G16" s="586">
        <v>393.822</v>
      </c>
      <c r="H16" s="337"/>
      <c r="I16" s="338"/>
      <c r="K16" s="29">
        <f xml:space="preserve"> IF( SUM( M16:P16 ) = 0, 0, $N$9 )</f>
        <v>0</v>
      </c>
      <c r="N16" s="120">
        <f t="shared" si="4"/>
        <v>0</v>
      </c>
      <c r="O16" s="120">
        <f>IF(Validation!$H$3=1,0,IF(ISNUMBER(G16),0,1))</f>
        <v>0</v>
      </c>
    </row>
    <row r="17" spans="1:17" s="95" customFormat="1" x14ac:dyDescent="0.2">
      <c r="D17" s="112"/>
      <c r="E17" s="112"/>
      <c r="G17" s="187"/>
      <c r="I17" s="150"/>
      <c r="K17" s="256"/>
      <c r="M17" s="96"/>
      <c r="N17" s="332"/>
      <c r="O17" s="137"/>
      <c r="P17" s="96"/>
    </row>
    <row r="18" spans="1:17" s="187" customFormat="1" x14ac:dyDescent="0.2">
      <c r="B18" s="703" t="s">
        <v>90</v>
      </c>
      <c r="C18" s="703"/>
      <c r="I18" s="150"/>
      <c r="J18" s="95"/>
      <c r="K18" s="95"/>
      <c r="L18" s="95"/>
      <c r="M18" s="96"/>
      <c r="N18" s="147"/>
      <c r="O18" s="147"/>
      <c r="P18" s="96"/>
      <c r="Q18" s="95"/>
    </row>
    <row r="19" spans="1:17" s="187" customFormat="1" x14ac:dyDescent="0.2">
      <c r="B19" s="162"/>
      <c r="C19" s="163"/>
      <c r="I19" s="150"/>
      <c r="J19" s="95"/>
      <c r="K19" s="95"/>
      <c r="L19" s="95"/>
      <c r="M19" s="96"/>
      <c r="N19" s="147"/>
      <c r="O19" s="147"/>
      <c r="P19" s="96"/>
      <c r="Q19" s="95"/>
    </row>
    <row r="20" spans="1:17" s="187" customFormat="1" x14ac:dyDescent="0.2">
      <c r="B20" s="30"/>
      <c r="C20" s="164" t="s">
        <v>91</v>
      </c>
      <c r="I20" s="150"/>
      <c r="J20" s="95"/>
      <c r="K20" s="95"/>
      <c r="L20" s="95"/>
      <c r="M20" s="96"/>
      <c r="N20" s="147"/>
      <c r="O20" s="147"/>
      <c r="P20" s="96"/>
      <c r="Q20" s="95"/>
    </row>
    <row r="21" spans="1:17" s="187" customFormat="1" x14ac:dyDescent="0.2">
      <c r="B21" s="162"/>
      <c r="C21" s="163"/>
      <c r="I21" s="150"/>
      <c r="J21" s="95"/>
      <c r="K21" s="95"/>
      <c r="L21" s="95"/>
      <c r="M21" s="96"/>
      <c r="N21" s="332"/>
      <c r="O21" s="137"/>
      <c r="P21" s="96"/>
      <c r="Q21" s="95"/>
    </row>
    <row r="22" spans="1:17" s="187" customFormat="1" x14ac:dyDescent="0.2">
      <c r="B22" s="165"/>
      <c r="C22" s="164" t="s">
        <v>92</v>
      </c>
      <c r="I22" s="150"/>
      <c r="J22" s="95"/>
      <c r="K22" s="95"/>
      <c r="L22" s="95"/>
      <c r="M22" s="96"/>
      <c r="N22" s="332"/>
      <c r="O22" s="137"/>
      <c r="P22" s="96"/>
      <c r="Q22" s="95"/>
    </row>
    <row r="23" spans="1:17" s="187" customFormat="1" x14ac:dyDescent="0.2">
      <c r="B23" s="166"/>
      <c r="C23" s="164"/>
      <c r="I23" s="150"/>
      <c r="J23" s="144"/>
      <c r="K23" s="146"/>
      <c r="L23" s="144"/>
      <c r="M23" s="148"/>
      <c r="N23" s="332"/>
      <c r="O23" s="137"/>
      <c r="P23" s="148"/>
      <c r="Q23" s="137"/>
    </row>
    <row r="24" spans="1:17" s="187" customFormat="1" ht="12" x14ac:dyDescent="0.2">
      <c r="B24" s="167"/>
      <c r="C24" s="164" t="s">
        <v>93</v>
      </c>
      <c r="I24" s="150"/>
      <c r="J24" s="150"/>
      <c r="K24" s="150"/>
      <c r="L24" s="150"/>
      <c r="M24" s="145"/>
      <c r="N24" s="232"/>
      <c r="P24" s="145"/>
    </row>
    <row r="25" spans="1:17" s="206" customFormat="1" ht="12.75" x14ac:dyDescent="0.2">
      <c r="A25" s="172"/>
      <c r="B25" s="172"/>
      <c r="C25" s="173"/>
      <c r="I25" s="153"/>
      <c r="J25" s="150"/>
      <c r="K25" s="150"/>
      <c r="L25" s="150"/>
      <c r="M25" s="145"/>
      <c r="N25" s="232"/>
      <c r="O25" s="187"/>
      <c r="P25" s="145"/>
      <c r="Q25" s="187"/>
    </row>
    <row r="26" spans="1:17" s="206" customFormat="1" ht="13.5" thickBot="1" x14ac:dyDescent="0.25">
      <c r="C26" s="207"/>
      <c r="I26" s="153"/>
      <c r="J26" s="150"/>
      <c r="K26" s="150"/>
      <c r="L26" s="150"/>
      <c r="M26" s="145"/>
      <c r="N26" s="232"/>
      <c r="O26" s="187"/>
      <c r="P26" s="145"/>
      <c r="Q26" s="187"/>
    </row>
    <row r="27" spans="1:17" s="137" customFormat="1" ht="16.5" thickBot="1" x14ac:dyDescent="0.25">
      <c r="B27" s="168" t="str">
        <f ca="1" xml:space="preserve"> RIGHT(CELL("filename", $A$1), LEN(CELL("filename", $A$1)) - SEARCH("]", CELL("filename", $A$1)))&amp;" - Line definitions"</f>
        <v>4B - Line definitions</v>
      </c>
      <c r="C27" s="169"/>
      <c r="D27" s="170"/>
      <c r="E27" s="170"/>
      <c r="F27" s="170"/>
      <c r="G27" s="170"/>
      <c r="H27" s="170"/>
      <c r="I27" s="288"/>
      <c r="J27" s="150"/>
      <c r="K27" s="150"/>
      <c r="L27" s="150"/>
      <c r="M27" s="145"/>
      <c r="N27" s="232"/>
      <c r="O27" s="187"/>
      <c r="P27" s="145"/>
      <c r="Q27" s="187"/>
    </row>
    <row r="28" spans="1:17" s="137" customFormat="1" ht="15" thickBot="1" x14ac:dyDescent="0.25">
      <c r="B28" s="99"/>
      <c r="C28" s="177"/>
      <c r="D28" s="99"/>
      <c r="E28" s="99"/>
      <c r="F28" s="99"/>
      <c r="I28" s="144"/>
      <c r="J28" s="150"/>
      <c r="K28" s="150"/>
      <c r="L28" s="150"/>
      <c r="M28" s="145"/>
      <c r="N28" s="232"/>
      <c r="O28" s="187"/>
      <c r="P28" s="145"/>
      <c r="Q28" s="187"/>
    </row>
    <row r="29" spans="1:17" s="206" customFormat="1" thickBot="1" x14ac:dyDescent="0.25">
      <c r="B29" s="339" t="s">
        <v>94</v>
      </c>
      <c r="C29" s="340" t="s">
        <v>95</v>
      </c>
      <c r="D29" s="180"/>
      <c r="E29" s="180"/>
      <c r="F29" s="180"/>
      <c r="G29" s="180"/>
      <c r="H29" s="180"/>
      <c r="I29" s="341"/>
      <c r="J29" s="150"/>
      <c r="K29" s="150"/>
      <c r="L29" s="150"/>
      <c r="M29" s="145"/>
      <c r="N29" s="112" t="s">
        <v>96</v>
      </c>
      <c r="O29" s="187"/>
      <c r="P29" s="145"/>
      <c r="Q29" s="187"/>
    </row>
    <row r="30" spans="1:17" s="137" customFormat="1" x14ac:dyDescent="0.2">
      <c r="B30" s="342">
        <v>1</v>
      </c>
      <c r="C30" s="773" t="s">
        <v>603</v>
      </c>
      <c r="D30" s="774"/>
      <c r="E30" s="774"/>
      <c r="F30" s="774"/>
      <c r="G30" s="774"/>
      <c r="H30" s="774"/>
      <c r="I30" s="775"/>
      <c r="J30" s="150"/>
      <c r="K30" s="150"/>
      <c r="L30" s="150"/>
      <c r="M30" s="145"/>
      <c r="N30" s="186">
        <v>1</v>
      </c>
      <c r="O30" s="187"/>
      <c r="P30" s="145"/>
      <c r="Q30" s="187"/>
    </row>
    <row r="31" spans="1:17" s="137" customFormat="1" x14ac:dyDescent="0.2">
      <c r="B31" s="343">
        <v>2</v>
      </c>
      <c r="C31" s="768" t="s">
        <v>343</v>
      </c>
      <c r="D31" s="769"/>
      <c r="E31" s="769"/>
      <c r="F31" s="769"/>
      <c r="G31" s="769"/>
      <c r="H31" s="769"/>
      <c r="I31" s="770"/>
      <c r="J31" s="150"/>
      <c r="K31" s="150"/>
      <c r="L31" s="150"/>
      <c r="M31" s="145"/>
      <c r="N31" s="186">
        <v>1</v>
      </c>
      <c r="O31" s="206"/>
      <c r="P31" s="145"/>
      <c r="Q31" s="206"/>
    </row>
    <row r="32" spans="1:17" s="137" customFormat="1" x14ac:dyDescent="0.2">
      <c r="B32" s="343">
        <v>3</v>
      </c>
      <c r="C32" s="768" t="s">
        <v>604</v>
      </c>
      <c r="D32" s="769"/>
      <c r="E32" s="769"/>
      <c r="F32" s="769"/>
      <c r="G32" s="769"/>
      <c r="H32" s="769"/>
      <c r="I32" s="770"/>
      <c r="J32" s="150"/>
      <c r="K32" s="150"/>
      <c r="L32" s="150"/>
      <c r="M32" s="145"/>
      <c r="N32" s="186">
        <v>1</v>
      </c>
      <c r="O32" s="206"/>
      <c r="P32" s="145"/>
      <c r="Q32" s="206"/>
    </row>
    <row r="33" spans="2:17" s="137" customFormat="1" x14ac:dyDescent="0.2">
      <c r="B33" s="343">
        <v>4</v>
      </c>
      <c r="C33" s="768" t="s">
        <v>605</v>
      </c>
      <c r="D33" s="769"/>
      <c r="E33" s="769"/>
      <c r="F33" s="769"/>
      <c r="G33" s="769"/>
      <c r="H33" s="769"/>
      <c r="I33" s="770"/>
      <c r="J33" s="150"/>
      <c r="K33" s="146"/>
      <c r="L33" s="144"/>
      <c r="M33" s="148"/>
      <c r="N33" s="186">
        <v>1</v>
      </c>
      <c r="P33" s="148"/>
    </row>
    <row r="34" spans="2:17" s="137" customFormat="1" x14ac:dyDescent="0.2">
      <c r="B34" s="343">
        <v>5</v>
      </c>
      <c r="C34" s="768" t="s">
        <v>606</v>
      </c>
      <c r="D34" s="769"/>
      <c r="E34" s="769"/>
      <c r="F34" s="769"/>
      <c r="G34" s="769"/>
      <c r="H34" s="769"/>
      <c r="I34" s="770"/>
      <c r="J34" s="150"/>
      <c r="K34" s="146"/>
      <c r="L34" s="144"/>
      <c r="M34" s="148"/>
      <c r="N34" s="186">
        <v>1</v>
      </c>
      <c r="P34" s="148"/>
    </row>
    <row r="35" spans="2:17" s="137" customFormat="1" x14ac:dyDescent="0.2">
      <c r="B35" s="343">
        <v>6</v>
      </c>
      <c r="C35" s="768" t="s">
        <v>607</v>
      </c>
      <c r="D35" s="769"/>
      <c r="E35" s="769"/>
      <c r="F35" s="769"/>
      <c r="G35" s="769"/>
      <c r="H35" s="769"/>
      <c r="I35" s="770"/>
      <c r="J35" s="150"/>
      <c r="K35" s="153"/>
      <c r="L35" s="144"/>
      <c r="M35" s="148"/>
      <c r="N35" s="186">
        <v>1</v>
      </c>
      <c r="O35" s="206"/>
      <c r="P35" s="148"/>
      <c r="Q35" s="206"/>
    </row>
    <row r="36" spans="2:17" s="137" customFormat="1" x14ac:dyDescent="0.2">
      <c r="B36" s="343">
        <v>7</v>
      </c>
      <c r="C36" s="768" t="s">
        <v>608</v>
      </c>
      <c r="D36" s="769"/>
      <c r="E36" s="769"/>
      <c r="F36" s="769"/>
      <c r="G36" s="769"/>
      <c r="H36" s="769"/>
      <c r="I36" s="770"/>
      <c r="J36" s="150"/>
      <c r="K36" s="146"/>
      <c r="L36" s="144"/>
      <c r="M36" s="148"/>
      <c r="N36" s="186">
        <v>1</v>
      </c>
      <c r="P36" s="148"/>
    </row>
    <row r="37" spans="2:17" s="137" customFormat="1" ht="26.25" thickBot="1" x14ac:dyDescent="0.25">
      <c r="B37" s="344">
        <v>9</v>
      </c>
      <c r="C37" s="765" t="s">
        <v>609</v>
      </c>
      <c r="D37" s="766"/>
      <c r="E37" s="766"/>
      <c r="F37" s="766"/>
      <c r="G37" s="766"/>
      <c r="H37" s="766"/>
      <c r="I37" s="767"/>
      <c r="J37" s="150"/>
      <c r="K37" s="146"/>
      <c r="L37" s="144"/>
      <c r="M37" s="148"/>
      <c r="N37" s="186" t="s">
        <v>101</v>
      </c>
      <c r="P37" s="148"/>
    </row>
    <row r="38" spans="2:17" x14ac:dyDescent="0.2">
      <c r="J38" s="153"/>
      <c r="K38" s="146"/>
      <c r="L38" s="144"/>
      <c r="M38" s="148"/>
      <c r="N38" s="345"/>
      <c r="O38" s="137"/>
      <c r="P38" s="148"/>
      <c r="Q38" s="137"/>
    </row>
    <row r="39" spans="2:17" hidden="1" x14ac:dyDescent="0.2">
      <c r="J39" s="153"/>
      <c r="K39" s="146"/>
      <c r="L39" s="144"/>
      <c r="M39" s="148"/>
      <c r="N39" s="345"/>
      <c r="O39" s="146"/>
      <c r="P39" s="148"/>
      <c r="Q39" s="146"/>
    </row>
    <row r="40" spans="2:17" hidden="1" x14ac:dyDescent="0.2">
      <c r="J40" s="153"/>
      <c r="K40" s="146"/>
      <c r="L40" s="144"/>
      <c r="M40" s="148"/>
      <c r="N40" s="137"/>
      <c r="O40" s="146"/>
      <c r="P40" s="148"/>
      <c r="Q40" s="146"/>
    </row>
    <row r="41" spans="2:17" hidden="1" x14ac:dyDescent="0.2">
      <c r="J41" s="153"/>
      <c r="K41" s="146"/>
      <c r="L41" s="144"/>
      <c r="M41" s="148"/>
      <c r="N41" s="137"/>
      <c r="O41" s="146"/>
      <c r="P41" s="148"/>
      <c r="Q41" s="146"/>
    </row>
    <row r="42" spans="2:17" hidden="1" x14ac:dyDescent="0.2">
      <c r="J42" s="153"/>
      <c r="N42" s="137"/>
    </row>
    <row r="43" spans="2:17" hidden="1" x14ac:dyDescent="0.2">
      <c r="J43" s="153"/>
      <c r="N43" s="137"/>
    </row>
    <row r="44" spans="2:17" hidden="1" x14ac:dyDescent="0.2">
      <c r="J44" s="153"/>
      <c r="N44" s="137"/>
    </row>
    <row r="45" spans="2:17" hidden="1" x14ac:dyDescent="0.2">
      <c r="J45" s="153"/>
      <c r="N45" s="137"/>
    </row>
    <row r="46" spans="2:17" hidden="1" x14ac:dyDescent="0.2">
      <c r="J46" s="153"/>
      <c r="N46" s="137"/>
    </row>
    <row r="47" spans="2:17" hidden="1" x14ac:dyDescent="0.2">
      <c r="J47" s="153"/>
      <c r="N47" s="137"/>
    </row>
    <row r="48" spans="2:17" hidden="1" x14ac:dyDescent="0.2">
      <c r="J48" s="153"/>
      <c r="N48" s="137"/>
    </row>
    <row r="49" spans="10:14" hidden="1" x14ac:dyDescent="0.2">
      <c r="J49" s="153"/>
      <c r="N49" s="137"/>
    </row>
    <row r="50" spans="10:14" hidden="1" x14ac:dyDescent="0.2">
      <c r="J50" s="153"/>
      <c r="N50" s="137"/>
    </row>
    <row r="51" spans="10:14" hidden="1" x14ac:dyDescent="0.2">
      <c r="J51" s="153"/>
      <c r="N51" s="137"/>
    </row>
    <row r="52" spans="10:14" hidden="1" x14ac:dyDescent="0.2">
      <c r="J52" s="153"/>
      <c r="N52" s="137"/>
    </row>
    <row r="53" spans="10:14" hidden="1" x14ac:dyDescent="0.2">
      <c r="J53" s="153"/>
      <c r="N53" s="137"/>
    </row>
    <row r="54" spans="10:14" hidden="1" x14ac:dyDescent="0.2">
      <c r="J54" s="153"/>
      <c r="N54" s="137"/>
    </row>
    <row r="55" spans="10:14" hidden="1" x14ac:dyDescent="0.2">
      <c r="J55" s="153"/>
      <c r="N55" s="137"/>
    </row>
    <row r="56" spans="10:14" hidden="1" x14ac:dyDescent="0.2">
      <c r="J56" s="153"/>
      <c r="N56" s="137"/>
    </row>
    <row r="57" spans="10:14" hidden="1" x14ac:dyDescent="0.2">
      <c r="J57" s="153"/>
      <c r="N57" s="137"/>
    </row>
    <row r="58" spans="10:14" hidden="1" x14ac:dyDescent="0.2">
      <c r="J58" s="153"/>
      <c r="N58" s="137"/>
    </row>
    <row r="59" spans="10:14" hidden="1" x14ac:dyDescent="0.2">
      <c r="J59" s="153"/>
      <c r="N59" s="137"/>
    </row>
    <row r="60" spans="10:14" hidden="1" x14ac:dyDescent="0.2">
      <c r="J60" s="153"/>
      <c r="N60" s="137"/>
    </row>
    <row r="61" spans="10:14" hidden="1" x14ac:dyDescent="0.2">
      <c r="N61" s="137"/>
    </row>
    <row r="62" spans="10:14" hidden="1" x14ac:dyDescent="0.2">
      <c r="N62" s="137"/>
    </row>
  </sheetData>
  <sheetProtection algorithmName="SHA-512" hashValue="7cnEzn6UlGaJ/4MIIknVjlN4g5k5+glPX6acPlbJ/aQL36xaX/G1BUE0Zi8BQjBYdnmPsp6GLhMYLkYxRUx1Rg==" saltValue="Oi5WgVL9cMZ6887nK4knQQ==" spinCount="100000" sheet="1" objects="1" scenarios="1"/>
  <mergeCells count="15">
    <mergeCell ref="N8:O8"/>
    <mergeCell ref="B3:C4"/>
    <mergeCell ref="D3:D4"/>
    <mergeCell ref="E3:E4"/>
    <mergeCell ref="F3:G3"/>
    <mergeCell ref="H3:I3"/>
    <mergeCell ref="C35:I35"/>
    <mergeCell ref="C36:I36"/>
    <mergeCell ref="C37:I37"/>
    <mergeCell ref="B18:C18"/>
    <mergeCell ref="C30:I30"/>
    <mergeCell ref="C31:I31"/>
    <mergeCell ref="C32:I32"/>
    <mergeCell ref="C33:I33"/>
    <mergeCell ref="C34:I34"/>
  </mergeCells>
  <conditionalFormatting sqref="K10:K12">
    <cfRule type="cellIs" dxfId="34" priority="3" operator="equal">
      <formula>0</formula>
    </cfRule>
  </conditionalFormatting>
  <conditionalFormatting sqref="K15:K16">
    <cfRule type="cellIs" dxfId="33" priority="2" operator="equal">
      <formula>0</formula>
    </cfRule>
  </conditionalFormatting>
  <printOptions horizontalCentered="1"/>
  <pageMargins left="0.39370078740157483" right="0.39370078740157483" top="0.78740157480314965" bottom="0.78740157480314965" header="0.31496062992125984" footer="0.31496062992125984"/>
  <pageSetup paperSize="8"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31" id="{820134EA-54B1-4B93-AAEC-24C3DE1880B4}">
            <xm:f>Validation!$H$3=1</xm:f>
            <x14:dxf>
              <fill>
                <patternFill>
                  <bgColor rgb="FFE0DCD8"/>
                </patternFill>
              </fill>
            </x14:dxf>
          </x14:cfRule>
          <xm:sqref>G10:G16</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L62"/>
  <sheetViews>
    <sheetView showGridLines="0" zoomScaleNormal="100" workbookViewId="0">
      <selection activeCell="C28" sqref="C28"/>
    </sheetView>
  </sheetViews>
  <sheetFormatPr defaultColWidth="0" defaultRowHeight="14.25" zeroHeight="1" x14ac:dyDescent="0.2"/>
  <cols>
    <col min="1" max="1" width="2.5" customWidth="1"/>
    <col min="2" max="2" width="4.125" customWidth="1"/>
    <col min="3" max="3" width="60.375" customWidth="1"/>
    <col min="4" max="5" width="5.125" customWidth="1"/>
    <col min="6" max="6" width="14.625" customWidth="1"/>
    <col min="7" max="7" width="2.625" style="95" customWidth="1"/>
    <col min="8" max="8" width="18.875" style="95" bestFit="1" customWidth="1"/>
    <col min="9" max="9" width="1.625" style="95" customWidth="1"/>
    <col min="10" max="10" width="1.625" style="96" hidden="1" customWidth="1"/>
    <col min="11" max="11" width="19.375" style="95" hidden="1" customWidth="1"/>
    <col min="12" max="12" width="1.625" style="96" hidden="1" customWidth="1"/>
    <col min="13" max="16384" width="8.75" hidden="1"/>
  </cols>
  <sheetData>
    <row r="1" spans="2:11" ht="20.25" x14ac:dyDescent="0.2">
      <c r="B1" s="91" t="s">
        <v>610</v>
      </c>
      <c r="C1" s="91"/>
      <c r="D1" s="91"/>
      <c r="E1" s="91"/>
      <c r="F1" s="93" t="str">
        <f>Validation!B3</f>
        <v>Yorkshire Water</v>
      </c>
      <c r="G1" s="91"/>
      <c r="H1" s="94" t="s">
        <v>62</v>
      </c>
    </row>
    <row r="2" spans="2:11" ht="15" thickBot="1" x14ac:dyDescent="0.25">
      <c r="B2" s="98" t="s">
        <v>48</v>
      </c>
      <c r="C2" s="95"/>
      <c r="D2" s="95"/>
      <c r="E2" s="95"/>
      <c r="F2" s="95"/>
    </row>
    <row r="3" spans="2:11" ht="14.45" customHeight="1" x14ac:dyDescent="0.2">
      <c r="B3" s="708" t="s">
        <v>63</v>
      </c>
      <c r="C3" s="709"/>
      <c r="D3" s="712" t="s">
        <v>64</v>
      </c>
      <c r="E3" s="714" t="s">
        <v>65</v>
      </c>
      <c r="F3" s="731" t="s">
        <v>404</v>
      </c>
      <c r="H3" s="699" t="s">
        <v>69</v>
      </c>
    </row>
    <row r="4" spans="2:11" ht="15" thickBot="1" x14ac:dyDescent="0.25">
      <c r="B4" s="710"/>
      <c r="C4" s="711"/>
      <c r="D4" s="713"/>
      <c r="E4" s="715"/>
      <c r="F4" s="732"/>
      <c r="H4" s="701"/>
      <c r="K4" s="103" t="s">
        <v>73</v>
      </c>
    </row>
    <row r="5" spans="2:11" ht="15" thickBot="1" x14ac:dyDescent="0.25">
      <c r="B5" s="95"/>
      <c r="C5" s="95"/>
      <c r="D5" s="95"/>
      <c r="E5" s="95"/>
      <c r="F5" s="95"/>
      <c r="H5" s="294"/>
      <c r="K5" s="112" t="s">
        <v>74</v>
      </c>
    </row>
    <row r="6" spans="2:11" x14ac:dyDescent="0.2">
      <c r="B6" s="113">
        <v>1</v>
      </c>
      <c r="C6" s="143" t="s">
        <v>611</v>
      </c>
      <c r="D6" s="115" t="s">
        <v>76</v>
      </c>
      <c r="E6" s="116">
        <v>3</v>
      </c>
      <c r="F6" s="582">
        <v>5832.9620000000004</v>
      </c>
      <c r="H6" s="29">
        <f xml:space="preserve"> IF( SUM( J6:L6 ) = 0, 0, $K$5 )</f>
        <v>0</v>
      </c>
      <c r="K6" s="120">
        <f xml:space="preserve"> IF( ISNUMBER( F6 ), 0, 1 )</f>
        <v>0</v>
      </c>
    </row>
    <row r="7" spans="2:11" x14ac:dyDescent="0.2">
      <c r="B7" s="121">
        <f xml:space="preserve"> B6 + 1</f>
        <v>2</v>
      </c>
      <c r="C7" s="114" t="s">
        <v>612</v>
      </c>
      <c r="D7" s="122" t="s">
        <v>76</v>
      </c>
      <c r="E7" s="123">
        <v>3</v>
      </c>
      <c r="F7" s="562">
        <v>-92.182000000000002</v>
      </c>
      <c r="H7" s="29">
        <f xml:space="preserve"> IF( SUM( J7:L7 ) = 0, 0, $K$5 )</f>
        <v>0</v>
      </c>
      <c r="K7" s="120">
        <f t="shared" ref="K7:K8" si="0" xml:space="preserve"> IF( ISNUMBER( F7 ), 0, 1 )</f>
        <v>0</v>
      </c>
    </row>
    <row r="8" spans="2:11" ht="14.1" customHeight="1" x14ac:dyDescent="0.2">
      <c r="B8" s="121">
        <f xml:space="preserve"> B7 + 1</f>
        <v>3</v>
      </c>
      <c r="C8" s="114" t="s">
        <v>613</v>
      </c>
      <c r="D8" s="122" t="s">
        <v>76</v>
      </c>
      <c r="E8" s="123">
        <v>3</v>
      </c>
      <c r="F8" s="562">
        <v>0</v>
      </c>
      <c r="H8" s="29">
        <f xml:space="preserve"> IF( SUM( J8:L8 ) = 0, 0, $K$5 )</f>
        <v>0</v>
      </c>
      <c r="K8" s="120">
        <f t="shared" si="0"/>
        <v>0</v>
      </c>
    </row>
    <row r="9" spans="2:11" ht="15" thickBot="1" x14ac:dyDescent="0.25">
      <c r="B9" s="128">
        <f xml:space="preserve"> B8 + 1</f>
        <v>4</v>
      </c>
      <c r="C9" s="129" t="s">
        <v>614</v>
      </c>
      <c r="D9" s="130" t="s">
        <v>76</v>
      </c>
      <c r="E9" s="127">
        <v>3</v>
      </c>
      <c r="F9" s="230">
        <f xml:space="preserve"> SUM( F6:F8 )</f>
        <v>5740.7800000000007</v>
      </c>
      <c r="H9" s="256"/>
    </row>
    <row r="10" spans="2:11" x14ac:dyDescent="0.2"/>
    <row r="11" spans="2:11" x14ac:dyDescent="0.2">
      <c r="B11" s="703" t="s">
        <v>90</v>
      </c>
      <c r="C11" s="703"/>
      <c r="D11" s="187"/>
      <c r="E11" s="187"/>
      <c r="F11" s="187"/>
    </row>
    <row r="12" spans="2:11" x14ac:dyDescent="0.2">
      <c r="B12" s="162"/>
      <c r="C12" s="163"/>
      <c r="D12" s="187"/>
      <c r="E12" s="187"/>
      <c r="F12" s="187"/>
    </row>
    <row r="13" spans="2:11" x14ac:dyDescent="0.2">
      <c r="B13" s="30"/>
      <c r="C13" s="164" t="s">
        <v>91</v>
      </c>
      <c r="D13" s="187"/>
      <c r="E13" s="187"/>
      <c r="F13" s="187"/>
    </row>
    <row r="14" spans="2:11" x14ac:dyDescent="0.2">
      <c r="B14" s="162"/>
      <c r="C14" s="163"/>
      <c r="D14" s="187"/>
      <c r="E14" s="187"/>
      <c r="F14" s="187"/>
    </row>
    <row r="15" spans="2:11" x14ac:dyDescent="0.2">
      <c r="B15" s="165"/>
      <c r="C15" s="164" t="s">
        <v>92</v>
      </c>
      <c r="D15" s="187"/>
      <c r="E15" s="187"/>
      <c r="F15" s="187"/>
    </row>
    <row r="16" spans="2:11" x14ac:dyDescent="0.2">
      <c r="B16" s="166"/>
      <c r="C16" s="164"/>
      <c r="D16" s="187"/>
      <c r="E16" s="187"/>
      <c r="F16" s="187"/>
    </row>
    <row r="17" spans="2:12" x14ac:dyDescent="0.2">
      <c r="B17" s="167"/>
      <c r="C17" s="164" t="s">
        <v>93</v>
      </c>
      <c r="D17" s="187"/>
      <c r="E17" s="187"/>
      <c r="F17" s="187"/>
    </row>
    <row r="18" spans="2:12" x14ac:dyDescent="0.2">
      <c r="B18" s="172"/>
      <c r="C18" s="173"/>
      <c r="D18" s="206"/>
      <c r="E18" s="206"/>
      <c r="F18" s="206"/>
    </row>
    <row r="19" spans="2:12" ht="15" thickBot="1" x14ac:dyDescent="0.25">
      <c r="B19" s="206"/>
      <c r="C19" s="207"/>
      <c r="D19" s="206"/>
      <c r="E19" s="206"/>
      <c r="F19" s="206"/>
    </row>
    <row r="20" spans="2:12" ht="16.5" thickBot="1" x14ac:dyDescent="0.25">
      <c r="B20" s="168" t="str">
        <f ca="1" xml:space="preserve"> RIGHT(CELL("filename", $A$1), LEN(CELL("filename", $A$1)) - SEARCH("]", CELL("filename", $A$1)))&amp;" - Line definitions"</f>
        <v>4C - Line definitions</v>
      </c>
      <c r="C20" s="169"/>
      <c r="D20" s="170"/>
      <c r="E20" s="170"/>
      <c r="F20" s="288"/>
    </row>
    <row r="21" spans="2:12" ht="15" thickBot="1" x14ac:dyDescent="0.25">
      <c r="B21" s="99"/>
      <c r="C21" s="177"/>
      <c r="D21" s="99"/>
      <c r="E21" s="99"/>
      <c r="F21" s="99"/>
    </row>
    <row r="22" spans="2:12" ht="15" thickBot="1" x14ac:dyDescent="0.25">
      <c r="B22" s="178" t="s">
        <v>94</v>
      </c>
      <c r="C22" s="706" t="s">
        <v>95</v>
      </c>
      <c r="D22" s="706"/>
      <c r="E22" s="706"/>
      <c r="F22" s="707"/>
      <c r="K22" s="112" t="s">
        <v>96</v>
      </c>
    </row>
    <row r="23" spans="2:12" ht="25.5" x14ac:dyDescent="0.2">
      <c r="B23" s="209">
        <f>B6</f>
        <v>1</v>
      </c>
      <c r="C23" s="704" t="s">
        <v>615</v>
      </c>
      <c r="D23" s="704"/>
      <c r="E23" s="704"/>
      <c r="F23" s="705"/>
      <c r="G23" s="144"/>
      <c r="H23" s="146"/>
      <c r="I23" s="144"/>
      <c r="J23" s="148"/>
      <c r="K23" s="186" t="s">
        <v>101</v>
      </c>
      <c r="L23" s="148"/>
    </row>
    <row r="24" spans="2:12" ht="38.25" x14ac:dyDescent="0.2">
      <c r="B24" s="184">
        <f t="shared" ref="B24:B26" si="1">B7</f>
        <v>2</v>
      </c>
      <c r="C24" s="695" t="s">
        <v>616</v>
      </c>
      <c r="D24" s="695"/>
      <c r="E24" s="695"/>
      <c r="F24" s="696"/>
      <c r="G24" s="150"/>
      <c r="H24" s="150"/>
      <c r="I24" s="150"/>
      <c r="J24" s="145"/>
      <c r="K24" s="186" t="s">
        <v>98</v>
      </c>
      <c r="L24" s="145"/>
    </row>
    <row r="25" spans="2:12" ht="14.1" customHeight="1" x14ac:dyDescent="0.2">
      <c r="B25" s="184">
        <f t="shared" si="1"/>
        <v>3</v>
      </c>
      <c r="C25" s="695" t="s">
        <v>617</v>
      </c>
      <c r="D25" s="695"/>
      <c r="E25" s="695"/>
      <c r="F25" s="696"/>
      <c r="G25" s="150"/>
      <c r="H25" s="150"/>
      <c r="I25" s="150"/>
      <c r="J25" s="145"/>
      <c r="K25" s="186">
        <v>1</v>
      </c>
      <c r="L25" s="145"/>
    </row>
    <row r="26" spans="2:12" ht="14.1" customHeight="1" thickBot="1" x14ac:dyDescent="0.25">
      <c r="B26" s="211">
        <f t="shared" si="1"/>
        <v>4</v>
      </c>
      <c r="C26" s="697" t="s">
        <v>618</v>
      </c>
      <c r="D26" s="697"/>
      <c r="E26" s="697"/>
      <c r="F26" s="698"/>
      <c r="G26" s="150"/>
      <c r="H26" s="150"/>
      <c r="I26" s="150"/>
      <c r="J26" s="145"/>
      <c r="K26" s="186">
        <v>1</v>
      </c>
      <c r="L26" s="145"/>
    </row>
    <row r="27" spans="2:12" x14ac:dyDescent="0.2">
      <c r="G27" s="150"/>
      <c r="H27" s="150"/>
      <c r="I27" s="150"/>
      <c r="J27" s="145"/>
      <c r="K27" s="295"/>
      <c r="L27" s="145"/>
    </row>
    <row r="28" spans="2:12" hidden="1" x14ac:dyDescent="0.2">
      <c r="G28" s="150"/>
      <c r="H28" s="150"/>
      <c r="I28" s="150"/>
      <c r="J28" s="145"/>
      <c r="K28" s="295"/>
      <c r="L28" s="145"/>
    </row>
    <row r="29" spans="2:12" hidden="1" x14ac:dyDescent="0.2">
      <c r="G29" s="150"/>
      <c r="H29" s="150"/>
      <c r="I29" s="150"/>
      <c r="J29" s="145"/>
      <c r="K29" s="295"/>
      <c r="L29" s="145"/>
    </row>
    <row r="30" spans="2:12" hidden="1" x14ac:dyDescent="0.2">
      <c r="G30" s="150"/>
      <c r="H30" s="150"/>
      <c r="I30" s="150"/>
      <c r="J30" s="145"/>
      <c r="K30" s="232"/>
      <c r="L30" s="145"/>
    </row>
    <row r="31" spans="2:12" hidden="1" x14ac:dyDescent="0.2">
      <c r="G31" s="150"/>
      <c r="H31" s="150"/>
      <c r="I31" s="150"/>
      <c r="J31" s="145"/>
      <c r="K31" s="232"/>
      <c r="L31" s="145"/>
    </row>
    <row r="32" spans="2:12" hidden="1" x14ac:dyDescent="0.2">
      <c r="G32" s="150"/>
      <c r="H32" s="150"/>
      <c r="I32" s="150"/>
      <c r="J32" s="145"/>
      <c r="K32" s="232"/>
      <c r="L32" s="145"/>
    </row>
    <row r="33" spans="7:12" hidden="1" x14ac:dyDescent="0.2">
      <c r="G33" s="150"/>
      <c r="H33" s="146"/>
      <c r="I33" s="144"/>
      <c r="J33" s="148"/>
      <c r="K33" s="232"/>
      <c r="L33" s="148"/>
    </row>
    <row r="34" spans="7:12" hidden="1" x14ac:dyDescent="0.2">
      <c r="G34" s="150"/>
      <c r="H34" s="146"/>
      <c r="I34" s="144"/>
      <c r="J34" s="148"/>
      <c r="K34" s="232"/>
      <c r="L34" s="148"/>
    </row>
    <row r="35" spans="7:12" hidden="1" x14ac:dyDescent="0.2">
      <c r="G35" s="150"/>
      <c r="H35" s="153"/>
      <c r="I35" s="144"/>
      <c r="J35" s="148"/>
      <c r="K35" s="232"/>
      <c r="L35" s="148"/>
    </row>
    <row r="36" spans="7:12" hidden="1" x14ac:dyDescent="0.2">
      <c r="G36" s="150"/>
      <c r="H36" s="146"/>
      <c r="I36" s="144"/>
      <c r="J36" s="148"/>
      <c r="K36" s="232"/>
      <c r="L36" s="148"/>
    </row>
    <row r="37" spans="7:12" hidden="1" x14ac:dyDescent="0.2">
      <c r="G37" s="150"/>
      <c r="H37" s="146"/>
      <c r="I37" s="144"/>
      <c r="J37" s="148"/>
      <c r="K37" s="232"/>
      <c r="L37" s="148"/>
    </row>
    <row r="38" spans="7:12" hidden="1" x14ac:dyDescent="0.2">
      <c r="G38" s="153"/>
      <c r="H38" s="146"/>
      <c r="I38" s="144"/>
      <c r="J38" s="148"/>
      <c r="K38" s="232"/>
      <c r="L38" s="148"/>
    </row>
    <row r="39" spans="7:12" hidden="1" x14ac:dyDescent="0.2">
      <c r="G39" s="153"/>
      <c r="H39" s="146"/>
      <c r="I39" s="144"/>
      <c r="J39" s="148"/>
      <c r="K39" s="232"/>
      <c r="L39" s="148"/>
    </row>
    <row r="40" spans="7:12" hidden="1" x14ac:dyDescent="0.2">
      <c r="G40" s="153"/>
      <c r="H40" s="146"/>
      <c r="I40" s="144"/>
      <c r="J40" s="148"/>
      <c r="K40" s="232"/>
      <c r="L40" s="148"/>
    </row>
    <row r="41" spans="7:12" hidden="1" x14ac:dyDescent="0.2">
      <c r="G41" s="153"/>
      <c r="H41" s="146"/>
      <c r="I41" s="144"/>
      <c r="J41" s="148"/>
      <c r="K41" s="232"/>
      <c r="L41" s="148"/>
    </row>
    <row r="42" spans="7:12" hidden="1" x14ac:dyDescent="0.2">
      <c r="G42" s="153"/>
      <c r="K42" s="232"/>
    </row>
    <row r="43" spans="7:12" hidden="1" x14ac:dyDescent="0.2">
      <c r="G43" s="153"/>
      <c r="K43" s="232"/>
    </row>
    <row r="44" spans="7:12" hidden="1" x14ac:dyDescent="0.2">
      <c r="G44" s="153"/>
      <c r="K44" s="232"/>
    </row>
    <row r="45" spans="7:12" hidden="1" x14ac:dyDescent="0.2">
      <c r="G45" s="153"/>
      <c r="K45" s="232"/>
    </row>
    <row r="46" spans="7:12" hidden="1" x14ac:dyDescent="0.2">
      <c r="G46" s="153"/>
      <c r="K46" s="232"/>
    </row>
    <row r="47" spans="7:12" hidden="1" x14ac:dyDescent="0.2">
      <c r="G47" s="153"/>
      <c r="K47" s="232"/>
    </row>
    <row r="48" spans="7:12" hidden="1" x14ac:dyDescent="0.2">
      <c r="G48" s="153"/>
      <c r="K48" s="232"/>
    </row>
    <row r="49" spans="7:11" hidden="1" x14ac:dyDescent="0.2">
      <c r="G49" s="153"/>
      <c r="K49" s="232"/>
    </row>
    <row r="50" spans="7:11" hidden="1" x14ac:dyDescent="0.2">
      <c r="G50" s="153"/>
      <c r="K50" s="232"/>
    </row>
    <row r="51" spans="7:11" hidden="1" x14ac:dyDescent="0.2">
      <c r="G51" s="153"/>
      <c r="K51" s="232"/>
    </row>
    <row r="52" spans="7:11" hidden="1" x14ac:dyDescent="0.2">
      <c r="G52" s="153"/>
      <c r="K52" s="232"/>
    </row>
    <row r="53" spans="7:11" hidden="1" x14ac:dyDescent="0.2">
      <c r="G53" s="153"/>
      <c r="K53" s="232"/>
    </row>
    <row r="54" spans="7:11" hidden="1" x14ac:dyDescent="0.2">
      <c r="G54" s="153"/>
      <c r="K54" s="232"/>
    </row>
    <row r="55" spans="7:11" hidden="1" x14ac:dyDescent="0.2">
      <c r="G55" s="153"/>
      <c r="K55" s="232"/>
    </row>
    <row r="56" spans="7:11" hidden="1" x14ac:dyDescent="0.2">
      <c r="G56" s="153"/>
      <c r="K56" s="232"/>
    </row>
    <row r="57" spans="7:11" hidden="1" x14ac:dyDescent="0.2">
      <c r="G57" s="153"/>
      <c r="K57" s="232"/>
    </row>
    <row r="58" spans="7:11" hidden="1" x14ac:dyDescent="0.2">
      <c r="G58" s="153"/>
      <c r="K58" s="232"/>
    </row>
    <row r="59" spans="7:11" hidden="1" x14ac:dyDescent="0.2">
      <c r="G59" s="153"/>
      <c r="K59" s="137"/>
    </row>
    <row r="60" spans="7:11" hidden="1" x14ac:dyDescent="0.2">
      <c r="G60" s="153"/>
      <c r="K60" s="137"/>
    </row>
    <row r="61" spans="7:11" hidden="1" x14ac:dyDescent="0.2">
      <c r="K61" s="137"/>
    </row>
    <row r="62" spans="7:11" hidden="1" x14ac:dyDescent="0.2">
      <c r="K62" s="137"/>
    </row>
  </sheetData>
  <sheetProtection algorithmName="SHA-512" hashValue="LUBbALbTV6OBfRObS0lyX9yi9Ge6Pd3W2HfTxozPyialpjh177S7pDfE9dNAtz3HEqqlo111gDCESBnjvCZjug==" saltValue="wS2Lawh6UeYxW9dhyhhZCQ==" spinCount="100000" sheet="1" objects="1" scenarios="1"/>
  <mergeCells count="11">
    <mergeCell ref="C26:F26"/>
    <mergeCell ref="H3:H4"/>
    <mergeCell ref="C22:F22"/>
    <mergeCell ref="C23:F23"/>
    <mergeCell ref="C24:F24"/>
    <mergeCell ref="C25:F25"/>
    <mergeCell ref="B11:C11"/>
    <mergeCell ref="B3:C4"/>
    <mergeCell ref="D3:D4"/>
    <mergeCell ref="E3:E4"/>
    <mergeCell ref="F3:F4"/>
  </mergeCells>
  <conditionalFormatting sqref="H6:H8">
    <cfRule type="cellIs" dxfId="32" priority="1" operator="equal">
      <formula>0</formula>
    </cfRule>
  </conditionalFormatting>
  <printOptions horizontalCentered="1"/>
  <pageMargins left="0.39370078740157483" right="0.39370078740157483" top="0.78740157480314965" bottom="0.78740157480314965" header="0.31496062992125984" footer="0.31496062992125984"/>
  <pageSetup paperSize="8"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D94"/>
  <sheetViews>
    <sheetView showGridLines="0" zoomScale="90" zoomScaleNormal="90" workbookViewId="0">
      <selection activeCell="C9" sqref="C9"/>
    </sheetView>
  </sheetViews>
  <sheetFormatPr defaultColWidth="0" defaultRowHeight="14.25" zeroHeight="1" x14ac:dyDescent="0.2"/>
  <cols>
    <col min="1" max="1" width="1.875" customWidth="1"/>
    <col min="2" max="2" width="4.125" customWidth="1"/>
    <col min="3" max="3" width="45.125" customWidth="1"/>
    <col min="4" max="5" width="5.125" customWidth="1"/>
    <col min="6" max="6" width="10" customWidth="1"/>
    <col min="7" max="7" width="12.125" customWidth="1"/>
    <col min="8" max="8" width="11.875" customWidth="1"/>
    <col min="9" max="9" width="11.625" customWidth="1"/>
    <col min="10" max="10" width="11.5" customWidth="1"/>
    <col min="11" max="11" width="12.625" customWidth="1"/>
    <col min="12" max="12" width="12.5" customWidth="1"/>
    <col min="13" max="13" width="2.625" style="95" customWidth="1"/>
    <col min="14" max="14" width="17.375" style="99" customWidth="1"/>
    <col min="15" max="15" width="18.875" style="95" bestFit="1" customWidth="1"/>
    <col min="16" max="16" width="1.625" style="95" customWidth="1"/>
    <col min="17" max="17" width="1.625" style="96" hidden="1" customWidth="1"/>
    <col min="18" max="23" width="4.625" style="95" hidden="1" customWidth="1"/>
    <col min="24" max="24" width="1.625" style="96" hidden="1" customWidth="1"/>
    <col min="25" max="25" width="8.875" style="99" hidden="1" customWidth="1"/>
    <col min="26" max="26" width="1.625" style="96" hidden="1" customWidth="1"/>
    <col min="27" max="28" width="8.875" style="99" hidden="1" customWidth="1"/>
    <col min="29" max="29" width="62.375" style="99" hidden="1" customWidth="1"/>
    <col min="30" max="30" width="1.625" style="96" hidden="1" customWidth="1"/>
    <col min="31" max="16384" width="8.75" hidden="1"/>
  </cols>
  <sheetData>
    <row r="1" spans="2:29" ht="20.25" x14ac:dyDescent="0.2">
      <c r="B1" s="91" t="s">
        <v>619</v>
      </c>
      <c r="C1" s="91"/>
      <c r="D1" s="91"/>
      <c r="E1" s="91"/>
      <c r="F1" s="91"/>
      <c r="G1" s="91"/>
      <c r="H1" s="91"/>
      <c r="I1" s="91"/>
      <c r="J1" s="91"/>
      <c r="K1" s="91"/>
      <c r="L1" s="93" t="str">
        <f>Validation!B3</f>
        <v>Yorkshire Water</v>
      </c>
      <c r="M1" s="91"/>
      <c r="N1" s="94"/>
      <c r="O1" s="94" t="s">
        <v>62</v>
      </c>
      <c r="Y1" s="95"/>
      <c r="AA1"/>
      <c r="AB1"/>
      <c r="AC1"/>
    </row>
    <row r="2" spans="2:29" ht="15" thickBot="1" x14ac:dyDescent="0.25">
      <c r="B2" s="98" t="s">
        <v>48</v>
      </c>
      <c r="C2" s="95"/>
      <c r="D2" s="95"/>
      <c r="E2" s="95"/>
      <c r="F2" s="95"/>
      <c r="G2" s="95"/>
      <c r="H2" s="95"/>
      <c r="I2" s="95"/>
      <c r="J2" s="95"/>
      <c r="K2" s="95"/>
      <c r="L2" s="95"/>
      <c r="N2" s="95"/>
      <c r="Y2" s="95"/>
    </row>
    <row r="3" spans="2:29" ht="14.45" customHeight="1" x14ac:dyDescent="0.2">
      <c r="B3" s="794" t="s">
        <v>63</v>
      </c>
      <c r="C3" s="795"/>
      <c r="D3" s="798" t="s">
        <v>64</v>
      </c>
      <c r="E3" s="800" t="s">
        <v>65</v>
      </c>
      <c r="F3" s="716" t="s">
        <v>620</v>
      </c>
      <c r="G3" s="717"/>
      <c r="H3" s="719" t="s">
        <v>621</v>
      </c>
      <c r="I3" s="718"/>
      <c r="J3" s="853" t="s">
        <v>622</v>
      </c>
      <c r="K3" s="851" t="s">
        <v>623</v>
      </c>
      <c r="L3" s="720" t="s">
        <v>246</v>
      </c>
      <c r="N3" s="699" t="s">
        <v>277</v>
      </c>
      <c r="O3" s="699" t="s">
        <v>69</v>
      </c>
    </row>
    <row r="4" spans="2:29" ht="27.75" thickBot="1" x14ac:dyDescent="0.25">
      <c r="B4" s="796"/>
      <c r="C4" s="797"/>
      <c r="D4" s="799"/>
      <c r="E4" s="801"/>
      <c r="F4" s="240" t="s">
        <v>624</v>
      </c>
      <c r="G4" s="241" t="s">
        <v>625</v>
      </c>
      <c r="H4" s="243" t="s">
        <v>626</v>
      </c>
      <c r="I4" s="242" t="s">
        <v>627</v>
      </c>
      <c r="J4" s="854"/>
      <c r="K4" s="852"/>
      <c r="L4" s="721"/>
      <c r="N4" s="700"/>
      <c r="O4" s="701"/>
    </row>
    <row r="5" spans="2:29" ht="24.75" thickBot="1" x14ac:dyDescent="0.25">
      <c r="B5" s="95"/>
      <c r="C5" s="95"/>
      <c r="D5" s="95"/>
      <c r="E5" s="95"/>
      <c r="F5" s="95"/>
      <c r="G5" s="95"/>
      <c r="H5" s="95"/>
      <c r="I5" s="95"/>
      <c r="J5" s="95"/>
      <c r="K5" s="95"/>
      <c r="L5" s="95"/>
      <c r="R5" s="702" t="s">
        <v>73</v>
      </c>
      <c r="S5" s="702"/>
      <c r="T5" s="702"/>
      <c r="U5" s="702"/>
      <c r="V5" s="702"/>
      <c r="W5" s="702"/>
      <c r="Y5" s="103" t="s">
        <v>54</v>
      </c>
      <c r="AA5" s="101" t="s">
        <v>278</v>
      </c>
      <c r="AB5" s="103"/>
      <c r="AC5" s="103"/>
    </row>
    <row r="6" spans="2:29" ht="15" thickBot="1" x14ac:dyDescent="0.25">
      <c r="B6" s="140" t="s">
        <v>124</v>
      </c>
      <c r="C6" s="141" t="s">
        <v>302</v>
      </c>
      <c r="D6" s="95"/>
      <c r="E6" s="95"/>
      <c r="F6" s="95"/>
      <c r="G6" s="95"/>
      <c r="H6" s="95"/>
      <c r="I6" s="95"/>
      <c r="J6" s="95"/>
      <c r="K6" s="95"/>
      <c r="L6" s="95"/>
      <c r="N6" s="40"/>
      <c r="O6" s="29">
        <f xml:space="preserve"> IF( SUM( Q6:X6 ) = 0, 0, $O$9 )</f>
        <v>0</v>
      </c>
      <c r="R6" s="112" t="s">
        <v>74</v>
      </c>
      <c r="S6" s="112"/>
      <c r="T6" s="112"/>
      <c r="U6" s="112"/>
      <c r="V6" s="112"/>
      <c r="W6" s="112"/>
      <c r="Y6"/>
    </row>
    <row r="7" spans="2:29" x14ac:dyDescent="0.2">
      <c r="B7" s="113">
        <v>1</v>
      </c>
      <c r="C7" s="143" t="s">
        <v>303</v>
      </c>
      <c r="D7" s="115" t="s">
        <v>76</v>
      </c>
      <c r="E7" s="244">
        <v>3</v>
      </c>
      <c r="F7" s="567">
        <v>0</v>
      </c>
      <c r="G7" s="568">
        <v>2.2240000000000002</v>
      </c>
      <c r="H7" s="567">
        <v>5.2159999999999993</v>
      </c>
      <c r="I7" s="568">
        <v>0.70899999999999996</v>
      </c>
      <c r="J7" s="567">
        <v>6.6830000000000007</v>
      </c>
      <c r="K7" s="568">
        <v>11.762</v>
      </c>
      <c r="L7" s="229">
        <f t="shared" ref="L7:L13" si="0">SUM(F7:K7)</f>
        <v>26.594000000000001</v>
      </c>
      <c r="N7" s="77">
        <f xml:space="preserve"> IF( SUM( X7:Z7 ) = 0, 0, AC7 )</f>
        <v>0</v>
      </c>
      <c r="O7" s="29">
        <f xml:space="preserve"> IF( SUM( Q7:X7 ) = 0, 0, $R$6 )</f>
        <v>0</v>
      </c>
      <c r="R7" s="120">
        <f xml:space="preserve"> IF( ISNUMBER( F7 ), 0, 1 )</f>
        <v>0</v>
      </c>
      <c r="S7" s="120">
        <f t="shared" ref="S7:W12" si="1" xml:space="preserve"> IF( ISNUMBER( G7 ), 0, 1 )</f>
        <v>0</v>
      </c>
      <c r="T7" s="120">
        <f t="shared" si="1"/>
        <v>0</v>
      </c>
      <c r="U7" s="120">
        <f t="shared" si="1"/>
        <v>0</v>
      </c>
      <c r="V7" s="120">
        <f t="shared" si="1"/>
        <v>0</v>
      </c>
      <c r="W7" s="120">
        <f t="shared" si="1"/>
        <v>0</v>
      </c>
      <c r="Y7" s="120">
        <f t="shared" ref="Y7:Y13" si="2" xml:space="preserve"> IF( (AA7 - AB7) = 0, 0, 1 )</f>
        <v>0</v>
      </c>
      <c r="AA7" s="189">
        <f xml:space="preserve"> ROUND( L7, 3)</f>
        <v>26.594000000000001</v>
      </c>
      <c r="AB7" s="189">
        <f xml:space="preserve"> ROUND( '2B'!F6, 3)</f>
        <v>26.594000000000001</v>
      </c>
      <c r="AC7" s="99" t="s">
        <v>628</v>
      </c>
    </row>
    <row r="8" spans="2:29" x14ac:dyDescent="0.2">
      <c r="B8" s="121">
        <f xml:space="preserve"> B7 + 1</f>
        <v>2</v>
      </c>
      <c r="C8" s="114" t="s">
        <v>304</v>
      </c>
      <c r="D8" s="122" t="s">
        <v>76</v>
      </c>
      <c r="E8" s="246">
        <v>3</v>
      </c>
      <c r="F8" s="565">
        <v>0</v>
      </c>
      <c r="G8" s="569">
        <v>0</v>
      </c>
      <c r="H8" s="565">
        <v>-0.13700000000000001</v>
      </c>
      <c r="I8" s="569">
        <v>0</v>
      </c>
      <c r="J8" s="565">
        <v>-0.33900000000000002</v>
      </c>
      <c r="K8" s="569">
        <v>0</v>
      </c>
      <c r="L8" s="273">
        <f t="shared" si="0"/>
        <v>-0.47600000000000003</v>
      </c>
      <c r="N8" s="77">
        <f t="shared" ref="N8:N32" si="3" xml:space="preserve"> IF( SUM( X8:Z8 ) = 0, 0, AC8 )</f>
        <v>0</v>
      </c>
      <c r="O8" s="29">
        <f t="shared" ref="O8:O39" si="4" xml:space="preserve"> IF( SUM( Q8:X8 ) = 0, 0, $R$6 )</f>
        <v>0</v>
      </c>
      <c r="R8" s="120">
        <f t="shared" ref="R8:R12" si="5" xml:space="preserve"> IF( ISNUMBER( F8 ), 0, 1 )</f>
        <v>0</v>
      </c>
      <c r="S8" s="120">
        <f t="shared" si="1"/>
        <v>0</v>
      </c>
      <c r="T8" s="120">
        <f t="shared" si="1"/>
        <v>0</v>
      </c>
      <c r="U8" s="120">
        <f t="shared" si="1"/>
        <v>0</v>
      </c>
      <c r="V8" s="120">
        <f t="shared" si="1"/>
        <v>0</v>
      </c>
      <c r="W8" s="120">
        <f t="shared" si="1"/>
        <v>0</v>
      </c>
      <c r="Y8" s="120">
        <f t="shared" si="2"/>
        <v>0</v>
      </c>
      <c r="AA8" s="189">
        <f t="shared" ref="AA8:AA31" si="6" xml:space="preserve"> ROUND( L8, 3)</f>
        <v>-0.47599999999999998</v>
      </c>
      <c r="AB8" s="189">
        <f xml:space="preserve"> ROUND( '2B'!F7, 3)</f>
        <v>-0.47599999999999998</v>
      </c>
      <c r="AC8" s="99" t="s">
        <v>629</v>
      </c>
    </row>
    <row r="9" spans="2:29" x14ac:dyDescent="0.2">
      <c r="B9" s="121">
        <f t="shared" ref="B9:B13" si="7" xml:space="preserve"> B8 + 1</f>
        <v>3</v>
      </c>
      <c r="C9" s="114" t="s">
        <v>305</v>
      </c>
      <c r="D9" s="122" t="s">
        <v>76</v>
      </c>
      <c r="E9" s="246">
        <v>3</v>
      </c>
      <c r="F9" s="565">
        <v>5.4859999999999998</v>
      </c>
      <c r="G9" s="569">
        <v>0</v>
      </c>
      <c r="H9" s="565">
        <v>0</v>
      </c>
      <c r="I9" s="569">
        <v>0</v>
      </c>
      <c r="J9" s="565">
        <v>0.17699999999999999</v>
      </c>
      <c r="K9" s="569">
        <v>0</v>
      </c>
      <c r="L9" s="273">
        <f t="shared" si="0"/>
        <v>5.6629999999999994</v>
      </c>
      <c r="N9" s="77">
        <f t="shared" si="3"/>
        <v>0</v>
      </c>
      <c r="O9" s="29">
        <f t="shared" si="4"/>
        <v>0</v>
      </c>
      <c r="R9" s="120">
        <f t="shared" si="5"/>
        <v>0</v>
      </c>
      <c r="S9" s="120">
        <f t="shared" si="1"/>
        <v>0</v>
      </c>
      <c r="T9" s="120">
        <f t="shared" si="1"/>
        <v>0</v>
      </c>
      <c r="U9" s="120">
        <f t="shared" si="1"/>
        <v>0</v>
      </c>
      <c r="V9" s="120">
        <f t="shared" si="1"/>
        <v>0</v>
      </c>
      <c r="W9" s="120">
        <f t="shared" si="1"/>
        <v>0</v>
      </c>
      <c r="Y9" s="120">
        <f t="shared" si="2"/>
        <v>0</v>
      </c>
      <c r="AA9" s="189">
        <f t="shared" si="6"/>
        <v>5.6630000000000003</v>
      </c>
      <c r="AB9" s="189">
        <f xml:space="preserve"> ROUND( '2B'!F8, 3)</f>
        <v>5.6630000000000003</v>
      </c>
      <c r="AC9" s="99" t="s">
        <v>630</v>
      </c>
    </row>
    <row r="10" spans="2:29" x14ac:dyDescent="0.2">
      <c r="B10" s="121">
        <f t="shared" si="7"/>
        <v>4</v>
      </c>
      <c r="C10" s="114" t="s">
        <v>306</v>
      </c>
      <c r="D10" s="122" t="s">
        <v>76</v>
      </c>
      <c r="E10" s="246">
        <v>3</v>
      </c>
      <c r="F10" s="565">
        <v>0</v>
      </c>
      <c r="G10" s="569">
        <v>3.851</v>
      </c>
      <c r="H10" s="565">
        <v>0</v>
      </c>
      <c r="I10" s="569">
        <v>0</v>
      </c>
      <c r="J10" s="565">
        <v>0</v>
      </c>
      <c r="K10" s="569">
        <v>0</v>
      </c>
      <c r="L10" s="273">
        <f t="shared" si="0"/>
        <v>3.851</v>
      </c>
      <c r="N10" s="77">
        <f t="shared" si="3"/>
        <v>0</v>
      </c>
      <c r="O10" s="29">
        <f t="shared" si="4"/>
        <v>0</v>
      </c>
      <c r="R10" s="120">
        <f t="shared" si="5"/>
        <v>0</v>
      </c>
      <c r="S10" s="120">
        <f t="shared" si="1"/>
        <v>0</v>
      </c>
      <c r="T10" s="120">
        <f t="shared" si="1"/>
        <v>0</v>
      </c>
      <c r="U10" s="120">
        <f t="shared" si="1"/>
        <v>0</v>
      </c>
      <c r="V10" s="120">
        <f t="shared" si="1"/>
        <v>0</v>
      </c>
      <c r="W10" s="120">
        <f t="shared" si="1"/>
        <v>0</v>
      </c>
      <c r="Y10" s="120">
        <f t="shared" si="2"/>
        <v>0</v>
      </c>
      <c r="AA10" s="189">
        <f t="shared" si="6"/>
        <v>3.851</v>
      </c>
      <c r="AB10" s="189">
        <f xml:space="preserve"> ROUND( '2B'!F9, 3)</f>
        <v>3.851</v>
      </c>
      <c r="AC10" s="99" t="s">
        <v>631</v>
      </c>
    </row>
    <row r="11" spans="2:29" x14ac:dyDescent="0.2">
      <c r="B11" s="121">
        <f t="shared" si="7"/>
        <v>5</v>
      </c>
      <c r="C11" s="114" t="s">
        <v>307</v>
      </c>
      <c r="D11" s="122" t="s">
        <v>76</v>
      </c>
      <c r="E11" s="246">
        <v>3</v>
      </c>
      <c r="F11" s="565">
        <v>1.9E-2</v>
      </c>
      <c r="G11" s="569">
        <v>7.1890000000000001</v>
      </c>
      <c r="H11" s="565">
        <v>1.911</v>
      </c>
      <c r="I11" s="569">
        <v>1.456</v>
      </c>
      <c r="J11" s="565">
        <v>30.245999999999999</v>
      </c>
      <c r="K11" s="569">
        <v>55.829000000000001</v>
      </c>
      <c r="L11" s="273">
        <f t="shared" si="0"/>
        <v>96.65</v>
      </c>
      <c r="N11" s="77">
        <f t="shared" si="3"/>
        <v>0</v>
      </c>
      <c r="O11" s="29">
        <f t="shared" si="4"/>
        <v>0</v>
      </c>
      <c r="R11" s="120">
        <f t="shared" si="5"/>
        <v>0</v>
      </c>
      <c r="S11" s="120">
        <f t="shared" si="1"/>
        <v>0</v>
      </c>
      <c r="T11" s="120">
        <f t="shared" si="1"/>
        <v>0</v>
      </c>
      <c r="U11" s="120">
        <f t="shared" si="1"/>
        <v>0</v>
      </c>
      <c r="V11" s="120">
        <f t="shared" si="1"/>
        <v>0</v>
      </c>
      <c r="W11" s="120">
        <f t="shared" si="1"/>
        <v>0</v>
      </c>
      <c r="Y11" s="120">
        <f t="shared" si="2"/>
        <v>0</v>
      </c>
      <c r="AA11" s="189">
        <f t="shared" si="6"/>
        <v>96.65</v>
      </c>
      <c r="AB11" s="189">
        <f xml:space="preserve"> ROUND( '2B'!F10, 3)</f>
        <v>96.65</v>
      </c>
      <c r="AC11" s="99" t="s">
        <v>632</v>
      </c>
    </row>
    <row r="12" spans="2:29" x14ac:dyDescent="0.2">
      <c r="B12" s="121">
        <f t="shared" si="7"/>
        <v>6</v>
      </c>
      <c r="C12" s="114" t="s">
        <v>308</v>
      </c>
      <c r="D12" s="122" t="s">
        <v>76</v>
      </c>
      <c r="E12" s="246">
        <v>3</v>
      </c>
      <c r="F12" s="565">
        <v>0</v>
      </c>
      <c r="G12" s="569">
        <v>1.823</v>
      </c>
      <c r="H12" s="565">
        <v>1.8109999999999999</v>
      </c>
      <c r="I12" s="569">
        <v>5.8500000000000005</v>
      </c>
      <c r="J12" s="565">
        <v>1.4470000000000001</v>
      </c>
      <c r="K12" s="569">
        <v>27.722000000000001</v>
      </c>
      <c r="L12" s="273">
        <f t="shared" si="0"/>
        <v>38.653000000000006</v>
      </c>
      <c r="N12" s="77">
        <f t="shared" si="3"/>
        <v>0</v>
      </c>
      <c r="O12" s="29">
        <f t="shared" si="4"/>
        <v>0</v>
      </c>
      <c r="R12" s="120">
        <f t="shared" si="5"/>
        <v>0</v>
      </c>
      <c r="S12" s="120">
        <f t="shared" si="1"/>
        <v>0</v>
      </c>
      <c r="T12" s="120">
        <f t="shared" si="1"/>
        <v>0</v>
      </c>
      <c r="U12" s="120">
        <f t="shared" si="1"/>
        <v>0</v>
      </c>
      <c r="V12" s="120">
        <f t="shared" si="1"/>
        <v>0</v>
      </c>
      <c r="W12" s="120">
        <f t="shared" si="1"/>
        <v>0</v>
      </c>
      <c r="Y12" s="120">
        <f t="shared" si="2"/>
        <v>0</v>
      </c>
      <c r="AA12" s="189">
        <f t="shared" si="6"/>
        <v>38.652999999999999</v>
      </c>
      <c r="AB12" s="189">
        <f xml:space="preserve"> ROUND( '2B'!F11, 3)</f>
        <v>38.652999999999999</v>
      </c>
      <c r="AC12" s="99" t="s">
        <v>633</v>
      </c>
    </row>
    <row r="13" spans="2:29" ht="15" thickBot="1" x14ac:dyDescent="0.25">
      <c r="B13" s="128">
        <f t="shared" si="7"/>
        <v>7</v>
      </c>
      <c r="C13" s="129" t="s">
        <v>309</v>
      </c>
      <c r="D13" s="130" t="s">
        <v>76</v>
      </c>
      <c r="E13" s="257">
        <v>3</v>
      </c>
      <c r="F13" s="223">
        <f>SUM(F7:F12)</f>
        <v>5.5049999999999999</v>
      </c>
      <c r="G13" s="225">
        <f t="shared" ref="G13:K13" si="8">SUM(G7:G12)</f>
        <v>15.087</v>
      </c>
      <c r="H13" s="223">
        <f t="shared" si="8"/>
        <v>8.8009999999999984</v>
      </c>
      <c r="I13" s="225">
        <f t="shared" si="8"/>
        <v>8.0150000000000006</v>
      </c>
      <c r="J13" s="223">
        <f t="shared" si="8"/>
        <v>38.213999999999999</v>
      </c>
      <c r="K13" s="225">
        <f t="shared" si="8"/>
        <v>95.313000000000017</v>
      </c>
      <c r="L13" s="230">
        <f t="shared" si="0"/>
        <v>170.935</v>
      </c>
      <c r="N13" s="77">
        <f t="shared" si="3"/>
        <v>0</v>
      </c>
      <c r="O13" s="31"/>
      <c r="Y13" s="120">
        <f t="shared" si="2"/>
        <v>0</v>
      </c>
      <c r="AA13" s="189">
        <f t="shared" si="6"/>
        <v>170.935</v>
      </c>
      <c r="AB13" s="189">
        <f xml:space="preserve"> ROUND( '2B'!F12, 3)</f>
        <v>170.935</v>
      </c>
      <c r="AC13" s="99" t="s">
        <v>634</v>
      </c>
    </row>
    <row r="14" spans="2:29" ht="15" thickBot="1" x14ac:dyDescent="0.25">
      <c r="N14" s="77"/>
      <c r="O14" s="31"/>
      <c r="Y14" s="147"/>
      <c r="AA14" s="189"/>
      <c r="AB14" s="189"/>
    </row>
    <row r="15" spans="2:29" x14ac:dyDescent="0.2">
      <c r="B15" s="113">
        <f xml:space="preserve"> B13 + 1</f>
        <v>8</v>
      </c>
      <c r="C15" s="143" t="s">
        <v>310</v>
      </c>
      <c r="D15" s="115" t="s">
        <v>76</v>
      </c>
      <c r="E15" s="116">
        <v>3</v>
      </c>
      <c r="F15" s="567">
        <v>0</v>
      </c>
      <c r="G15" s="568">
        <v>0</v>
      </c>
      <c r="H15" s="567">
        <v>0</v>
      </c>
      <c r="I15" s="568">
        <v>0</v>
      </c>
      <c r="J15" s="567">
        <v>0</v>
      </c>
      <c r="K15" s="568">
        <v>1.6279999999999999</v>
      </c>
      <c r="L15" s="229">
        <f>SUM(F15:K15)</f>
        <v>1.6279999999999999</v>
      </c>
      <c r="N15" s="77">
        <f t="shared" si="3"/>
        <v>0</v>
      </c>
      <c r="O15" s="29">
        <f t="shared" si="4"/>
        <v>0</v>
      </c>
      <c r="R15" s="120">
        <f t="shared" ref="R15:W15" si="9" xml:space="preserve"> IF( ISNUMBER( F15 ), 0, 1 )</f>
        <v>0</v>
      </c>
      <c r="S15" s="120">
        <f t="shared" si="9"/>
        <v>0</v>
      </c>
      <c r="T15" s="120">
        <f t="shared" si="9"/>
        <v>0</v>
      </c>
      <c r="U15" s="120">
        <f t="shared" si="9"/>
        <v>0</v>
      </c>
      <c r="V15" s="120">
        <f t="shared" si="9"/>
        <v>0</v>
      </c>
      <c r="W15" s="120">
        <f t="shared" si="9"/>
        <v>0</v>
      </c>
      <c r="Y15" s="120">
        <f xml:space="preserve"> IF( (AA15 - AB15) = 0, 0, 1 )</f>
        <v>0</v>
      </c>
      <c r="AA15" s="189">
        <f t="shared" si="6"/>
        <v>1.6279999999999999</v>
      </c>
      <c r="AB15" s="189">
        <f xml:space="preserve"> ROUND( '2B'!F14, 3)</f>
        <v>1.6279999999999999</v>
      </c>
      <c r="AC15" s="99" t="s">
        <v>635</v>
      </c>
    </row>
    <row r="16" spans="2:29" ht="15" thickBot="1" x14ac:dyDescent="0.25">
      <c r="B16" s="128">
        <f t="shared" ref="B16" si="10" xml:space="preserve"> B15 + 1</f>
        <v>9</v>
      </c>
      <c r="C16" s="129" t="s">
        <v>311</v>
      </c>
      <c r="D16" s="130" t="s">
        <v>76</v>
      </c>
      <c r="E16" s="127">
        <v>3</v>
      </c>
      <c r="F16" s="223">
        <f>SUM(F13:F15)</f>
        <v>5.5049999999999999</v>
      </c>
      <c r="G16" s="225">
        <f t="shared" ref="G16:K16" si="11">SUM(G13:G15)</f>
        <v>15.087</v>
      </c>
      <c r="H16" s="223">
        <f t="shared" si="11"/>
        <v>8.8009999999999984</v>
      </c>
      <c r="I16" s="225">
        <f t="shared" si="11"/>
        <v>8.0150000000000006</v>
      </c>
      <c r="J16" s="223">
        <f t="shared" si="11"/>
        <v>38.213999999999999</v>
      </c>
      <c r="K16" s="225">
        <f t="shared" si="11"/>
        <v>96.941000000000017</v>
      </c>
      <c r="L16" s="230">
        <f>SUM(F16:K16)</f>
        <v>172.56300000000002</v>
      </c>
      <c r="N16" s="77">
        <f t="shared" si="3"/>
        <v>0</v>
      </c>
      <c r="O16" s="31"/>
      <c r="Y16" s="120">
        <f xml:space="preserve"> IF( (AA16 - AB16) = 0, 0, 1 )</f>
        <v>0</v>
      </c>
      <c r="AA16" s="189">
        <f t="shared" si="6"/>
        <v>172.56299999999999</v>
      </c>
      <c r="AB16" s="189">
        <f xml:space="preserve"> ROUND( '2B'!F15, 3)</f>
        <v>172.56299999999999</v>
      </c>
      <c r="AC16" s="99" t="s">
        <v>636</v>
      </c>
    </row>
    <row r="17" spans="2:30" ht="15" thickBot="1" x14ac:dyDescent="0.25">
      <c r="N17" s="77"/>
      <c r="O17" s="31"/>
      <c r="Y17" s="147"/>
      <c r="AA17" s="189"/>
      <c r="AB17" s="189"/>
    </row>
    <row r="18" spans="2:30" ht="15" thickBot="1" x14ac:dyDescent="0.25">
      <c r="B18" s="140" t="s">
        <v>133</v>
      </c>
      <c r="C18" s="141" t="s">
        <v>312</v>
      </c>
      <c r="D18" s="95"/>
      <c r="E18" s="95"/>
      <c r="F18" s="95"/>
      <c r="G18" s="95"/>
      <c r="H18" s="95"/>
      <c r="I18" s="95"/>
      <c r="J18" s="95"/>
      <c r="K18" s="95"/>
      <c r="L18" s="95"/>
      <c r="N18" s="77"/>
      <c r="O18" s="31"/>
      <c r="Y18" s="147"/>
      <c r="AA18" s="189"/>
      <c r="AB18" s="189"/>
    </row>
    <row r="19" spans="2:30" x14ac:dyDescent="0.2">
      <c r="B19" s="113">
        <f>B16 + 1</f>
        <v>10</v>
      </c>
      <c r="C19" s="143" t="s">
        <v>313</v>
      </c>
      <c r="D19" s="115" t="s">
        <v>76</v>
      </c>
      <c r="E19" s="244">
        <v>3</v>
      </c>
      <c r="F19" s="567">
        <v>0</v>
      </c>
      <c r="G19" s="568">
        <v>1.258</v>
      </c>
      <c r="H19" s="567">
        <v>1.0489999999999999</v>
      </c>
      <c r="I19" s="568">
        <v>5.9009999999999998</v>
      </c>
      <c r="J19" s="567">
        <v>-2.3260000000000001</v>
      </c>
      <c r="K19" s="568">
        <v>30.44</v>
      </c>
      <c r="L19" s="284">
        <f t="shared" ref="L19:L27" si="12">SUM(F19:K19)</f>
        <v>36.322000000000003</v>
      </c>
      <c r="N19" s="77">
        <f t="shared" si="3"/>
        <v>0</v>
      </c>
      <c r="O19" s="29">
        <f t="shared" si="4"/>
        <v>0</v>
      </c>
      <c r="R19" s="120">
        <f t="shared" ref="R19:W22" si="13" xml:space="preserve"> IF( ISNUMBER( F19 ), 0, 1 )</f>
        <v>0</v>
      </c>
      <c r="S19" s="120">
        <f t="shared" si="13"/>
        <v>0</v>
      </c>
      <c r="T19" s="120">
        <f t="shared" si="13"/>
        <v>0</v>
      </c>
      <c r="U19" s="120">
        <f t="shared" si="13"/>
        <v>0</v>
      </c>
      <c r="V19" s="120">
        <f t="shared" si="13"/>
        <v>0</v>
      </c>
      <c r="W19" s="120">
        <f t="shared" si="13"/>
        <v>0</v>
      </c>
      <c r="Y19" s="120">
        <f t="shared" ref="Y19:Y27" si="14" xml:space="preserve"> IF( (AA19 - AB19) = 0, 0, 1 )</f>
        <v>0</v>
      </c>
      <c r="AA19" s="189">
        <f t="shared" si="6"/>
        <v>36.322000000000003</v>
      </c>
      <c r="AB19" s="189">
        <f xml:space="preserve"> ROUND( '2B'!F18, 3)</f>
        <v>36.322000000000003</v>
      </c>
      <c r="AC19" s="99" t="s">
        <v>637</v>
      </c>
    </row>
    <row r="20" spans="2:30" x14ac:dyDescent="0.2">
      <c r="B20" s="121">
        <f xml:space="preserve"> B19 + 1</f>
        <v>11</v>
      </c>
      <c r="C20" s="114" t="s">
        <v>638</v>
      </c>
      <c r="D20" s="122" t="s">
        <v>76</v>
      </c>
      <c r="E20" s="246">
        <v>3</v>
      </c>
      <c r="F20" s="565">
        <v>0</v>
      </c>
      <c r="G20" s="569">
        <v>3.101</v>
      </c>
      <c r="H20" s="565">
        <v>0.76</v>
      </c>
      <c r="I20" s="569">
        <v>0</v>
      </c>
      <c r="J20" s="565">
        <v>16.875</v>
      </c>
      <c r="K20" s="569">
        <v>22.731999999999999</v>
      </c>
      <c r="L20" s="285">
        <f t="shared" si="12"/>
        <v>43.468000000000004</v>
      </c>
      <c r="N20" s="77">
        <f t="shared" si="3"/>
        <v>0</v>
      </c>
      <c r="O20" s="29">
        <f t="shared" si="4"/>
        <v>0</v>
      </c>
      <c r="R20" s="120">
        <f t="shared" si="13"/>
        <v>0</v>
      </c>
      <c r="S20" s="120">
        <f t="shared" si="13"/>
        <v>0</v>
      </c>
      <c r="T20" s="120">
        <f t="shared" si="13"/>
        <v>0</v>
      </c>
      <c r="U20" s="120">
        <f t="shared" si="13"/>
        <v>0</v>
      </c>
      <c r="V20" s="120">
        <f t="shared" si="13"/>
        <v>0</v>
      </c>
      <c r="W20" s="120">
        <f t="shared" si="13"/>
        <v>0</v>
      </c>
      <c r="Y20" s="120">
        <f t="shared" si="14"/>
        <v>0</v>
      </c>
      <c r="AA20" s="189">
        <f t="shared" si="6"/>
        <v>43.468000000000004</v>
      </c>
      <c r="AB20" s="189">
        <f xml:space="preserve"> ROUND( '2B'!F19, 3)</f>
        <v>43.468000000000004</v>
      </c>
      <c r="AC20" s="99" t="s">
        <v>639</v>
      </c>
    </row>
    <row r="21" spans="2:30" x14ac:dyDescent="0.2">
      <c r="B21" s="121">
        <f t="shared" ref="B21:B27" si="15" xml:space="preserve"> B20 + 1</f>
        <v>12</v>
      </c>
      <c r="C21" s="114" t="s">
        <v>315</v>
      </c>
      <c r="D21" s="122" t="s">
        <v>76</v>
      </c>
      <c r="E21" s="246">
        <v>3</v>
      </c>
      <c r="F21" s="565">
        <v>0</v>
      </c>
      <c r="G21" s="569">
        <v>0.69399999999999995</v>
      </c>
      <c r="H21" s="565">
        <v>0</v>
      </c>
      <c r="I21" s="569">
        <v>0</v>
      </c>
      <c r="J21" s="565">
        <v>0</v>
      </c>
      <c r="K21" s="569">
        <v>17.879000000000001</v>
      </c>
      <c r="L21" s="285">
        <f t="shared" si="12"/>
        <v>18.573</v>
      </c>
      <c r="N21" s="77">
        <f t="shared" si="3"/>
        <v>0</v>
      </c>
      <c r="O21" s="29">
        <f t="shared" si="4"/>
        <v>0</v>
      </c>
      <c r="R21" s="120">
        <f t="shared" si="13"/>
        <v>0</v>
      </c>
      <c r="S21" s="120">
        <f t="shared" si="13"/>
        <v>0</v>
      </c>
      <c r="T21" s="120">
        <f t="shared" si="13"/>
        <v>0</v>
      </c>
      <c r="U21" s="120">
        <f t="shared" si="13"/>
        <v>0</v>
      </c>
      <c r="V21" s="120">
        <f t="shared" si="13"/>
        <v>0</v>
      </c>
      <c r="W21" s="120">
        <f t="shared" si="13"/>
        <v>0</v>
      </c>
      <c r="Y21" s="120">
        <f t="shared" si="14"/>
        <v>0</v>
      </c>
      <c r="AA21" s="189">
        <f t="shared" si="6"/>
        <v>18.573</v>
      </c>
      <c r="AB21" s="189">
        <f xml:space="preserve"> ROUND( '2B'!F20, 3)</f>
        <v>18.573</v>
      </c>
      <c r="AC21" s="99" t="s">
        <v>640</v>
      </c>
    </row>
    <row r="22" spans="2:30" x14ac:dyDescent="0.2">
      <c r="B22" s="121">
        <f t="shared" si="15"/>
        <v>13</v>
      </c>
      <c r="C22" s="114" t="s">
        <v>316</v>
      </c>
      <c r="D22" s="122" t="s">
        <v>76</v>
      </c>
      <c r="E22" s="246">
        <v>3</v>
      </c>
      <c r="F22" s="565">
        <v>0</v>
      </c>
      <c r="G22" s="569">
        <v>0.68100000000000005</v>
      </c>
      <c r="H22" s="565">
        <v>0.121</v>
      </c>
      <c r="I22" s="569">
        <v>0</v>
      </c>
      <c r="J22" s="565">
        <v>8.06</v>
      </c>
      <c r="K22" s="569">
        <v>6.84</v>
      </c>
      <c r="L22" s="285">
        <f t="shared" si="12"/>
        <v>15.702</v>
      </c>
      <c r="N22" s="77">
        <f t="shared" si="3"/>
        <v>0</v>
      </c>
      <c r="O22" s="29">
        <f t="shared" si="4"/>
        <v>0</v>
      </c>
      <c r="R22" s="120">
        <f t="shared" si="13"/>
        <v>0</v>
      </c>
      <c r="S22" s="120">
        <f t="shared" si="13"/>
        <v>0</v>
      </c>
      <c r="T22" s="120">
        <f t="shared" si="13"/>
        <v>0</v>
      </c>
      <c r="U22" s="120">
        <f t="shared" si="13"/>
        <v>0</v>
      </c>
      <c r="V22" s="120">
        <f t="shared" si="13"/>
        <v>0</v>
      </c>
      <c r="W22" s="120">
        <f t="shared" si="13"/>
        <v>0</v>
      </c>
      <c r="Y22" s="120">
        <f t="shared" si="14"/>
        <v>0</v>
      </c>
      <c r="AA22" s="189">
        <f t="shared" si="6"/>
        <v>15.702</v>
      </c>
      <c r="AB22" s="189">
        <f xml:space="preserve"> ROUND( '2B'!F21, 3)</f>
        <v>15.702</v>
      </c>
      <c r="AC22" s="99" t="s">
        <v>641</v>
      </c>
    </row>
    <row r="23" spans="2:30" x14ac:dyDescent="0.2">
      <c r="B23" s="121">
        <f t="shared" si="15"/>
        <v>14</v>
      </c>
      <c r="C23" s="114" t="s">
        <v>317</v>
      </c>
      <c r="D23" s="122" t="s">
        <v>76</v>
      </c>
      <c r="E23" s="246">
        <v>3</v>
      </c>
      <c r="F23" s="277">
        <f>SUM(F19:F22)</f>
        <v>0</v>
      </c>
      <c r="G23" s="222">
        <f t="shared" ref="G23:K23" si="16">SUM(G19:G22)</f>
        <v>5.734</v>
      </c>
      <c r="H23" s="277">
        <f t="shared" si="16"/>
        <v>1.93</v>
      </c>
      <c r="I23" s="222">
        <f t="shared" si="16"/>
        <v>5.9009999999999998</v>
      </c>
      <c r="J23" s="277">
        <f t="shared" si="16"/>
        <v>22.609000000000002</v>
      </c>
      <c r="K23" s="222">
        <f t="shared" si="16"/>
        <v>77.891000000000005</v>
      </c>
      <c r="L23" s="285">
        <f t="shared" si="12"/>
        <v>114.065</v>
      </c>
      <c r="M23" s="144"/>
      <c r="N23" s="77">
        <f t="shared" si="3"/>
        <v>0</v>
      </c>
      <c r="O23" s="31"/>
      <c r="P23" s="144"/>
      <c r="Q23" s="148"/>
      <c r="S23" s="278"/>
      <c r="T23" s="278"/>
      <c r="U23" s="278"/>
      <c r="V23" s="278"/>
      <c r="W23" s="278"/>
      <c r="X23" s="148"/>
      <c r="Y23" s="120">
        <f t="shared" si="14"/>
        <v>0</v>
      </c>
      <c r="Z23" s="148"/>
      <c r="AA23" s="189">
        <f t="shared" si="6"/>
        <v>114.065</v>
      </c>
      <c r="AB23" s="189">
        <f xml:space="preserve"> ROUND( '2B'!F22, 3)</f>
        <v>114.065</v>
      </c>
      <c r="AC23" s="99" t="s">
        <v>642</v>
      </c>
      <c r="AD23" s="148"/>
    </row>
    <row r="24" spans="2:30" x14ac:dyDescent="0.2">
      <c r="B24" s="121">
        <f t="shared" si="15"/>
        <v>15</v>
      </c>
      <c r="C24" s="114" t="s">
        <v>310</v>
      </c>
      <c r="D24" s="122" t="s">
        <v>76</v>
      </c>
      <c r="E24" s="246">
        <v>3</v>
      </c>
      <c r="F24" s="565">
        <v>0</v>
      </c>
      <c r="G24" s="569">
        <v>0</v>
      </c>
      <c r="H24" s="565">
        <v>0</v>
      </c>
      <c r="I24" s="569">
        <v>0</v>
      </c>
      <c r="J24" s="565">
        <v>0</v>
      </c>
      <c r="K24" s="569">
        <v>0</v>
      </c>
      <c r="L24" s="285">
        <f t="shared" si="12"/>
        <v>0</v>
      </c>
      <c r="M24" s="150"/>
      <c r="N24" s="77">
        <f t="shared" si="3"/>
        <v>0</v>
      </c>
      <c r="O24" s="29">
        <f t="shared" si="4"/>
        <v>0</v>
      </c>
      <c r="R24" s="120">
        <f t="shared" ref="R24:W24" si="17" xml:space="preserve"> IF( ISNUMBER( F24 ), 0, 1 )</f>
        <v>0</v>
      </c>
      <c r="S24" s="120">
        <f t="shared" si="17"/>
        <v>0</v>
      </c>
      <c r="T24" s="120">
        <f t="shared" si="17"/>
        <v>0</v>
      </c>
      <c r="U24" s="120">
        <f t="shared" si="17"/>
        <v>0</v>
      </c>
      <c r="V24" s="120">
        <f t="shared" si="17"/>
        <v>0</v>
      </c>
      <c r="W24" s="120">
        <f t="shared" si="17"/>
        <v>0</v>
      </c>
      <c r="Y24" s="120">
        <f t="shared" si="14"/>
        <v>0</v>
      </c>
      <c r="Z24" s="145"/>
      <c r="AA24" s="189">
        <f t="shared" si="6"/>
        <v>0</v>
      </c>
      <c r="AB24" s="189">
        <f xml:space="preserve"> ROUND( '2B'!F23, 3)</f>
        <v>0</v>
      </c>
      <c r="AC24" s="99" t="s">
        <v>643</v>
      </c>
      <c r="AD24" s="145"/>
    </row>
    <row r="25" spans="2:30" x14ac:dyDescent="0.2">
      <c r="B25" s="121">
        <f xml:space="preserve"> B24 + 1</f>
        <v>16</v>
      </c>
      <c r="C25" s="114" t="s">
        <v>318</v>
      </c>
      <c r="D25" s="122" t="s">
        <v>76</v>
      </c>
      <c r="E25" s="246">
        <v>3</v>
      </c>
      <c r="F25" s="277">
        <f>SUM(F23:F24)</f>
        <v>0</v>
      </c>
      <c r="G25" s="222">
        <f t="shared" ref="G25:K25" si="18">SUM(G23:G24)</f>
        <v>5.734</v>
      </c>
      <c r="H25" s="277">
        <f t="shared" si="18"/>
        <v>1.93</v>
      </c>
      <c r="I25" s="222">
        <f t="shared" si="18"/>
        <v>5.9009999999999998</v>
      </c>
      <c r="J25" s="277">
        <f t="shared" si="18"/>
        <v>22.609000000000002</v>
      </c>
      <c r="K25" s="222">
        <f t="shared" si="18"/>
        <v>77.891000000000005</v>
      </c>
      <c r="L25" s="285">
        <f t="shared" si="12"/>
        <v>114.065</v>
      </c>
      <c r="M25" s="150"/>
      <c r="N25" s="77">
        <f t="shared" si="3"/>
        <v>0</v>
      </c>
      <c r="O25" s="31"/>
      <c r="P25" s="150"/>
      <c r="Q25" s="145"/>
      <c r="S25" s="278"/>
      <c r="T25" s="278"/>
      <c r="U25" s="278"/>
      <c r="V25" s="278"/>
      <c r="W25" s="278"/>
      <c r="X25" s="145"/>
      <c r="Y25" s="120">
        <f t="shared" si="14"/>
        <v>0</v>
      </c>
      <c r="Z25" s="145"/>
      <c r="AA25" s="189">
        <f t="shared" si="6"/>
        <v>114.065</v>
      </c>
      <c r="AB25" s="189">
        <f xml:space="preserve"> ROUND( '2B'!F24, 3)</f>
        <v>114.065</v>
      </c>
      <c r="AC25" s="99" t="s">
        <v>644</v>
      </c>
      <c r="AD25" s="145"/>
    </row>
    <row r="26" spans="2:30" x14ac:dyDescent="0.2">
      <c r="B26" s="121">
        <f t="shared" si="15"/>
        <v>17</v>
      </c>
      <c r="C26" s="114" t="s">
        <v>319</v>
      </c>
      <c r="D26" s="122" t="s">
        <v>76</v>
      </c>
      <c r="E26" s="246">
        <v>3</v>
      </c>
      <c r="F26" s="565">
        <v>0</v>
      </c>
      <c r="G26" s="569">
        <v>0</v>
      </c>
      <c r="H26" s="565">
        <v>0</v>
      </c>
      <c r="I26" s="569">
        <v>0</v>
      </c>
      <c r="J26" s="565">
        <v>0</v>
      </c>
      <c r="K26" s="569">
        <v>14.341999999999999</v>
      </c>
      <c r="L26" s="285">
        <f t="shared" si="12"/>
        <v>14.341999999999999</v>
      </c>
      <c r="M26" s="150"/>
      <c r="N26" s="77">
        <f t="shared" si="3"/>
        <v>0</v>
      </c>
      <c r="O26" s="29">
        <f t="shared" si="4"/>
        <v>0</v>
      </c>
      <c r="R26" s="120">
        <f t="shared" ref="R26:W26" si="19" xml:space="preserve"> IF( ISNUMBER( F26 ), 0, 1 )</f>
        <v>0</v>
      </c>
      <c r="S26" s="120">
        <f t="shared" si="19"/>
        <v>0</v>
      </c>
      <c r="T26" s="120">
        <f t="shared" si="19"/>
        <v>0</v>
      </c>
      <c r="U26" s="120">
        <f t="shared" si="19"/>
        <v>0</v>
      </c>
      <c r="V26" s="120">
        <f t="shared" si="19"/>
        <v>0</v>
      </c>
      <c r="W26" s="120">
        <f t="shared" si="19"/>
        <v>0</v>
      </c>
      <c r="Y26" s="120">
        <f t="shared" si="14"/>
        <v>0</v>
      </c>
      <c r="Z26" s="145"/>
      <c r="AA26" s="189">
        <f t="shared" si="6"/>
        <v>14.342000000000001</v>
      </c>
      <c r="AB26" s="189">
        <f xml:space="preserve"> ROUND( '2B'!F25, 3)</f>
        <v>14.342000000000001</v>
      </c>
      <c r="AC26" s="99" t="s">
        <v>645</v>
      </c>
      <c r="AD26" s="145"/>
    </row>
    <row r="27" spans="2:30" ht="15" thickBot="1" x14ac:dyDescent="0.25">
      <c r="B27" s="128">
        <f t="shared" si="15"/>
        <v>18</v>
      </c>
      <c r="C27" s="129" t="s">
        <v>320</v>
      </c>
      <c r="D27" s="130" t="s">
        <v>76</v>
      </c>
      <c r="E27" s="257">
        <v>3</v>
      </c>
      <c r="F27" s="223">
        <f>F16+F25-F26</f>
        <v>5.5049999999999999</v>
      </c>
      <c r="G27" s="225">
        <f t="shared" ref="G27:K27" si="20">G16+G25-G26</f>
        <v>20.820999999999998</v>
      </c>
      <c r="H27" s="223">
        <f t="shared" si="20"/>
        <v>10.730999999999998</v>
      </c>
      <c r="I27" s="225">
        <f t="shared" si="20"/>
        <v>13.916</v>
      </c>
      <c r="J27" s="223">
        <f t="shared" si="20"/>
        <v>60.823</v>
      </c>
      <c r="K27" s="225">
        <f t="shared" si="20"/>
        <v>160.49</v>
      </c>
      <c r="L27" s="286">
        <f t="shared" si="12"/>
        <v>272.286</v>
      </c>
      <c r="M27" s="150"/>
      <c r="N27" s="77">
        <f t="shared" si="3"/>
        <v>0</v>
      </c>
      <c r="O27" s="31"/>
      <c r="P27" s="150"/>
      <c r="Q27" s="145"/>
      <c r="R27" s="232"/>
      <c r="S27" s="232"/>
      <c r="T27" s="232"/>
      <c r="U27" s="232"/>
      <c r="V27" s="232"/>
      <c r="W27" s="232"/>
      <c r="X27" s="145"/>
      <c r="Y27" s="120">
        <f t="shared" si="14"/>
        <v>0</v>
      </c>
      <c r="Z27" s="145"/>
      <c r="AA27" s="189">
        <f t="shared" si="6"/>
        <v>272.286</v>
      </c>
      <c r="AB27" s="189">
        <f xml:space="preserve"> ROUND( '2B'!F26, 3)</f>
        <v>272.286</v>
      </c>
      <c r="AC27" s="99" t="s">
        <v>646</v>
      </c>
      <c r="AD27" s="145"/>
    </row>
    <row r="28" spans="2:30" ht="15" thickBot="1" x14ac:dyDescent="0.25">
      <c r="M28" s="150"/>
      <c r="N28" s="77"/>
      <c r="O28" s="31"/>
      <c r="P28" s="150"/>
      <c r="Q28" s="145"/>
      <c r="R28" s="232"/>
      <c r="S28" s="232"/>
      <c r="T28" s="232"/>
      <c r="U28" s="232"/>
      <c r="V28" s="232"/>
      <c r="W28" s="232"/>
      <c r="X28" s="145"/>
      <c r="Y28" s="147"/>
      <c r="Z28" s="145"/>
      <c r="AA28" s="189"/>
      <c r="AB28" s="189"/>
      <c r="AD28" s="145"/>
    </row>
    <row r="29" spans="2:30" ht="15" thickBot="1" x14ac:dyDescent="0.25">
      <c r="B29" s="140" t="s">
        <v>139</v>
      </c>
      <c r="C29" s="141" t="s">
        <v>321</v>
      </c>
      <c r="D29" s="95"/>
      <c r="E29" s="95"/>
      <c r="F29" s="95"/>
      <c r="G29" s="95"/>
      <c r="H29" s="95"/>
      <c r="I29" s="95"/>
      <c r="J29" s="95"/>
      <c r="K29" s="95"/>
      <c r="L29" s="95"/>
      <c r="M29" s="150"/>
      <c r="N29" s="77"/>
      <c r="O29" s="31"/>
      <c r="P29" s="150"/>
      <c r="Q29" s="145"/>
      <c r="R29" s="232"/>
      <c r="S29" s="232"/>
      <c r="T29" s="232"/>
      <c r="U29" s="232"/>
      <c r="V29" s="232"/>
      <c r="W29" s="232"/>
      <c r="X29" s="145"/>
      <c r="Y29" s="147"/>
      <c r="Z29" s="145"/>
      <c r="AA29" s="189"/>
      <c r="AB29" s="189"/>
      <c r="AD29" s="145"/>
    </row>
    <row r="30" spans="2:30" x14ac:dyDescent="0.2">
      <c r="B30" s="113">
        <f>B27 + 1</f>
        <v>19</v>
      </c>
      <c r="C30" s="143" t="s">
        <v>322</v>
      </c>
      <c r="D30" s="115" t="s">
        <v>76</v>
      </c>
      <c r="E30" s="244">
        <v>3</v>
      </c>
      <c r="F30" s="567">
        <v>0</v>
      </c>
      <c r="G30" s="568">
        <v>0.437</v>
      </c>
      <c r="H30" s="567">
        <v>0.18</v>
      </c>
      <c r="I30" s="568">
        <v>6.8000000000000005E-2</v>
      </c>
      <c r="J30" s="567">
        <v>1.8240000000000001</v>
      </c>
      <c r="K30" s="568">
        <v>5</v>
      </c>
      <c r="L30" s="284">
        <f>SUM(F30:K30)</f>
        <v>7.5090000000000003</v>
      </c>
      <c r="M30" s="150"/>
      <c r="N30" s="77">
        <f t="shared" si="3"/>
        <v>0</v>
      </c>
      <c r="O30" s="29">
        <f t="shared" si="4"/>
        <v>0</v>
      </c>
      <c r="R30" s="120">
        <f t="shared" ref="R30:W31" si="21" xml:space="preserve"> IF( ISNUMBER( F30 ), 0, 1 )</f>
        <v>0</v>
      </c>
      <c r="S30" s="120">
        <f t="shared" si="21"/>
        <v>0</v>
      </c>
      <c r="T30" s="120">
        <f t="shared" si="21"/>
        <v>0</v>
      </c>
      <c r="U30" s="120">
        <f t="shared" si="21"/>
        <v>0</v>
      </c>
      <c r="V30" s="120">
        <f t="shared" si="21"/>
        <v>0</v>
      </c>
      <c r="W30" s="120">
        <f t="shared" si="21"/>
        <v>0</v>
      </c>
      <c r="Y30" s="120">
        <f xml:space="preserve"> IF( (AA30 - AB30) = 0, 0, 1 )</f>
        <v>0</v>
      </c>
      <c r="Z30" s="145"/>
      <c r="AA30" s="189">
        <f t="shared" si="6"/>
        <v>7.5090000000000003</v>
      </c>
      <c r="AB30" s="189">
        <f xml:space="preserve"> ROUND( '2B'!F29, 3)</f>
        <v>7.5090000000000003</v>
      </c>
      <c r="AC30" s="99" t="s">
        <v>647</v>
      </c>
      <c r="AD30" s="145"/>
    </row>
    <row r="31" spans="2:30" x14ac:dyDescent="0.2">
      <c r="B31" s="121">
        <f xml:space="preserve"> B30 + 1</f>
        <v>20</v>
      </c>
      <c r="C31" s="114" t="s">
        <v>323</v>
      </c>
      <c r="D31" s="122" t="s">
        <v>76</v>
      </c>
      <c r="E31" s="246">
        <v>3</v>
      </c>
      <c r="F31" s="565">
        <v>0</v>
      </c>
      <c r="G31" s="569">
        <v>0</v>
      </c>
      <c r="H31" s="565">
        <v>0</v>
      </c>
      <c r="I31" s="569">
        <v>0</v>
      </c>
      <c r="J31" s="565">
        <v>0</v>
      </c>
      <c r="K31" s="569">
        <v>0</v>
      </c>
      <c r="L31" s="285">
        <f>SUM(F31:K31)</f>
        <v>0</v>
      </c>
      <c r="M31" s="150"/>
      <c r="N31" s="77">
        <f t="shared" si="3"/>
        <v>0</v>
      </c>
      <c r="O31" s="29">
        <f t="shared" si="4"/>
        <v>0</v>
      </c>
      <c r="R31" s="120">
        <f t="shared" si="21"/>
        <v>0</v>
      </c>
      <c r="S31" s="120">
        <f t="shared" si="21"/>
        <v>0</v>
      </c>
      <c r="T31" s="120">
        <f t="shared" si="21"/>
        <v>0</v>
      </c>
      <c r="U31" s="120">
        <f t="shared" si="21"/>
        <v>0</v>
      </c>
      <c r="V31" s="120">
        <f t="shared" si="21"/>
        <v>0</v>
      </c>
      <c r="W31" s="120">
        <f t="shared" si="21"/>
        <v>0</v>
      </c>
      <c r="Y31" s="120">
        <f xml:space="preserve"> IF( (AA31 - AB31) = 0, 0, 1 )</f>
        <v>0</v>
      </c>
      <c r="Z31" s="145"/>
      <c r="AA31" s="189">
        <f t="shared" si="6"/>
        <v>0</v>
      </c>
      <c r="AB31" s="189">
        <f xml:space="preserve"> ROUND( '2B'!F30, 3)</f>
        <v>0</v>
      </c>
      <c r="AC31" s="99" t="s">
        <v>648</v>
      </c>
      <c r="AD31" s="145"/>
    </row>
    <row r="32" spans="2:30" ht="15" thickBot="1" x14ac:dyDescent="0.25">
      <c r="B32" s="128">
        <f t="shared" ref="B32" si="22" xml:space="preserve"> B31 + 1</f>
        <v>21</v>
      </c>
      <c r="C32" s="129" t="s">
        <v>324</v>
      </c>
      <c r="D32" s="130" t="s">
        <v>76</v>
      </c>
      <c r="E32" s="257">
        <v>3</v>
      </c>
      <c r="F32" s="223">
        <f>SUM(F27:F31)</f>
        <v>5.5049999999999999</v>
      </c>
      <c r="G32" s="225">
        <f t="shared" ref="G32:K32" si="23">SUM(G27:G31)</f>
        <v>21.257999999999999</v>
      </c>
      <c r="H32" s="223">
        <f t="shared" si="23"/>
        <v>10.910999999999998</v>
      </c>
      <c r="I32" s="225">
        <f t="shared" si="23"/>
        <v>13.984</v>
      </c>
      <c r="J32" s="223">
        <f t="shared" si="23"/>
        <v>62.646999999999998</v>
      </c>
      <c r="K32" s="225">
        <f t="shared" si="23"/>
        <v>165.49</v>
      </c>
      <c r="L32" s="286">
        <f>SUM(F32:K32)</f>
        <v>279.79500000000002</v>
      </c>
      <c r="M32" s="150"/>
      <c r="N32" s="77">
        <f t="shared" si="3"/>
        <v>0</v>
      </c>
      <c r="O32" s="31"/>
      <c r="P32" s="150"/>
      <c r="Q32" s="145"/>
      <c r="R32" s="232"/>
      <c r="S32" s="232"/>
      <c r="T32" s="232"/>
      <c r="U32" s="232"/>
      <c r="V32" s="232"/>
      <c r="W32" s="232"/>
      <c r="X32" s="145"/>
      <c r="Y32" s="120">
        <f xml:space="preserve"> IF( (AA32 - AB32) = 0, 0, 1 )</f>
        <v>0</v>
      </c>
      <c r="Z32" s="145"/>
      <c r="AA32" s="189">
        <f xml:space="preserve"> ROUND( L32, 3)</f>
        <v>279.79500000000002</v>
      </c>
      <c r="AB32" s="189">
        <f xml:space="preserve"> ROUND( '2B'!F33, 3)</f>
        <v>279.79500000000002</v>
      </c>
      <c r="AC32" s="99" t="s">
        <v>649</v>
      </c>
      <c r="AD32" s="145"/>
    </row>
    <row r="33" spans="2:30" ht="15" thickBot="1" x14ac:dyDescent="0.25">
      <c r="M33" s="150"/>
      <c r="N33" s="77"/>
      <c r="O33" s="31"/>
      <c r="P33" s="144"/>
      <c r="Q33" s="148"/>
      <c r="R33" s="232"/>
      <c r="S33" s="232"/>
      <c r="T33" s="232"/>
      <c r="U33" s="232"/>
      <c r="V33" s="232"/>
      <c r="W33" s="232"/>
      <c r="X33" s="148"/>
      <c r="Y33"/>
      <c r="Z33" s="148"/>
      <c r="AD33" s="148"/>
    </row>
    <row r="34" spans="2:30" ht="15" thickBot="1" x14ac:dyDescent="0.25">
      <c r="B34" s="140" t="s">
        <v>148</v>
      </c>
      <c r="C34" s="141" t="s">
        <v>650</v>
      </c>
      <c r="D34" s="95"/>
      <c r="E34" s="95"/>
      <c r="M34" s="150"/>
      <c r="N34" s="77"/>
      <c r="O34" s="31"/>
      <c r="P34" s="144"/>
      <c r="Q34" s="148"/>
      <c r="R34" s="232"/>
      <c r="S34" s="232"/>
      <c r="T34" s="232"/>
      <c r="U34" s="232"/>
      <c r="V34" s="232"/>
      <c r="W34" s="232"/>
      <c r="X34" s="148"/>
      <c r="Y34"/>
      <c r="Z34" s="148"/>
      <c r="AD34" s="148"/>
    </row>
    <row r="35" spans="2:30" ht="15" thickBot="1" x14ac:dyDescent="0.25">
      <c r="B35" s="113">
        <f>B32 + 1</f>
        <v>22</v>
      </c>
      <c r="C35" s="143" t="s">
        <v>651</v>
      </c>
      <c r="D35" s="115" t="s">
        <v>652</v>
      </c>
      <c r="E35" s="244">
        <v>3</v>
      </c>
      <c r="F35" s="581">
        <v>848969</v>
      </c>
      <c r="M35" s="150"/>
      <c r="N35" s="77"/>
      <c r="O35" s="29">
        <f t="shared" si="4"/>
        <v>0</v>
      </c>
      <c r="P35" s="144"/>
      <c r="Q35" s="148"/>
      <c r="R35" s="120">
        <f xml:space="preserve"> IF( ISNUMBER( F35 ), 0, 1 )</f>
        <v>0</v>
      </c>
      <c r="S35" s="232"/>
      <c r="T35" s="232"/>
      <c r="U35" s="232"/>
      <c r="V35" s="232"/>
      <c r="W35" s="232"/>
      <c r="X35" s="148"/>
      <c r="Y35"/>
      <c r="Z35" s="148"/>
      <c r="AD35" s="148"/>
    </row>
    <row r="36" spans="2:30" ht="15" thickBot="1" x14ac:dyDescent="0.25">
      <c r="B36" s="121">
        <f xml:space="preserve"> B35 + 1</f>
        <v>23</v>
      </c>
      <c r="C36" s="114" t="s">
        <v>653</v>
      </c>
      <c r="D36" s="122" t="s">
        <v>652</v>
      </c>
      <c r="E36" s="123">
        <v>3</v>
      </c>
      <c r="G36" s="581">
        <v>456130.478</v>
      </c>
      <c r="M36" s="150"/>
      <c r="N36" s="77"/>
      <c r="O36" s="29">
        <f t="shared" si="4"/>
        <v>0</v>
      </c>
      <c r="R36" s="232"/>
      <c r="S36" s="120">
        <f t="shared" ref="S36" si="24" xml:space="preserve"> IF( ISNUMBER( G36 ), 0, 1 )</f>
        <v>0</v>
      </c>
      <c r="T36" s="232"/>
      <c r="U36" s="232"/>
      <c r="V36" s="232"/>
      <c r="W36" s="232"/>
      <c r="Y36" s="137"/>
      <c r="Z36" s="148"/>
      <c r="AD36" s="148"/>
    </row>
    <row r="37" spans="2:30" ht="15" thickBot="1" x14ac:dyDescent="0.25">
      <c r="B37" s="121">
        <f t="shared" ref="B37:B40" si="25" xml:space="preserve"> B36 + 1</f>
        <v>24</v>
      </c>
      <c r="C37" s="114" t="s">
        <v>654</v>
      </c>
      <c r="D37" s="122" t="s">
        <v>652</v>
      </c>
      <c r="E37" s="123">
        <v>3</v>
      </c>
      <c r="H37" s="581">
        <v>282688</v>
      </c>
      <c r="M37" s="150"/>
      <c r="N37" s="77"/>
      <c r="O37" s="29">
        <f t="shared" si="4"/>
        <v>0</v>
      </c>
      <c r="R37" s="232"/>
      <c r="S37" s="232"/>
      <c r="T37" s="120">
        <f t="shared" ref="T37" si="26" xml:space="preserve"> IF( ISNUMBER( H37 ), 0, 1 )</f>
        <v>0</v>
      </c>
      <c r="U37" s="232"/>
      <c r="V37" s="232"/>
      <c r="W37" s="232"/>
      <c r="Z37" s="148"/>
      <c r="AD37" s="148"/>
    </row>
    <row r="38" spans="2:30" ht="15" thickBot="1" x14ac:dyDescent="0.25">
      <c r="B38" s="121">
        <f t="shared" si="25"/>
        <v>25</v>
      </c>
      <c r="C38" s="114" t="s">
        <v>655</v>
      </c>
      <c r="D38" s="122" t="s">
        <v>652</v>
      </c>
      <c r="E38" s="123">
        <v>3</v>
      </c>
      <c r="I38" s="581">
        <v>90053</v>
      </c>
      <c r="M38" s="153"/>
      <c r="N38" s="77"/>
      <c r="O38" s="29">
        <f t="shared" si="4"/>
        <v>0</v>
      </c>
      <c r="R38" s="232"/>
      <c r="S38" s="232"/>
      <c r="T38" s="232"/>
      <c r="U38" s="120">
        <f t="shared" ref="U38" si="27" xml:space="preserve"> IF( ISNUMBER( I38 ), 0, 1 )</f>
        <v>0</v>
      </c>
      <c r="V38" s="232"/>
      <c r="W38" s="232"/>
      <c r="Z38" s="148"/>
      <c r="AD38" s="148"/>
    </row>
    <row r="39" spans="2:30" ht="15" thickBot="1" x14ac:dyDescent="0.25">
      <c r="B39" s="121">
        <f t="shared" si="25"/>
        <v>26</v>
      </c>
      <c r="C39" s="114" t="s">
        <v>656</v>
      </c>
      <c r="D39" s="122" t="s">
        <v>652</v>
      </c>
      <c r="E39" s="123">
        <v>3</v>
      </c>
      <c r="J39" s="581">
        <v>453686.27999999997</v>
      </c>
      <c r="M39" s="153"/>
      <c r="N39" s="77"/>
      <c r="O39" s="29">
        <f t="shared" si="4"/>
        <v>0</v>
      </c>
      <c r="R39" s="232"/>
      <c r="S39" s="232"/>
      <c r="T39" s="232"/>
      <c r="U39" s="232"/>
      <c r="V39" s="120">
        <f xml:space="preserve"> IF( ISNUMBER( J39 ), 0, 1 )</f>
        <v>0</v>
      </c>
      <c r="W39" s="232"/>
      <c r="Z39" s="148"/>
      <c r="AA39" s="95"/>
      <c r="AB39" s="95"/>
      <c r="AC39" s="95"/>
      <c r="AD39" s="148"/>
    </row>
    <row r="40" spans="2:30" ht="15" thickBot="1" x14ac:dyDescent="0.25">
      <c r="B40" s="121">
        <f t="shared" si="25"/>
        <v>27</v>
      </c>
      <c r="C40" s="114" t="s">
        <v>657</v>
      </c>
      <c r="D40" s="122" t="s">
        <v>652</v>
      </c>
      <c r="E40" s="123">
        <v>3</v>
      </c>
      <c r="K40" s="581">
        <v>453686.28</v>
      </c>
      <c r="M40" s="153"/>
      <c r="N40" s="77"/>
      <c r="O40" s="29">
        <f xml:space="preserve"> IF( SUM( Q40:X40 ) = 0, 0, $R$6 )</f>
        <v>0</v>
      </c>
      <c r="R40" s="232"/>
      <c r="S40" s="232"/>
      <c r="T40" s="232"/>
      <c r="U40" s="232"/>
      <c r="V40" s="232"/>
      <c r="W40" s="120">
        <f xml:space="preserve"> IF( ISNUMBER( K40 ), 0, 1 )</f>
        <v>0</v>
      </c>
      <c r="Z40" s="148"/>
      <c r="AA40" s="187"/>
      <c r="AB40" s="187"/>
      <c r="AC40" s="187"/>
      <c r="AD40" s="148"/>
    </row>
    <row r="41" spans="2:30" ht="15" thickBot="1" x14ac:dyDescent="0.25">
      <c r="B41" s="128">
        <f xml:space="preserve"> B40 + 1</f>
        <v>28</v>
      </c>
      <c r="C41" s="129" t="s">
        <v>658</v>
      </c>
      <c r="D41" s="130" t="s">
        <v>659</v>
      </c>
      <c r="E41" s="127">
        <v>3</v>
      </c>
      <c r="F41" s="279">
        <f xml:space="preserve"> IF( F35 = 0, 0, F16 * 1000000 / F35 )</f>
        <v>6.4843357060151785</v>
      </c>
      <c r="G41" s="280">
        <f xml:space="preserve"> IF( G36 = 0, 0, G16 * 1000000 / G36 )</f>
        <v>33.076062064855044</v>
      </c>
      <c r="H41" s="280">
        <f xml:space="preserve"> IF( H37 = 0, 0, H16 * 1000000  / H37 )</f>
        <v>31.133263527280953</v>
      </c>
      <c r="I41" s="280">
        <f xml:space="preserve"> IF( I38 = 0, 0, I16 * 1000000  / I38 )</f>
        <v>89.003142593805876</v>
      </c>
      <c r="J41" s="280">
        <f xml:space="preserve"> IF( J39 = 0, 0, J16 * 1000000  / J39 )</f>
        <v>84.230010217633208</v>
      </c>
      <c r="K41" s="287">
        <f xml:space="preserve"> IF( K40 = 0, 0, K16 * 1000000  / K40 )</f>
        <v>213.67408333353174</v>
      </c>
      <c r="M41" s="153"/>
      <c r="N41" s="77"/>
      <c r="O41" s="136"/>
      <c r="P41" s="144"/>
      <c r="Q41" s="148"/>
      <c r="R41" s="232"/>
      <c r="S41" s="232"/>
      <c r="T41" s="232"/>
      <c r="U41" s="232"/>
      <c r="V41" s="232"/>
      <c r="W41" s="232"/>
      <c r="X41" s="148"/>
      <c r="Z41" s="148"/>
      <c r="AA41" s="187"/>
      <c r="AB41" s="187"/>
      <c r="AC41" s="187"/>
      <c r="AD41" s="148"/>
    </row>
    <row r="42" spans="2:30" x14ac:dyDescent="0.2">
      <c r="M42" s="153"/>
      <c r="O42" s="256"/>
      <c r="R42" s="232"/>
      <c r="S42" s="232"/>
      <c r="T42" s="232"/>
      <c r="U42" s="232"/>
      <c r="V42" s="232"/>
      <c r="W42" s="232"/>
      <c r="AA42" s="187"/>
      <c r="AB42" s="187"/>
      <c r="AC42" s="187"/>
    </row>
    <row r="43" spans="2:30" x14ac:dyDescent="0.2">
      <c r="B43" s="703" t="s">
        <v>90</v>
      </c>
      <c r="C43" s="703"/>
      <c r="D43" s="187"/>
      <c r="E43" s="187"/>
      <c r="F43" s="187"/>
      <c r="G43" s="187"/>
      <c r="M43" s="153"/>
      <c r="O43" s="256"/>
      <c r="R43" s="232"/>
      <c r="S43" s="232"/>
      <c r="T43" s="232"/>
      <c r="U43" s="232"/>
      <c r="V43" s="232"/>
      <c r="W43" s="232"/>
      <c r="AA43" s="187"/>
      <c r="AB43" s="187"/>
      <c r="AC43" s="187"/>
    </row>
    <row r="44" spans="2:30" x14ac:dyDescent="0.2">
      <c r="B44" s="162"/>
      <c r="C44" s="163"/>
      <c r="D44" s="187"/>
      <c r="E44" s="187"/>
      <c r="F44" s="187"/>
      <c r="G44" s="187"/>
      <c r="M44" s="153"/>
      <c r="O44" s="256"/>
      <c r="R44" s="232"/>
      <c r="S44" s="232"/>
      <c r="T44" s="232"/>
      <c r="U44" s="232"/>
      <c r="V44" s="232"/>
      <c r="W44" s="232"/>
      <c r="AA44" s="187"/>
      <c r="AB44" s="187"/>
      <c r="AC44" s="187"/>
    </row>
    <row r="45" spans="2:30" x14ac:dyDescent="0.2">
      <c r="B45" s="30"/>
      <c r="C45" s="164" t="s">
        <v>91</v>
      </c>
      <c r="D45" s="187"/>
      <c r="E45" s="187"/>
      <c r="F45" s="187"/>
      <c r="G45" s="187"/>
      <c r="M45" s="153"/>
      <c r="O45" s="256"/>
      <c r="R45" s="232"/>
      <c r="S45" s="232"/>
      <c r="T45" s="232"/>
      <c r="U45" s="232"/>
      <c r="V45" s="232"/>
      <c r="W45" s="232"/>
      <c r="AA45" s="187"/>
      <c r="AB45" s="187"/>
      <c r="AC45" s="187"/>
    </row>
    <row r="46" spans="2:30" x14ac:dyDescent="0.2">
      <c r="B46" s="162"/>
      <c r="C46" s="163"/>
      <c r="D46" s="187"/>
      <c r="E46" s="187"/>
      <c r="F46" s="187"/>
      <c r="G46" s="187"/>
      <c r="M46" s="153"/>
      <c r="O46" s="256"/>
      <c r="R46" s="232"/>
      <c r="S46" s="232"/>
      <c r="T46" s="232"/>
      <c r="U46" s="232"/>
      <c r="V46" s="232"/>
      <c r="W46" s="232"/>
      <c r="AA46" s="187"/>
      <c r="AB46" s="187"/>
      <c r="AC46" s="187"/>
    </row>
    <row r="47" spans="2:30" x14ac:dyDescent="0.2">
      <c r="B47" s="165"/>
      <c r="C47" s="164" t="s">
        <v>92</v>
      </c>
      <c r="D47" s="187"/>
      <c r="E47" s="187"/>
      <c r="F47" s="187"/>
      <c r="G47" s="187"/>
      <c r="M47" s="153"/>
      <c r="O47" s="256"/>
      <c r="R47" s="232"/>
      <c r="S47" s="232"/>
      <c r="T47" s="232"/>
      <c r="U47" s="232"/>
      <c r="V47" s="232"/>
      <c r="W47" s="232"/>
      <c r="AA47" s="206"/>
      <c r="AB47" s="206"/>
      <c r="AC47" s="206"/>
    </row>
    <row r="48" spans="2:30" x14ac:dyDescent="0.2">
      <c r="B48" s="166"/>
      <c r="C48" s="164"/>
      <c r="D48" s="187"/>
      <c r="E48" s="187"/>
      <c r="F48" s="187"/>
      <c r="G48" s="187"/>
      <c r="M48" s="153"/>
      <c r="O48" s="256"/>
      <c r="R48" s="232"/>
      <c r="S48" s="232"/>
      <c r="T48" s="232"/>
      <c r="U48" s="232"/>
      <c r="V48" s="232"/>
      <c r="W48" s="232"/>
      <c r="AA48" s="206"/>
      <c r="AB48" s="206"/>
      <c r="AC48" s="206"/>
    </row>
    <row r="49" spans="2:29" x14ac:dyDescent="0.2">
      <c r="B49" s="167"/>
      <c r="C49" s="164" t="s">
        <v>93</v>
      </c>
      <c r="D49" s="187"/>
      <c r="E49" s="187"/>
      <c r="F49" s="187"/>
      <c r="G49" s="187"/>
      <c r="M49" s="153"/>
      <c r="R49" s="232"/>
      <c r="S49" s="232"/>
      <c r="T49" s="232"/>
      <c r="U49" s="232"/>
      <c r="V49" s="232"/>
      <c r="W49" s="232"/>
      <c r="AA49" s="137"/>
      <c r="AB49" s="137"/>
      <c r="AC49" s="137"/>
    </row>
    <row r="50" spans="2:29" x14ac:dyDescent="0.2">
      <c r="B50" s="172"/>
      <c r="C50" s="173"/>
      <c r="D50" s="206"/>
      <c r="E50" s="206"/>
      <c r="F50" s="206"/>
      <c r="G50" s="206"/>
      <c r="M50" s="153"/>
      <c r="R50" s="232"/>
      <c r="S50" s="232"/>
      <c r="T50" s="232"/>
      <c r="U50" s="232"/>
      <c r="V50" s="232"/>
      <c r="W50" s="232"/>
      <c r="AA50" s="137"/>
      <c r="AB50" s="137"/>
      <c r="AC50" s="137"/>
    </row>
    <row r="51" spans="2:29" ht="15" thickBot="1" x14ac:dyDescent="0.25">
      <c r="B51" s="206"/>
      <c r="C51" s="207"/>
      <c r="D51" s="206"/>
      <c r="E51" s="206"/>
      <c r="F51" s="206"/>
      <c r="G51" s="206"/>
      <c r="M51" s="153"/>
      <c r="R51" s="232"/>
      <c r="S51" s="232"/>
      <c r="T51" s="232"/>
      <c r="U51" s="232"/>
      <c r="V51" s="232"/>
      <c r="W51" s="232"/>
      <c r="AA51" s="206"/>
      <c r="AB51" s="206"/>
      <c r="AC51" s="206"/>
    </row>
    <row r="52" spans="2:29" ht="16.5" thickBot="1" x14ac:dyDescent="0.25">
      <c r="B52" s="41" t="str">
        <f ca="1" xml:space="preserve"> RIGHT(CELL("filename", $A$1), LEN(CELL("filename", $A$1)) - SEARCH("]", CELL("filename", $A$1)))&amp;" - Line definitions"</f>
        <v>4D - Line definitions</v>
      </c>
      <c r="C52" s="169"/>
      <c r="D52" s="170"/>
      <c r="E52" s="170"/>
      <c r="F52" s="170"/>
      <c r="G52" s="170"/>
      <c r="H52" s="170"/>
      <c r="I52" s="170"/>
      <c r="J52" s="170"/>
      <c r="K52" s="170"/>
      <c r="L52" s="288"/>
      <c r="M52" s="153"/>
      <c r="R52" s="232"/>
      <c r="S52" s="232"/>
      <c r="T52" s="232"/>
      <c r="U52" s="232"/>
      <c r="V52" s="232"/>
      <c r="W52" s="232"/>
      <c r="AA52" s="137"/>
      <c r="AB52" s="137"/>
      <c r="AC52" s="137"/>
    </row>
    <row r="53" spans="2:29" ht="15" thickBot="1" x14ac:dyDescent="0.25">
      <c r="B53" s="99"/>
      <c r="C53" s="177"/>
      <c r="D53" s="99"/>
      <c r="E53" s="99"/>
      <c r="F53" s="99"/>
      <c r="G53" s="137"/>
      <c r="M53" s="153"/>
      <c r="R53" s="232"/>
      <c r="S53" s="232"/>
      <c r="T53" s="232"/>
      <c r="U53" s="232"/>
      <c r="V53" s="232"/>
      <c r="W53" s="232"/>
      <c r="AA53" s="137"/>
      <c r="AB53" s="137"/>
      <c r="AC53" s="137"/>
    </row>
    <row r="54" spans="2:29" ht="15" thickBot="1" x14ac:dyDescent="0.25">
      <c r="B54" s="289" t="s">
        <v>94</v>
      </c>
      <c r="C54" s="845" t="s">
        <v>95</v>
      </c>
      <c r="D54" s="846"/>
      <c r="E54" s="846"/>
      <c r="F54" s="846"/>
      <c r="G54" s="846"/>
      <c r="H54" s="846"/>
      <c r="I54" s="846"/>
      <c r="J54" s="846"/>
      <c r="K54" s="846"/>
      <c r="L54" s="847"/>
      <c r="M54" s="153"/>
      <c r="R54" s="112" t="s">
        <v>96</v>
      </c>
      <c r="S54" s="232"/>
      <c r="T54" s="232"/>
      <c r="U54" s="232"/>
      <c r="V54" s="232"/>
      <c r="W54" s="232"/>
      <c r="AA54" s="137"/>
      <c r="AB54" s="137"/>
      <c r="AC54" s="137"/>
    </row>
    <row r="55" spans="2:29" ht="14.1" customHeight="1" x14ac:dyDescent="0.2">
      <c r="B55" s="290">
        <f>B7</f>
        <v>1</v>
      </c>
      <c r="C55" s="848" t="s">
        <v>325</v>
      </c>
      <c r="D55" s="849"/>
      <c r="E55" s="849"/>
      <c r="F55" s="849"/>
      <c r="G55" s="849"/>
      <c r="H55" s="849"/>
      <c r="I55" s="849"/>
      <c r="J55" s="849"/>
      <c r="K55" s="849"/>
      <c r="L55" s="850"/>
      <c r="M55" s="153"/>
      <c r="R55" s="186">
        <v>1</v>
      </c>
      <c r="S55" s="232"/>
      <c r="T55" s="232"/>
      <c r="U55" s="232"/>
      <c r="V55" s="232"/>
      <c r="W55" s="232"/>
      <c r="AA55" s="137"/>
      <c r="AB55" s="137"/>
      <c r="AC55" s="137"/>
    </row>
    <row r="56" spans="2:29" ht="25.5" x14ac:dyDescent="0.2">
      <c r="B56" s="291">
        <f t="shared" ref="B56:B61" si="28">B8</f>
        <v>2</v>
      </c>
      <c r="C56" s="842" t="s">
        <v>660</v>
      </c>
      <c r="D56" s="843"/>
      <c r="E56" s="843"/>
      <c r="F56" s="843"/>
      <c r="G56" s="843"/>
      <c r="H56" s="843"/>
      <c r="I56" s="843"/>
      <c r="J56" s="843"/>
      <c r="K56" s="843"/>
      <c r="L56" s="844"/>
      <c r="M56" s="153"/>
      <c r="R56" s="186" t="s">
        <v>101</v>
      </c>
      <c r="S56" s="232"/>
      <c r="T56" s="232"/>
      <c r="U56" s="232"/>
      <c r="V56" s="232"/>
      <c r="W56" s="232"/>
      <c r="AA56" s="137"/>
      <c r="AB56" s="137"/>
      <c r="AC56" s="137"/>
    </row>
    <row r="57" spans="2:29" ht="14.1" customHeight="1" x14ac:dyDescent="0.2">
      <c r="B57" s="291">
        <f t="shared" si="28"/>
        <v>3</v>
      </c>
      <c r="C57" s="842" t="s">
        <v>327</v>
      </c>
      <c r="D57" s="843"/>
      <c r="E57" s="843"/>
      <c r="F57" s="843"/>
      <c r="G57" s="843"/>
      <c r="H57" s="843"/>
      <c r="I57" s="843"/>
      <c r="J57" s="843"/>
      <c r="K57" s="843"/>
      <c r="L57" s="844"/>
      <c r="M57" s="153"/>
      <c r="R57" s="186">
        <v>1</v>
      </c>
      <c r="S57" s="232"/>
      <c r="T57" s="232"/>
      <c r="U57" s="232"/>
      <c r="V57" s="232"/>
      <c r="W57" s="232"/>
      <c r="AA57" s="137"/>
      <c r="AB57" s="137"/>
      <c r="AC57" s="137"/>
    </row>
    <row r="58" spans="2:29" x14ac:dyDescent="0.2">
      <c r="B58" s="291">
        <f t="shared" si="28"/>
        <v>4</v>
      </c>
      <c r="C58" s="842" t="s">
        <v>661</v>
      </c>
      <c r="D58" s="843"/>
      <c r="E58" s="843"/>
      <c r="F58" s="843"/>
      <c r="G58" s="843"/>
      <c r="H58" s="843"/>
      <c r="I58" s="843"/>
      <c r="J58" s="843"/>
      <c r="K58" s="843"/>
      <c r="L58" s="844"/>
      <c r="M58" s="153"/>
      <c r="R58" s="186">
        <v>1</v>
      </c>
      <c r="S58" s="232"/>
      <c r="T58" s="232"/>
      <c r="U58" s="232"/>
      <c r="V58" s="232"/>
      <c r="W58" s="232"/>
      <c r="AA58" s="137"/>
      <c r="AB58" s="137"/>
      <c r="AC58" s="137"/>
    </row>
    <row r="59" spans="2:29" ht="14.1" customHeight="1" x14ac:dyDescent="0.2">
      <c r="B59" s="291">
        <f t="shared" si="28"/>
        <v>5</v>
      </c>
      <c r="C59" s="842" t="s">
        <v>662</v>
      </c>
      <c r="D59" s="843"/>
      <c r="E59" s="843"/>
      <c r="F59" s="843"/>
      <c r="G59" s="843"/>
      <c r="H59" s="843"/>
      <c r="I59" s="843"/>
      <c r="J59" s="843"/>
      <c r="K59" s="843"/>
      <c r="L59" s="844"/>
      <c r="M59" s="153"/>
      <c r="R59" s="292">
        <v>1</v>
      </c>
      <c r="S59" s="137"/>
      <c r="T59" s="137"/>
      <c r="U59" s="137"/>
      <c r="V59" s="137"/>
      <c r="W59" s="137"/>
      <c r="AA59" s="137"/>
      <c r="AB59" s="137"/>
      <c r="AC59" s="137"/>
    </row>
    <row r="60" spans="2:29" x14ac:dyDescent="0.2">
      <c r="B60" s="291">
        <f t="shared" si="28"/>
        <v>6</v>
      </c>
      <c r="C60" s="842" t="s">
        <v>330</v>
      </c>
      <c r="D60" s="843"/>
      <c r="E60" s="843"/>
      <c r="F60" s="843"/>
      <c r="G60" s="843"/>
      <c r="H60" s="843"/>
      <c r="I60" s="843"/>
      <c r="J60" s="843"/>
      <c r="K60" s="843"/>
      <c r="L60" s="844"/>
      <c r="M60" s="153"/>
      <c r="R60" s="292">
        <v>1</v>
      </c>
      <c r="S60" s="137"/>
      <c r="T60" s="137"/>
      <c r="U60" s="137"/>
      <c r="V60" s="137"/>
      <c r="W60" s="137"/>
      <c r="AA60" s="137"/>
      <c r="AB60" s="137"/>
      <c r="AC60" s="137"/>
    </row>
    <row r="61" spans="2:29" ht="14.1" customHeight="1" x14ac:dyDescent="0.2">
      <c r="B61" s="291">
        <f t="shared" si="28"/>
        <v>7</v>
      </c>
      <c r="C61" s="842" t="s">
        <v>663</v>
      </c>
      <c r="D61" s="843"/>
      <c r="E61" s="843"/>
      <c r="F61" s="843"/>
      <c r="G61" s="843"/>
      <c r="H61" s="843"/>
      <c r="I61" s="843"/>
      <c r="J61" s="843"/>
      <c r="K61" s="843"/>
      <c r="L61" s="844"/>
      <c r="R61" s="292">
        <v>1</v>
      </c>
      <c r="S61" s="137"/>
      <c r="T61" s="137"/>
      <c r="U61" s="137"/>
      <c r="V61" s="137"/>
      <c r="W61" s="137"/>
      <c r="AA61" s="137"/>
      <c r="AB61" s="137"/>
      <c r="AC61" s="137"/>
    </row>
    <row r="62" spans="2:29" x14ac:dyDescent="0.2">
      <c r="B62" s="291">
        <f>B15</f>
        <v>8</v>
      </c>
      <c r="C62" s="842" t="s">
        <v>332</v>
      </c>
      <c r="D62" s="843"/>
      <c r="E62" s="843"/>
      <c r="F62" s="843"/>
      <c r="G62" s="843"/>
      <c r="H62" s="843"/>
      <c r="I62" s="843"/>
      <c r="J62" s="843"/>
      <c r="K62" s="843"/>
      <c r="L62" s="844"/>
      <c r="R62" s="292">
        <v>1</v>
      </c>
      <c r="S62" s="137"/>
      <c r="T62" s="137"/>
      <c r="U62" s="137"/>
      <c r="V62" s="137"/>
      <c r="W62" s="137"/>
      <c r="AA62" s="137"/>
      <c r="AB62" s="137"/>
      <c r="AC62" s="137"/>
    </row>
    <row r="63" spans="2:29" ht="27.6" customHeight="1" x14ac:dyDescent="0.2">
      <c r="B63" s="291">
        <f>B16</f>
        <v>9</v>
      </c>
      <c r="C63" s="842" t="s">
        <v>664</v>
      </c>
      <c r="D63" s="843"/>
      <c r="E63" s="843"/>
      <c r="F63" s="843"/>
      <c r="G63" s="843"/>
      <c r="H63" s="843"/>
      <c r="I63" s="843"/>
      <c r="J63" s="843"/>
      <c r="K63" s="843"/>
      <c r="L63" s="844"/>
      <c r="R63" s="186" t="s">
        <v>101</v>
      </c>
      <c r="AA63" s="137"/>
      <c r="AB63" s="137"/>
      <c r="AC63" s="137"/>
    </row>
    <row r="64" spans="2:29" x14ac:dyDescent="0.2">
      <c r="B64" s="291">
        <f t="shared" ref="B64:B72" si="29">B19</f>
        <v>10</v>
      </c>
      <c r="C64" s="842" t="s">
        <v>334</v>
      </c>
      <c r="D64" s="843"/>
      <c r="E64" s="843"/>
      <c r="F64" s="843"/>
      <c r="G64" s="843"/>
      <c r="H64" s="843"/>
      <c r="I64" s="843"/>
      <c r="J64" s="843"/>
      <c r="K64" s="843"/>
      <c r="L64" s="844"/>
      <c r="R64" s="183">
        <v>1</v>
      </c>
      <c r="AA64" s="137"/>
      <c r="AB64" s="137"/>
      <c r="AC64" s="137"/>
    </row>
    <row r="65" spans="2:29" x14ac:dyDescent="0.2">
      <c r="B65" s="291">
        <f t="shared" si="29"/>
        <v>11</v>
      </c>
      <c r="C65" s="842" t="s">
        <v>335</v>
      </c>
      <c r="D65" s="843"/>
      <c r="E65" s="843"/>
      <c r="F65" s="843"/>
      <c r="G65" s="843"/>
      <c r="H65" s="843"/>
      <c r="I65" s="843"/>
      <c r="J65" s="843"/>
      <c r="K65" s="843"/>
      <c r="L65" s="844"/>
      <c r="R65" s="183">
        <v>1</v>
      </c>
      <c r="AA65" s="137"/>
      <c r="AB65" s="137"/>
      <c r="AC65" s="137"/>
    </row>
    <row r="66" spans="2:29" ht="14.1" customHeight="1" x14ac:dyDescent="0.2">
      <c r="B66" s="291">
        <f t="shared" si="29"/>
        <v>12</v>
      </c>
      <c r="C66" s="842" t="s">
        <v>665</v>
      </c>
      <c r="D66" s="843"/>
      <c r="E66" s="843"/>
      <c r="F66" s="843"/>
      <c r="G66" s="843"/>
      <c r="H66" s="843"/>
      <c r="I66" s="843"/>
      <c r="J66" s="843"/>
      <c r="K66" s="843"/>
      <c r="L66" s="844"/>
      <c r="R66" s="183">
        <v>1</v>
      </c>
      <c r="AA66" s="137"/>
      <c r="AB66" s="137"/>
      <c r="AC66" s="137"/>
    </row>
    <row r="67" spans="2:29" ht="14.1" customHeight="1" x14ac:dyDescent="0.2">
      <c r="B67" s="291">
        <f t="shared" si="29"/>
        <v>13</v>
      </c>
      <c r="C67" s="842" t="s">
        <v>666</v>
      </c>
      <c r="D67" s="843"/>
      <c r="E67" s="843"/>
      <c r="F67" s="843"/>
      <c r="G67" s="843"/>
      <c r="H67" s="843"/>
      <c r="I67" s="843"/>
      <c r="J67" s="843"/>
      <c r="K67" s="843"/>
      <c r="L67" s="844"/>
      <c r="R67" s="183">
        <v>1</v>
      </c>
      <c r="AA67" s="137"/>
      <c r="AB67" s="137"/>
      <c r="AC67" s="137"/>
    </row>
    <row r="68" spans="2:29" ht="14.1" customHeight="1" x14ac:dyDescent="0.2">
      <c r="B68" s="291">
        <f t="shared" si="29"/>
        <v>14</v>
      </c>
      <c r="C68" s="842" t="s">
        <v>667</v>
      </c>
      <c r="D68" s="843"/>
      <c r="E68" s="843"/>
      <c r="F68" s="843"/>
      <c r="G68" s="843"/>
      <c r="H68" s="843"/>
      <c r="I68" s="843"/>
      <c r="J68" s="843"/>
      <c r="K68" s="843"/>
      <c r="L68" s="844"/>
      <c r="R68" s="183">
        <v>1</v>
      </c>
      <c r="AA68" s="137"/>
      <c r="AB68" s="137"/>
      <c r="AC68" s="137"/>
    </row>
    <row r="69" spans="2:29" x14ac:dyDescent="0.2">
      <c r="B69" s="291">
        <f t="shared" si="29"/>
        <v>15</v>
      </c>
      <c r="C69" s="842" t="s">
        <v>339</v>
      </c>
      <c r="D69" s="843"/>
      <c r="E69" s="843"/>
      <c r="F69" s="843"/>
      <c r="G69" s="843"/>
      <c r="H69" s="843"/>
      <c r="I69" s="843"/>
      <c r="J69" s="843"/>
      <c r="K69" s="843"/>
      <c r="L69" s="844"/>
      <c r="R69" s="183">
        <v>1</v>
      </c>
      <c r="AA69" s="137"/>
      <c r="AB69" s="137"/>
      <c r="AC69" s="137"/>
    </row>
    <row r="70" spans="2:29" x14ac:dyDescent="0.2">
      <c r="B70" s="291">
        <f t="shared" si="29"/>
        <v>16</v>
      </c>
      <c r="C70" s="842" t="s">
        <v>668</v>
      </c>
      <c r="D70" s="843"/>
      <c r="E70" s="843"/>
      <c r="F70" s="843"/>
      <c r="G70" s="843"/>
      <c r="H70" s="843"/>
      <c r="I70" s="843"/>
      <c r="J70" s="843"/>
      <c r="K70" s="843"/>
      <c r="L70" s="844"/>
      <c r="R70" s="183">
        <v>1</v>
      </c>
      <c r="AA70" s="137"/>
      <c r="AB70" s="137"/>
      <c r="AC70" s="137"/>
    </row>
    <row r="71" spans="2:29" ht="14.1" customHeight="1" x14ac:dyDescent="0.2">
      <c r="B71" s="291">
        <f t="shared" si="29"/>
        <v>17</v>
      </c>
      <c r="C71" s="842" t="s">
        <v>669</v>
      </c>
      <c r="D71" s="843"/>
      <c r="E71" s="843"/>
      <c r="F71" s="843"/>
      <c r="G71" s="843"/>
      <c r="H71" s="843"/>
      <c r="I71" s="843"/>
      <c r="J71" s="843"/>
      <c r="K71" s="843"/>
      <c r="L71" s="844"/>
      <c r="R71" s="183">
        <v>1</v>
      </c>
      <c r="AA71" s="137"/>
      <c r="AB71" s="137"/>
      <c r="AC71" s="137"/>
    </row>
    <row r="72" spans="2:29" x14ac:dyDescent="0.2">
      <c r="B72" s="291">
        <f t="shared" si="29"/>
        <v>18</v>
      </c>
      <c r="C72" s="842" t="s">
        <v>670</v>
      </c>
      <c r="D72" s="843"/>
      <c r="E72" s="843"/>
      <c r="F72" s="843"/>
      <c r="G72" s="843"/>
      <c r="H72" s="843"/>
      <c r="I72" s="843"/>
      <c r="J72" s="843"/>
      <c r="K72" s="843"/>
      <c r="L72" s="844"/>
      <c r="R72" s="183">
        <v>1</v>
      </c>
      <c r="AA72" s="137"/>
      <c r="AB72" s="137"/>
      <c r="AC72" s="137"/>
    </row>
    <row r="73" spans="2:29" ht="14.1" customHeight="1" x14ac:dyDescent="0.2">
      <c r="B73" s="291">
        <f>B30</f>
        <v>19</v>
      </c>
      <c r="C73" s="842" t="s">
        <v>343</v>
      </c>
      <c r="D73" s="843"/>
      <c r="E73" s="843"/>
      <c r="F73" s="843"/>
      <c r="G73" s="843"/>
      <c r="H73" s="843"/>
      <c r="I73" s="843"/>
      <c r="J73" s="843"/>
      <c r="K73" s="843"/>
      <c r="L73" s="844"/>
      <c r="R73" s="183">
        <v>1</v>
      </c>
      <c r="AA73" s="137"/>
      <c r="AB73" s="137"/>
      <c r="AC73" s="137"/>
    </row>
    <row r="74" spans="2:29" x14ac:dyDescent="0.2">
      <c r="B74" s="291">
        <f>B31</f>
        <v>20</v>
      </c>
      <c r="C74" s="842" t="s">
        <v>344</v>
      </c>
      <c r="D74" s="843"/>
      <c r="E74" s="843"/>
      <c r="F74" s="843"/>
      <c r="G74" s="843"/>
      <c r="H74" s="843"/>
      <c r="I74" s="843"/>
      <c r="J74" s="843"/>
      <c r="K74" s="843"/>
      <c r="L74" s="844"/>
      <c r="R74" s="183">
        <v>1</v>
      </c>
    </row>
    <row r="75" spans="2:29" x14ac:dyDescent="0.2">
      <c r="B75" s="291">
        <f>B32</f>
        <v>21</v>
      </c>
      <c r="C75" s="842" t="s">
        <v>671</v>
      </c>
      <c r="D75" s="843"/>
      <c r="E75" s="843"/>
      <c r="F75" s="843"/>
      <c r="G75" s="843"/>
      <c r="H75" s="843"/>
      <c r="I75" s="843"/>
      <c r="J75" s="843"/>
      <c r="K75" s="843"/>
      <c r="L75" s="844"/>
      <c r="R75" s="183">
        <v>1</v>
      </c>
    </row>
    <row r="76" spans="2:29" ht="14.1" customHeight="1" x14ac:dyDescent="0.2">
      <c r="B76" s="291" t="s">
        <v>672</v>
      </c>
      <c r="C76" s="842" t="s">
        <v>673</v>
      </c>
      <c r="D76" s="843"/>
      <c r="E76" s="843"/>
      <c r="F76" s="843"/>
      <c r="G76" s="843"/>
      <c r="H76" s="843"/>
      <c r="I76" s="843"/>
      <c r="J76" s="843"/>
      <c r="K76" s="843"/>
      <c r="L76" s="844"/>
      <c r="R76" s="183">
        <v>1</v>
      </c>
    </row>
    <row r="77" spans="2:29" ht="15" thickBot="1" x14ac:dyDescent="0.25">
      <c r="B77" s="293">
        <v>30</v>
      </c>
      <c r="C77" s="839" t="s">
        <v>674</v>
      </c>
      <c r="D77" s="840"/>
      <c r="E77" s="840"/>
      <c r="F77" s="840"/>
      <c r="G77" s="840"/>
      <c r="H77" s="840"/>
      <c r="I77" s="840"/>
      <c r="J77" s="840"/>
      <c r="K77" s="840"/>
      <c r="L77" s="841"/>
      <c r="R77" s="183">
        <v>1</v>
      </c>
    </row>
    <row r="78" spans="2:29" x14ac:dyDescent="0.2">
      <c r="R78" s="183"/>
    </row>
    <row r="79" spans="2:29" hidden="1" x14ac:dyDescent="0.2">
      <c r="R79" s="147"/>
    </row>
    <row r="80" spans="2:29" hidden="1" x14ac:dyDescent="0.2">
      <c r="R80" s="147"/>
    </row>
    <row r="81" spans="18:18" hidden="1" x14ac:dyDescent="0.2">
      <c r="R81" s="147"/>
    </row>
    <row r="82" spans="18:18" hidden="1" x14ac:dyDescent="0.2">
      <c r="R82" s="147"/>
    </row>
    <row r="83" spans="18:18" hidden="1" x14ac:dyDescent="0.2">
      <c r="R83" s="147"/>
    </row>
    <row r="84" spans="18:18" hidden="1" x14ac:dyDescent="0.2">
      <c r="R84" s="147"/>
    </row>
    <row r="85" spans="18:18" hidden="1" x14ac:dyDescent="0.2">
      <c r="R85" s="147"/>
    </row>
    <row r="86" spans="18:18" hidden="1" x14ac:dyDescent="0.2">
      <c r="R86" s="147"/>
    </row>
    <row r="87" spans="18:18" hidden="1" x14ac:dyDescent="0.2">
      <c r="R87" s="147"/>
    </row>
    <row r="88" spans="18:18" hidden="1" x14ac:dyDescent="0.2">
      <c r="R88" s="147"/>
    </row>
    <row r="89" spans="18:18" hidden="1" x14ac:dyDescent="0.2">
      <c r="R89" s="147"/>
    </row>
    <row r="90" spans="18:18" hidden="1" x14ac:dyDescent="0.2">
      <c r="R90" s="147"/>
    </row>
    <row r="91" spans="18:18" hidden="1" x14ac:dyDescent="0.2">
      <c r="R91" s="147"/>
    </row>
    <row r="92" spans="18:18" hidden="1" x14ac:dyDescent="0.2">
      <c r="R92" s="147"/>
    </row>
    <row r="93" spans="18:18" hidden="1" x14ac:dyDescent="0.2">
      <c r="R93" s="147"/>
    </row>
    <row r="94" spans="18:18" hidden="1" x14ac:dyDescent="0.2">
      <c r="R94" s="147"/>
    </row>
  </sheetData>
  <sheetProtection algorithmName="SHA-512" hashValue="YK5ntaLbfZBhFdXE+i45m2ze5rrKLL6H5Tpv+XIcBb6V1fJ+9eMDHtHEVTvYUW/Uk9V6EQKVI8Z/T3CPIN2Ohw==" saltValue="mPPCLGbs+uHk4Tr3sLPYzA==" spinCount="100000" sheet="1" objects="1" scenarios="1"/>
  <mergeCells count="36">
    <mergeCell ref="H3:I3"/>
    <mergeCell ref="J3:J4"/>
    <mergeCell ref="B43:C43"/>
    <mergeCell ref="B3:C4"/>
    <mergeCell ref="D3:D4"/>
    <mergeCell ref="E3:E4"/>
    <mergeCell ref="F3:G3"/>
    <mergeCell ref="K3:K4"/>
    <mergeCell ref="L3:L4"/>
    <mergeCell ref="N3:N4"/>
    <mergeCell ref="O3:O4"/>
    <mergeCell ref="R5:W5"/>
    <mergeCell ref="C65:L65"/>
    <mergeCell ref="C54:L54"/>
    <mergeCell ref="C55:L55"/>
    <mergeCell ref="C56:L56"/>
    <mergeCell ref="C57:L57"/>
    <mergeCell ref="C58:L58"/>
    <mergeCell ref="C59:L59"/>
    <mergeCell ref="C60:L60"/>
    <mergeCell ref="C61:L61"/>
    <mergeCell ref="C62:L62"/>
    <mergeCell ref="C63:L63"/>
    <mergeCell ref="C64:L64"/>
    <mergeCell ref="C77:L77"/>
    <mergeCell ref="C66:L66"/>
    <mergeCell ref="C67:L67"/>
    <mergeCell ref="C68:L68"/>
    <mergeCell ref="C69:L69"/>
    <mergeCell ref="C70:L70"/>
    <mergeCell ref="C71:L71"/>
    <mergeCell ref="C72:L72"/>
    <mergeCell ref="C73:L73"/>
    <mergeCell ref="C74:L74"/>
    <mergeCell ref="C75:L75"/>
    <mergeCell ref="C76:L76"/>
  </mergeCells>
  <conditionalFormatting sqref="N7:N41">
    <cfRule type="cellIs" dxfId="31" priority="1" operator="equal">
      <formula>0</formula>
    </cfRule>
  </conditionalFormatting>
  <conditionalFormatting sqref="O6:O12">
    <cfRule type="cellIs" dxfId="30" priority="8" operator="equal">
      <formula>0</formula>
    </cfRule>
  </conditionalFormatting>
  <conditionalFormatting sqref="O15">
    <cfRule type="cellIs" dxfId="29" priority="7" operator="equal">
      <formula>0</formula>
    </cfRule>
  </conditionalFormatting>
  <conditionalFormatting sqref="O19:O22">
    <cfRule type="cellIs" dxfId="28" priority="6" operator="equal">
      <formula>0</formula>
    </cfRule>
  </conditionalFormatting>
  <conditionalFormatting sqref="O24">
    <cfRule type="cellIs" dxfId="27" priority="5" operator="equal">
      <formula>0</formula>
    </cfRule>
  </conditionalFormatting>
  <conditionalFormatting sqref="O26">
    <cfRule type="cellIs" dxfId="26" priority="4" operator="equal">
      <formula>0</formula>
    </cfRule>
  </conditionalFormatting>
  <conditionalFormatting sqref="O30:O31">
    <cfRule type="cellIs" dxfId="25" priority="3" operator="equal">
      <formula>0</formula>
    </cfRule>
  </conditionalFormatting>
  <conditionalFormatting sqref="O35:O40">
    <cfRule type="cellIs" dxfId="24" priority="2" operator="equal">
      <formula>0</formula>
    </cfRule>
  </conditionalFormatting>
  <printOptions horizontalCentered="1"/>
  <pageMargins left="0.39370078740157483" right="0.39370078740157483" top="0.78740157480314965" bottom="0.78740157480314965" header="0.31496062992125984" footer="0.31496062992125984"/>
  <pageSetup paperSize="8" scale="69"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H80"/>
  <sheetViews>
    <sheetView showGridLines="0" tabSelected="1" zoomScale="90" zoomScaleNormal="90" workbookViewId="0">
      <selection activeCell="F11" activeCellId="1" sqref="F11"/>
    </sheetView>
  </sheetViews>
  <sheetFormatPr defaultColWidth="0" defaultRowHeight="14.25" zeroHeight="1" x14ac:dyDescent="0.2"/>
  <cols>
    <col min="1" max="1" width="1.625" customWidth="1"/>
    <col min="2" max="2" width="4.125" customWidth="1"/>
    <col min="3" max="3" width="45.125" customWidth="1"/>
    <col min="4" max="5" width="5.125" customWidth="1"/>
    <col min="6" max="14" width="12.625" customWidth="1"/>
    <col min="15" max="15" width="2.625" style="95" customWidth="1"/>
    <col min="16" max="16" width="17.375" style="99" customWidth="1"/>
    <col min="17" max="17" width="18.875" style="95" bestFit="1" customWidth="1"/>
    <col min="18" max="18" width="1.625" style="95" customWidth="1"/>
    <col min="19" max="19" width="1.625" style="96" hidden="1" customWidth="1"/>
    <col min="20" max="27" width="4.625" style="95" hidden="1" customWidth="1"/>
    <col min="28" max="28" width="1.625" style="96" hidden="1" customWidth="1"/>
    <col min="29" max="29" width="8.875" style="99" hidden="1" customWidth="1"/>
    <col min="30" max="30" width="1.625" style="96" hidden="1" customWidth="1"/>
    <col min="31" max="32" width="8.875" style="99" hidden="1" customWidth="1"/>
    <col min="33" max="33" width="71.125" style="99" hidden="1" customWidth="1"/>
    <col min="34" max="34" width="1.625" style="96" hidden="1" customWidth="1"/>
    <col min="35" max="16384" width="8.75" hidden="1"/>
  </cols>
  <sheetData>
    <row r="1" spans="2:34" ht="20.25" x14ac:dyDescent="0.2">
      <c r="B1" s="91" t="s">
        <v>675</v>
      </c>
      <c r="C1" s="91"/>
      <c r="D1" s="91"/>
      <c r="E1" s="91"/>
      <c r="F1" s="91"/>
      <c r="G1" s="91"/>
      <c r="H1" s="91"/>
      <c r="I1" s="91"/>
      <c r="J1" s="91"/>
      <c r="K1" s="91"/>
      <c r="L1" s="91"/>
      <c r="M1" s="91"/>
      <c r="N1" s="93" t="str">
        <f>Validation!B3</f>
        <v>Yorkshire Water</v>
      </c>
      <c r="O1" s="91"/>
      <c r="P1" s="94"/>
      <c r="Q1" s="94" t="s">
        <v>62</v>
      </c>
      <c r="AC1" s="95"/>
      <c r="AE1"/>
      <c r="AF1"/>
      <c r="AG1"/>
    </row>
    <row r="2" spans="2:34" ht="15" thickBot="1" x14ac:dyDescent="0.25">
      <c r="B2" s="98" t="s">
        <v>48</v>
      </c>
      <c r="C2" s="95"/>
      <c r="D2" s="95"/>
      <c r="E2" s="95"/>
      <c r="F2" s="95"/>
      <c r="G2" s="95"/>
      <c r="H2" s="95"/>
      <c r="I2" s="95"/>
      <c r="J2" s="95"/>
      <c r="K2" s="95"/>
      <c r="L2" s="95"/>
      <c r="M2" s="95"/>
      <c r="N2" s="95"/>
      <c r="P2" s="95"/>
      <c r="AC2" s="95"/>
    </row>
    <row r="3" spans="2:34" ht="14.45" customHeight="1" x14ac:dyDescent="0.2">
      <c r="B3" s="708" t="s">
        <v>63</v>
      </c>
      <c r="C3" s="709"/>
      <c r="D3" s="712" t="s">
        <v>64</v>
      </c>
      <c r="E3" s="714" t="s">
        <v>65</v>
      </c>
      <c r="F3" s="716" t="s">
        <v>676</v>
      </c>
      <c r="G3" s="717"/>
      <c r="H3" s="718"/>
      <c r="I3" s="719" t="s">
        <v>677</v>
      </c>
      <c r="J3" s="718"/>
      <c r="K3" s="719" t="s">
        <v>678</v>
      </c>
      <c r="L3" s="717"/>
      <c r="M3" s="718"/>
      <c r="N3" s="720" t="s">
        <v>246</v>
      </c>
      <c r="P3" s="699" t="s">
        <v>277</v>
      </c>
      <c r="Q3" s="699" t="s">
        <v>69</v>
      </c>
    </row>
    <row r="4" spans="2:34" ht="41.1" customHeight="1" thickBot="1" x14ac:dyDescent="0.25">
      <c r="B4" s="710"/>
      <c r="C4" s="711"/>
      <c r="D4" s="713"/>
      <c r="E4" s="715"/>
      <c r="F4" s="240" t="s">
        <v>679</v>
      </c>
      <c r="G4" s="241" t="s">
        <v>680</v>
      </c>
      <c r="H4" s="242" t="s">
        <v>681</v>
      </c>
      <c r="I4" s="243" t="s">
        <v>682</v>
      </c>
      <c r="J4" s="242" t="s">
        <v>683</v>
      </c>
      <c r="K4" s="243" t="s">
        <v>684</v>
      </c>
      <c r="L4" s="241" t="s">
        <v>685</v>
      </c>
      <c r="M4" s="242" t="s">
        <v>686</v>
      </c>
      <c r="N4" s="721"/>
      <c r="P4" s="700"/>
      <c r="Q4" s="701"/>
    </row>
    <row r="5" spans="2:34" ht="14.45" customHeight="1" thickBot="1" x14ac:dyDescent="0.25">
      <c r="B5" s="95"/>
      <c r="C5" s="95"/>
      <c r="D5" s="95"/>
      <c r="E5" s="95"/>
      <c r="F5" s="95"/>
      <c r="G5" s="95"/>
      <c r="H5" s="95"/>
      <c r="I5" s="95"/>
      <c r="J5" s="95"/>
      <c r="K5" s="95"/>
      <c r="L5" s="95"/>
      <c r="M5" s="95"/>
      <c r="N5" s="95"/>
      <c r="T5" s="702" t="s">
        <v>73</v>
      </c>
      <c r="U5" s="702"/>
      <c r="V5" s="702"/>
      <c r="W5" s="702"/>
      <c r="X5" s="702"/>
      <c r="Y5" s="702"/>
      <c r="Z5" s="702"/>
      <c r="AA5" s="702"/>
      <c r="AC5" s="103" t="s">
        <v>54</v>
      </c>
      <c r="AE5" s="101" t="s">
        <v>278</v>
      </c>
      <c r="AF5" s="103"/>
      <c r="AG5" s="103"/>
    </row>
    <row r="6" spans="2:34" s="95" customFormat="1" ht="15" thickBot="1" x14ac:dyDescent="0.25">
      <c r="B6" s="140" t="s">
        <v>124</v>
      </c>
      <c r="C6" s="141" t="s">
        <v>302</v>
      </c>
      <c r="P6" s="40"/>
      <c r="Q6" s="29">
        <f xml:space="preserve"> IF( SUM( S6:AB6 ) = 0, 0, $N$9 )</f>
        <v>0</v>
      </c>
      <c r="S6" s="96"/>
      <c r="T6" s="112" t="s">
        <v>74</v>
      </c>
      <c r="U6" s="112"/>
      <c r="V6" s="112"/>
      <c r="W6" s="112"/>
      <c r="X6" s="112"/>
      <c r="Y6" s="112"/>
      <c r="Z6" s="232"/>
      <c r="AA6" s="232"/>
      <c r="AB6" s="96"/>
      <c r="AC6"/>
      <c r="AD6" s="96"/>
      <c r="AE6" s="99"/>
      <c r="AF6" s="99"/>
      <c r="AG6" s="99"/>
      <c r="AH6" s="96"/>
    </row>
    <row r="7" spans="2:34" ht="14.1" customHeight="1" x14ac:dyDescent="0.2">
      <c r="B7" s="113">
        <v>1</v>
      </c>
      <c r="C7" s="143" t="s">
        <v>303</v>
      </c>
      <c r="D7" s="115" t="s">
        <v>76</v>
      </c>
      <c r="E7" s="116">
        <v>3</v>
      </c>
      <c r="F7" s="578">
        <v>1.5269999999999999</v>
      </c>
      <c r="G7" s="579">
        <v>1.768</v>
      </c>
      <c r="H7" s="568">
        <v>0.72299999999999998</v>
      </c>
      <c r="I7" s="567">
        <v>23.779</v>
      </c>
      <c r="J7" s="568">
        <v>0.13</v>
      </c>
      <c r="K7" s="567">
        <v>0</v>
      </c>
      <c r="L7" s="579">
        <v>2.6239999999999997</v>
      </c>
      <c r="M7" s="568">
        <v>0</v>
      </c>
      <c r="N7" s="229">
        <f t="shared" ref="N7:N13" si="0">SUM(F7:M7)</f>
        <v>30.550999999999998</v>
      </c>
      <c r="P7" s="77">
        <f xml:space="preserve"> IF( SUM( AB7:AD7 ) = 0, 0, AG7 )</f>
        <v>0</v>
      </c>
      <c r="Q7" s="29">
        <f xml:space="preserve"> IF( SUM( S7:AB7 ) = 0, 0, $T$6 )</f>
        <v>0</v>
      </c>
      <c r="T7" s="120">
        <f t="shared" ref="T7:AA12" si="1" xml:space="preserve"> IF( ISNUMBER( F7 ), 0, 1 )</f>
        <v>0</v>
      </c>
      <c r="U7" s="120">
        <f t="shared" si="1"/>
        <v>0</v>
      </c>
      <c r="V7" s="120">
        <f t="shared" si="1"/>
        <v>0</v>
      </c>
      <c r="W7" s="120">
        <f t="shared" si="1"/>
        <v>0</v>
      </c>
      <c r="X7" s="120">
        <f t="shared" si="1"/>
        <v>0</v>
      </c>
      <c r="Y7" s="120">
        <f t="shared" si="1"/>
        <v>0</v>
      </c>
      <c r="Z7" s="120">
        <f t="shared" si="1"/>
        <v>0</v>
      </c>
      <c r="AA7" s="120">
        <f t="shared" si="1"/>
        <v>0</v>
      </c>
      <c r="AC7" s="120">
        <f t="shared" ref="AC7:AC13" si="2" xml:space="preserve"> IF( (AE7 - AF7) = 0, 0, 1 )</f>
        <v>0</v>
      </c>
      <c r="AE7" s="189">
        <f t="shared" ref="AE7:AE13" si="3" xml:space="preserve"> ROUND( N7, 3)</f>
        <v>30.550999999999998</v>
      </c>
      <c r="AF7" s="189">
        <f xml:space="preserve"> ROUND( '2B'!G6, 3)</f>
        <v>30.550999999999998</v>
      </c>
      <c r="AG7" s="99" t="s">
        <v>687</v>
      </c>
    </row>
    <row r="8" spans="2:34" ht="14.1" customHeight="1" x14ac:dyDescent="0.2">
      <c r="B8" s="121">
        <f t="shared" ref="B8:B13" si="4" xml:space="preserve"> B7 + 1</f>
        <v>2</v>
      </c>
      <c r="C8" s="114" t="s">
        <v>304</v>
      </c>
      <c r="D8" s="122" t="s">
        <v>76</v>
      </c>
      <c r="E8" s="123">
        <v>3</v>
      </c>
      <c r="F8" s="580">
        <v>0</v>
      </c>
      <c r="G8" s="566">
        <v>0</v>
      </c>
      <c r="H8" s="569">
        <v>0</v>
      </c>
      <c r="I8" s="565">
        <v>-0.192</v>
      </c>
      <c r="J8" s="569">
        <v>0</v>
      </c>
      <c r="K8" s="565">
        <v>0</v>
      </c>
      <c r="L8" s="566">
        <v>-1.5429999999999999</v>
      </c>
      <c r="M8" s="569">
        <v>0</v>
      </c>
      <c r="N8" s="273">
        <f t="shared" si="0"/>
        <v>-1.7349999999999999</v>
      </c>
      <c r="P8" s="77">
        <f xml:space="preserve"> IF( SUM( AB8:AD8 ) = 0, 0, AG8 )</f>
        <v>0</v>
      </c>
      <c r="Q8" s="29">
        <f t="shared" ref="Q8:Q12" si="5" xml:space="preserve"> IF( SUM( S8:AB8 ) = 0, 0, $T$6 )</f>
        <v>0</v>
      </c>
      <c r="T8" s="120">
        <f t="shared" si="1"/>
        <v>0</v>
      </c>
      <c r="U8" s="120">
        <f t="shared" si="1"/>
        <v>0</v>
      </c>
      <c r="V8" s="120">
        <f t="shared" si="1"/>
        <v>0</v>
      </c>
      <c r="W8" s="120">
        <f t="shared" si="1"/>
        <v>0</v>
      </c>
      <c r="X8" s="120">
        <f t="shared" si="1"/>
        <v>0</v>
      </c>
      <c r="Y8" s="120">
        <f t="shared" si="1"/>
        <v>0</v>
      </c>
      <c r="Z8" s="120">
        <f t="shared" si="1"/>
        <v>0</v>
      </c>
      <c r="AA8" s="120">
        <f t="shared" si="1"/>
        <v>0</v>
      </c>
      <c r="AC8" s="120">
        <f t="shared" si="2"/>
        <v>0</v>
      </c>
      <c r="AE8" s="189">
        <f t="shared" si="3"/>
        <v>-1.7350000000000001</v>
      </c>
      <c r="AF8" s="189">
        <f xml:space="preserve"> ROUND( '2B'!G7, 3)</f>
        <v>-1.7350000000000001</v>
      </c>
      <c r="AG8" s="99" t="s">
        <v>688</v>
      </c>
    </row>
    <row r="9" spans="2:34" ht="14.1" customHeight="1" x14ac:dyDescent="0.2">
      <c r="B9" s="121">
        <f t="shared" si="4"/>
        <v>3</v>
      </c>
      <c r="C9" s="114" t="s">
        <v>305</v>
      </c>
      <c r="D9" s="122" t="s">
        <v>76</v>
      </c>
      <c r="E9" s="123">
        <v>3</v>
      </c>
      <c r="F9" s="580">
        <v>0.52</v>
      </c>
      <c r="G9" s="566">
        <v>0.60199999999999998</v>
      </c>
      <c r="H9" s="569">
        <v>0.246</v>
      </c>
      <c r="I9" s="565">
        <v>2.9630000000000001</v>
      </c>
      <c r="J9" s="569">
        <v>0</v>
      </c>
      <c r="K9" s="565">
        <v>0</v>
      </c>
      <c r="L9" s="566">
        <v>1E-3</v>
      </c>
      <c r="M9" s="569">
        <v>0.216</v>
      </c>
      <c r="N9" s="273">
        <f t="shared" si="0"/>
        <v>4.548</v>
      </c>
      <c r="P9" s="77">
        <f t="shared" ref="P9:P32" si="6" xml:space="preserve"> IF( SUM( AB9:AD9 ) = 0, 0, AG9 )</f>
        <v>0</v>
      </c>
      <c r="Q9" s="29">
        <f t="shared" si="5"/>
        <v>0</v>
      </c>
      <c r="T9" s="120">
        <f t="shared" si="1"/>
        <v>0</v>
      </c>
      <c r="U9" s="120">
        <f t="shared" si="1"/>
        <v>0</v>
      </c>
      <c r="V9" s="120">
        <f t="shared" si="1"/>
        <v>0</v>
      </c>
      <c r="W9" s="120">
        <f t="shared" si="1"/>
        <v>0</v>
      </c>
      <c r="X9" s="120">
        <f t="shared" si="1"/>
        <v>0</v>
      </c>
      <c r="Y9" s="120">
        <f t="shared" si="1"/>
        <v>0</v>
      </c>
      <c r="Z9" s="120">
        <f t="shared" si="1"/>
        <v>0</v>
      </c>
      <c r="AA9" s="120">
        <f t="shared" si="1"/>
        <v>0</v>
      </c>
      <c r="AC9" s="120">
        <f t="shared" si="2"/>
        <v>0</v>
      </c>
      <c r="AE9" s="189">
        <f t="shared" si="3"/>
        <v>4.548</v>
      </c>
      <c r="AF9" s="189">
        <f xml:space="preserve"> ROUND( '2B'!G8, 3)</f>
        <v>4.548</v>
      </c>
      <c r="AG9" s="99" t="s">
        <v>689</v>
      </c>
    </row>
    <row r="10" spans="2:34" ht="14.1" customHeight="1" x14ac:dyDescent="0.2">
      <c r="B10" s="121">
        <f t="shared" si="4"/>
        <v>4</v>
      </c>
      <c r="C10" s="114" t="s">
        <v>306</v>
      </c>
      <c r="D10" s="122" t="s">
        <v>76</v>
      </c>
      <c r="E10" s="123">
        <v>3</v>
      </c>
      <c r="F10" s="580">
        <v>0</v>
      </c>
      <c r="G10" s="566">
        <v>0</v>
      </c>
      <c r="H10" s="569">
        <v>0</v>
      </c>
      <c r="I10" s="565">
        <v>0</v>
      </c>
      <c r="J10" s="569">
        <v>0</v>
      </c>
      <c r="K10" s="565">
        <v>0</v>
      </c>
      <c r="L10" s="566">
        <v>0</v>
      </c>
      <c r="M10" s="569">
        <v>0</v>
      </c>
      <c r="N10" s="273">
        <f t="shared" si="0"/>
        <v>0</v>
      </c>
      <c r="P10" s="77">
        <f t="shared" si="6"/>
        <v>0</v>
      </c>
      <c r="Q10" s="29">
        <f t="shared" si="5"/>
        <v>0</v>
      </c>
      <c r="T10" s="120">
        <f t="shared" si="1"/>
        <v>0</v>
      </c>
      <c r="U10" s="120">
        <f t="shared" si="1"/>
        <v>0</v>
      </c>
      <c r="V10" s="120">
        <f t="shared" si="1"/>
        <v>0</v>
      </c>
      <c r="W10" s="120">
        <f t="shared" si="1"/>
        <v>0</v>
      </c>
      <c r="X10" s="120">
        <f t="shared" si="1"/>
        <v>0</v>
      </c>
      <c r="Y10" s="120">
        <f t="shared" si="1"/>
        <v>0</v>
      </c>
      <c r="Z10" s="120">
        <f t="shared" si="1"/>
        <v>0</v>
      </c>
      <c r="AA10" s="120">
        <f t="shared" si="1"/>
        <v>0</v>
      </c>
      <c r="AC10" s="120">
        <f t="shared" si="2"/>
        <v>0</v>
      </c>
      <c r="AE10" s="189">
        <f t="shared" si="3"/>
        <v>0</v>
      </c>
      <c r="AF10" s="189">
        <f xml:space="preserve"> ROUND( '2B'!G9, 3)</f>
        <v>0</v>
      </c>
      <c r="AG10" s="99" t="s">
        <v>690</v>
      </c>
    </row>
    <row r="11" spans="2:34" ht="14.1" customHeight="1" x14ac:dyDescent="0.2">
      <c r="B11" s="121">
        <f t="shared" si="4"/>
        <v>5</v>
      </c>
      <c r="C11" s="114" t="s">
        <v>307</v>
      </c>
      <c r="D11" s="122" t="s">
        <v>76</v>
      </c>
      <c r="E11" s="123">
        <v>3</v>
      </c>
      <c r="F11" s="580">
        <v>15.797000000000001</v>
      </c>
      <c r="G11" s="566">
        <v>18.2545</v>
      </c>
      <c r="H11" s="569">
        <v>9.1219999999999999</v>
      </c>
      <c r="I11" s="565">
        <v>34.414000000000001</v>
      </c>
      <c r="J11" s="569">
        <v>0.34699999999999998</v>
      </c>
      <c r="K11" s="565">
        <v>8.9689999999999994</v>
      </c>
      <c r="L11" s="566">
        <v>24.018999999999998</v>
      </c>
      <c r="M11" s="569">
        <v>8.39</v>
      </c>
      <c r="N11" s="273">
        <f t="shared" si="0"/>
        <v>119.31249999999999</v>
      </c>
      <c r="P11" s="77">
        <f t="shared" si="6"/>
        <v>0</v>
      </c>
      <c r="Q11" s="29">
        <f t="shared" si="5"/>
        <v>0</v>
      </c>
      <c r="T11" s="120">
        <f t="shared" si="1"/>
        <v>0</v>
      </c>
      <c r="U11" s="120">
        <f t="shared" si="1"/>
        <v>0</v>
      </c>
      <c r="V11" s="120">
        <f t="shared" si="1"/>
        <v>0</v>
      </c>
      <c r="W11" s="120">
        <f t="shared" si="1"/>
        <v>0</v>
      </c>
      <c r="X11" s="120">
        <f t="shared" si="1"/>
        <v>0</v>
      </c>
      <c r="Y11" s="120">
        <f t="shared" si="1"/>
        <v>0</v>
      </c>
      <c r="Z11" s="120">
        <f t="shared" si="1"/>
        <v>0</v>
      </c>
      <c r="AA11" s="120">
        <f t="shared" si="1"/>
        <v>0</v>
      </c>
      <c r="AC11" s="120">
        <f t="shared" si="2"/>
        <v>0</v>
      </c>
      <c r="AE11" s="189">
        <f t="shared" si="3"/>
        <v>119.313</v>
      </c>
      <c r="AF11" s="189">
        <f xml:space="preserve"> ROUND( '2B'!G10, 3)</f>
        <v>119.313</v>
      </c>
      <c r="AG11" s="99" t="s">
        <v>691</v>
      </c>
    </row>
    <row r="12" spans="2:34" ht="14.1" customHeight="1" x14ac:dyDescent="0.2">
      <c r="B12" s="121">
        <f t="shared" si="4"/>
        <v>6</v>
      </c>
      <c r="C12" s="114" t="s">
        <v>308</v>
      </c>
      <c r="D12" s="122" t="s">
        <v>76</v>
      </c>
      <c r="E12" s="123">
        <v>3</v>
      </c>
      <c r="F12" s="580">
        <v>5.7000000000000002E-2</v>
      </c>
      <c r="G12" s="566">
        <v>6.8000000000000005E-2</v>
      </c>
      <c r="H12" s="569">
        <v>4.8000000000000001E-2</v>
      </c>
      <c r="I12" s="565">
        <v>18.032999999999998</v>
      </c>
      <c r="J12" s="569">
        <v>0</v>
      </c>
      <c r="K12" s="565">
        <v>0.04</v>
      </c>
      <c r="L12" s="566">
        <v>3.6860000000000004</v>
      </c>
      <c r="M12" s="569">
        <v>1.0999999999999999E-2</v>
      </c>
      <c r="N12" s="273">
        <f t="shared" si="0"/>
        <v>21.942999999999994</v>
      </c>
      <c r="P12" s="77">
        <f t="shared" si="6"/>
        <v>0</v>
      </c>
      <c r="Q12" s="29">
        <f t="shared" si="5"/>
        <v>0</v>
      </c>
      <c r="T12" s="120">
        <f t="shared" si="1"/>
        <v>0</v>
      </c>
      <c r="U12" s="120">
        <f t="shared" si="1"/>
        <v>0</v>
      </c>
      <c r="V12" s="120">
        <f t="shared" si="1"/>
        <v>0</v>
      </c>
      <c r="W12" s="120">
        <f t="shared" si="1"/>
        <v>0</v>
      </c>
      <c r="X12" s="120">
        <f t="shared" si="1"/>
        <v>0</v>
      </c>
      <c r="Y12" s="120">
        <f t="shared" si="1"/>
        <v>0</v>
      </c>
      <c r="Z12" s="120">
        <f t="shared" si="1"/>
        <v>0</v>
      </c>
      <c r="AA12" s="120">
        <f t="shared" si="1"/>
        <v>0</v>
      </c>
      <c r="AC12" s="120">
        <f t="shared" si="2"/>
        <v>0</v>
      </c>
      <c r="AE12" s="189">
        <f t="shared" si="3"/>
        <v>21.943000000000001</v>
      </c>
      <c r="AF12" s="189">
        <f xml:space="preserve"> ROUND( '2B'!G11, 3)</f>
        <v>21.943000000000001</v>
      </c>
      <c r="AG12" s="99" t="s">
        <v>692</v>
      </c>
    </row>
    <row r="13" spans="2:34" ht="14.1" customHeight="1" thickBot="1" x14ac:dyDescent="0.25">
      <c r="B13" s="128">
        <f t="shared" si="4"/>
        <v>7</v>
      </c>
      <c r="C13" s="129" t="s">
        <v>309</v>
      </c>
      <c r="D13" s="130" t="s">
        <v>76</v>
      </c>
      <c r="E13" s="127">
        <v>3</v>
      </c>
      <c r="F13" s="274">
        <f t="shared" ref="F13:M13" si="7">SUM(F7:F12)</f>
        <v>17.901</v>
      </c>
      <c r="G13" s="224">
        <f t="shared" si="7"/>
        <v>20.692500000000003</v>
      </c>
      <c r="H13" s="225">
        <f t="shared" si="7"/>
        <v>10.138999999999999</v>
      </c>
      <c r="I13" s="223">
        <f t="shared" si="7"/>
        <v>78.997</v>
      </c>
      <c r="J13" s="225">
        <f t="shared" si="7"/>
        <v>0.47699999999999998</v>
      </c>
      <c r="K13" s="223">
        <f t="shared" si="7"/>
        <v>9.0089999999999986</v>
      </c>
      <c r="L13" s="224">
        <f t="shared" si="7"/>
        <v>28.786999999999999</v>
      </c>
      <c r="M13" s="225">
        <f t="shared" si="7"/>
        <v>8.6169999999999991</v>
      </c>
      <c r="N13" s="230">
        <f t="shared" si="0"/>
        <v>174.61949999999999</v>
      </c>
      <c r="P13" s="77">
        <f xml:space="preserve"> IF( SUM( AB13:AD13 ) = 0, 0, AG13 )</f>
        <v>0</v>
      </c>
      <c r="Q13" s="256"/>
      <c r="Z13" s="232"/>
      <c r="AA13" s="232"/>
      <c r="AC13" s="120">
        <f t="shared" si="2"/>
        <v>0</v>
      </c>
      <c r="AE13" s="189">
        <f t="shared" si="3"/>
        <v>174.62</v>
      </c>
      <c r="AF13" s="189">
        <f xml:space="preserve"> ROUND( '2B'!G12, 3)</f>
        <v>174.62</v>
      </c>
      <c r="AG13" s="99" t="s">
        <v>693</v>
      </c>
    </row>
    <row r="14" spans="2:34" ht="15" thickBot="1" x14ac:dyDescent="0.25">
      <c r="P14" s="77"/>
      <c r="Q14" s="256"/>
      <c r="Z14" s="232"/>
      <c r="AA14" s="232"/>
      <c r="AC14" s="147"/>
      <c r="AE14" s="189"/>
      <c r="AF14" s="189"/>
    </row>
    <row r="15" spans="2:34" ht="14.1" customHeight="1" x14ac:dyDescent="0.2">
      <c r="B15" s="113">
        <f xml:space="preserve"> B13 + 1</f>
        <v>8</v>
      </c>
      <c r="C15" s="143" t="s">
        <v>310</v>
      </c>
      <c r="D15" s="115" t="s">
        <v>76</v>
      </c>
      <c r="E15" s="116">
        <v>3</v>
      </c>
      <c r="F15" s="578">
        <v>2E-3</v>
      </c>
      <c r="G15" s="579">
        <v>0</v>
      </c>
      <c r="H15" s="568">
        <v>0</v>
      </c>
      <c r="I15" s="567">
        <v>0</v>
      </c>
      <c r="J15" s="568">
        <v>0</v>
      </c>
      <c r="K15" s="567">
        <v>0</v>
      </c>
      <c r="L15" s="579">
        <v>0</v>
      </c>
      <c r="M15" s="568">
        <v>0</v>
      </c>
      <c r="N15" s="229">
        <f>SUM(F15:M15)</f>
        <v>2E-3</v>
      </c>
      <c r="P15" s="77">
        <f t="shared" si="6"/>
        <v>0</v>
      </c>
      <c r="Q15" s="29">
        <f t="shared" ref="Q15" si="8" xml:space="preserve"> IF( SUM( S15:AB15 ) = 0, 0, $T$6 )</f>
        <v>0</v>
      </c>
      <c r="T15" s="120">
        <f t="shared" ref="T15:AA15" si="9" xml:space="preserve"> IF( ISNUMBER( F15 ), 0, 1 )</f>
        <v>0</v>
      </c>
      <c r="U15" s="120">
        <f t="shared" si="9"/>
        <v>0</v>
      </c>
      <c r="V15" s="120">
        <f t="shared" si="9"/>
        <v>0</v>
      </c>
      <c r="W15" s="120">
        <f t="shared" si="9"/>
        <v>0</v>
      </c>
      <c r="X15" s="120">
        <f t="shared" si="9"/>
        <v>0</v>
      </c>
      <c r="Y15" s="120">
        <f t="shared" si="9"/>
        <v>0</v>
      </c>
      <c r="Z15" s="120">
        <f t="shared" si="9"/>
        <v>0</v>
      </c>
      <c r="AA15" s="120">
        <f t="shared" si="9"/>
        <v>0</v>
      </c>
      <c r="AC15" s="120">
        <f xml:space="preserve"> IF( (AE15 - AF15) = 0, 0, 1 )</f>
        <v>0</v>
      </c>
      <c r="AE15" s="189">
        <f xml:space="preserve"> ROUND( N15, 3)</f>
        <v>2E-3</v>
      </c>
      <c r="AF15" s="189">
        <f xml:space="preserve"> ROUND( '2B'!G14, 3)</f>
        <v>2E-3</v>
      </c>
      <c r="AG15" s="99" t="s">
        <v>694</v>
      </c>
    </row>
    <row r="16" spans="2:34" ht="14.1" customHeight="1" thickBot="1" x14ac:dyDescent="0.25">
      <c r="B16" s="128">
        <f xml:space="preserve"> B15 + 1</f>
        <v>9</v>
      </c>
      <c r="C16" s="129" t="s">
        <v>311</v>
      </c>
      <c r="D16" s="130" t="s">
        <v>76</v>
      </c>
      <c r="E16" s="127">
        <v>3</v>
      </c>
      <c r="F16" s="274">
        <f t="shared" ref="F16:M16" si="10">SUM(F13:F15)</f>
        <v>17.902999999999999</v>
      </c>
      <c r="G16" s="224">
        <f t="shared" si="10"/>
        <v>20.692500000000003</v>
      </c>
      <c r="H16" s="225">
        <f t="shared" si="10"/>
        <v>10.138999999999999</v>
      </c>
      <c r="I16" s="223">
        <f t="shared" si="10"/>
        <v>78.997</v>
      </c>
      <c r="J16" s="225">
        <f t="shared" si="10"/>
        <v>0.47699999999999998</v>
      </c>
      <c r="K16" s="223">
        <f t="shared" si="10"/>
        <v>9.0089999999999986</v>
      </c>
      <c r="L16" s="224">
        <f t="shared" si="10"/>
        <v>28.786999999999999</v>
      </c>
      <c r="M16" s="225">
        <f t="shared" si="10"/>
        <v>8.6169999999999991</v>
      </c>
      <c r="N16" s="230">
        <f>SUM(F16:M16)</f>
        <v>174.62149999999997</v>
      </c>
      <c r="P16" s="77">
        <f t="shared" si="6"/>
        <v>0</v>
      </c>
      <c r="Q16" s="256"/>
      <c r="Z16" s="232"/>
      <c r="AA16" s="232"/>
      <c r="AC16" s="120">
        <f xml:space="preserve"> IF( (AE16 - AF16) = 0, 0, 1 )</f>
        <v>0</v>
      </c>
      <c r="AE16" s="189">
        <f xml:space="preserve"> ROUND( N16, 3)</f>
        <v>174.62200000000001</v>
      </c>
      <c r="AF16" s="189">
        <f xml:space="preserve"> ROUND( '2B'!G15, 3)</f>
        <v>174.62200000000001</v>
      </c>
      <c r="AG16" s="99" t="s">
        <v>695</v>
      </c>
    </row>
    <row r="17" spans="2:34" ht="15" thickBot="1" x14ac:dyDescent="0.25">
      <c r="P17" s="77"/>
      <c r="Q17" s="256"/>
      <c r="Z17" s="232"/>
      <c r="AA17" s="232"/>
      <c r="AC17" s="147"/>
      <c r="AE17" s="189"/>
      <c r="AF17" s="189"/>
    </row>
    <row r="18" spans="2:34" s="95" customFormat="1" ht="15" thickBot="1" x14ac:dyDescent="0.25">
      <c r="B18" s="140" t="s">
        <v>133</v>
      </c>
      <c r="C18" s="141" t="s">
        <v>312</v>
      </c>
      <c r="P18" s="77"/>
      <c r="Q18" s="256"/>
      <c r="S18" s="96"/>
      <c r="Z18" s="232"/>
      <c r="AA18" s="232"/>
      <c r="AB18" s="96"/>
      <c r="AC18" s="147"/>
      <c r="AD18" s="96"/>
      <c r="AE18" s="189"/>
      <c r="AF18" s="189"/>
      <c r="AG18" s="99"/>
      <c r="AH18" s="96"/>
    </row>
    <row r="19" spans="2:34" ht="14.1" customHeight="1" x14ac:dyDescent="0.2">
      <c r="B19" s="113">
        <f>B16 + 1</f>
        <v>10</v>
      </c>
      <c r="C19" s="143" t="s">
        <v>313</v>
      </c>
      <c r="D19" s="115" t="s">
        <v>76</v>
      </c>
      <c r="E19" s="116">
        <v>3</v>
      </c>
      <c r="F19" s="578">
        <v>12.028</v>
      </c>
      <c r="G19" s="579">
        <v>13.927</v>
      </c>
      <c r="H19" s="568">
        <v>5.6970000000000001</v>
      </c>
      <c r="I19" s="567">
        <v>-6.0999999999999999E-2</v>
      </c>
      <c r="J19" s="568">
        <v>0</v>
      </c>
      <c r="K19" s="567">
        <v>0</v>
      </c>
      <c r="L19" s="579">
        <v>-1.0149999999999999</v>
      </c>
      <c r="M19" s="568">
        <v>0</v>
      </c>
      <c r="N19" s="229">
        <f t="shared" ref="N19:N27" si="11">SUM(F19:M19)</f>
        <v>30.575999999999997</v>
      </c>
      <c r="P19" s="77">
        <f t="shared" si="6"/>
        <v>0</v>
      </c>
      <c r="Q19" s="29">
        <f t="shared" ref="Q19:Q26" si="12" xml:space="preserve"> IF( SUM( S19:AB19 ) = 0, 0, $T$6 )</f>
        <v>0</v>
      </c>
      <c r="T19" s="120">
        <f t="shared" ref="T19:AA22" si="13" xml:space="preserve"> IF( ISNUMBER( F19 ), 0, 1 )</f>
        <v>0</v>
      </c>
      <c r="U19" s="120">
        <f t="shared" si="13"/>
        <v>0</v>
      </c>
      <c r="V19" s="120">
        <f t="shared" si="13"/>
        <v>0</v>
      </c>
      <c r="W19" s="120">
        <f t="shared" si="13"/>
        <v>0</v>
      </c>
      <c r="X19" s="120">
        <f t="shared" si="13"/>
        <v>0</v>
      </c>
      <c r="Y19" s="120">
        <f t="shared" si="13"/>
        <v>0</v>
      </c>
      <c r="Z19" s="120">
        <f t="shared" si="13"/>
        <v>0</v>
      </c>
      <c r="AA19" s="120">
        <f t="shared" si="13"/>
        <v>0</v>
      </c>
      <c r="AC19" s="120">
        <f t="shared" ref="AC19:AC27" si="14" xml:space="preserve"> IF( (AE19 - AF19) = 0, 0, 1 )</f>
        <v>0</v>
      </c>
      <c r="AE19" s="189">
        <f t="shared" ref="AE19:AE27" si="15" xml:space="preserve"> ROUND( N19, 3)</f>
        <v>30.576000000000001</v>
      </c>
      <c r="AF19" s="189">
        <f xml:space="preserve"> ROUND( '2B'!G18, 3)</f>
        <v>30.576000000000001</v>
      </c>
      <c r="AG19" s="99" t="s">
        <v>696</v>
      </c>
    </row>
    <row r="20" spans="2:34" ht="14.1" customHeight="1" x14ac:dyDescent="0.2">
      <c r="B20" s="121">
        <f t="shared" ref="B20:B27" si="16" xml:space="preserve"> B19 + 1</f>
        <v>11</v>
      </c>
      <c r="C20" s="114" t="s">
        <v>638</v>
      </c>
      <c r="D20" s="122" t="s">
        <v>76</v>
      </c>
      <c r="E20" s="123">
        <v>3</v>
      </c>
      <c r="F20" s="580">
        <v>6.4950000000000001</v>
      </c>
      <c r="G20" s="566">
        <v>7.5220000000000002</v>
      </c>
      <c r="H20" s="569">
        <v>3.077</v>
      </c>
      <c r="I20" s="565">
        <v>36.182000000000002</v>
      </c>
      <c r="J20" s="569">
        <v>2E-3</v>
      </c>
      <c r="K20" s="565">
        <v>0</v>
      </c>
      <c r="L20" s="566">
        <v>18.009</v>
      </c>
      <c r="M20" s="569">
        <v>0</v>
      </c>
      <c r="N20" s="273">
        <f t="shared" si="11"/>
        <v>71.287000000000006</v>
      </c>
      <c r="P20" s="77">
        <f t="shared" si="6"/>
        <v>0</v>
      </c>
      <c r="Q20" s="29">
        <f t="shared" si="12"/>
        <v>0</v>
      </c>
      <c r="T20" s="120">
        <f t="shared" si="13"/>
        <v>0</v>
      </c>
      <c r="U20" s="120">
        <f t="shared" si="13"/>
        <v>0</v>
      </c>
      <c r="V20" s="120">
        <f t="shared" si="13"/>
        <v>0</v>
      </c>
      <c r="W20" s="120">
        <f t="shared" si="13"/>
        <v>0</v>
      </c>
      <c r="X20" s="120">
        <f t="shared" si="13"/>
        <v>0</v>
      </c>
      <c r="Y20" s="120">
        <f t="shared" si="13"/>
        <v>0</v>
      </c>
      <c r="Z20" s="120">
        <f t="shared" si="13"/>
        <v>0</v>
      </c>
      <c r="AA20" s="120">
        <f t="shared" si="13"/>
        <v>0</v>
      </c>
      <c r="AC20" s="120">
        <f t="shared" si="14"/>
        <v>0</v>
      </c>
      <c r="AE20" s="189">
        <f t="shared" si="15"/>
        <v>71.287000000000006</v>
      </c>
      <c r="AF20" s="189">
        <f xml:space="preserve"> ROUND( '2B'!G19, 3)</f>
        <v>71.287000000000006</v>
      </c>
      <c r="AG20" s="99" t="s">
        <v>697</v>
      </c>
    </row>
    <row r="21" spans="2:34" ht="14.1" customHeight="1" x14ac:dyDescent="0.2">
      <c r="B21" s="121">
        <f t="shared" si="16"/>
        <v>12</v>
      </c>
      <c r="C21" s="114" t="s">
        <v>315</v>
      </c>
      <c r="D21" s="122" t="s">
        <v>76</v>
      </c>
      <c r="E21" s="123">
        <v>3</v>
      </c>
      <c r="F21" s="580">
        <v>7.4349999999999996</v>
      </c>
      <c r="G21" s="566">
        <v>8.609</v>
      </c>
      <c r="H21" s="569">
        <v>3.5219999999999998</v>
      </c>
      <c r="I21" s="565">
        <v>0.26800000000000002</v>
      </c>
      <c r="J21" s="569">
        <v>0</v>
      </c>
      <c r="K21" s="565">
        <v>0</v>
      </c>
      <c r="L21" s="566">
        <v>0</v>
      </c>
      <c r="M21" s="569">
        <v>0</v>
      </c>
      <c r="N21" s="273">
        <f t="shared" si="11"/>
        <v>19.834</v>
      </c>
      <c r="P21" s="77">
        <f t="shared" si="6"/>
        <v>0</v>
      </c>
      <c r="Q21" s="29">
        <f t="shared" si="12"/>
        <v>0</v>
      </c>
      <c r="T21" s="120">
        <f t="shared" si="13"/>
        <v>0</v>
      </c>
      <c r="U21" s="120">
        <f t="shared" si="13"/>
        <v>0</v>
      </c>
      <c r="V21" s="120">
        <f t="shared" si="13"/>
        <v>0</v>
      </c>
      <c r="W21" s="120">
        <f t="shared" si="13"/>
        <v>0</v>
      </c>
      <c r="X21" s="120">
        <f t="shared" si="13"/>
        <v>0</v>
      </c>
      <c r="Y21" s="120">
        <f t="shared" si="13"/>
        <v>0</v>
      </c>
      <c r="Z21" s="120">
        <f t="shared" si="13"/>
        <v>0</v>
      </c>
      <c r="AA21" s="120">
        <f t="shared" si="13"/>
        <v>0</v>
      </c>
      <c r="AC21" s="120">
        <f t="shared" si="14"/>
        <v>0</v>
      </c>
      <c r="AE21" s="189">
        <f t="shared" si="15"/>
        <v>19.834</v>
      </c>
      <c r="AF21" s="189">
        <f xml:space="preserve"> ROUND( '2B'!G20, 3)</f>
        <v>19.834</v>
      </c>
      <c r="AG21" s="99" t="s">
        <v>698</v>
      </c>
    </row>
    <row r="22" spans="2:34" ht="14.1" customHeight="1" x14ac:dyDescent="0.2">
      <c r="B22" s="121">
        <f t="shared" si="16"/>
        <v>13</v>
      </c>
      <c r="C22" s="114" t="s">
        <v>316</v>
      </c>
      <c r="D22" s="122" t="s">
        <v>76</v>
      </c>
      <c r="E22" s="123">
        <v>3</v>
      </c>
      <c r="F22" s="580">
        <v>2.0680000000000001</v>
      </c>
      <c r="G22" s="566">
        <v>2.395</v>
      </c>
      <c r="H22" s="569">
        <v>0.98</v>
      </c>
      <c r="I22" s="565">
        <v>16.475000000000001</v>
      </c>
      <c r="J22" s="569">
        <v>0</v>
      </c>
      <c r="K22" s="565">
        <v>0</v>
      </c>
      <c r="L22" s="566">
        <v>0.217</v>
      </c>
      <c r="M22" s="569">
        <v>0</v>
      </c>
      <c r="N22" s="273">
        <f t="shared" si="11"/>
        <v>22.134999999999998</v>
      </c>
      <c r="P22" s="77">
        <f t="shared" si="6"/>
        <v>0</v>
      </c>
      <c r="Q22" s="29">
        <f t="shared" si="12"/>
        <v>0</v>
      </c>
      <c r="T22" s="120">
        <f t="shared" si="13"/>
        <v>0</v>
      </c>
      <c r="U22" s="120">
        <f t="shared" si="13"/>
        <v>0</v>
      </c>
      <c r="V22" s="120">
        <f t="shared" si="13"/>
        <v>0</v>
      </c>
      <c r="W22" s="120">
        <f t="shared" si="13"/>
        <v>0</v>
      </c>
      <c r="X22" s="120">
        <f t="shared" si="13"/>
        <v>0</v>
      </c>
      <c r="Y22" s="120">
        <f t="shared" si="13"/>
        <v>0</v>
      </c>
      <c r="Z22" s="120">
        <f t="shared" si="13"/>
        <v>0</v>
      </c>
      <c r="AA22" s="120">
        <f t="shared" si="13"/>
        <v>0</v>
      </c>
      <c r="AC22" s="120">
        <f t="shared" si="14"/>
        <v>0</v>
      </c>
      <c r="AE22" s="189">
        <f t="shared" si="15"/>
        <v>22.135000000000002</v>
      </c>
      <c r="AF22" s="189">
        <f xml:space="preserve"> ROUND( '2B'!G21, 3)</f>
        <v>22.135000000000002</v>
      </c>
      <c r="AG22" s="99" t="s">
        <v>699</v>
      </c>
    </row>
    <row r="23" spans="2:34" ht="14.1" customHeight="1" x14ac:dyDescent="0.2">
      <c r="B23" s="121">
        <f t="shared" si="16"/>
        <v>14</v>
      </c>
      <c r="C23" s="114" t="s">
        <v>317</v>
      </c>
      <c r="D23" s="122" t="s">
        <v>76</v>
      </c>
      <c r="E23" s="123">
        <v>3</v>
      </c>
      <c r="F23" s="275">
        <f t="shared" ref="F23:M23" si="17">SUM(F19:F22)</f>
        <v>28.026</v>
      </c>
      <c r="G23" s="276">
        <f t="shared" si="17"/>
        <v>32.453000000000003</v>
      </c>
      <c r="H23" s="222">
        <f t="shared" si="17"/>
        <v>13.276000000000002</v>
      </c>
      <c r="I23" s="277">
        <f t="shared" si="17"/>
        <v>52.864000000000004</v>
      </c>
      <c r="J23" s="222">
        <f t="shared" si="17"/>
        <v>2E-3</v>
      </c>
      <c r="K23" s="277">
        <f t="shared" si="17"/>
        <v>0</v>
      </c>
      <c r="L23" s="276">
        <f t="shared" si="17"/>
        <v>17.210999999999999</v>
      </c>
      <c r="M23" s="222">
        <f t="shared" si="17"/>
        <v>0</v>
      </c>
      <c r="N23" s="273">
        <f t="shared" si="11"/>
        <v>143.83199999999999</v>
      </c>
      <c r="O23" s="144"/>
      <c r="P23" s="77">
        <f t="shared" si="6"/>
        <v>0</v>
      </c>
      <c r="Q23" s="136"/>
      <c r="R23" s="144"/>
      <c r="S23" s="148"/>
      <c r="U23" s="278"/>
      <c r="V23" s="278"/>
      <c r="W23" s="278"/>
      <c r="X23" s="278"/>
      <c r="Y23" s="278"/>
      <c r="Z23" s="232"/>
      <c r="AA23" s="232"/>
      <c r="AB23" s="148"/>
      <c r="AC23" s="120">
        <f t="shared" si="14"/>
        <v>0</v>
      </c>
      <c r="AD23" s="148"/>
      <c r="AE23" s="189">
        <f t="shared" si="15"/>
        <v>143.83199999999999</v>
      </c>
      <c r="AF23" s="189">
        <f xml:space="preserve"> ROUND( '2B'!G22, 3)</f>
        <v>143.83199999999999</v>
      </c>
      <c r="AG23" s="99" t="s">
        <v>700</v>
      </c>
      <c r="AH23" s="148"/>
    </row>
    <row r="24" spans="2:34" ht="14.1" customHeight="1" x14ac:dyDescent="0.2">
      <c r="B24" s="121">
        <f t="shared" si="16"/>
        <v>15</v>
      </c>
      <c r="C24" s="114" t="s">
        <v>310</v>
      </c>
      <c r="D24" s="122" t="s">
        <v>76</v>
      </c>
      <c r="E24" s="123">
        <v>3</v>
      </c>
      <c r="F24" s="580">
        <v>0</v>
      </c>
      <c r="G24" s="566">
        <v>0</v>
      </c>
      <c r="H24" s="569">
        <v>0</v>
      </c>
      <c r="I24" s="565">
        <v>0</v>
      </c>
      <c r="J24" s="569">
        <v>0</v>
      </c>
      <c r="K24" s="565">
        <v>0</v>
      </c>
      <c r="L24" s="566">
        <v>0</v>
      </c>
      <c r="M24" s="569">
        <v>0</v>
      </c>
      <c r="N24" s="273">
        <f t="shared" si="11"/>
        <v>0</v>
      </c>
      <c r="O24" s="150"/>
      <c r="P24" s="77">
        <f t="shared" si="6"/>
        <v>0</v>
      </c>
      <c r="Q24" s="29">
        <f t="shared" si="12"/>
        <v>0</v>
      </c>
      <c r="T24" s="120">
        <f t="shared" ref="T24:AA24" si="18" xml:space="preserve"> IF( ISNUMBER( F24 ), 0, 1 )</f>
        <v>0</v>
      </c>
      <c r="U24" s="120">
        <f t="shared" si="18"/>
        <v>0</v>
      </c>
      <c r="V24" s="120">
        <f t="shared" si="18"/>
        <v>0</v>
      </c>
      <c r="W24" s="120">
        <f t="shared" si="18"/>
        <v>0</v>
      </c>
      <c r="X24" s="120">
        <f t="shared" si="18"/>
        <v>0</v>
      </c>
      <c r="Y24" s="120">
        <f t="shared" si="18"/>
        <v>0</v>
      </c>
      <c r="Z24" s="120">
        <f t="shared" si="18"/>
        <v>0</v>
      </c>
      <c r="AA24" s="120">
        <f t="shared" si="18"/>
        <v>0</v>
      </c>
      <c r="AC24" s="120">
        <f t="shared" si="14"/>
        <v>0</v>
      </c>
      <c r="AD24" s="145"/>
      <c r="AE24" s="189">
        <f t="shared" si="15"/>
        <v>0</v>
      </c>
      <c r="AF24" s="189">
        <f xml:space="preserve"> ROUND( '2B'!G23, 3)</f>
        <v>0</v>
      </c>
      <c r="AG24" s="99" t="s">
        <v>701</v>
      </c>
      <c r="AH24" s="145"/>
    </row>
    <row r="25" spans="2:34" ht="14.1" customHeight="1" x14ac:dyDescent="0.2">
      <c r="B25" s="121">
        <f t="shared" si="16"/>
        <v>16</v>
      </c>
      <c r="C25" s="114" t="s">
        <v>318</v>
      </c>
      <c r="D25" s="122" t="s">
        <v>76</v>
      </c>
      <c r="E25" s="123">
        <v>3</v>
      </c>
      <c r="F25" s="275">
        <f t="shared" ref="F25:M25" si="19">SUM(F23:F24)</f>
        <v>28.026</v>
      </c>
      <c r="G25" s="276">
        <f t="shared" si="19"/>
        <v>32.453000000000003</v>
      </c>
      <c r="H25" s="222">
        <f t="shared" si="19"/>
        <v>13.276000000000002</v>
      </c>
      <c r="I25" s="277">
        <f t="shared" si="19"/>
        <v>52.864000000000004</v>
      </c>
      <c r="J25" s="222">
        <f t="shared" si="19"/>
        <v>2E-3</v>
      </c>
      <c r="K25" s="277">
        <f t="shared" si="19"/>
        <v>0</v>
      </c>
      <c r="L25" s="276">
        <f t="shared" si="19"/>
        <v>17.210999999999999</v>
      </c>
      <c r="M25" s="222">
        <f t="shared" si="19"/>
        <v>0</v>
      </c>
      <c r="N25" s="273">
        <f t="shared" si="11"/>
        <v>143.83199999999999</v>
      </c>
      <c r="O25" s="150"/>
      <c r="P25" s="77">
        <f t="shared" si="6"/>
        <v>0</v>
      </c>
      <c r="Q25" s="231"/>
      <c r="R25" s="150"/>
      <c r="S25" s="145"/>
      <c r="U25" s="278"/>
      <c r="V25" s="278"/>
      <c r="W25" s="278"/>
      <c r="X25" s="278"/>
      <c r="Y25" s="278"/>
      <c r="Z25" s="232"/>
      <c r="AA25" s="232"/>
      <c r="AB25" s="145"/>
      <c r="AC25" s="120">
        <f t="shared" si="14"/>
        <v>0</v>
      </c>
      <c r="AD25" s="145"/>
      <c r="AE25" s="189">
        <f t="shared" si="15"/>
        <v>143.83199999999999</v>
      </c>
      <c r="AF25" s="189">
        <f xml:space="preserve"> ROUND( '2B'!G24, 3)</f>
        <v>143.83199999999999</v>
      </c>
      <c r="AG25" s="99" t="s">
        <v>702</v>
      </c>
      <c r="AH25" s="145"/>
    </row>
    <row r="26" spans="2:34" ht="14.1" customHeight="1" x14ac:dyDescent="0.2">
      <c r="B26" s="121">
        <f t="shared" si="16"/>
        <v>17</v>
      </c>
      <c r="C26" s="114" t="s">
        <v>319</v>
      </c>
      <c r="D26" s="122" t="s">
        <v>76</v>
      </c>
      <c r="E26" s="123">
        <v>3</v>
      </c>
      <c r="F26" s="580">
        <v>2.7823600000000002</v>
      </c>
      <c r="G26" s="566">
        <v>3.2216800000000001</v>
      </c>
      <c r="H26" s="569">
        <v>1.31796</v>
      </c>
      <c r="I26" s="565">
        <v>0</v>
      </c>
      <c r="J26" s="569">
        <v>0</v>
      </c>
      <c r="K26" s="565">
        <v>0</v>
      </c>
      <c r="L26" s="566">
        <v>0</v>
      </c>
      <c r="M26" s="569">
        <v>0</v>
      </c>
      <c r="N26" s="273">
        <f t="shared" si="11"/>
        <v>7.3220000000000001</v>
      </c>
      <c r="O26" s="150"/>
      <c r="P26" s="77">
        <f t="shared" si="6"/>
        <v>0</v>
      </c>
      <c r="Q26" s="29">
        <f t="shared" si="12"/>
        <v>0</v>
      </c>
      <c r="T26" s="120">
        <f t="shared" ref="T26:AA26" si="20" xml:space="preserve"> IF( ISNUMBER( F26 ), 0, 1 )</f>
        <v>0</v>
      </c>
      <c r="U26" s="120">
        <f t="shared" si="20"/>
        <v>0</v>
      </c>
      <c r="V26" s="120">
        <f t="shared" si="20"/>
        <v>0</v>
      </c>
      <c r="W26" s="120">
        <f t="shared" si="20"/>
        <v>0</v>
      </c>
      <c r="X26" s="120">
        <f t="shared" si="20"/>
        <v>0</v>
      </c>
      <c r="Y26" s="120">
        <f t="shared" si="20"/>
        <v>0</v>
      </c>
      <c r="Z26" s="120">
        <f t="shared" si="20"/>
        <v>0</v>
      </c>
      <c r="AA26" s="120">
        <f t="shared" si="20"/>
        <v>0</v>
      </c>
      <c r="AC26" s="120">
        <f t="shared" si="14"/>
        <v>0</v>
      </c>
      <c r="AD26" s="145"/>
      <c r="AE26" s="189">
        <f t="shared" si="15"/>
        <v>7.3220000000000001</v>
      </c>
      <c r="AF26" s="189">
        <f xml:space="preserve"> ROUND( '2B'!G25, 3)</f>
        <v>7.3220000000000001</v>
      </c>
      <c r="AG26" s="99" t="s">
        <v>703</v>
      </c>
      <c r="AH26" s="145"/>
    </row>
    <row r="27" spans="2:34" ht="14.1" customHeight="1" thickBot="1" x14ac:dyDescent="0.25">
      <c r="B27" s="128">
        <f t="shared" si="16"/>
        <v>18</v>
      </c>
      <c r="C27" s="129" t="s">
        <v>320</v>
      </c>
      <c r="D27" s="130" t="s">
        <v>76</v>
      </c>
      <c r="E27" s="127">
        <v>3</v>
      </c>
      <c r="F27" s="274">
        <f t="shared" ref="F27:M27" si="21">F16+F25-F26</f>
        <v>43.146640000000005</v>
      </c>
      <c r="G27" s="224">
        <f t="shared" si="21"/>
        <v>49.923820000000006</v>
      </c>
      <c r="H27" s="225">
        <f t="shared" si="21"/>
        <v>22.09704</v>
      </c>
      <c r="I27" s="223">
        <f t="shared" si="21"/>
        <v>131.86099999999999</v>
      </c>
      <c r="J27" s="225">
        <f t="shared" si="21"/>
        <v>0.47899999999999998</v>
      </c>
      <c r="K27" s="223">
        <f t="shared" si="21"/>
        <v>9.0089999999999986</v>
      </c>
      <c r="L27" s="224">
        <f t="shared" si="21"/>
        <v>45.997999999999998</v>
      </c>
      <c r="M27" s="225">
        <f t="shared" si="21"/>
        <v>8.6169999999999991</v>
      </c>
      <c r="N27" s="230">
        <f t="shared" si="11"/>
        <v>311.13150000000002</v>
      </c>
      <c r="O27" s="150"/>
      <c r="P27" s="77">
        <f t="shared" si="6"/>
        <v>0</v>
      </c>
      <c r="Q27" s="231"/>
      <c r="R27" s="150"/>
      <c r="S27" s="145"/>
      <c r="T27" s="232"/>
      <c r="U27" s="232"/>
      <c r="V27" s="232"/>
      <c r="W27" s="232"/>
      <c r="X27" s="232"/>
      <c r="Y27" s="232"/>
      <c r="Z27" s="232"/>
      <c r="AA27" s="232"/>
      <c r="AB27" s="145"/>
      <c r="AC27" s="120">
        <f t="shared" si="14"/>
        <v>0</v>
      </c>
      <c r="AD27" s="145"/>
      <c r="AE27" s="189">
        <f t="shared" si="15"/>
        <v>311.13200000000001</v>
      </c>
      <c r="AF27" s="189">
        <f xml:space="preserve"> ROUND( '2B'!G26, 3)</f>
        <v>311.13200000000001</v>
      </c>
      <c r="AG27" s="99" t="s">
        <v>704</v>
      </c>
      <c r="AH27" s="145"/>
    </row>
    <row r="28" spans="2:34" ht="15" thickBot="1" x14ac:dyDescent="0.25">
      <c r="O28" s="150"/>
      <c r="P28" s="77"/>
      <c r="Q28" s="231"/>
      <c r="R28" s="150"/>
      <c r="S28" s="145"/>
      <c r="T28" s="232"/>
      <c r="U28" s="232"/>
      <c r="V28" s="232"/>
      <c r="W28" s="232"/>
      <c r="X28" s="232"/>
      <c r="Y28" s="232"/>
      <c r="Z28" s="232"/>
      <c r="AA28" s="232"/>
      <c r="AB28" s="145"/>
      <c r="AC28" s="147"/>
      <c r="AD28" s="145"/>
      <c r="AE28" s="189"/>
      <c r="AF28" s="189"/>
      <c r="AH28" s="145"/>
    </row>
    <row r="29" spans="2:34" s="95" customFormat="1" ht="15" thickBot="1" x14ac:dyDescent="0.25">
      <c r="B29" s="140" t="s">
        <v>139</v>
      </c>
      <c r="C29" s="141" t="s">
        <v>321</v>
      </c>
      <c r="O29" s="150"/>
      <c r="P29" s="77"/>
      <c r="Q29" s="231"/>
      <c r="R29" s="150"/>
      <c r="S29" s="145"/>
      <c r="T29" s="232"/>
      <c r="U29" s="232"/>
      <c r="V29" s="232"/>
      <c r="W29" s="232"/>
      <c r="X29" s="232"/>
      <c r="Y29" s="232"/>
      <c r="Z29" s="232"/>
      <c r="AA29" s="232"/>
      <c r="AB29" s="145"/>
      <c r="AC29" s="147"/>
      <c r="AD29" s="145"/>
      <c r="AE29" s="189"/>
      <c r="AF29" s="189"/>
      <c r="AG29" s="99"/>
      <c r="AH29" s="145"/>
    </row>
    <row r="30" spans="2:34" ht="14.1" customHeight="1" x14ac:dyDescent="0.2">
      <c r="B30" s="113">
        <f>B27 + 1</f>
        <v>19</v>
      </c>
      <c r="C30" s="143" t="s">
        <v>322</v>
      </c>
      <c r="D30" s="115" t="s">
        <v>76</v>
      </c>
      <c r="E30" s="116">
        <v>3</v>
      </c>
      <c r="F30" s="578">
        <v>0.89300000000000002</v>
      </c>
      <c r="G30" s="579">
        <v>1.1160000000000001</v>
      </c>
      <c r="H30" s="568">
        <v>0.73699999999999999</v>
      </c>
      <c r="I30" s="567">
        <v>3.8149999999999999</v>
      </c>
      <c r="J30" s="568">
        <v>5.0000000000000001E-3</v>
      </c>
      <c r="K30" s="567">
        <v>0.85799999999999998</v>
      </c>
      <c r="L30" s="579">
        <v>2.2029999999999998</v>
      </c>
      <c r="M30" s="568">
        <v>0.159</v>
      </c>
      <c r="N30" s="229">
        <f>SUM(F30:M30)</f>
        <v>9.7859999999999996</v>
      </c>
      <c r="O30" s="150"/>
      <c r="P30" s="77">
        <f t="shared" si="6"/>
        <v>0</v>
      </c>
      <c r="Q30" s="29">
        <f t="shared" ref="Q30:Q31" si="22" xml:space="preserve"> IF( SUM( S30:AB30 ) = 0, 0, $T$6 )</f>
        <v>0</v>
      </c>
      <c r="T30" s="120">
        <f t="shared" ref="T30:AA31" si="23" xml:space="preserve"> IF( ISNUMBER( F30 ), 0, 1 )</f>
        <v>0</v>
      </c>
      <c r="U30" s="120">
        <f t="shared" si="23"/>
        <v>0</v>
      </c>
      <c r="V30" s="120">
        <f t="shared" si="23"/>
        <v>0</v>
      </c>
      <c r="W30" s="120">
        <f t="shared" si="23"/>
        <v>0</v>
      </c>
      <c r="X30" s="120">
        <f t="shared" si="23"/>
        <v>0</v>
      </c>
      <c r="Y30" s="120">
        <f t="shared" si="23"/>
        <v>0</v>
      </c>
      <c r="Z30" s="120">
        <f t="shared" si="23"/>
        <v>0</v>
      </c>
      <c r="AA30" s="120">
        <f t="shared" si="23"/>
        <v>0</v>
      </c>
      <c r="AC30" s="120">
        <f xml:space="preserve"> IF( (AE30 - AF30) = 0, 0, 1 )</f>
        <v>0</v>
      </c>
      <c r="AD30" s="145"/>
      <c r="AE30" s="189">
        <f xml:space="preserve"> ROUND( N30, 3)</f>
        <v>9.7859999999999996</v>
      </c>
      <c r="AF30" s="189">
        <f xml:space="preserve"> ROUND( '2B'!G29, 3)</f>
        <v>9.7859999999999996</v>
      </c>
      <c r="AG30" s="99" t="s">
        <v>705</v>
      </c>
      <c r="AH30" s="145"/>
    </row>
    <row r="31" spans="2:34" ht="14.1" customHeight="1" x14ac:dyDescent="0.2">
      <c r="B31" s="121">
        <f xml:space="preserve"> B30 + 1</f>
        <v>20</v>
      </c>
      <c r="C31" s="114" t="s">
        <v>323</v>
      </c>
      <c r="D31" s="122" t="s">
        <v>76</v>
      </c>
      <c r="E31" s="123">
        <v>3</v>
      </c>
      <c r="F31" s="580">
        <v>0</v>
      </c>
      <c r="G31" s="566">
        <v>0</v>
      </c>
      <c r="H31" s="569">
        <v>0</v>
      </c>
      <c r="I31" s="565">
        <v>0</v>
      </c>
      <c r="J31" s="569">
        <v>0</v>
      </c>
      <c r="K31" s="565">
        <v>0</v>
      </c>
      <c r="L31" s="566">
        <v>0</v>
      </c>
      <c r="M31" s="569">
        <v>0</v>
      </c>
      <c r="N31" s="273">
        <f>SUM(F31:M31)</f>
        <v>0</v>
      </c>
      <c r="O31" s="150"/>
      <c r="P31" s="77">
        <f t="shared" si="6"/>
        <v>0</v>
      </c>
      <c r="Q31" s="29">
        <f t="shared" si="22"/>
        <v>0</v>
      </c>
      <c r="T31" s="120">
        <f t="shared" si="23"/>
        <v>0</v>
      </c>
      <c r="U31" s="120">
        <f t="shared" si="23"/>
        <v>0</v>
      </c>
      <c r="V31" s="120">
        <f t="shared" si="23"/>
        <v>0</v>
      </c>
      <c r="W31" s="120">
        <f t="shared" si="23"/>
        <v>0</v>
      </c>
      <c r="X31" s="120">
        <f t="shared" si="23"/>
        <v>0</v>
      </c>
      <c r="Y31" s="120">
        <f t="shared" si="23"/>
        <v>0</v>
      </c>
      <c r="Z31" s="120">
        <f t="shared" si="23"/>
        <v>0</v>
      </c>
      <c r="AA31" s="120">
        <f t="shared" si="23"/>
        <v>0</v>
      </c>
      <c r="AC31" s="120">
        <f xml:space="preserve"> IF( (AE31 - AF31) = 0, 0, 1 )</f>
        <v>0</v>
      </c>
      <c r="AD31" s="145"/>
      <c r="AE31" s="189">
        <f xml:space="preserve"> ROUND( N31, 3)</f>
        <v>0</v>
      </c>
      <c r="AF31" s="189">
        <f xml:space="preserve"> ROUND( '2B'!G30, 3)</f>
        <v>0</v>
      </c>
      <c r="AG31" s="99" t="s">
        <v>706</v>
      </c>
      <c r="AH31" s="145"/>
    </row>
    <row r="32" spans="2:34" ht="14.1" customHeight="1" thickBot="1" x14ac:dyDescent="0.25">
      <c r="B32" s="128">
        <f xml:space="preserve"> B31 + 1</f>
        <v>21</v>
      </c>
      <c r="C32" s="129" t="s">
        <v>324</v>
      </c>
      <c r="D32" s="130" t="s">
        <v>76</v>
      </c>
      <c r="E32" s="127">
        <v>3</v>
      </c>
      <c r="F32" s="274">
        <f t="shared" ref="F32:M32" si="24">SUM(F27:F31)</f>
        <v>44.039640000000006</v>
      </c>
      <c r="G32" s="224">
        <f t="shared" si="24"/>
        <v>51.039820000000006</v>
      </c>
      <c r="H32" s="225">
        <f t="shared" si="24"/>
        <v>22.834039999999998</v>
      </c>
      <c r="I32" s="223">
        <f t="shared" si="24"/>
        <v>135.67599999999999</v>
      </c>
      <c r="J32" s="225">
        <f t="shared" si="24"/>
        <v>0.48399999999999999</v>
      </c>
      <c r="K32" s="223">
        <f t="shared" si="24"/>
        <v>9.8669999999999991</v>
      </c>
      <c r="L32" s="224">
        <f t="shared" si="24"/>
        <v>48.201000000000001</v>
      </c>
      <c r="M32" s="225">
        <f t="shared" si="24"/>
        <v>8.7759999999999998</v>
      </c>
      <c r="N32" s="230">
        <f>SUM(F32:M32)</f>
        <v>320.91750000000002</v>
      </c>
      <c r="O32" s="150"/>
      <c r="P32" s="77">
        <f t="shared" si="6"/>
        <v>0</v>
      </c>
      <c r="Q32" s="231"/>
      <c r="R32" s="150"/>
      <c r="S32" s="145"/>
      <c r="T32" s="232"/>
      <c r="U32" s="232"/>
      <c r="V32" s="232"/>
      <c r="W32" s="232"/>
      <c r="X32" s="232"/>
      <c r="Y32" s="232"/>
      <c r="Z32" s="232"/>
      <c r="AA32" s="232"/>
      <c r="AB32" s="145"/>
      <c r="AC32" s="120">
        <f xml:space="preserve"> IF( (AE32 - AF32) = 0, 0, 1 )</f>
        <v>0</v>
      </c>
      <c r="AD32" s="145"/>
      <c r="AE32" s="189">
        <f xml:space="preserve"> ROUND( N32, 3)</f>
        <v>320.91800000000001</v>
      </c>
      <c r="AF32" s="189">
        <f xml:space="preserve"> ROUND( '2B'!G33, 3)</f>
        <v>320.91800000000001</v>
      </c>
      <c r="AG32" s="99" t="s">
        <v>707</v>
      </c>
      <c r="AH32" s="145"/>
    </row>
    <row r="33" spans="2:34" ht="15" thickBot="1" x14ac:dyDescent="0.25">
      <c r="O33" s="150"/>
      <c r="P33" s="77"/>
      <c r="Q33" s="136"/>
      <c r="R33" s="144"/>
      <c r="S33" s="148"/>
      <c r="T33" s="232"/>
      <c r="U33" s="232"/>
      <c r="V33" s="232"/>
      <c r="W33" s="232"/>
      <c r="X33" s="232"/>
      <c r="Y33" s="232"/>
      <c r="Z33" s="232"/>
      <c r="AA33" s="232"/>
      <c r="AB33" s="148"/>
      <c r="AC33"/>
      <c r="AD33" s="148"/>
      <c r="AH33" s="148"/>
    </row>
    <row r="34" spans="2:34" ht="15" thickBot="1" x14ac:dyDescent="0.25">
      <c r="B34" s="140" t="s">
        <v>148</v>
      </c>
      <c r="C34" s="141" t="s">
        <v>650</v>
      </c>
      <c r="D34" s="95"/>
      <c r="E34" s="95"/>
      <c r="O34" s="150"/>
      <c r="P34" s="77"/>
      <c r="Q34" s="136"/>
      <c r="R34" s="144"/>
      <c r="S34" s="148"/>
      <c r="T34" s="232"/>
      <c r="U34" s="232"/>
      <c r="V34" s="232"/>
      <c r="W34" s="232"/>
      <c r="X34" s="232"/>
      <c r="Y34" s="232"/>
      <c r="Z34" s="232"/>
      <c r="AA34" s="232"/>
      <c r="AB34" s="148"/>
      <c r="AC34"/>
      <c r="AD34" s="148"/>
      <c r="AH34" s="148"/>
    </row>
    <row r="35" spans="2:34" ht="14.1" customHeight="1" thickBot="1" x14ac:dyDescent="0.25">
      <c r="B35" s="113">
        <f>B32 + 1</f>
        <v>22</v>
      </c>
      <c r="C35" s="143" t="s">
        <v>708</v>
      </c>
      <c r="D35" s="115" t="s">
        <v>652</v>
      </c>
      <c r="E35" s="244">
        <v>3</v>
      </c>
      <c r="F35" s="581">
        <v>295975.05485000001</v>
      </c>
      <c r="O35" s="150"/>
      <c r="P35" s="77"/>
      <c r="Q35" s="29">
        <f t="shared" ref="Q35:Q42" si="25" xml:space="preserve"> IF( SUM( S35:AB35 ) = 0, 0, $T$6 )</f>
        <v>0</v>
      </c>
      <c r="R35" s="144"/>
      <c r="S35" s="148"/>
      <c r="T35" s="120">
        <f xml:space="preserve"> IF( ISNUMBER( F35 ), 0, 1 )</f>
        <v>0</v>
      </c>
      <c r="U35" s="232"/>
      <c r="V35" s="232"/>
      <c r="W35" s="232"/>
      <c r="X35" s="232"/>
      <c r="Y35" s="232"/>
      <c r="Z35" s="232"/>
      <c r="AA35" s="232"/>
      <c r="AB35" s="148"/>
      <c r="AC35"/>
      <c r="AD35" s="148"/>
      <c r="AH35" s="148"/>
    </row>
    <row r="36" spans="2:34" ht="14.1" customHeight="1" thickBot="1" x14ac:dyDescent="0.25">
      <c r="B36" s="121">
        <f t="shared" ref="B36:B43" si="26" xml:space="preserve"> B35 + 1</f>
        <v>23</v>
      </c>
      <c r="C36" s="114" t="s">
        <v>709</v>
      </c>
      <c r="D36" s="122" t="s">
        <v>652</v>
      </c>
      <c r="E36" s="123">
        <v>3</v>
      </c>
      <c r="G36" s="581">
        <v>322286.7</v>
      </c>
      <c r="O36" s="150"/>
      <c r="P36" s="77"/>
      <c r="Q36" s="29">
        <f t="shared" si="25"/>
        <v>0</v>
      </c>
      <c r="T36" s="232"/>
      <c r="U36" s="120">
        <f xml:space="preserve"> IF( ISNUMBER( G36 ), 0, 1 )</f>
        <v>0</v>
      </c>
      <c r="V36" s="232"/>
      <c r="W36" s="232"/>
      <c r="X36" s="232"/>
      <c r="Y36" s="232"/>
      <c r="Z36" s="232"/>
      <c r="AA36" s="232"/>
      <c r="AC36" s="137"/>
      <c r="AD36" s="148"/>
      <c r="AH36" s="148"/>
    </row>
    <row r="37" spans="2:34" ht="14.1" customHeight="1" thickBot="1" x14ac:dyDescent="0.25">
      <c r="B37" s="121">
        <f t="shared" si="26"/>
        <v>24</v>
      </c>
      <c r="C37" s="114" t="s">
        <v>710</v>
      </c>
      <c r="D37" s="122" t="s">
        <v>652</v>
      </c>
      <c r="E37" s="123">
        <v>3</v>
      </c>
      <c r="H37" s="581">
        <v>96267.455000000002</v>
      </c>
      <c r="O37" s="150"/>
      <c r="P37" s="77"/>
      <c r="Q37" s="29">
        <f t="shared" si="25"/>
        <v>0</v>
      </c>
      <c r="T37" s="232"/>
      <c r="U37" s="232"/>
      <c r="V37" s="120">
        <f xml:space="preserve"> IF( ISNUMBER( H37 ), 0, 1 )</f>
        <v>0</v>
      </c>
      <c r="W37" s="232"/>
      <c r="X37" s="232"/>
      <c r="Y37" s="232"/>
      <c r="Z37" s="232"/>
      <c r="AA37" s="232"/>
      <c r="AD37" s="148"/>
      <c r="AH37" s="148"/>
    </row>
    <row r="38" spans="2:34" ht="14.1" customHeight="1" thickBot="1" x14ac:dyDescent="0.25">
      <c r="B38" s="121">
        <f t="shared" si="26"/>
        <v>25</v>
      </c>
      <c r="C38" s="114" t="s">
        <v>711</v>
      </c>
      <c r="D38" s="122" t="s">
        <v>712</v>
      </c>
      <c r="E38" s="123">
        <v>3</v>
      </c>
      <c r="I38" s="581">
        <v>128261.98</v>
      </c>
      <c r="O38" s="153"/>
      <c r="P38" s="77"/>
      <c r="Q38" s="29">
        <f t="shared" si="25"/>
        <v>0</v>
      </c>
      <c r="T38" s="232"/>
      <c r="U38" s="232"/>
      <c r="V38" s="232"/>
      <c r="W38" s="120">
        <f xml:space="preserve"> IF( ISNUMBER( I38 ), 0, 1 )</f>
        <v>0</v>
      </c>
      <c r="X38" s="232"/>
      <c r="Y38" s="232"/>
      <c r="Z38" s="232"/>
      <c r="AA38" s="232"/>
      <c r="AD38" s="148"/>
      <c r="AH38" s="148"/>
    </row>
    <row r="39" spans="2:34" ht="14.1" customHeight="1" thickBot="1" x14ac:dyDescent="0.25">
      <c r="B39" s="121">
        <f t="shared" si="26"/>
        <v>26</v>
      </c>
      <c r="C39" s="114" t="s">
        <v>713</v>
      </c>
      <c r="D39" s="122" t="s">
        <v>712</v>
      </c>
      <c r="E39" s="123">
        <v>3</v>
      </c>
      <c r="J39" s="581">
        <v>5839</v>
      </c>
      <c r="O39" s="153"/>
      <c r="P39" s="77"/>
      <c r="Q39" s="29">
        <f t="shared" si="25"/>
        <v>0</v>
      </c>
      <c r="T39" s="232"/>
      <c r="U39" s="232"/>
      <c r="V39" s="232"/>
      <c r="W39" s="232"/>
      <c r="X39" s="120">
        <f xml:space="preserve"> IF( ISNUMBER( J39 ), 0, 1 )</f>
        <v>0</v>
      </c>
      <c r="Y39" s="232"/>
      <c r="Z39" s="232"/>
      <c r="AA39" s="232"/>
      <c r="AD39" s="148"/>
      <c r="AE39" s="95"/>
      <c r="AF39" s="95"/>
      <c r="AG39" s="95"/>
      <c r="AH39" s="148"/>
    </row>
    <row r="40" spans="2:34" ht="14.1" customHeight="1" thickBot="1" x14ac:dyDescent="0.25">
      <c r="B40" s="121">
        <f t="shared" si="26"/>
        <v>27</v>
      </c>
      <c r="C40" s="114" t="s">
        <v>714</v>
      </c>
      <c r="D40" s="122" t="s">
        <v>715</v>
      </c>
      <c r="E40" s="123">
        <v>3</v>
      </c>
      <c r="K40" s="581">
        <v>752897</v>
      </c>
      <c r="O40" s="153"/>
      <c r="P40" s="77"/>
      <c r="Q40" s="29">
        <f t="shared" si="25"/>
        <v>0</v>
      </c>
      <c r="T40" s="232"/>
      <c r="U40" s="232"/>
      <c r="V40" s="232"/>
      <c r="W40" s="232"/>
      <c r="X40" s="232"/>
      <c r="Y40" s="120">
        <f xml:space="preserve"> IF( ISNUMBER( K40 ), 0, 1 )</f>
        <v>0</v>
      </c>
      <c r="Z40" s="232"/>
      <c r="AA40" s="232"/>
      <c r="AD40" s="148"/>
      <c r="AE40" s="187"/>
      <c r="AF40" s="187"/>
      <c r="AG40" s="187"/>
      <c r="AH40" s="148"/>
    </row>
    <row r="41" spans="2:34" ht="14.1" customHeight="1" thickBot="1" x14ac:dyDescent="0.25">
      <c r="B41" s="121">
        <f t="shared" si="26"/>
        <v>28</v>
      </c>
      <c r="C41" s="114" t="s">
        <v>716</v>
      </c>
      <c r="D41" s="122" t="s">
        <v>717</v>
      </c>
      <c r="E41" s="123">
        <v>3</v>
      </c>
      <c r="L41" s="581">
        <v>124548</v>
      </c>
      <c r="O41" s="153"/>
      <c r="P41" s="77"/>
      <c r="Q41" s="29">
        <f t="shared" si="25"/>
        <v>0</v>
      </c>
      <c r="R41" s="144"/>
      <c r="S41" s="148"/>
      <c r="T41" s="232"/>
      <c r="U41" s="232"/>
      <c r="V41" s="232"/>
      <c r="W41" s="232"/>
      <c r="X41" s="232"/>
      <c r="Y41" s="232"/>
      <c r="Z41" s="120">
        <f xml:space="preserve"> IF( ISNUMBER( L41 ), 0, 1 )</f>
        <v>0</v>
      </c>
      <c r="AA41" s="232"/>
      <c r="AB41" s="148"/>
      <c r="AD41" s="148"/>
      <c r="AE41" s="187"/>
      <c r="AF41" s="187"/>
      <c r="AG41" s="187"/>
      <c r="AH41" s="148"/>
    </row>
    <row r="42" spans="2:34" ht="14.1" customHeight="1" thickBot="1" x14ac:dyDescent="0.25">
      <c r="B42" s="121">
        <f t="shared" si="26"/>
        <v>29</v>
      </c>
      <c r="C42" s="114" t="s">
        <v>718</v>
      </c>
      <c r="D42" s="122" t="s">
        <v>717</v>
      </c>
      <c r="E42" s="123">
        <v>3</v>
      </c>
      <c r="M42" s="581">
        <v>131700</v>
      </c>
      <c r="O42" s="153"/>
      <c r="P42" s="77"/>
      <c r="Q42" s="29">
        <f t="shared" si="25"/>
        <v>0</v>
      </c>
      <c r="T42" s="232"/>
      <c r="U42" s="232"/>
      <c r="V42" s="232"/>
      <c r="W42" s="232"/>
      <c r="X42" s="232"/>
      <c r="Y42" s="232"/>
      <c r="Z42" s="232"/>
      <c r="AA42" s="120">
        <f xml:space="preserve"> IF( ISNUMBER( M42 ), 0, 1 )</f>
        <v>0</v>
      </c>
      <c r="AE42" s="187"/>
      <c r="AF42" s="187"/>
      <c r="AG42" s="187"/>
    </row>
    <row r="43" spans="2:34" ht="14.1" customHeight="1" thickBot="1" x14ac:dyDescent="0.25">
      <c r="B43" s="128">
        <f t="shared" si="26"/>
        <v>30</v>
      </c>
      <c r="C43" s="129" t="s">
        <v>658</v>
      </c>
      <c r="D43" s="130" t="s">
        <v>719</v>
      </c>
      <c r="E43" s="257">
        <v>3</v>
      </c>
      <c r="F43" s="279">
        <f xml:space="preserve"> IF( F35 = 0, 0, F16 *1000000 / F35 )</f>
        <v>60.488205700555511</v>
      </c>
      <c r="G43" s="280">
        <f xml:space="preserve"> IF( G36 = 0, 0, G16 *1000000 / G36 )</f>
        <v>64.205255755201819</v>
      </c>
      <c r="H43" s="281">
        <f xml:space="preserve"> IF( H37 = 0, 0, H16 *1000000 / H37 )</f>
        <v>105.32115967956149</v>
      </c>
      <c r="I43" s="282">
        <f xml:space="preserve"> IF( I38 = 0, 0, I16 *1000000 / I38 )</f>
        <v>615.90348129663994</v>
      </c>
      <c r="J43" s="283">
        <f xml:space="preserve"> IF( J39 = 0, 0, J16 *1000000 / J39 )</f>
        <v>81.692070560027403</v>
      </c>
      <c r="K43" s="279">
        <f xml:space="preserve"> IF( K40 = 0, 0, K16 *1000000 / K40 )</f>
        <v>11.965780179758982</v>
      </c>
      <c r="L43" s="280">
        <f xml:space="preserve"> IF( L41 = 0, 0, L16 *1000000 / L41 )</f>
        <v>231.13177248932138</v>
      </c>
      <c r="M43" s="281">
        <f xml:space="preserve"> IF( M42 = 0, 0, M16 *1000000 / M42 )</f>
        <v>65.429005315110103</v>
      </c>
      <c r="O43" s="153"/>
      <c r="T43" s="232"/>
      <c r="U43" s="232"/>
      <c r="V43" s="232"/>
      <c r="W43" s="232"/>
      <c r="X43" s="232"/>
      <c r="Y43" s="232"/>
      <c r="Z43" s="232"/>
      <c r="AA43" s="232"/>
      <c r="AE43" s="187"/>
      <c r="AF43" s="187"/>
      <c r="AG43" s="187"/>
    </row>
    <row r="44" spans="2:34" x14ac:dyDescent="0.2">
      <c r="O44" s="153"/>
      <c r="T44" s="232"/>
      <c r="U44" s="232"/>
      <c r="V44" s="232"/>
      <c r="W44" s="232"/>
      <c r="X44" s="232"/>
      <c r="Y44" s="232"/>
      <c r="Z44" s="232"/>
      <c r="AA44" s="232"/>
      <c r="AE44" s="187"/>
      <c r="AF44" s="187"/>
      <c r="AG44" s="187"/>
    </row>
    <row r="45" spans="2:34" x14ac:dyDescent="0.2">
      <c r="B45" s="703" t="s">
        <v>90</v>
      </c>
      <c r="C45" s="703"/>
      <c r="D45" s="187"/>
      <c r="E45" s="187"/>
      <c r="F45" s="187"/>
      <c r="G45" s="187"/>
      <c r="H45" s="150"/>
      <c r="O45" s="153"/>
      <c r="T45" s="232"/>
      <c r="U45" s="232"/>
      <c r="V45" s="232"/>
      <c r="W45" s="232"/>
      <c r="X45" s="232"/>
      <c r="Y45" s="232"/>
      <c r="Z45" s="232"/>
      <c r="AA45" s="232"/>
      <c r="AE45" s="187"/>
      <c r="AF45" s="187"/>
      <c r="AG45" s="187"/>
    </row>
    <row r="46" spans="2:34" x14ac:dyDescent="0.2">
      <c r="B46" s="162"/>
      <c r="C46" s="163"/>
      <c r="D46" s="187"/>
      <c r="E46" s="187"/>
      <c r="F46" s="187"/>
      <c r="G46" s="187"/>
      <c r="H46" s="150"/>
      <c r="O46" s="153"/>
      <c r="T46" s="232"/>
      <c r="U46" s="232"/>
      <c r="V46" s="232"/>
      <c r="W46" s="232"/>
      <c r="X46" s="232"/>
      <c r="Y46" s="232"/>
      <c r="Z46" s="232"/>
      <c r="AA46" s="232"/>
      <c r="AE46" s="187"/>
      <c r="AF46" s="187"/>
      <c r="AG46" s="187"/>
    </row>
    <row r="47" spans="2:34" x14ac:dyDescent="0.2">
      <c r="B47" s="30"/>
      <c r="C47" s="164" t="s">
        <v>91</v>
      </c>
      <c r="D47" s="187"/>
      <c r="E47" s="187"/>
      <c r="F47" s="187"/>
      <c r="G47" s="187"/>
      <c r="H47" s="150"/>
      <c r="O47" s="153"/>
      <c r="T47" s="232"/>
      <c r="U47" s="232"/>
      <c r="V47" s="232"/>
      <c r="W47" s="232"/>
      <c r="X47" s="232"/>
      <c r="Y47" s="232"/>
      <c r="Z47" s="232"/>
      <c r="AA47" s="232"/>
      <c r="AE47" s="206"/>
      <c r="AF47" s="206"/>
      <c r="AG47" s="206"/>
    </row>
    <row r="48" spans="2:34" x14ac:dyDescent="0.2">
      <c r="B48" s="162"/>
      <c r="C48" s="163"/>
      <c r="D48" s="187"/>
      <c r="E48" s="187"/>
      <c r="F48" s="187"/>
      <c r="G48" s="187"/>
      <c r="H48" s="150"/>
      <c r="O48" s="153"/>
      <c r="T48" s="232"/>
      <c r="U48" s="232"/>
      <c r="V48" s="232"/>
      <c r="W48" s="232"/>
      <c r="X48" s="232"/>
      <c r="Y48" s="232"/>
      <c r="Z48" s="232"/>
      <c r="AA48" s="232"/>
      <c r="AE48" s="206"/>
      <c r="AF48" s="206"/>
      <c r="AG48" s="206"/>
    </row>
    <row r="49" spans="2:33" x14ac:dyDescent="0.2">
      <c r="B49" s="165"/>
      <c r="C49" s="164" t="s">
        <v>92</v>
      </c>
      <c r="D49" s="187"/>
      <c r="E49" s="187"/>
      <c r="F49" s="187"/>
      <c r="G49" s="187"/>
      <c r="H49" s="150"/>
      <c r="O49" s="153"/>
      <c r="T49" s="232"/>
      <c r="U49" s="232"/>
      <c r="V49" s="232"/>
      <c r="W49" s="232"/>
      <c r="X49" s="232"/>
      <c r="Y49" s="232"/>
      <c r="Z49" s="232"/>
      <c r="AA49" s="232"/>
      <c r="AE49" s="137"/>
      <c r="AF49" s="137"/>
      <c r="AG49" s="137"/>
    </row>
    <row r="50" spans="2:33" x14ac:dyDescent="0.2">
      <c r="B50" s="166"/>
      <c r="C50" s="164"/>
      <c r="D50" s="187"/>
      <c r="E50" s="187"/>
      <c r="F50" s="187"/>
      <c r="G50" s="187"/>
      <c r="H50" s="150"/>
      <c r="O50" s="153"/>
      <c r="T50" s="232"/>
      <c r="U50" s="232"/>
      <c r="V50" s="232"/>
      <c r="W50" s="232"/>
      <c r="X50" s="232"/>
      <c r="Y50" s="232"/>
      <c r="Z50" s="232"/>
      <c r="AA50" s="232"/>
      <c r="AE50" s="137"/>
      <c r="AF50" s="137"/>
      <c r="AG50" s="137"/>
    </row>
    <row r="51" spans="2:33" x14ac:dyDescent="0.2">
      <c r="B51" s="167"/>
      <c r="C51" s="164" t="s">
        <v>93</v>
      </c>
      <c r="D51" s="187"/>
      <c r="E51" s="187"/>
      <c r="F51" s="187"/>
      <c r="G51" s="187"/>
      <c r="H51" s="150"/>
      <c r="O51" s="153"/>
      <c r="T51" s="232"/>
      <c r="U51" s="232"/>
      <c r="V51" s="232"/>
      <c r="W51" s="232"/>
      <c r="X51" s="232"/>
      <c r="Y51" s="232"/>
      <c r="Z51" s="232"/>
      <c r="AA51" s="232"/>
      <c r="AE51" s="206"/>
      <c r="AF51" s="206"/>
      <c r="AG51" s="206"/>
    </row>
    <row r="52" spans="2:33" x14ac:dyDescent="0.2">
      <c r="B52" s="172"/>
      <c r="C52" s="173"/>
      <c r="D52" s="206"/>
      <c r="E52" s="206"/>
      <c r="F52" s="206"/>
      <c r="G52" s="206"/>
      <c r="H52" s="153"/>
      <c r="O52" s="153"/>
      <c r="T52" s="232"/>
      <c r="U52" s="232"/>
      <c r="V52" s="232"/>
      <c r="W52" s="232"/>
      <c r="X52" s="232"/>
      <c r="Y52" s="232"/>
      <c r="Z52" s="232"/>
      <c r="AA52" s="232"/>
      <c r="AE52" s="137"/>
      <c r="AF52" s="137"/>
      <c r="AG52" s="137"/>
    </row>
    <row r="53" spans="2:33" ht="15" thickBot="1" x14ac:dyDescent="0.25">
      <c r="B53" s="206"/>
      <c r="C53" s="207"/>
      <c r="D53" s="206"/>
      <c r="E53" s="206"/>
      <c r="F53" s="206"/>
      <c r="G53" s="206"/>
      <c r="H53" s="153"/>
      <c r="O53" s="153"/>
      <c r="T53" s="232"/>
      <c r="U53" s="232"/>
      <c r="V53" s="232"/>
      <c r="W53" s="232"/>
      <c r="X53" s="232"/>
      <c r="Y53" s="232"/>
      <c r="Z53" s="232"/>
      <c r="AA53" s="232"/>
      <c r="AE53" s="137"/>
      <c r="AF53" s="137"/>
      <c r="AG53" s="137"/>
    </row>
    <row r="54" spans="2:33" ht="21" thickBot="1" x14ac:dyDescent="0.25">
      <c r="B54" s="168" t="str">
        <f ca="1" xml:space="preserve"> RIGHT(CELL("filename", $A$1), LEN(CELL("filename", $A$1)) - SEARCH("]", CELL("filename", $A$1)))&amp;" - Line definitions"</f>
        <v>4E - Line definitions</v>
      </c>
      <c r="C54" s="169"/>
      <c r="D54" s="170"/>
      <c r="E54" s="170"/>
      <c r="F54" s="170"/>
      <c r="G54" s="170"/>
      <c r="H54" s="170"/>
      <c r="I54" s="170"/>
      <c r="J54" s="170"/>
      <c r="K54" s="170"/>
      <c r="L54" s="170"/>
      <c r="M54" s="170"/>
      <c r="N54" s="176"/>
      <c r="O54" s="153"/>
      <c r="U54" s="232"/>
      <c r="V54" s="232"/>
      <c r="W54" s="232"/>
      <c r="X54" s="232"/>
      <c r="Y54" s="232"/>
      <c r="Z54" s="232"/>
      <c r="AA54" s="232"/>
      <c r="AE54" s="137"/>
      <c r="AF54" s="137"/>
      <c r="AG54" s="137"/>
    </row>
    <row r="55" spans="2:33" ht="15" thickBot="1" x14ac:dyDescent="0.25">
      <c r="B55" s="99"/>
      <c r="C55" s="177"/>
      <c r="D55" s="99"/>
      <c r="E55" s="99"/>
      <c r="F55" s="99"/>
      <c r="G55" s="137"/>
      <c r="H55" s="144"/>
      <c r="O55" s="153"/>
      <c r="U55" s="232"/>
      <c r="V55" s="232"/>
      <c r="W55" s="232"/>
      <c r="X55" s="232"/>
      <c r="Y55" s="232"/>
      <c r="Z55" s="232"/>
      <c r="AA55" s="232"/>
      <c r="AE55" s="137"/>
      <c r="AF55" s="137"/>
      <c r="AG55" s="137"/>
    </row>
    <row r="56" spans="2:33" ht="15" thickBot="1" x14ac:dyDescent="0.25">
      <c r="B56" s="178" t="s">
        <v>94</v>
      </c>
      <c r="C56" s="706" t="s">
        <v>95</v>
      </c>
      <c r="D56" s="706"/>
      <c r="E56" s="706"/>
      <c r="F56" s="706"/>
      <c r="G56" s="706"/>
      <c r="H56" s="706"/>
      <c r="I56" s="706"/>
      <c r="J56" s="706"/>
      <c r="K56" s="706"/>
      <c r="L56" s="706"/>
      <c r="M56" s="706"/>
      <c r="N56" s="707"/>
      <c r="O56" s="153"/>
      <c r="U56" s="232"/>
      <c r="V56" s="232"/>
      <c r="W56" s="232"/>
      <c r="X56" s="232"/>
      <c r="Y56" s="232"/>
      <c r="Z56" s="232"/>
      <c r="AA56" s="232"/>
      <c r="AE56" s="137"/>
      <c r="AF56" s="137"/>
      <c r="AG56" s="137"/>
    </row>
    <row r="57" spans="2:33" x14ac:dyDescent="0.2">
      <c r="B57" s="209">
        <f t="shared" ref="B57:B63" si="27">B7</f>
        <v>1</v>
      </c>
      <c r="C57" s="704" t="s">
        <v>325</v>
      </c>
      <c r="D57" s="704"/>
      <c r="E57" s="704"/>
      <c r="F57" s="704"/>
      <c r="G57" s="704"/>
      <c r="H57" s="704"/>
      <c r="I57" s="704"/>
      <c r="J57" s="704"/>
      <c r="K57" s="704"/>
      <c r="L57" s="704"/>
      <c r="M57" s="704"/>
      <c r="N57" s="705"/>
      <c r="O57" s="153"/>
      <c r="T57" s="112" t="s">
        <v>96</v>
      </c>
      <c r="U57" s="232"/>
      <c r="V57" s="232"/>
      <c r="W57" s="232"/>
      <c r="X57" s="232"/>
      <c r="Y57" s="232"/>
      <c r="Z57" s="232"/>
      <c r="AA57" s="232"/>
      <c r="AE57" s="137"/>
      <c r="AF57" s="137"/>
      <c r="AG57" s="137"/>
    </row>
    <row r="58" spans="2:33" x14ac:dyDescent="0.2">
      <c r="B58" s="184">
        <f t="shared" si="27"/>
        <v>2</v>
      </c>
      <c r="C58" s="695" t="s">
        <v>660</v>
      </c>
      <c r="D58" s="695"/>
      <c r="E58" s="695"/>
      <c r="F58" s="695"/>
      <c r="G58" s="695"/>
      <c r="H58" s="695"/>
      <c r="I58" s="695"/>
      <c r="J58" s="695"/>
      <c r="K58" s="695"/>
      <c r="L58" s="695"/>
      <c r="M58" s="695"/>
      <c r="N58" s="696"/>
      <c r="O58" s="153"/>
      <c r="T58" s="186">
        <v>1</v>
      </c>
      <c r="U58" s="232"/>
      <c r="V58" s="232"/>
      <c r="W58" s="232"/>
      <c r="X58" s="232"/>
      <c r="Y58" s="232"/>
      <c r="Z58" s="232"/>
      <c r="AA58" s="232"/>
      <c r="AE58" s="137"/>
      <c r="AF58" s="137"/>
      <c r="AG58" s="137"/>
    </row>
    <row r="59" spans="2:33" x14ac:dyDescent="0.2">
      <c r="B59" s="184">
        <f t="shared" si="27"/>
        <v>3</v>
      </c>
      <c r="C59" s="695" t="s">
        <v>327</v>
      </c>
      <c r="D59" s="695"/>
      <c r="E59" s="695"/>
      <c r="F59" s="695"/>
      <c r="G59" s="695"/>
      <c r="H59" s="695"/>
      <c r="I59" s="695"/>
      <c r="J59" s="695"/>
      <c r="K59" s="695"/>
      <c r="L59" s="695"/>
      <c r="M59" s="695"/>
      <c r="N59" s="696"/>
      <c r="O59" s="153"/>
      <c r="T59" s="186">
        <v>1</v>
      </c>
      <c r="U59" s="137"/>
      <c r="V59" s="137"/>
      <c r="W59" s="137"/>
      <c r="X59" s="137"/>
      <c r="Y59" s="137"/>
      <c r="Z59" s="137"/>
      <c r="AA59" s="137"/>
      <c r="AE59" s="137"/>
      <c r="AF59" s="137"/>
      <c r="AG59" s="137"/>
    </row>
    <row r="60" spans="2:33" x14ac:dyDescent="0.2">
      <c r="B60" s="184">
        <f t="shared" si="27"/>
        <v>4</v>
      </c>
      <c r="C60" s="695" t="s">
        <v>661</v>
      </c>
      <c r="D60" s="695"/>
      <c r="E60" s="695"/>
      <c r="F60" s="695"/>
      <c r="G60" s="695"/>
      <c r="H60" s="695"/>
      <c r="I60" s="695"/>
      <c r="J60" s="695"/>
      <c r="K60" s="695"/>
      <c r="L60" s="695"/>
      <c r="M60" s="695"/>
      <c r="N60" s="696"/>
      <c r="O60" s="153"/>
      <c r="T60" s="186">
        <v>1</v>
      </c>
      <c r="U60" s="137"/>
      <c r="V60" s="137"/>
      <c r="W60" s="137"/>
      <c r="X60" s="137"/>
      <c r="Y60" s="137"/>
      <c r="Z60" s="137"/>
      <c r="AA60" s="137"/>
      <c r="AE60" s="137"/>
      <c r="AF60" s="137"/>
      <c r="AG60" s="137"/>
    </row>
    <row r="61" spans="2:33" x14ac:dyDescent="0.2">
      <c r="B61" s="184">
        <f t="shared" si="27"/>
        <v>5</v>
      </c>
      <c r="C61" s="695" t="s">
        <v>662</v>
      </c>
      <c r="D61" s="695"/>
      <c r="E61" s="695"/>
      <c r="F61" s="695"/>
      <c r="G61" s="695"/>
      <c r="H61" s="695"/>
      <c r="I61" s="695"/>
      <c r="J61" s="695"/>
      <c r="K61" s="695"/>
      <c r="L61" s="695"/>
      <c r="M61" s="695"/>
      <c r="N61" s="696"/>
      <c r="T61" s="186">
        <v>1</v>
      </c>
      <c r="U61" s="137"/>
      <c r="V61" s="137"/>
      <c r="W61" s="137"/>
      <c r="X61" s="137"/>
      <c r="Y61" s="137"/>
      <c r="Z61" s="137"/>
      <c r="AA61" s="137"/>
      <c r="AE61" s="137"/>
      <c r="AF61" s="137"/>
      <c r="AG61" s="137"/>
    </row>
    <row r="62" spans="2:33" x14ac:dyDescent="0.2">
      <c r="B62" s="184">
        <f t="shared" si="27"/>
        <v>6</v>
      </c>
      <c r="C62" s="695" t="s">
        <v>330</v>
      </c>
      <c r="D62" s="695"/>
      <c r="E62" s="695"/>
      <c r="F62" s="695"/>
      <c r="G62" s="695"/>
      <c r="H62" s="695"/>
      <c r="I62" s="695"/>
      <c r="J62" s="695"/>
      <c r="K62" s="695"/>
      <c r="L62" s="695"/>
      <c r="M62" s="695"/>
      <c r="N62" s="696"/>
      <c r="T62" s="186">
        <v>1</v>
      </c>
      <c r="U62" s="137"/>
      <c r="V62" s="137"/>
      <c r="W62" s="137"/>
      <c r="X62" s="137"/>
      <c r="Y62" s="137"/>
      <c r="Z62" s="137"/>
      <c r="AA62" s="137"/>
      <c r="AE62" s="137"/>
      <c r="AF62" s="137"/>
      <c r="AG62" s="137"/>
    </row>
    <row r="63" spans="2:33" x14ac:dyDescent="0.2">
      <c r="B63" s="184">
        <f t="shared" si="27"/>
        <v>7</v>
      </c>
      <c r="C63" s="695" t="s">
        <v>720</v>
      </c>
      <c r="D63" s="695"/>
      <c r="E63" s="695"/>
      <c r="F63" s="695"/>
      <c r="G63" s="695"/>
      <c r="H63" s="695"/>
      <c r="I63" s="695"/>
      <c r="J63" s="695"/>
      <c r="K63" s="695"/>
      <c r="L63" s="695"/>
      <c r="M63" s="695"/>
      <c r="N63" s="696"/>
      <c r="T63" s="186">
        <v>1</v>
      </c>
      <c r="AE63" s="137"/>
      <c r="AF63" s="137"/>
      <c r="AG63" s="137"/>
    </row>
    <row r="64" spans="2:33" x14ac:dyDescent="0.2">
      <c r="B64" s="184">
        <f>B15</f>
        <v>8</v>
      </c>
      <c r="C64" s="695" t="s">
        <v>332</v>
      </c>
      <c r="D64" s="695"/>
      <c r="E64" s="695"/>
      <c r="F64" s="695"/>
      <c r="G64" s="695"/>
      <c r="H64" s="695"/>
      <c r="I64" s="695"/>
      <c r="J64" s="695"/>
      <c r="K64" s="695"/>
      <c r="L64" s="695"/>
      <c r="M64" s="695"/>
      <c r="N64" s="696"/>
      <c r="T64" s="186">
        <v>1</v>
      </c>
      <c r="AE64" s="137"/>
      <c r="AF64" s="137"/>
      <c r="AG64" s="137"/>
    </row>
    <row r="65" spans="2:33" x14ac:dyDescent="0.2">
      <c r="B65" s="184">
        <f>B16</f>
        <v>9</v>
      </c>
      <c r="C65" s="695" t="s">
        <v>721</v>
      </c>
      <c r="D65" s="695"/>
      <c r="E65" s="695"/>
      <c r="F65" s="695"/>
      <c r="G65" s="695"/>
      <c r="H65" s="695"/>
      <c r="I65" s="695"/>
      <c r="J65" s="695"/>
      <c r="K65" s="695"/>
      <c r="L65" s="695"/>
      <c r="M65" s="695"/>
      <c r="N65" s="696"/>
      <c r="T65" s="186">
        <v>1</v>
      </c>
      <c r="AE65" s="137"/>
      <c r="AF65" s="137"/>
      <c r="AG65" s="137"/>
    </row>
    <row r="66" spans="2:33" x14ac:dyDescent="0.2">
      <c r="B66" s="184">
        <f t="shared" ref="B66:B74" si="28">B19</f>
        <v>10</v>
      </c>
      <c r="C66" s="695" t="s">
        <v>334</v>
      </c>
      <c r="D66" s="695"/>
      <c r="E66" s="695"/>
      <c r="F66" s="695"/>
      <c r="G66" s="695"/>
      <c r="H66" s="695"/>
      <c r="I66" s="695"/>
      <c r="J66" s="695"/>
      <c r="K66" s="695"/>
      <c r="L66" s="695"/>
      <c r="M66" s="695"/>
      <c r="N66" s="696"/>
      <c r="T66" s="186">
        <v>1</v>
      </c>
      <c r="AE66" s="137"/>
      <c r="AF66" s="137"/>
      <c r="AG66" s="137"/>
    </row>
    <row r="67" spans="2:33" x14ac:dyDescent="0.2">
      <c r="B67" s="184">
        <f t="shared" si="28"/>
        <v>11</v>
      </c>
      <c r="C67" s="695" t="s">
        <v>335</v>
      </c>
      <c r="D67" s="695"/>
      <c r="E67" s="695"/>
      <c r="F67" s="695"/>
      <c r="G67" s="695"/>
      <c r="H67" s="695"/>
      <c r="I67" s="695"/>
      <c r="J67" s="695"/>
      <c r="K67" s="695"/>
      <c r="L67" s="695"/>
      <c r="M67" s="695"/>
      <c r="N67" s="696"/>
      <c r="T67" s="186">
        <v>1</v>
      </c>
      <c r="AE67" s="137"/>
      <c r="AF67" s="137"/>
      <c r="AG67" s="137"/>
    </row>
    <row r="68" spans="2:33" x14ac:dyDescent="0.2">
      <c r="B68" s="184">
        <f t="shared" si="28"/>
        <v>12</v>
      </c>
      <c r="C68" s="695" t="s">
        <v>722</v>
      </c>
      <c r="D68" s="695"/>
      <c r="E68" s="695"/>
      <c r="F68" s="695"/>
      <c r="G68" s="695"/>
      <c r="H68" s="695"/>
      <c r="I68" s="695"/>
      <c r="J68" s="695"/>
      <c r="K68" s="695"/>
      <c r="L68" s="695"/>
      <c r="M68" s="695"/>
      <c r="N68" s="696"/>
      <c r="T68" s="186">
        <v>1</v>
      </c>
      <c r="AE68" s="137"/>
      <c r="AF68" s="137"/>
      <c r="AG68" s="137"/>
    </row>
    <row r="69" spans="2:33" x14ac:dyDescent="0.2">
      <c r="B69" s="184">
        <f t="shared" si="28"/>
        <v>13</v>
      </c>
      <c r="C69" s="695" t="s">
        <v>723</v>
      </c>
      <c r="D69" s="695"/>
      <c r="E69" s="695"/>
      <c r="F69" s="695"/>
      <c r="G69" s="695"/>
      <c r="H69" s="695"/>
      <c r="I69" s="695"/>
      <c r="J69" s="695"/>
      <c r="K69" s="695"/>
      <c r="L69" s="695"/>
      <c r="M69" s="695"/>
      <c r="N69" s="696"/>
      <c r="T69" s="186">
        <v>1</v>
      </c>
      <c r="AE69" s="137"/>
      <c r="AF69" s="137"/>
      <c r="AG69" s="137"/>
    </row>
    <row r="70" spans="2:33" x14ac:dyDescent="0.2">
      <c r="B70" s="184">
        <f t="shared" si="28"/>
        <v>14</v>
      </c>
      <c r="C70" s="695" t="s">
        <v>724</v>
      </c>
      <c r="D70" s="695"/>
      <c r="E70" s="695"/>
      <c r="F70" s="695"/>
      <c r="G70" s="695"/>
      <c r="H70" s="695"/>
      <c r="I70" s="695"/>
      <c r="J70" s="695"/>
      <c r="K70" s="695"/>
      <c r="L70" s="695"/>
      <c r="M70" s="695"/>
      <c r="N70" s="696"/>
      <c r="T70" s="186">
        <v>1</v>
      </c>
      <c r="AE70" s="137"/>
      <c r="AF70" s="137"/>
      <c r="AG70" s="137"/>
    </row>
    <row r="71" spans="2:33" x14ac:dyDescent="0.2">
      <c r="B71" s="184">
        <f t="shared" si="28"/>
        <v>15</v>
      </c>
      <c r="C71" s="695" t="s">
        <v>339</v>
      </c>
      <c r="D71" s="695"/>
      <c r="E71" s="695"/>
      <c r="F71" s="695"/>
      <c r="G71" s="695"/>
      <c r="H71" s="695"/>
      <c r="I71" s="695"/>
      <c r="J71" s="695"/>
      <c r="K71" s="695"/>
      <c r="L71" s="695"/>
      <c r="M71" s="695"/>
      <c r="N71" s="696"/>
      <c r="T71" s="186">
        <v>1</v>
      </c>
      <c r="AE71" s="137"/>
      <c r="AF71" s="137"/>
      <c r="AG71" s="137"/>
    </row>
    <row r="72" spans="2:33" x14ac:dyDescent="0.2">
      <c r="B72" s="184">
        <f t="shared" si="28"/>
        <v>16</v>
      </c>
      <c r="C72" s="695" t="s">
        <v>725</v>
      </c>
      <c r="D72" s="695"/>
      <c r="E72" s="695"/>
      <c r="F72" s="695"/>
      <c r="G72" s="695"/>
      <c r="H72" s="695"/>
      <c r="I72" s="695"/>
      <c r="J72" s="695"/>
      <c r="K72" s="695"/>
      <c r="L72" s="695"/>
      <c r="M72" s="695"/>
      <c r="N72" s="696"/>
      <c r="T72" s="186">
        <v>1</v>
      </c>
      <c r="AE72" s="137"/>
      <c r="AF72" s="137"/>
      <c r="AG72" s="137"/>
    </row>
    <row r="73" spans="2:33" x14ac:dyDescent="0.2">
      <c r="B73" s="184">
        <f t="shared" si="28"/>
        <v>17</v>
      </c>
      <c r="C73" s="695" t="s">
        <v>669</v>
      </c>
      <c r="D73" s="695"/>
      <c r="E73" s="695"/>
      <c r="F73" s="695"/>
      <c r="G73" s="695"/>
      <c r="H73" s="695"/>
      <c r="I73" s="695"/>
      <c r="J73" s="695"/>
      <c r="K73" s="695"/>
      <c r="L73" s="695"/>
      <c r="M73" s="695"/>
      <c r="N73" s="696"/>
      <c r="T73" s="186">
        <v>1</v>
      </c>
      <c r="AE73" s="137"/>
      <c r="AF73" s="137"/>
      <c r="AG73" s="137"/>
    </row>
    <row r="74" spans="2:33" x14ac:dyDescent="0.2">
      <c r="B74" s="184">
        <f t="shared" si="28"/>
        <v>18</v>
      </c>
      <c r="C74" s="695" t="s">
        <v>726</v>
      </c>
      <c r="D74" s="695"/>
      <c r="E74" s="695"/>
      <c r="F74" s="695"/>
      <c r="G74" s="695"/>
      <c r="H74" s="695"/>
      <c r="I74" s="695"/>
      <c r="J74" s="695"/>
      <c r="K74" s="695"/>
      <c r="L74" s="695"/>
      <c r="M74" s="695"/>
      <c r="N74" s="696"/>
      <c r="T74" s="186">
        <v>1</v>
      </c>
    </row>
    <row r="75" spans="2:33" x14ac:dyDescent="0.2">
      <c r="B75" s="184">
        <f>B30</f>
        <v>19</v>
      </c>
      <c r="C75" s="695" t="s">
        <v>343</v>
      </c>
      <c r="D75" s="695"/>
      <c r="E75" s="695"/>
      <c r="F75" s="695"/>
      <c r="G75" s="695"/>
      <c r="H75" s="695"/>
      <c r="I75" s="695"/>
      <c r="J75" s="695"/>
      <c r="K75" s="695"/>
      <c r="L75" s="695"/>
      <c r="M75" s="695"/>
      <c r="N75" s="696"/>
      <c r="T75" s="186">
        <v>1</v>
      </c>
    </row>
    <row r="76" spans="2:33" x14ac:dyDescent="0.2">
      <c r="B76" s="184">
        <f>B31</f>
        <v>20</v>
      </c>
      <c r="C76" s="695" t="s">
        <v>344</v>
      </c>
      <c r="D76" s="695"/>
      <c r="E76" s="695"/>
      <c r="F76" s="695"/>
      <c r="G76" s="695"/>
      <c r="H76" s="695"/>
      <c r="I76" s="695"/>
      <c r="J76" s="695"/>
      <c r="K76" s="695"/>
      <c r="L76" s="695"/>
      <c r="M76" s="695"/>
      <c r="N76" s="696"/>
      <c r="T76" s="186">
        <v>1</v>
      </c>
    </row>
    <row r="77" spans="2:33" x14ac:dyDescent="0.2">
      <c r="B77" s="184">
        <f>B32</f>
        <v>21</v>
      </c>
      <c r="C77" s="695" t="s">
        <v>727</v>
      </c>
      <c r="D77" s="695"/>
      <c r="E77" s="695"/>
      <c r="F77" s="695"/>
      <c r="G77" s="695"/>
      <c r="H77" s="695"/>
      <c r="I77" s="695"/>
      <c r="J77" s="695"/>
      <c r="K77" s="695"/>
      <c r="L77" s="695"/>
      <c r="M77" s="695"/>
      <c r="N77" s="696"/>
      <c r="T77" s="186">
        <v>1</v>
      </c>
    </row>
    <row r="78" spans="2:33" x14ac:dyDescent="0.2">
      <c r="B78" s="184" t="s">
        <v>672</v>
      </c>
      <c r="C78" s="695" t="s">
        <v>673</v>
      </c>
      <c r="D78" s="695"/>
      <c r="E78" s="695"/>
      <c r="F78" s="695"/>
      <c r="G78" s="695"/>
      <c r="H78" s="695"/>
      <c r="I78" s="695"/>
      <c r="J78" s="695"/>
      <c r="K78" s="695"/>
      <c r="L78" s="695"/>
      <c r="M78" s="695"/>
      <c r="N78" s="696"/>
      <c r="T78" s="186">
        <v>1</v>
      </c>
    </row>
    <row r="79" spans="2:33" ht="15" thickBot="1" x14ac:dyDescent="0.25">
      <c r="B79" s="211">
        <v>30</v>
      </c>
      <c r="C79" s="697" t="s">
        <v>728</v>
      </c>
      <c r="D79" s="697"/>
      <c r="E79" s="697"/>
      <c r="F79" s="697"/>
      <c r="G79" s="697"/>
      <c r="H79" s="697"/>
      <c r="I79" s="697"/>
      <c r="J79" s="697"/>
      <c r="K79" s="697"/>
      <c r="L79" s="697"/>
      <c r="M79" s="697"/>
      <c r="N79" s="698"/>
      <c r="T79" s="186">
        <v>1</v>
      </c>
    </row>
    <row r="80" spans="2:33" x14ac:dyDescent="0.2"/>
  </sheetData>
  <sheetProtection algorithmName="SHA-512" hashValue="0u44eG0E56ZXkDB6SB7S4PnS5r2AumkuwHSQmyV4s+1bouygWOs9vRCBR07TK4KdnySuEcxExhS5xSmE43SjcA==" saltValue="LMqWkRu0SsXpR05mNdZ+Aw==" spinCount="100000" sheet="1" objects="1" scenarios="1"/>
  <mergeCells count="35">
    <mergeCell ref="P3:P4"/>
    <mergeCell ref="Q3:Q4"/>
    <mergeCell ref="T5:AA5"/>
    <mergeCell ref="B45:C45"/>
    <mergeCell ref="C60:N60"/>
    <mergeCell ref="C57:N57"/>
    <mergeCell ref="C58:N58"/>
    <mergeCell ref="C59:N59"/>
    <mergeCell ref="C56:N56"/>
    <mergeCell ref="B3:C4"/>
    <mergeCell ref="D3:D4"/>
    <mergeCell ref="E3:E4"/>
    <mergeCell ref="F3:H3"/>
    <mergeCell ref="I3:J3"/>
    <mergeCell ref="K3:M3"/>
    <mergeCell ref="N3:N4"/>
    <mergeCell ref="C61:N61"/>
    <mergeCell ref="C74:N74"/>
    <mergeCell ref="C63:N63"/>
    <mergeCell ref="C64:N64"/>
    <mergeCell ref="C65:N65"/>
    <mergeCell ref="C66:N66"/>
    <mergeCell ref="C67:N67"/>
    <mergeCell ref="C68:N68"/>
    <mergeCell ref="C69:N69"/>
    <mergeCell ref="C70:N70"/>
    <mergeCell ref="C71:N71"/>
    <mergeCell ref="C72:N72"/>
    <mergeCell ref="C73:N73"/>
    <mergeCell ref="C62:N62"/>
    <mergeCell ref="C75:N75"/>
    <mergeCell ref="C76:N76"/>
    <mergeCell ref="C77:N77"/>
    <mergeCell ref="C78:N78"/>
    <mergeCell ref="C79:N79"/>
  </mergeCells>
  <conditionalFormatting sqref="P7:P42">
    <cfRule type="cellIs" dxfId="22" priority="2" operator="equal">
      <formula>0</formula>
    </cfRule>
  </conditionalFormatting>
  <conditionalFormatting sqref="Q6:Q12">
    <cfRule type="cellIs" dxfId="21" priority="9" operator="equal">
      <formula>0</formula>
    </cfRule>
  </conditionalFormatting>
  <conditionalFormatting sqref="Q15">
    <cfRule type="cellIs" dxfId="20" priority="8" operator="equal">
      <formula>0</formula>
    </cfRule>
  </conditionalFormatting>
  <conditionalFormatting sqref="Q19:Q22">
    <cfRule type="cellIs" dxfId="19" priority="7" operator="equal">
      <formula>0</formula>
    </cfRule>
  </conditionalFormatting>
  <conditionalFormatting sqref="Q24">
    <cfRule type="cellIs" dxfId="18" priority="6" operator="equal">
      <formula>0</formula>
    </cfRule>
  </conditionalFormatting>
  <conditionalFormatting sqref="Q26">
    <cfRule type="cellIs" dxfId="17" priority="5" operator="equal">
      <formula>0</formula>
    </cfRule>
  </conditionalFormatting>
  <conditionalFormatting sqref="Q30:Q31">
    <cfRule type="cellIs" dxfId="16" priority="4" operator="equal">
      <formula>0</formula>
    </cfRule>
  </conditionalFormatting>
  <conditionalFormatting sqref="Q35:Q42">
    <cfRule type="cellIs" dxfId="15" priority="3" operator="equal">
      <formula>0</formula>
    </cfRule>
  </conditionalFormatting>
  <printOptions horizontalCentered="1"/>
  <pageMargins left="0.39370078740157483" right="0.39370078740157483" top="0.78740157480314965" bottom="0.78740157480314965" header="0.31496062992125984" footer="0.31496062992125984"/>
  <pageSetup paperSize="8" scale="59"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32" id="{8B0516F3-5DEF-49F1-A92B-448BF03645A0}">
            <xm:f>Validation!$H$3=1</xm:f>
            <x14:dxf>
              <fill>
                <patternFill>
                  <bgColor rgb="FFE0DCD8"/>
                </patternFill>
              </fill>
            </x14:dxf>
          </x14:cfRule>
          <xm:sqref>F7:N13 F15:N16 F19:N27 F30:N32 F35 G36 H37 I38 J39 K40 L41 M42 F43:M43</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G79"/>
  <sheetViews>
    <sheetView showGridLines="0" zoomScale="90" zoomScaleNormal="90" workbookViewId="0">
      <selection activeCell="C48" sqref="C48:N48"/>
    </sheetView>
  </sheetViews>
  <sheetFormatPr defaultColWidth="0" defaultRowHeight="14.25" zeroHeight="1" x14ac:dyDescent="0.2"/>
  <cols>
    <col min="1" max="1" width="2.5" customWidth="1"/>
    <col min="2" max="2" width="4.125" customWidth="1"/>
    <col min="3" max="3" width="47.875" customWidth="1"/>
    <col min="4" max="5" width="5.125" customWidth="1"/>
    <col min="6" max="6" width="11.125" customWidth="1"/>
    <col min="7" max="7" width="12.625" customWidth="1"/>
    <col min="8" max="8" width="13.375" customWidth="1"/>
    <col min="9" max="9" width="13" customWidth="1"/>
    <col min="10" max="10" width="11.125" customWidth="1"/>
    <col min="11" max="11" width="12.625" customWidth="1"/>
    <col min="12" max="12" width="13.375" customWidth="1"/>
    <col min="13" max="13" width="13" customWidth="1"/>
    <col min="14" max="14" width="12.5" customWidth="1"/>
    <col min="15" max="15" width="2.625" style="95" customWidth="1"/>
    <col min="16" max="16" width="19.625" style="95" bestFit="1" customWidth="1"/>
    <col min="17" max="17" width="18.875" style="95" bestFit="1" customWidth="1"/>
    <col min="18" max="18" width="1.625" style="95" customWidth="1"/>
    <col min="19" max="19" width="1.625" style="96" hidden="1" customWidth="1"/>
    <col min="20" max="26" width="4.625" style="95" hidden="1" customWidth="1"/>
    <col min="27" max="27" width="1.625" style="96" hidden="1" customWidth="1"/>
    <col min="28" max="28" width="8.875" style="99" hidden="1" customWidth="1"/>
    <col min="29" max="29" width="1.625" style="96" hidden="1" customWidth="1"/>
    <col min="30" max="31" width="8.875" style="99" hidden="1" customWidth="1"/>
    <col min="32" max="32" width="71.125" style="99" hidden="1" customWidth="1"/>
    <col min="33" max="33" width="1.625" style="96" hidden="1" customWidth="1"/>
    <col min="34" max="16384" width="8.75" hidden="1"/>
  </cols>
  <sheetData>
    <row r="1" spans="2:33" ht="20.25" x14ac:dyDescent="0.2">
      <c r="B1" s="91" t="s">
        <v>729</v>
      </c>
      <c r="C1" s="91"/>
      <c r="D1" s="91"/>
      <c r="E1" s="91"/>
      <c r="F1" s="91"/>
      <c r="G1" s="91"/>
      <c r="H1" s="91"/>
      <c r="I1" s="91"/>
      <c r="J1" s="91"/>
      <c r="K1" s="91"/>
      <c r="L1" s="91"/>
      <c r="M1" s="91"/>
      <c r="N1" s="93" t="str">
        <f>Validation!B3</f>
        <v>Yorkshire Water</v>
      </c>
      <c r="O1" s="91"/>
      <c r="P1" s="94"/>
      <c r="Q1" s="94" t="s">
        <v>62</v>
      </c>
      <c r="AB1" s="95"/>
      <c r="AD1"/>
      <c r="AE1"/>
      <c r="AF1"/>
    </row>
    <row r="2" spans="2:33" ht="15" thickBot="1" x14ac:dyDescent="0.25">
      <c r="B2" s="98" t="s">
        <v>48</v>
      </c>
      <c r="C2" s="95"/>
      <c r="D2" s="95"/>
      <c r="E2" s="95"/>
      <c r="F2" s="237"/>
      <c r="G2" s="238"/>
      <c r="H2" s="238"/>
      <c r="I2" s="239"/>
      <c r="J2" s="237"/>
      <c r="K2" s="238"/>
      <c r="L2" s="238"/>
      <c r="M2" s="239"/>
      <c r="N2" s="95"/>
      <c r="AB2" s="95"/>
    </row>
    <row r="3" spans="2:33" ht="14.45" customHeight="1" x14ac:dyDescent="0.2">
      <c r="B3" s="794" t="s">
        <v>63</v>
      </c>
      <c r="C3" s="795"/>
      <c r="D3" s="798" t="s">
        <v>64</v>
      </c>
      <c r="E3" s="800" t="s">
        <v>65</v>
      </c>
      <c r="F3" s="716" t="s">
        <v>730</v>
      </c>
      <c r="G3" s="717"/>
      <c r="H3" s="717"/>
      <c r="I3" s="718"/>
      <c r="J3" s="719" t="s">
        <v>731</v>
      </c>
      <c r="K3" s="717"/>
      <c r="L3" s="717"/>
      <c r="M3" s="718"/>
      <c r="N3" s="699" t="s">
        <v>246</v>
      </c>
      <c r="P3" s="699" t="s">
        <v>277</v>
      </c>
      <c r="Q3" s="699" t="s">
        <v>69</v>
      </c>
    </row>
    <row r="4" spans="2:33" ht="27.75" thickBot="1" x14ac:dyDescent="0.25">
      <c r="B4" s="796"/>
      <c r="C4" s="797"/>
      <c r="D4" s="799"/>
      <c r="E4" s="801"/>
      <c r="F4" s="240" t="s">
        <v>732</v>
      </c>
      <c r="G4" s="241" t="s">
        <v>733</v>
      </c>
      <c r="H4" s="241" t="s">
        <v>734</v>
      </c>
      <c r="I4" s="242" t="s">
        <v>246</v>
      </c>
      <c r="J4" s="243" t="s">
        <v>732</v>
      </c>
      <c r="K4" s="241" t="s">
        <v>733</v>
      </c>
      <c r="L4" s="241" t="s">
        <v>734</v>
      </c>
      <c r="M4" s="242" t="s">
        <v>246</v>
      </c>
      <c r="N4" s="701"/>
      <c r="P4" s="700"/>
      <c r="Q4" s="701"/>
    </row>
    <row r="5" spans="2:33" ht="24.75" thickBot="1" x14ac:dyDescent="0.25">
      <c r="B5" s="95"/>
      <c r="C5" s="95"/>
      <c r="D5" s="95"/>
      <c r="E5" s="95"/>
      <c r="F5" s="95"/>
      <c r="G5" s="95"/>
      <c r="H5" s="95"/>
      <c r="I5" s="95"/>
      <c r="J5" s="95"/>
      <c r="K5" s="95"/>
      <c r="L5" s="95"/>
      <c r="M5" s="95"/>
      <c r="N5" s="95"/>
      <c r="P5" s="99"/>
      <c r="T5" s="702" t="s">
        <v>73</v>
      </c>
      <c r="U5" s="702"/>
      <c r="V5" s="702"/>
      <c r="W5" s="702"/>
      <c r="X5" s="702"/>
      <c r="Y5" s="702"/>
      <c r="Z5" s="702"/>
      <c r="AB5" s="103" t="s">
        <v>54</v>
      </c>
      <c r="AD5" s="101" t="s">
        <v>278</v>
      </c>
      <c r="AE5" s="103"/>
      <c r="AF5" s="103"/>
    </row>
    <row r="6" spans="2:33" s="95" customFormat="1" ht="15" thickBot="1" x14ac:dyDescent="0.25">
      <c r="B6" s="110" t="s">
        <v>124</v>
      </c>
      <c r="C6" s="111" t="s">
        <v>302</v>
      </c>
      <c r="P6" s="40"/>
      <c r="Q6" s="29">
        <f xml:space="preserve"> IF( SUM( S6:AA6 ) = 0, 0, $N$9 )</f>
        <v>0</v>
      </c>
      <c r="S6" s="96"/>
      <c r="T6" s="112" t="s">
        <v>74</v>
      </c>
      <c r="U6" s="112"/>
      <c r="V6" s="112"/>
      <c r="W6" s="112"/>
      <c r="X6" s="112"/>
      <c r="Y6" s="112"/>
      <c r="Z6" s="232"/>
      <c r="AA6" s="96"/>
      <c r="AB6"/>
      <c r="AC6" s="96"/>
      <c r="AD6" s="99"/>
      <c r="AE6" s="99"/>
      <c r="AF6" s="99"/>
      <c r="AG6" s="96"/>
    </row>
    <row r="7" spans="2:33" x14ac:dyDescent="0.2">
      <c r="B7" s="113">
        <v>1</v>
      </c>
      <c r="C7" s="143" t="s">
        <v>348</v>
      </c>
      <c r="D7" s="115" t="s">
        <v>76</v>
      </c>
      <c r="E7" s="244">
        <v>3</v>
      </c>
      <c r="F7" s="688">
        <v>0.372</v>
      </c>
      <c r="G7" s="570">
        <v>0.42930000000000001</v>
      </c>
      <c r="H7" s="571">
        <v>7.8259999999999996</v>
      </c>
      <c r="I7" s="245">
        <f>SUM(F7:H7)</f>
        <v>8.6273</v>
      </c>
      <c r="J7" s="688">
        <v>0.28599999999999998</v>
      </c>
      <c r="K7" s="570">
        <v>0.29599999999999999</v>
      </c>
      <c r="L7" s="571">
        <v>7.7549999999999999</v>
      </c>
      <c r="M7" s="245">
        <f>SUM(J7:L7)</f>
        <v>8.3369999999999997</v>
      </c>
      <c r="N7" s="245">
        <f>I7+M7</f>
        <v>16.964300000000001</v>
      </c>
      <c r="P7" s="77">
        <f xml:space="preserve"> IF( SUM( AA7:AC7 ) = 0, 0, AF7 )</f>
        <v>0</v>
      </c>
      <c r="Q7" s="29">
        <f xml:space="preserve"> IF( SUM( S7:AA7 ) = 0, 0, $T$6 )</f>
        <v>0</v>
      </c>
      <c r="T7" s="120">
        <f xml:space="preserve"> IF( ISNUMBER( F7 ), 0, 1 )</f>
        <v>0</v>
      </c>
      <c r="U7" s="120">
        <f>IF(Validation!$H$3=1,0,IF(ISNUMBER(G7),0,1))</f>
        <v>0</v>
      </c>
      <c r="V7" s="120">
        <f>IF(Validation!$H$3=1,0,IF(ISNUMBER(H7),0,1))</f>
        <v>0</v>
      </c>
      <c r="W7" s="120">
        <f xml:space="preserve"> IF( ISNUMBER( J7 ), 0, 1 )</f>
        <v>0</v>
      </c>
      <c r="X7" s="120">
        <f>IF(Validation!$H$3=1,0,IF(ISNUMBER(K7),0,1))</f>
        <v>0</v>
      </c>
      <c r="Y7" s="120">
        <f>IF(Validation!$H$3=1,0,IF(ISNUMBER(L7),0,1))</f>
        <v>0</v>
      </c>
      <c r="Z7" s="232"/>
      <c r="AB7" s="120">
        <f t="shared" ref="AB7:AB13" si="0" xml:space="preserve"> IF( (AD7 - AE7) = 0, 0, 1 )</f>
        <v>0</v>
      </c>
      <c r="AD7" s="189">
        <f xml:space="preserve"> ROUND( N7, 3)</f>
        <v>16.963999999999999</v>
      </c>
      <c r="AE7" s="189">
        <f xml:space="preserve"> ROUND( '2C'!F6, 3)</f>
        <v>16.963999999999999</v>
      </c>
      <c r="AF7" s="99" t="s">
        <v>735</v>
      </c>
    </row>
    <row r="8" spans="2:33" x14ac:dyDescent="0.2">
      <c r="B8" s="121">
        <f xml:space="preserve"> B7 + 1</f>
        <v>2</v>
      </c>
      <c r="C8" s="114" t="s">
        <v>349</v>
      </c>
      <c r="D8" s="122" t="s">
        <v>76</v>
      </c>
      <c r="E8" s="246">
        <v>3</v>
      </c>
      <c r="F8" s="689">
        <v>7.6999999999999999E-2</v>
      </c>
      <c r="G8" s="572">
        <v>0.09</v>
      </c>
      <c r="H8" s="573">
        <v>1.64</v>
      </c>
      <c r="I8" s="247">
        <f t="shared" ref="I8:I13" si="1">SUM(F8:H8)</f>
        <v>1.8069999999999999</v>
      </c>
      <c r="J8" s="689">
        <v>0.06</v>
      </c>
      <c r="K8" s="572">
        <v>6.2E-2</v>
      </c>
      <c r="L8" s="573">
        <v>1.625</v>
      </c>
      <c r="M8" s="247">
        <f t="shared" ref="M8:M14" si="2">SUM(J8:L8)</f>
        <v>1.7469999999999999</v>
      </c>
      <c r="N8" s="247">
        <f t="shared" ref="N8:N14" si="3">I8+M8</f>
        <v>3.5539999999999998</v>
      </c>
      <c r="P8" s="77">
        <f t="shared" ref="P8:P13" si="4" xml:space="preserve"> IF( SUM( AA8:AC8 ) = 0, 0, AF8 )</f>
        <v>0</v>
      </c>
      <c r="Q8" s="29">
        <f xml:space="preserve"> IF( SUM( S8:AA8 ) = 0, 0, $T$6 )</f>
        <v>0</v>
      </c>
      <c r="T8" s="120">
        <f t="shared" ref="T8:T13" si="5" xml:space="preserve"> IF( ISNUMBER( F8 ), 0, 1 )</f>
        <v>0</v>
      </c>
      <c r="U8" s="120">
        <f>IF(Validation!$H$3=1,0,IF(ISNUMBER(G8),0,1))</f>
        <v>0</v>
      </c>
      <c r="V8" s="120">
        <f>IF(Validation!$H$3=1,0,IF(ISNUMBER(H8),0,1))</f>
        <v>0</v>
      </c>
      <c r="W8" s="120">
        <f t="shared" ref="W8:W13" si="6" xml:space="preserve"> IF( ISNUMBER( J8 ), 0, 1 )</f>
        <v>0</v>
      </c>
      <c r="X8" s="120">
        <f>IF(Validation!$H$3=1,0,IF(ISNUMBER(K8),0,1))</f>
        <v>0</v>
      </c>
      <c r="Y8" s="120">
        <f>IF(Validation!$H$3=1,0,IF(ISNUMBER(L8),0,1))</f>
        <v>0</v>
      </c>
      <c r="Z8" s="232"/>
      <c r="AB8" s="120">
        <f t="shared" si="0"/>
        <v>0</v>
      </c>
      <c r="AD8" s="189">
        <f t="shared" ref="AD8:AD13" si="7" xml:space="preserve"> ROUND( N8, 3)</f>
        <v>3.5539999999999998</v>
      </c>
      <c r="AE8" s="189">
        <f xml:space="preserve"> ROUND( '2C'!F7, 3)</f>
        <v>3.5539999999999998</v>
      </c>
      <c r="AF8" s="99" t="s">
        <v>736</v>
      </c>
    </row>
    <row r="9" spans="2:33" ht="15" thickBot="1" x14ac:dyDescent="0.25">
      <c r="B9" s="121">
        <f t="shared" ref="B9:B22" si="8" xml:space="preserve"> B8 + 1</f>
        <v>3</v>
      </c>
      <c r="C9" s="114" t="s">
        <v>350</v>
      </c>
      <c r="D9" s="122" t="s">
        <v>76</v>
      </c>
      <c r="E9" s="246">
        <v>3</v>
      </c>
      <c r="F9" s="690">
        <v>0.43099999999999999</v>
      </c>
      <c r="G9" s="574">
        <v>0.105</v>
      </c>
      <c r="H9" s="575">
        <v>10.657</v>
      </c>
      <c r="I9" s="247">
        <f t="shared" si="1"/>
        <v>11.193</v>
      </c>
      <c r="J9" s="689">
        <v>0.214</v>
      </c>
      <c r="K9" s="572">
        <v>3.0000000000000001E-3</v>
      </c>
      <c r="L9" s="573">
        <v>6.242</v>
      </c>
      <c r="M9" s="247">
        <f t="shared" si="2"/>
        <v>6.4589999999999996</v>
      </c>
      <c r="N9" s="247">
        <f t="shared" si="3"/>
        <v>17.652000000000001</v>
      </c>
      <c r="P9" s="77">
        <f t="shared" si="4"/>
        <v>0</v>
      </c>
      <c r="Q9" s="29">
        <f xml:space="preserve"> IF( SUM( S9:AA9 ) = 0, 0, $T$6 )</f>
        <v>0</v>
      </c>
      <c r="T9" s="120">
        <f t="shared" si="5"/>
        <v>0</v>
      </c>
      <c r="U9" s="120">
        <f>IF(Validation!$H$3=1,0,IF(ISNUMBER(G9),0,1))</f>
        <v>0</v>
      </c>
      <c r="V9" s="120">
        <f>IF(Validation!$H$3=1,0,IF(ISNUMBER(H9),0,1))</f>
        <v>0</v>
      </c>
      <c r="W9" s="120">
        <f t="shared" si="6"/>
        <v>0</v>
      </c>
      <c r="X9" s="120">
        <f>IF(Validation!$H$3=1,0,IF(ISNUMBER(K9),0,1))</f>
        <v>0</v>
      </c>
      <c r="Y9" s="120">
        <f>IF(Validation!$H$3=1,0,IF(ISNUMBER(L9),0,1))</f>
        <v>0</v>
      </c>
      <c r="Z9" s="232"/>
      <c r="AB9" s="120">
        <f t="shared" si="0"/>
        <v>0</v>
      </c>
      <c r="AD9" s="189">
        <f t="shared" si="7"/>
        <v>17.652000000000001</v>
      </c>
      <c r="AE9" s="189">
        <f xml:space="preserve"> ROUND( '2C'!F8, 3)</f>
        <v>17.652000000000001</v>
      </c>
      <c r="AF9" s="99" t="s">
        <v>737</v>
      </c>
    </row>
    <row r="10" spans="2:33" ht="15" thickBot="1" x14ac:dyDescent="0.25">
      <c r="B10" s="121">
        <f t="shared" si="8"/>
        <v>4</v>
      </c>
      <c r="C10" s="248" t="s">
        <v>351</v>
      </c>
      <c r="D10" s="122" t="s">
        <v>76</v>
      </c>
      <c r="E10" s="246">
        <v>3</v>
      </c>
      <c r="F10" s="249"/>
      <c r="G10" s="250"/>
      <c r="H10" s="251"/>
      <c r="I10" s="252">
        <f t="shared" si="1"/>
        <v>0</v>
      </c>
      <c r="J10" s="691">
        <v>8.1000000000000003E-2</v>
      </c>
      <c r="K10" s="576">
        <v>8.4000000000000005E-2</v>
      </c>
      <c r="L10" s="577">
        <v>2.1909999999999998</v>
      </c>
      <c r="M10" s="252">
        <f t="shared" si="2"/>
        <v>2.3559999999999999</v>
      </c>
      <c r="N10" s="252">
        <f t="shared" si="3"/>
        <v>2.3559999999999999</v>
      </c>
      <c r="P10" s="77">
        <f t="shared" si="4"/>
        <v>0</v>
      </c>
      <c r="Q10" s="29">
        <f xml:space="preserve"> IF( SUM( S10:AA10 ) = 0, 0, $T$6 )</f>
        <v>0</v>
      </c>
      <c r="T10" s="147"/>
      <c r="U10" s="147"/>
      <c r="V10" s="147"/>
      <c r="W10" s="120">
        <f t="shared" si="6"/>
        <v>0</v>
      </c>
      <c r="X10" s="120">
        <f>IF(Validation!$H$3=1,0,IF(ISNUMBER(K10),0,1))</f>
        <v>0</v>
      </c>
      <c r="Y10" s="120">
        <f>IF(Validation!$H$3=1,0,IF(ISNUMBER(L10),0,1))</f>
        <v>0</v>
      </c>
      <c r="Z10" s="232"/>
      <c r="AB10" s="120">
        <f t="shared" si="0"/>
        <v>0</v>
      </c>
      <c r="AD10" s="189">
        <f t="shared" si="7"/>
        <v>2.3559999999999999</v>
      </c>
      <c r="AE10" s="189">
        <f xml:space="preserve"> ROUND( '2C'!F9, 3)</f>
        <v>2.3559999999999999</v>
      </c>
      <c r="AF10" s="99" t="s">
        <v>738</v>
      </c>
    </row>
    <row r="11" spans="2:33" x14ac:dyDescent="0.2">
      <c r="B11" s="121">
        <f t="shared" si="8"/>
        <v>5</v>
      </c>
      <c r="C11" s="248" t="s">
        <v>307</v>
      </c>
      <c r="D11" s="122" t="s">
        <v>76</v>
      </c>
      <c r="E11" s="246">
        <v>3</v>
      </c>
      <c r="F11" s="688">
        <v>0.23599999999999999</v>
      </c>
      <c r="G11" s="570">
        <v>0.27200000000000002</v>
      </c>
      <c r="H11" s="571">
        <v>4.9630000000000001</v>
      </c>
      <c r="I11" s="247">
        <f t="shared" si="1"/>
        <v>5.4710000000000001</v>
      </c>
      <c r="J11" s="689">
        <v>0.182</v>
      </c>
      <c r="K11" s="572">
        <v>0.187</v>
      </c>
      <c r="L11" s="573">
        <v>4.9180000000000001</v>
      </c>
      <c r="M11" s="247">
        <f t="shared" si="2"/>
        <v>5.2869999999999999</v>
      </c>
      <c r="N11" s="247">
        <f t="shared" si="3"/>
        <v>10.757999999999999</v>
      </c>
      <c r="P11" s="77">
        <f xml:space="preserve"> IF( SUM( AA11:AC11 ) = 0, 0, AF11 )</f>
        <v>0</v>
      </c>
      <c r="Q11" s="29">
        <f xml:space="preserve"> IF( SUM( S11:AA11 ) = 0, 0, $T$6 )</f>
        <v>0</v>
      </c>
      <c r="T11" s="120">
        <f t="shared" si="5"/>
        <v>0</v>
      </c>
      <c r="U11" s="120">
        <f>IF(Validation!$H$3=1,0,IF(ISNUMBER(G11),0,1))</f>
        <v>0</v>
      </c>
      <c r="V11" s="120">
        <f>IF(Validation!$H$3=1,0,IF(ISNUMBER(H11),0,1))</f>
        <v>0</v>
      </c>
      <c r="W11" s="120">
        <f t="shared" si="6"/>
        <v>0</v>
      </c>
      <c r="X11" s="120">
        <f>IF(Validation!$H$3=1,0,IF(ISNUMBER(K11),0,1))</f>
        <v>0</v>
      </c>
      <c r="Y11" s="120">
        <f>IF(Validation!$H$3=1,0,IF(ISNUMBER(L11),0,1))</f>
        <v>0</v>
      </c>
      <c r="Z11" s="232"/>
      <c r="AB11" s="120">
        <f t="shared" si="0"/>
        <v>0</v>
      </c>
      <c r="AD11" s="189">
        <f xml:space="preserve"> ROUND( N11, 3)</f>
        <v>10.757999999999999</v>
      </c>
      <c r="AE11" s="189">
        <f xml:space="preserve"> ROUND( '2C'!F10 + '2C'!F11, 3)</f>
        <v>10.757999999999999</v>
      </c>
      <c r="AF11" s="99" t="s">
        <v>739</v>
      </c>
    </row>
    <row r="12" spans="2:33" x14ac:dyDescent="0.2">
      <c r="B12" s="121">
        <f t="shared" si="8"/>
        <v>6</v>
      </c>
      <c r="C12" s="248" t="s">
        <v>309</v>
      </c>
      <c r="D12" s="122" t="s">
        <v>76</v>
      </c>
      <c r="E12" s="246">
        <v>3</v>
      </c>
      <c r="F12" s="253">
        <f>SUM(F7:F11)</f>
        <v>1.1160000000000001</v>
      </c>
      <c r="G12" s="254">
        <f t="shared" ref="G12:L12" si="9">SUM(G7:G11)</f>
        <v>0.89629999999999999</v>
      </c>
      <c r="H12" s="255">
        <f t="shared" si="9"/>
        <v>25.085999999999999</v>
      </c>
      <c r="I12" s="247">
        <f t="shared" si="9"/>
        <v>27.098299999999998</v>
      </c>
      <c r="J12" s="253">
        <f t="shared" si="9"/>
        <v>0.82299999999999995</v>
      </c>
      <c r="K12" s="254">
        <f t="shared" si="9"/>
        <v>0.63200000000000001</v>
      </c>
      <c r="L12" s="255">
        <f t="shared" si="9"/>
        <v>22.730999999999998</v>
      </c>
      <c r="M12" s="247">
        <f t="shared" si="2"/>
        <v>24.186</v>
      </c>
      <c r="N12" s="247">
        <f t="shared" si="3"/>
        <v>51.284300000000002</v>
      </c>
      <c r="P12" s="77">
        <f t="shared" si="4"/>
        <v>0</v>
      </c>
      <c r="Q12" s="256"/>
      <c r="Z12" s="232"/>
      <c r="AB12" s="120">
        <f t="shared" si="0"/>
        <v>0</v>
      </c>
      <c r="AD12" s="189">
        <f t="shared" si="7"/>
        <v>51.283999999999999</v>
      </c>
      <c r="AE12" s="189">
        <f xml:space="preserve"> ROUND( '2C'!F12, 3)</f>
        <v>51.283999999999999</v>
      </c>
      <c r="AF12" s="99" t="s">
        <v>740</v>
      </c>
    </row>
    <row r="13" spans="2:33" x14ac:dyDescent="0.2">
      <c r="B13" s="121">
        <f t="shared" si="8"/>
        <v>7</v>
      </c>
      <c r="C13" s="248" t="s">
        <v>354</v>
      </c>
      <c r="D13" s="122" t="s">
        <v>76</v>
      </c>
      <c r="E13" s="246">
        <v>3</v>
      </c>
      <c r="F13" s="689">
        <v>0.105</v>
      </c>
      <c r="G13" s="572">
        <v>0.121</v>
      </c>
      <c r="H13" s="573">
        <v>2.2029999999999998</v>
      </c>
      <c r="I13" s="247">
        <f t="shared" si="1"/>
        <v>2.4289999999999998</v>
      </c>
      <c r="J13" s="689">
        <v>8.1000000000000003E-2</v>
      </c>
      <c r="K13" s="572">
        <v>8.3000000000000004E-2</v>
      </c>
      <c r="L13" s="573">
        <v>2.1840000000000002</v>
      </c>
      <c r="M13" s="247">
        <f t="shared" si="2"/>
        <v>2.3480000000000003</v>
      </c>
      <c r="N13" s="247">
        <f t="shared" si="3"/>
        <v>4.7770000000000001</v>
      </c>
      <c r="P13" s="77">
        <f t="shared" si="4"/>
        <v>0</v>
      </c>
      <c r="Q13" s="29">
        <f xml:space="preserve"> IF( SUM( S13:AA13 ) = 0, 0, $T$6 )</f>
        <v>0</v>
      </c>
      <c r="T13" s="120">
        <f t="shared" si="5"/>
        <v>0</v>
      </c>
      <c r="U13" s="120">
        <f>IF(Validation!$H$3=1,0,IF(ISNUMBER(G13),0,1))</f>
        <v>0</v>
      </c>
      <c r="V13" s="120">
        <f>IF(Validation!$H$3=1,0,IF(ISNUMBER(H13),0,1))</f>
        <v>0</v>
      </c>
      <c r="W13" s="120">
        <f t="shared" si="6"/>
        <v>0</v>
      </c>
      <c r="X13" s="120">
        <f>IF(Validation!$H$3=1,0,IF(ISNUMBER(K13),0,1))</f>
        <v>0</v>
      </c>
      <c r="Y13" s="120">
        <f>IF(Validation!$H$3=1,0,IF(ISNUMBER(L13),0,1))</f>
        <v>0</v>
      </c>
      <c r="Z13" s="232"/>
      <c r="AB13" s="120">
        <f t="shared" si="0"/>
        <v>0</v>
      </c>
      <c r="AD13" s="189">
        <f t="shared" si="7"/>
        <v>4.7770000000000001</v>
      </c>
      <c r="AE13" s="189">
        <f xml:space="preserve"> ROUND( '2C'!F15, 3)</f>
        <v>4.7770000000000001</v>
      </c>
      <c r="AF13" s="99" t="s">
        <v>741</v>
      </c>
    </row>
    <row r="14" spans="2:33" ht="15" thickBot="1" x14ac:dyDescent="0.25">
      <c r="B14" s="128">
        <f t="shared" si="8"/>
        <v>8</v>
      </c>
      <c r="C14" s="129" t="s">
        <v>742</v>
      </c>
      <c r="D14" s="130" t="s">
        <v>76</v>
      </c>
      <c r="E14" s="257">
        <v>3</v>
      </c>
      <c r="F14" s="258">
        <f>SUM(F12:F13)</f>
        <v>1.2210000000000001</v>
      </c>
      <c r="G14" s="259">
        <f t="shared" ref="G14:L14" si="10">SUM(G12:G13)</f>
        <v>1.0173000000000001</v>
      </c>
      <c r="H14" s="260">
        <f t="shared" si="10"/>
        <v>27.288999999999998</v>
      </c>
      <c r="I14" s="261">
        <f t="shared" si="10"/>
        <v>29.527299999999997</v>
      </c>
      <c r="J14" s="258">
        <f t="shared" si="10"/>
        <v>0.90399999999999991</v>
      </c>
      <c r="K14" s="259">
        <f t="shared" si="10"/>
        <v>0.71499999999999997</v>
      </c>
      <c r="L14" s="260">
        <f t="shared" si="10"/>
        <v>24.914999999999999</v>
      </c>
      <c r="M14" s="261">
        <f t="shared" si="2"/>
        <v>26.533999999999999</v>
      </c>
      <c r="N14" s="261">
        <f t="shared" si="3"/>
        <v>56.061299999999996</v>
      </c>
      <c r="P14" s="77"/>
      <c r="Q14" s="256"/>
      <c r="Z14" s="232"/>
      <c r="AB14" s="147"/>
      <c r="AD14" s="189"/>
      <c r="AE14" s="189"/>
    </row>
    <row r="15" spans="2:33" ht="15" thickBot="1" x14ac:dyDescent="0.25">
      <c r="B15" s="95"/>
      <c r="C15" s="95"/>
      <c r="D15" s="95"/>
      <c r="E15" s="95"/>
      <c r="F15" s="95"/>
      <c r="G15" s="95"/>
      <c r="H15" s="95"/>
      <c r="I15" s="95"/>
      <c r="J15" s="95"/>
      <c r="K15" s="95"/>
      <c r="L15" s="95"/>
      <c r="M15" s="95"/>
      <c r="N15" s="95"/>
      <c r="P15" s="40"/>
      <c r="Q15" s="256"/>
      <c r="Z15" s="232"/>
      <c r="AB15" s="147"/>
      <c r="AD15" s="189"/>
      <c r="AE15" s="189"/>
    </row>
    <row r="16" spans="2:33" s="95" customFormat="1" ht="15" thickBot="1" x14ac:dyDescent="0.25">
      <c r="B16" s="140" t="s">
        <v>133</v>
      </c>
      <c r="C16" s="141" t="s">
        <v>743</v>
      </c>
      <c r="P16" s="40"/>
      <c r="Q16" s="256"/>
      <c r="S16" s="96"/>
      <c r="Z16" s="232"/>
      <c r="AA16" s="96"/>
      <c r="AB16" s="147"/>
      <c r="AC16" s="96"/>
      <c r="AD16" s="189"/>
      <c r="AE16" s="189"/>
      <c r="AF16" s="99"/>
      <c r="AG16" s="96"/>
    </row>
    <row r="17" spans="2:33" x14ac:dyDescent="0.2">
      <c r="B17" s="262">
        <f xml:space="preserve"> B14 + 1</f>
        <v>9</v>
      </c>
      <c r="C17" s="263" t="s">
        <v>744</v>
      </c>
      <c r="D17" s="264" t="s">
        <v>76</v>
      </c>
      <c r="E17" s="265">
        <v>3</v>
      </c>
      <c r="F17" s="107"/>
      <c r="G17" s="107"/>
      <c r="H17" s="107"/>
      <c r="I17" s="107"/>
      <c r="J17" s="107"/>
      <c r="K17" s="107"/>
      <c r="L17" s="107"/>
      <c r="M17" s="107"/>
      <c r="N17" s="692">
        <v>0.42</v>
      </c>
      <c r="P17" s="40"/>
      <c r="Q17" s="29">
        <f xml:space="preserve"> IF( SUM( S17:AA17 ) = 0, 0, $T$6 )</f>
        <v>0</v>
      </c>
      <c r="Z17" s="120">
        <f t="shared" ref="Z17:Z21" si="11" xml:space="preserve"> IF( ISNUMBER( N17 ), 0, 1 )</f>
        <v>0</v>
      </c>
      <c r="AB17" s="147"/>
      <c r="AD17" s="189"/>
      <c r="AE17" s="189"/>
    </row>
    <row r="18" spans="2:33" x14ac:dyDescent="0.2">
      <c r="B18" s="266">
        <f t="shared" si="8"/>
        <v>10</v>
      </c>
      <c r="C18" s="114" t="s">
        <v>745</v>
      </c>
      <c r="D18" s="122" t="s">
        <v>76</v>
      </c>
      <c r="E18" s="267">
        <v>3</v>
      </c>
      <c r="F18" s="107"/>
      <c r="G18" s="107"/>
      <c r="H18" s="107"/>
      <c r="I18" s="107"/>
      <c r="J18" s="107"/>
      <c r="K18" s="107"/>
      <c r="L18" s="107"/>
      <c r="M18" s="107"/>
      <c r="N18" s="693">
        <v>0</v>
      </c>
      <c r="P18" s="40"/>
      <c r="Q18" s="29">
        <f xml:space="preserve"> IF( SUM( S18:AA18 ) = 0, 0, $T$6 )</f>
        <v>0</v>
      </c>
      <c r="Z18" s="120">
        <f t="shared" si="11"/>
        <v>0</v>
      </c>
      <c r="AB18" s="147"/>
      <c r="AD18" s="189"/>
      <c r="AE18" s="189"/>
    </row>
    <row r="19" spans="2:33" x14ac:dyDescent="0.2">
      <c r="B19" s="266">
        <f t="shared" si="8"/>
        <v>11</v>
      </c>
      <c r="C19" s="114" t="s">
        <v>746</v>
      </c>
      <c r="D19" s="122" t="s">
        <v>76</v>
      </c>
      <c r="E19" s="267">
        <v>3</v>
      </c>
      <c r="F19" s="107"/>
      <c r="G19" s="107"/>
      <c r="H19" s="107"/>
      <c r="I19" s="107"/>
      <c r="J19" s="107"/>
      <c r="K19" s="107"/>
      <c r="L19" s="107"/>
      <c r="M19" s="107"/>
      <c r="N19" s="247">
        <f>N17-N18</f>
        <v>0.42</v>
      </c>
      <c r="P19" s="40"/>
      <c r="Q19" s="136"/>
      <c r="R19" s="144"/>
      <c r="S19" s="148"/>
      <c r="Z19" s="232"/>
      <c r="AB19" s="147"/>
      <c r="AD19" s="189"/>
      <c r="AE19" s="189"/>
    </row>
    <row r="20" spans="2:33" x14ac:dyDescent="0.2">
      <c r="B20" s="266">
        <f t="shared" si="8"/>
        <v>12</v>
      </c>
      <c r="C20" s="114" t="s">
        <v>747</v>
      </c>
      <c r="D20" s="122" t="s">
        <v>76</v>
      </c>
      <c r="E20" s="267">
        <v>3</v>
      </c>
      <c r="F20" s="107"/>
      <c r="G20" s="107"/>
      <c r="H20" s="107"/>
      <c r="I20" s="107"/>
      <c r="J20" s="107"/>
      <c r="K20" s="107"/>
      <c r="L20" s="107"/>
      <c r="M20" s="107"/>
      <c r="N20" s="693">
        <v>1.861</v>
      </c>
      <c r="P20" s="40"/>
      <c r="Q20" s="29">
        <f xml:space="preserve"> IF( SUM( S20:AA20 ) = 0, 0, $T$6 )</f>
        <v>0</v>
      </c>
      <c r="Z20" s="120">
        <f t="shared" si="11"/>
        <v>0</v>
      </c>
      <c r="AB20" s="147"/>
      <c r="AD20" s="189"/>
      <c r="AE20" s="189"/>
    </row>
    <row r="21" spans="2:33" x14ac:dyDescent="0.2">
      <c r="B21" s="266">
        <f t="shared" si="8"/>
        <v>13</v>
      </c>
      <c r="C21" s="114" t="s">
        <v>748</v>
      </c>
      <c r="D21" s="122" t="s">
        <v>76</v>
      </c>
      <c r="E21" s="267">
        <v>3</v>
      </c>
      <c r="F21" s="107"/>
      <c r="G21" s="107"/>
      <c r="H21" s="107"/>
      <c r="I21" s="107"/>
      <c r="J21" s="107"/>
      <c r="K21" s="107"/>
      <c r="L21" s="107"/>
      <c r="M21" s="107"/>
      <c r="N21" s="693">
        <v>0</v>
      </c>
      <c r="P21" s="40"/>
      <c r="Q21" s="29">
        <f xml:space="preserve"> IF( SUM( S21:AA21 ) = 0, 0, $T$6 )</f>
        <v>0</v>
      </c>
      <c r="Z21" s="120">
        <f t="shared" si="11"/>
        <v>0</v>
      </c>
      <c r="AB21" s="147"/>
      <c r="AD21" s="189"/>
      <c r="AE21" s="189"/>
    </row>
    <row r="22" spans="2:33" ht="15" thickBot="1" x14ac:dyDescent="0.25">
      <c r="B22" s="268">
        <f t="shared" si="8"/>
        <v>14</v>
      </c>
      <c r="C22" s="269" t="s">
        <v>749</v>
      </c>
      <c r="D22" s="270" t="s">
        <v>76</v>
      </c>
      <c r="E22" s="271">
        <v>3</v>
      </c>
      <c r="F22" s="189"/>
      <c r="G22" s="189"/>
      <c r="H22" s="189"/>
      <c r="I22" s="189"/>
      <c r="J22" s="189"/>
      <c r="K22" s="189"/>
      <c r="L22" s="189"/>
      <c r="M22" s="189"/>
      <c r="N22" s="261">
        <f>N20-N21</f>
        <v>1.861</v>
      </c>
      <c r="P22" s="40"/>
      <c r="Q22" s="136"/>
      <c r="R22" s="144"/>
      <c r="S22" s="148"/>
      <c r="Z22" s="232"/>
      <c r="AB22" s="147"/>
      <c r="AD22" s="189"/>
      <c r="AE22" s="189"/>
    </row>
    <row r="23" spans="2:33" x14ac:dyDescent="0.2">
      <c r="B23" s="95"/>
      <c r="C23" s="95"/>
      <c r="D23" s="95"/>
      <c r="E23" s="95"/>
      <c r="F23" s="95"/>
      <c r="G23" s="95"/>
      <c r="H23" s="95"/>
      <c r="I23" s="95"/>
      <c r="J23" s="95"/>
      <c r="K23" s="95"/>
      <c r="L23" s="95"/>
      <c r="M23" s="95"/>
      <c r="N23" s="95"/>
      <c r="O23" s="144"/>
      <c r="P23" s="40"/>
      <c r="Q23" s="136"/>
      <c r="R23" s="144"/>
      <c r="S23" s="148"/>
      <c r="Z23" s="232"/>
      <c r="AA23" s="148"/>
      <c r="AB23" s="147"/>
      <c r="AC23" s="148"/>
      <c r="AD23" s="189"/>
      <c r="AE23" s="189"/>
      <c r="AG23" s="148"/>
    </row>
    <row r="24" spans="2:33" x14ac:dyDescent="0.2">
      <c r="B24" s="703" t="s">
        <v>90</v>
      </c>
      <c r="C24" s="703"/>
      <c r="D24" s="187"/>
      <c r="E24" s="187"/>
      <c r="F24" s="187"/>
      <c r="G24" s="187"/>
      <c r="H24" s="187"/>
      <c r="I24" s="187"/>
      <c r="J24" s="187"/>
      <c r="K24" s="187"/>
      <c r="L24" s="187"/>
      <c r="M24" s="187"/>
      <c r="N24" s="150"/>
      <c r="O24" s="150"/>
      <c r="P24" s="40"/>
      <c r="Q24" s="136"/>
      <c r="Z24" s="232"/>
      <c r="AB24" s="147"/>
      <c r="AC24" s="145"/>
      <c r="AD24" s="189"/>
      <c r="AE24" s="189"/>
      <c r="AG24" s="145"/>
    </row>
    <row r="25" spans="2:33" x14ac:dyDescent="0.2">
      <c r="B25" s="162"/>
      <c r="C25" s="163"/>
      <c r="D25" s="187"/>
      <c r="E25" s="187"/>
      <c r="F25" s="187"/>
      <c r="G25" s="187"/>
      <c r="H25" s="187"/>
      <c r="I25" s="187"/>
      <c r="J25" s="187"/>
      <c r="K25" s="187"/>
      <c r="L25" s="187"/>
      <c r="M25" s="187"/>
      <c r="N25" s="150"/>
      <c r="O25" s="150"/>
      <c r="P25" s="40"/>
      <c r="Q25" s="136"/>
      <c r="R25" s="150"/>
      <c r="S25" s="145"/>
      <c r="Z25" s="232"/>
      <c r="AA25" s="145"/>
      <c r="AB25" s="147"/>
      <c r="AC25" s="145"/>
      <c r="AD25" s="189"/>
      <c r="AE25" s="189"/>
      <c r="AG25" s="145"/>
    </row>
    <row r="26" spans="2:33" x14ac:dyDescent="0.2">
      <c r="B26" s="30"/>
      <c r="C26" s="164" t="s">
        <v>91</v>
      </c>
      <c r="D26" s="187"/>
      <c r="E26" s="187"/>
      <c r="F26" s="187"/>
      <c r="G26" s="187"/>
      <c r="H26" s="187"/>
      <c r="I26" s="187"/>
      <c r="J26" s="187"/>
      <c r="K26" s="187"/>
      <c r="L26" s="187"/>
      <c r="M26" s="187"/>
      <c r="N26" s="150"/>
      <c r="O26" s="150"/>
      <c r="P26" s="40"/>
      <c r="Q26" s="136"/>
      <c r="Z26" s="232"/>
      <c r="AB26" s="147"/>
      <c r="AC26" s="145"/>
      <c r="AD26" s="189"/>
      <c r="AE26" s="189"/>
      <c r="AG26" s="145"/>
    </row>
    <row r="27" spans="2:33" x14ac:dyDescent="0.2">
      <c r="B27" s="162"/>
      <c r="C27" s="163"/>
      <c r="D27" s="187"/>
      <c r="E27" s="187"/>
      <c r="F27" s="187"/>
      <c r="G27" s="187"/>
      <c r="H27" s="187"/>
      <c r="I27" s="187"/>
      <c r="J27" s="187"/>
      <c r="K27" s="187"/>
      <c r="L27" s="187"/>
      <c r="M27" s="187"/>
      <c r="N27" s="150"/>
      <c r="O27" s="150"/>
      <c r="P27" s="40"/>
      <c r="Q27" s="136"/>
      <c r="R27" s="150"/>
      <c r="S27" s="145"/>
      <c r="Z27" s="232"/>
      <c r="AA27" s="145"/>
      <c r="AB27" s="147"/>
      <c r="AC27" s="145"/>
      <c r="AD27" s="189"/>
      <c r="AE27" s="189"/>
      <c r="AG27" s="145"/>
    </row>
    <row r="28" spans="2:33" x14ac:dyDescent="0.2">
      <c r="B28" s="165"/>
      <c r="C28" s="164" t="s">
        <v>92</v>
      </c>
      <c r="D28" s="187"/>
      <c r="E28" s="187"/>
      <c r="F28" s="187"/>
      <c r="G28" s="187"/>
      <c r="H28" s="187"/>
      <c r="I28" s="187"/>
      <c r="J28" s="187"/>
      <c r="K28" s="187"/>
      <c r="L28" s="187"/>
      <c r="M28" s="187"/>
      <c r="N28" s="150"/>
      <c r="O28" s="150"/>
      <c r="P28" s="40"/>
      <c r="Q28" s="136"/>
      <c r="R28" s="150"/>
      <c r="S28" s="145"/>
      <c r="Z28" s="232"/>
      <c r="AA28" s="145"/>
      <c r="AB28" s="147"/>
      <c r="AC28" s="145"/>
      <c r="AD28" s="189"/>
      <c r="AE28" s="189"/>
      <c r="AG28" s="145"/>
    </row>
    <row r="29" spans="2:33" x14ac:dyDescent="0.2">
      <c r="B29" s="166"/>
      <c r="C29" s="164"/>
      <c r="D29" s="187"/>
      <c r="E29" s="187"/>
      <c r="F29" s="187"/>
      <c r="G29" s="187"/>
      <c r="H29" s="187"/>
      <c r="I29" s="187"/>
      <c r="J29" s="187"/>
      <c r="K29" s="187"/>
      <c r="L29" s="187"/>
      <c r="M29" s="187"/>
      <c r="N29" s="150"/>
      <c r="O29" s="150"/>
      <c r="P29" s="40"/>
      <c r="Q29" s="136"/>
      <c r="R29" s="150"/>
      <c r="S29" s="145"/>
      <c r="Z29" s="232"/>
      <c r="AA29" s="145"/>
      <c r="AB29" s="147"/>
      <c r="AC29" s="145"/>
      <c r="AD29" s="189"/>
      <c r="AE29" s="189"/>
      <c r="AG29" s="145"/>
    </row>
    <row r="30" spans="2:33" x14ac:dyDescent="0.2">
      <c r="B30" s="167"/>
      <c r="C30" s="164" t="s">
        <v>93</v>
      </c>
      <c r="D30" s="187"/>
      <c r="E30" s="187"/>
      <c r="F30" s="187"/>
      <c r="G30" s="187"/>
      <c r="H30" s="187"/>
      <c r="I30" s="187"/>
      <c r="J30" s="187"/>
      <c r="K30" s="187"/>
      <c r="L30" s="187"/>
      <c r="M30" s="187"/>
      <c r="N30" s="150"/>
      <c r="O30" s="150"/>
      <c r="P30" s="40"/>
      <c r="Q30" s="136"/>
      <c r="Z30" s="232"/>
      <c r="AB30" s="147"/>
      <c r="AC30" s="145"/>
      <c r="AD30" s="189"/>
      <c r="AE30" s="189"/>
      <c r="AG30" s="145"/>
    </row>
    <row r="31" spans="2:33" x14ac:dyDescent="0.2">
      <c r="B31" s="172"/>
      <c r="C31" s="173"/>
      <c r="D31" s="206"/>
      <c r="E31" s="206"/>
      <c r="F31" s="206"/>
      <c r="G31" s="206"/>
      <c r="H31" s="206"/>
      <c r="I31" s="206"/>
      <c r="J31" s="206"/>
      <c r="K31" s="206"/>
      <c r="L31" s="206"/>
      <c r="M31" s="206"/>
      <c r="N31" s="153"/>
      <c r="O31" s="150"/>
      <c r="P31" s="40"/>
      <c r="Q31" s="136"/>
      <c r="Z31" s="232"/>
      <c r="AB31" s="147"/>
      <c r="AC31" s="145"/>
      <c r="AD31" s="189"/>
      <c r="AE31" s="189"/>
      <c r="AG31" s="145"/>
    </row>
    <row r="32" spans="2:33" ht="15" thickBot="1" x14ac:dyDescent="0.25">
      <c r="B32" s="206"/>
      <c r="C32" s="207"/>
      <c r="D32" s="206"/>
      <c r="E32" s="206"/>
      <c r="F32" s="206"/>
      <c r="G32" s="206"/>
      <c r="H32" s="206"/>
      <c r="I32" s="206"/>
      <c r="J32" s="206"/>
      <c r="K32" s="206"/>
      <c r="L32" s="206"/>
      <c r="M32" s="206"/>
      <c r="N32" s="153"/>
      <c r="O32" s="150"/>
      <c r="P32" s="40"/>
      <c r="Q32" s="231"/>
      <c r="R32" s="150"/>
      <c r="S32" s="145"/>
      <c r="Z32" s="232"/>
      <c r="AA32" s="145"/>
      <c r="AB32" s="147"/>
      <c r="AC32" s="145"/>
      <c r="AD32" s="189"/>
      <c r="AE32" s="189"/>
      <c r="AG32" s="145"/>
    </row>
    <row r="33" spans="2:33" ht="21" thickBot="1" x14ac:dyDescent="0.25">
      <c r="B33" s="168" t="str">
        <f ca="1" xml:space="preserve"> RIGHT(CELL("filename", $A$1), LEN(CELL("filename", $A$1)) - SEARCH("]", CELL("filename", $A$1)))&amp;" - Line definitions"</f>
        <v>4F - Line definitions</v>
      </c>
      <c r="C33" s="169"/>
      <c r="D33" s="170"/>
      <c r="E33" s="170"/>
      <c r="F33" s="170"/>
      <c r="G33" s="170"/>
      <c r="H33" s="170"/>
      <c r="I33" s="170"/>
      <c r="J33" s="170"/>
      <c r="K33" s="170"/>
      <c r="L33" s="170"/>
      <c r="M33" s="170"/>
      <c r="N33" s="176"/>
      <c r="O33" s="150"/>
      <c r="P33" s="150"/>
      <c r="Q33" s="136"/>
      <c r="R33" s="144"/>
      <c r="S33" s="148"/>
      <c r="T33" s="232"/>
      <c r="U33" s="232"/>
      <c r="V33" s="232"/>
      <c r="W33" s="232"/>
      <c r="X33" s="232"/>
      <c r="Y33" s="232"/>
      <c r="Z33" s="232"/>
      <c r="AA33" s="148"/>
      <c r="AB33"/>
      <c r="AC33" s="148"/>
      <c r="AG33" s="148"/>
    </row>
    <row r="34" spans="2:33" ht="15" thickBot="1" x14ac:dyDescent="0.25">
      <c r="B34" s="99"/>
      <c r="C34" s="177"/>
      <c r="D34" s="99"/>
      <c r="E34" s="99"/>
      <c r="F34" s="99"/>
      <c r="G34" s="99"/>
      <c r="H34" s="99"/>
      <c r="I34" s="99"/>
      <c r="J34" s="99"/>
      <c r="K34" s="99"/>
      <c r="L34" s="99"/>
      <c r="M34" s="99"/>
      <c r="N34" s="144"/>
      <c r="O34" s="150"/>
      <c r="P34" s="150"/>
      <c r="Q34" s="136"/>
      <c r="R34" s="144"/>
      <c r="S34" s="148"/>
      <c r="T34" s="232"/>
      <c r="U34" s="232"/>
      <c r="V34" s="232"/>
      <c r="W34" s="232"/>
      <c r="X34" s="232"/>
      <c r="Y34" s="232"/>
      <c r="Z34" s="232"/>
      <c r="AA34" s="148"/>
      <c r="AB34"/>
      <c r="AC34" s="148"/>
      <c r="AG34" s="148"/>
    </row>
    <row r="35" spans="2:33" ht="15" thickBot="1" x14ac:dyDescent="0.25">
      <c r="B35" s="178" t="s">
        <v>94</v>
      </c>
      <c r="C35" s="706" t="s">
        <v>750</v>
      </c>
      <c r="D35" s="706"/>
      <c r="E35" s="706"/>
      <c r="F35" s="706"/>
      <c r="G35" s="707"/>
      <c r="H35" s="856" t="s">
        <v>751</v>
      </c>
      <c r="I35" s="706"/>
      <c r="J35" s="706"/>
      <c r="K35" s="706"/>
      <c r="L35" s="706"/>
      <c r="M35" s="706"/>
      <c r="N35" s="707"/>
      <c r="O35" s="150"/>
      <c r="P35" s="150"/>
      <c r="R35" s="144"/>
      <c r="S35" s="148"/>
      <c r="T35" s="112" t="s">
        <v>96</v>
      </c>
      <c r="U35" s="232"/>
      <c r="V35" s="232"/>
      <c r="W35" s="232"/>
      <c r="X35" s="232"/>
      <c r="Y35" s="232"/>
      <c r="Z35" s="232"/>
      <c r="AA35" s="148"/>
      <c r="AB35"/>
      <c r="AC35" s="148"/>
      <c r="AG35" s="148"/>
    </row>
    <row r="36" spans="2:33" ht="51" x14ac:dyDescent="0.2">
      <c r="B36" s="209">
        <f t="shared" ref="B36:B43" si="12">B7</f>
        <v>1</v>
      </c>
      <c r="C36" s="783" t="s">
        <v>752</v>
      </c>
      <c r="D36" s="783"/>
      <c r="E36" s="783"/>
      <c r="F36" s="783"/>
      <c r="G36" s="783"/>
      <c r="H36" s="783" t="s">
        <v>753</v>
      </c>
      <c r="I36" s="783"/>
      <c r="J36" s="783"/>
      <c r="K36" s="783"/>
      <c r="L36" s="783"/>
      <c r="M36" s="783"/>
      <c r="N36" s="784"/>
      <c r="O36" s="150"/>
      <c r="P36" s="150"/>
      <c r="T36" s="186" t="s">
        <v>107</v>
      </c>
      <c r="U36" s="232"/>
      <c r="V36" s="232"/>
      <c r="W36" s="232"/>
      <c r="X36" s="232"/>
      <c r="Y36" s="232"/>
      <c r="Z36" s="232"/>
      <c r="AB36" s="137"/>
      <c r="AC36" s="148"/>
      <c r="AG36" s="148"/>
    </row>
    <row r="37" spans="2:33" ht="51" x14ac:dyDescent="0.2">
      <c r="B37" s="184">
        <f t="shared" si="12"/>
        <v>2</v>
      </c>
      <c r="C37" s="776" t="s">
        <v>754</v>
      </c>
      <c r="D37" s="776"/>
      <c r="E37" s="776"/>
      <c r="F37" s="776"/>
      <c r="G37" s="776"/>
      <c r="H37" s="776" t="s">
        <v>755</v>
      </c>
      <c r="I37" s="776"/>
      <c r="J37" s="776"/>
      <c r="K37" s="776"/>
      <c r="L37" s="776"/>
      <c r="M37" s="776"/>
      <c r="N37" s="777"/>
      <c r="O37" s="150"/>
      <c r="P37" s="150"/>
      <c r="T37" s="186" t="s">
        <v>107</v>
      </c>
      <c r="U37" s="232"/>
      <c r="V37" s="232"/>
      <c r="W37" s="232"/>
      <c r="X37" s="232"/>
      <c r="Y37" s="232"/>
      <c r="Z37" s="232"/>
      <c r="AC37" s="148"/>
      <c r="AG37" s="148"/>
    </row>
    <row r="38" spans="2:33" ht="25.5" x14ac:dyDescent="0.2">
      <c r="B38" s="184">
        <f t="shared" si="12"/>
        <v>3</v>
      </c>
      <c r="C38" s="776" t="s">
        <v>756</v>
      </c>
      <c r="D38" s="776"/>
      <c r="E38" s="776"/>
      <c r="F38" s="776"/>
      <c r="G38" s="776"/>
      <c r="H38" s="776" t="s">
        <v>757</v>
      </c>
      <c r="I38" s="776"/>
      <c r="J38" s="776"/>
      <c r="K38" s="776"/>
      <c r="L38" s="776"/>
      <c r="M38" s="776"/>
      <c r="N38" s="777"/>
      <c r="O38" s="153"/>
      <c r="P38" s="153"/>
      <c r="T38" s="186" t="s">
        <v>101</v>
      </c>
      <c r="U38" s="232"/>
      <c r="V38" s="232"/>
      <c r="W38" s="232"/>
      <c r="X38" s="232"/>
      <c r="Y38" s="232"/>
      <c r="Z38" s="232"/>
      <c r="AC38" s="148"/>
      <c r="AG38" s="148"/>
    </row>
    <row r="39" spans="2:33" ht="38.25" x14ac:dyDescent="0.2">
      <c r="B39" s="184">
        <f t="shared" si="12"/>
        <v>4</v>
      </c>
      <c r="C39" s="776" t="s">
        <v>758</v>
      </c>
      <c r="D39" s="776"/>
      <c r="E39" s="776"/>
      <c r="F39" s="776"/>
      <c r="G39" s="776"/>
      <c r="H39" s="776" t="s">
        <v>759</v>
      </c>
      <c r="I39" s="776"/>
      <c r="J39" s="776"/>
      <c r="K39" s="776"/>
      <c r="L39" s="776"/>
      <c r="M39" s="776"/>
      <c r="N39" s="777"/>
      <c r="O39" s="153"/>
      <c r="P39" s="153"/>
      <c r="T39" s="186" t="s">
        <v>98</v>
      </c>
      <c r="U39" s="232"/>
      <c r="V39" s="232"/>
      <c r="W39" s="232"/>
      <c r="X39" s="232"/>
      <c r="Y39" s="232"/>
      <c r="Z39" s="232"/>
      <c r="AC39" s="148"/>
      <c r="AD39" s="95"/>
      <c r="AE39" s="95"/>
      <c r="AF39" s="95"/>
      <c r="AG39" s="148"/>
    </row>
    <row r="40" spans="2:33" ht="38.25" x14ac:dyDescent="0.2">
      <c r="B40" s="184">
        <f t="shared" si="12"/>
        <v>5</v>
      </c>
      <c r="C40" s="776" t="s">
        <v>760</v>
      </c>
      <c r="D40" s="776"/>
      <c r="E40" s="776"/>
      <c r="F40" s="776"/>
      <c r="G40" s="776"/>
      <c r="H40" s="776" t="s">
        <v>761</v>
      </c>
      <c r="I40" s="776"/>
      <c r="J40" s="776"/>
      <c r="K40" s="776"/>
      <c r="L40" s="776"/>
      <c r="M40" s="776"/>
      <c r="N40" s="777"/>
      <c r="O40" s="153"/>
      <c r="P40" s="153"/>
      <c r="T40" s="186" t="s">
        <v>98</v>
      </c>
      <c r="U40" s="232"/>
      <c r="V40" s="232"/>
      <c r="W40" s="232"/>
      <c r="X40" s="232"/>
      <c r="Y40" s="232"/>
      <c r="Z40" s="232"/>
      <c r="AC40" s="148"/>
      <c r="AD40" s="187"/>
      <c r="AE40" s="187"/>
      <c r="AF40" s="187"/>
      <c r="AG40" s="148"/>
    </row>
    <row r="41" spans="2:33" ht="38.25" x14ac:dyDescent="0.2">
      <c r="B41" s="184">
        <f t="shared" si="12"/>
        <v>6</v>
      </c>
      <c r="C41" s="776" t="s">
        <v>762</v>
      </c>
      <c r="D41" s="776"/>
      <c r="E41" s="776"/>
      <c r="F41" s="776"/>
      <c r="G41" s="776"/>
      <c r="H41" s="776" t="s">
        <v>763</v>
      </c>
      <c r="I41" s="776"/>
      <c r="J41" s="776"/>
      <c r="K41" s="776"/>
      <c r="L41" s="776"/>
      <c r="M41" s="776"/>
      <c r="N41" s="777"/>
      <c r="O41" s="153"/>
      <c r="P41" s="153"/>
      <c r="R41" s="144"/>
      <c r="S41" s="148"/>
      <c r="T41" s="186" t="s">
        <v>98</v>
      </c>
      <c r="U41" s="232"/>
      <c r="V41" s="232"/>
      <c r="W41" s="232"/>
      <c r="X41" s="232"/>
      <c r="Y41" s="232"/>
      <c r="Z41" s="232"/>
      <c r="AA41" s="148"/>
      <c r="AC41" s="148"/>
      <c r="AD41" s="187"/>
      <c r="AE41" s="187"/>
      <c r="AF41" s="187"/>
      <c r="AG41" s="148"/>
    </row>
    <row r="42" spans="2:33" ht="38.25" x14ac:dyDescent="0.2">
      <c r="B42" s="184">
        <f t="shared" si="12"/>
        <v>7</v>
      </c>
      <c r="C42" s="776" t="s">
        <v>764</v>
      </c>
      <c r="D42" s="776"/>
      <c r="E42" s="776"/>
      <c r="F42" s="776"/>
      <c r="G42" s="776"/>
      <c r="H42" s="776" t="s">
        <v>765</v>
      </c>
      <c r="I42" s="776"/>
      <c r="J42" s="776"/>
      <c r="K42" s="776"/>
      <c r="L42" s="776"/>
      <c r="M42" s="776"/>
      <c r="N42" s="777"/>
      <c r="O42" s="153"/>
      <c r="P42" s="153"/>
      <c r="T42" s="186" t="s">
        <v>98</v>
      </c>
      <c r="U42" s="232"/>
      <c r="V42" s="232"/>
      <c r="W42" s="232"/>
      <c r="X42" s="232"/>
      <c r="Y42" s="232"/>
      <c r="Z42" s="232"/>
      <c r="AD42" s="187"/>
      <c r="AE42" s="187"/>
      <c r="AF42" s="187"/>
    </row>
    <row r="43" spans="2:33" ht="39" thickBot="1" x14ac:dyDescent="0.25">
      <c r="B43" s="211">
        <f t="shared" si="12"/>
        <v>8</v>
      </c>
      <c r="C43" s="778" t="s">
        <v>766</v>
      </c>
      <c r="D43" s="778"/>
      <c r="E43" s="778"/>
      <c r="F43" s="778"/>
      <c r="G43" s="778"/>
      <c r="H43" s="778" t="s">
        <v>767</v>
      </c>
      <c r="I43" s="778"/>
      <c r="J43" s="778"/>
      <c r="K43" s="778"/>
      <c r="L43" s="778"/>
      <c r="M43" s="778"/>
      <c r="N43" s="779"/>
      <c r="O43" s="153"/>
      <c r="P43" s="153"/>
      <c r="T43" s="186" t="s">
        <v>98</v>
      </c>
      <c r="U43" s="232"/>
      <c r="V43" s="232"/>
      <c r="W43" s="232"/>
      <c r="X43" s="232"/>
      <c r="Y43" s="232"/>
      <c r="Z43" s="232"/>
      <c r="AD43" s="187"/>
      <c r="AE43" s="187"/>
      <c r="AF43" s="187"/>
    </row>
    <row r="44" spans="2:33" ht="14.1" customHeight="1" thickBot="1" x14ac:dyDescent="0.25">
      <c r="B44" s="233"/>
      <c r="C44" s="272"/>
      <c r="D44" s="272"/>
      <c r="E44" s="272"/>
      <c r="F44" s="272"/>
      <c r="G44" s="272"/>
      <c r="H44" s="272"/>
      <c r="I44" s="272"/>
      <c r="J44" s="272"/>
      <c r="K44" s="272"/>
      <c r="L44" s="272"/>
      <c r="M44" s="272"/>
      <c r="N44" s="272"/>
      <c r="O44" s="153"/>
      <c r="P44" s="153"/>
      <c r="T44" s="235"/>
      <c r="U44" s="232"/>
      <c r="V44" s="232"/>
      <c r="W44" s="232"/>
      <c r="X44" s="232"/>
      <c r="Y44" s="232"/>
      <c r="Z44" s="232"/>
      <c r="AD44" s="187"/>
      <c r="AE44" s="187"/>
      <c r="AF44" s="187"/>
    </row>
    <row r="45" spans="2:33" ht="15" thickBot="1" x14ac:dyDescent="0.25">
      <c r="B45" s="178" t="s">
        <v>94</v>
      </c>
      <c r="C45" s="706" t="s">
        <v>95</v>
      </c>
      <c r="D45" s="706"/>
      <c r="E45" s="706"/>
      <c r="F45" s="706"/>
      <c r="G45" s="706"/>
      <c r="H45" s="706"/>
      <c r="I45" s="706"/>
      <c r="J45" s="706"/>
      <c r="K45" s="706"/>
      <c r="L45" s="706"/>
      <c r="M45" s="706"/>
      <c r="N45" s="707"/>
      <c r="O45" s="153"/>
      <c r="P45" s="153"/>
      <c r="T45" s="235"/>
      <c r="U45" s="232"/>
      <c r="V45" s="232"/>
      <c r="W45" s="232"/>
      <c r="X45" s="232"/>
      <c r="Y45" s="232"/>
      <c r="Z45" s="232"/>
      <c r="AD45" s="187"/>
      <c r="AE45" s="187"/>
      <c r="AF45" s="187"/>
    </row>
    <row r="46" spans="2:33" ht="63.6" customHeight="1" x14ac:dyDescent="0.2">
      <c r="B46" s="209">
        <f>B17</f>
        <v>9</v>
      </c>
      <c r="C46" s="783" t="s">
        <v>768</v>
      </c>
      <c r="D46" s="783"/>
      <c r="E46" s="783"/>
      <c r="F46" s="783"/>
      <c r="G46" s="783"/>
      <c r="H46" s="783"/>
      <c r="I46" s="783"/>
      <c r="J46" s="783"/>
      <c r="K46" s="783"/>
      <c r="L46" s="783"/>
      <c r="M46" s="783"/>
      <c r="N46" s="784"/>
      <c r="O46" s="153"/>
      <c r="P46" s="153"/>
      <c r="T46" s="186" t="s">
        <v>107</v>
      </c>
      <c r="U46" s="232"/>
      <c r="V46" s="232"/>
      <c r="W46" s="232"/>
      <c r="X46" s="232"/>
      <c r="Y46" s="232"/>
      <c r="Z46" s="232"/>
      <c r="AD46" s="187"/>
      <c r="AE46" s="187"/>
      <c r="AF46" s="187"/>
    </row>
    <row r="47" spans="2:33" ht="18.600000000000001" customHeight="1" x14ac:dyDescent="0.2">
      <c r="B47" s="184">
        <f t="shared" ref="B47:B51" si="13">B18</f>
        <v>10</v>
      </c>
      <c r="C47" s="776" t="s">
        <v>769</v>
      </c>
      <c r="D47" s="776"/>
      <c r="E47" s="776"/>
      <c r="F47" s="776"/>
      <c r="G47" s="776"/>
      <c r="H47" s="776"/>
      <c r="I47" s="776"/>
      <c r="J47" s="776"/>
      <c r="K47" s="776"/>
      <c r="L47" s="776"/>
      <c r="M47" s="776"/>
      <c r="N47" s="777"/>
      <c r="O47" s="153"/>
      <c r="P47" s="153"/>
      <c r="T47" s="235">
        <v>1</v>
      </c>
      <c r="U47" s="232"/>
      <c r="V47" s="232"/>
      <c r="W47" s="232"/>
      <c r="X47" s="232"/>
      <c r="Y47" s="232"/>
      <c r="Z47" s="232"/>
      <c r="AD47" s="206"/>
      <c r="AE47" s="206"/>
      <c r="AF47" s="206"/>
    </row>
    <row r="48" spans="2:33" ht="27.6" customHeight="1" x14ac:dyDescent="0.2">
      <c r="B48" s="184">
        <f t="shared" si="13"/>
        <v>11</v>
      </c>
      <c r="C48" s="776" t="s">
        <v>770</v>
      </c>
      <c r="D48" s="776"/>
      <c r="E48" s="776"/>
      <c r="F48" s="776"/>
      <c r="G48" s="776"/>
      <c r="H48" s="776"/>
      <c r="I48" s="776"/>
      <c r="J48" s="776"/>
      <c r="K48" s="776"/>
      <c r="L48" s="776"/>
      <c r="M48" s="776"/>
      <c r="N48" s="777"/>
      <c r="O48" s="153"/>
      <c r="P48" s="153"/>
      <c r="T48" s="236" t="s">
        <v>101</v>
      </c>
      <c r="U48" s="232"/>
      <c r="V48" s="232"/>
      <c r="W48" s="232"/>
      <c r="X48" s="232"/>
      <c r="Y48" s="232"/>
      <c r="Z48" s="232"/>
      <c r="AD48" s="206"/>
      <c r="AE48" s="206"/>
      <c r="AF48" s="206"/>
    </row>
    <row r="49" spans="2:32" ht="46.5" customHeight="1" x14ac:dyDescent="0.2">
      <c r="B49" s="184">
        <f t="shared" si="13"/>
        <v>12</v>
      </c>
      <c r="C49" s="776" t="s">
        <v>771</v>
      </c>
      <c r="D49" s="776"/>
      <c r="E49" s="776"/>
      <c r="F49" s="776"/>
      <c r="G49" s="776"/>
      <c r="H49" s="776"/>
      <c r="I49" s="776"/>
      <c r="J49" s="776"/>
      <c r="K49" s="776"/>
      <c r="L49" s="776"/>
      <c r="M49" s="776"/>
      <c r="N49" s="777"/>
      <c r="O49" s="153"/>
      <c r="P49" s="153"/>
      <c r="T49" s="186" t="s">
        <v>107</v>
      </c>
      <c r="U49" s="232"/>
      <c r="V49" s="232"/>
      <c r="W49" s="232"/>
      <c r="X49" s="232"/>
      <c r="Y49" s="232"/>
      <c r="Z49" s="232"/>
      <c r="AD49" s="137"/>
      <c r="AE49" s="137"/>
      <c r="AF49" s="137"/>
    </row>
    <row r="50" spans="2:32" x14ac:dyDescent="0.2">
      <c r="B50" s="184">
        <f t="shared" si="13"/>
        <v>13</v>
      </c>
      <c r="C50" s="776" t="s">
        <v>772</v>
      </c>
      <c r="D50" s="776"/>
      <c r="E50" s="776"/>
      <c r="F50" s="776"/>
      <c r="G50" s="776"/>
      <c r="H50" s="776"/>
      <c r="I50" s="776"/>
      <c r="J50" s="776"/>
      <c r="K50" s="776"/>
      <c r="L50" s="776"/>
      <c r="M50" s="776"/>
      <c r="N50" s="777"/>
      <c r="O50" s="153"/>
      <c r="P50" s="153"/>
      <c r="T50" s="235">
        <v>1</v>
      </c>
      <c r="U50" s="232"/>
      <c r="V50" s="232"/>
      <c r="W50" s="232"/>
      <c r="X50" s="232"/>
      <c r="Y50" s="232"/>
      <c r="Z50" s="232"/>
      <c r="AD50" s="137"/>
      <c r="AE50" s="137"/>
      <c r="AF50" s="137"/>
    </row>
    <row r="51" spans="2:32" ht="28.5" customHeight="1" thickBot="1" x14ac:dyDescent="0.25">
      <c r="B51" s="211">
        <f t="shared" si="13"/>
        <v>14</v>
      </c>
      <c r="C51" s="778" t="s">
        <v>773</v>
      </c>
      <c r="D51" s="778"/>
      <c r="E51" s="778"/>
      <c r="F51" s="778"/>
      <c r="G51" s="778"/>
      <c r="H51" s="778"/>
      <c r="I51" s="778"/>
      <c r="J51" s="778"/>
      <c r="K51" s="778"/>
      <c r="L51" s="778"/>
      <c r="M51" s="778"/>
      <c r="N51" s="779"/>
      <c r="O51" s="153"/>
      <c r="P51" s="153"/>
      <c r="T51" s="236" t="s">
        <v>101</v>
      </c>
      <c r="U51" s="232"/>
      <c r="V51" s="232"/>
      <c r="W51" s="232"/>
      <c r="X51" s="232"/>
      <c r="Y51" s="232"/>
      <c r="Z51" s="232"/>
      <c r="AD51" s="206"/>
      <c r="AE51" s="206"/>
      <c r="AF51" s="206"/>
    </row>
    <row r="52" spans="2:32" x14ac:dyDescent="0.2">
      <c r="B52" s="233"/>
      <c r="C52" s="855"/>
      <c r="D52" s="855"/>
      <c r="E52" s="855"/>
      <c r="F52" s="855"/>
      <c r="G52" s="855"/>
      <c r="H52" s="855"/>
      <c r="O52" s="153"/>
      <c r="P52" s="153"/>
      <c r="T52" s="232"/>
      <c r="U52" s="232"/>
      <c r="V52" s="232"/>
      <c r="W52" s="232"/>
      <c r="X52" s="232"/>
      <c r="Y52" s="232"/>
      <c r="Z52" s="232"/>
      <c r="AD52" s="137"/>
      <c r="AE52" s="137"/>
      <c r="AF52" s="137"/>
    </row>
    <row r="53" spans="2:32" hidden="1" x14ac:dyDescent="0.2">
      <c r="O53" s="153"/>
      <c r="P53" s="153"/>
      <c r="T53" s="232"/>
      <c r="U53" s="232"/>
      <c r="V53" s="232"/>
      <c r="W53" s="232"/>
      <c r="X53" s="232"/>
      <c r="Y53" s="232"/>
      <c r="Z53" s="232"/>
      <c r="AD53" s="137"/>
      <c r="AE53" s="137"/>
      <c r="AF53" s="137"/>
    </row>
    <row r="54" spans="2:32" hidden="1" x14ac:dyDescent="0.2">
      <c r="O54" s="153"/>
      <c r="P54" s="153"/>
      <c r="U54" s="232"/>
      <c r="V54" s="232"/>
      <c r="W54" s="232"/>
      <c r="X54" s="232"/>
      <c r="Y54" s="232"/>
      <c r="Z54" s="232"/>
      <c r="AD54" s="137"/>
      <c r="AE54" s="137"/>
      <c r="AF54" s="137"/>
    </row>
    <row r="55" spans="2:32" hidden="1" x14ac:dyDescent="0.2">
      <c r="O55" s="153"/>
      <c r="P55" s="153"/>
      <c r="U55" s="232"/>
      <c r="V55" s="232"/>
      <c r="W55" s="232"/>
      <c r="X55" s="232"/>
      <c r="Y55" s="232"/>
      <c r="Z55" s="232"/>
      <c r="AD55" s="137"/>
      <c r="AE55" s="137"/>
      <c r="AF55" s="137"/>
    </row>
    <row r="56" spans="2:32" hidden="1" x14ac:dyDescent="0.2">
      <c r="O56" s="153"/>
      <c r="P56" s="153"/>
      <c r="U56" s="232"/>
      <c r="V56" s="232"/>
      <c r="W56" s="232"/>
      <c r="X56" s="232"/>
      <c r="Y56" s="232"/>
      <c r="Z56" s="232"/>
      <c r="AD56" s="137"/>
      <c r="AE56" s="137"/>
      <c r="AF56" s="137"/>
    </row>
    <row r="57" spans="2:32" hidden="1" x14ac:dyDescent="0.2">
      <c r="O57" s="153"/>
      <c r="P57" s="153"/>
      <c r="U57" s="232"/>
      <c r="V57" s="232"/>
      <c r="W57" s="232"/>
      <c r="X57" s="232"/>
      <c r="Y57" s="232"/>
      <c r="Z57" s="232"/>
      <c r="AD57" s="137"/>
      <c r="AE57" s="137"/>
      <c r="AF57" s="137"/>
    </row>
    <row r="58" spans="2:32" hidden="1" x14ac:dyDescent="0.2">
      <c r="O58" s="153"/>
      <c r="P58" s="153"/>
      <c r="U58" s="232"/>
      <c r="V58" s="232"/>
      <c r="W58" s="232"/>
      <c r="X58" s="232"/>
      <c r="Y58" s="232"/>
      <c r="Z58" s="232"/>
      <c r="AD58" s="137"/>
      <c r="AE58" s="137"/>
      <c r="AF58" s="137"/>
    </row>
    <row r="59" spans="2:32" hidden="1" x14ac:dyDescent="0.2">
      <c r="O59" s="153"/>
      <c r="P59" s="153"/>
      <c r="U59" s="232"/>
      <c r="V59" s="232"/>
      <c r="W59" s="232"/>
      <c r="X59" s="232"/>
      <c r="Y59" s="232"/>
      <c r="Z59" s="232"/>
      <c r="AD59" s="137"/>
      <c r="AE59" s="137"/>
      <c r="AF59" s="137"/>
    </row>
    <row r="60" spans="2:32" hidden="1" x14ac:dyDescent="0.2">
      <c r="O60" s="153"/>
      <c r="P60" s="153"/>
      <c r="U60" s="232"/>
      <c r="V60" s="232"/>
      <c r="W60" s="232"/>
      <c r="X60" s="232"/>
      <c r="Y60" s="232"/>
      <c r="Z60" s="232"/>
      <c r="AD60" s="137"/>
      <c r="AE60" s="137"/>
      <c r="AF60" s="137"/>
    </row>
    <row r="61" spans="2:32" hidden="1" x14ac:dyDescent="0.2">
      <c r="U61" s="232"/>
      <c r="V61" s="232"/>
      <c r="W61" s="232"/>
      <c r="X61" s="232"/>
      <c r="Y61" s="232"/>
      <c r="Z61" s="232"/>
      <c r="AD61" s="137"/>
      <c r="AE61" s="137"/>
      <c r="AF61" s="137"/>
    </row>
    <row r="62" spans="2:32" hidden="1" x14ac:dyDescent="0.2">
      <c r="U62" s="232"/>
      <c r="V62" s="232"/>
      <c r="W62" s="232"/>
      <c r="X62" s="232"/>
      <c r="Y62" s="232"/>
      <c r="Z62" s="232"/>
      <c r="AD62" s="137"/>
      <c r="AE62" s="137"/>
      <c r="AF62" s="137"/>
    </row>
    <row r="63" spans="2:32" hidden="1" x14ac:dyDescent="0.2">
      <c r="U63" s="232"/>
      <c r="V63" s="232"/>
      <c r="W63" s="232"/>
      <c r="X63" s="232"/>
      <c r="Y63" s="232"/>
      <c r="Z63" s="232"/>
      <c r="AD63" s="137"/>
      <c r="AE63" s="137"/>
      <c r="AF63" s="137"/>
    </row>
    <row r="64" spans="2:32" hidden="1" x14ac:dyDescent="0.2">
      <c r="U64" s="232"/>
      <c r="V64" s="232"/>
      <c r="W64" s="232"/>
      <c r="X64" s="232"/>
      <c r="Y64" s="232"/>
      <c r="Z64" s="232"/>
      <c r="AD64" s="137"/>
      <c r="AE64" s="137"/>
      <c r="AF64" s="137"/>
    </row>
    <row r="65" spans="21:32" hidden="1" x14ac:dyDescent="0.2">
      <c r="U65" s="232"/>
      <c r="V65" s="232"/>
      <c r="W65" s="232"/>
      <c r="X65" s="232"/>
      <c r="Y65" s="232"/>
      <c r="Z65" s="232"/>
      <c r="AD65" s="137"/>
      <c r="AE65" s="137"/>
      <c r="AF65" s="137"/>
    </row>
    <row r="66" spans="21:32" hidden="1" x14ac:dyDescent="0.2">
      <c r="U66" s="232"/>
      <c r="V66" s="232"/>
      <c r="W66" s="232"/>
      <c r="X66" s="232"/>
      <c r="Y66" s="232"/>
      <c r="Z66" s="232"/>
      <c r="AD66" s="137"/>
      <c r="AE66" s="137"/>
      <c r="AF66" s="137"/>
    </row>
    <row r="67" spans="21:32" hidden="1" x14ac:dyDescent="0.2">
      <c r="U67" s="232"/>
      <c r="V67" s="232"/>
      <c r="W67" s="232"/>
      <c r="X67" s="232"/>
      <c r="Y67" s="232"/>
      <c r="Z67" s="232"/>
      <c r="AD67" s="137"/>
      <c r="AE67" s="137"/>
      <c r="AF67" s="137"/>
    </row>
    <row r="68" spans="21:32" hidden="1" x14ac:dyDescent="0.2">
      <c r="U68" s="232"/>
      <c r="V68" s="232"/>
      <c r="W68" s="232"/>
      <c r="X68" s="232"/>
      <c r="Y68" s="232"/>
      <c r="Z68" s="232"/>
      <c r="AD68" s="137"/>
      <c r="AE68" s="137"/>
      <c r="AF68" s="137"/>
    </row>
    <row r="69" spans="21:32" hidden="1" x14ac:dyDescent="0.2">
      <c r="U69" s="232"/>
      <c r="V69" s="232"/>
      <c r="W69" s="232"/>
      <c r="X69" s="232"/>
      <c r="Y69" s="232"/>
      <c r="Z69" s="232"/>
      <c r="AD69" s="137"/>
      <c r="AE69" s="137"/>
      <c r="AF69" s="137"/>
    </row>
    <row r="70" spans="21:32" hidden="1" x14ac:dyDescent="0.2">
      <c r="U70" s="232"/>
      <c r="V70" s="232"/>
      <c r="W70" s="232"/>
      <c r="X70" s="232"/>
      <c r="Y70" s="232"/>
      <c r="Z70" s="232"/>
      <c r="AD70" s="137"/>
      <c r="AE70" s="137"/>
      <c r="AF70" s="137"/>
    </row>
    <row r="71" spans="21:32" hidden="1" x14ac:dyDescent="0.2">
      <c r="U71" s="232"/>
      <c r="V71" s="232"/>
      <c r="W71" s="232"/>
      <c r="X71" s="232"/>
      <c r="Y71" s="232"/>
      <c r="Z71" s="232"/>
      <c r="AD71" s="137"/>
      <c r="AE71" s="137"/>
      <c r="AF71" s="137"/>
    </row>
    <row r="72" spans="21:32" hidden="1" x14ac:dyDescent="0.2">
      <c r="U72" s="232"/>
      <c r="V72" s="232"/>
      <c r="W72" s="232"/>
      <c r="X72" s="232"/>
      <c r="Y72" s="232"/>
      <c r="Z72" s="232"/>
      <c r="AD72" s="137"/>
      <c r="AE72" s="137"/>
      <c r="AF72" s="137"/>
    </row>
    <row r="73" spans="21:32" hidden="1" x14ac:dyDescent="0.2">
      <c r="U73" s="232"/>
      <c r="V73" s="232"/>
      <c r="W73" s="232"/>
      <c r="X73" s="232"/>
      <c r="Y73" s="232"/>
      <c r="Z73" s="232"/>
      <c r="AD73" s="137"/>
      <c r="AE73" s="137"/>
      <c r="AF73" s="137"/>
    </row>
    <row r="74" spans="21:32" hidden="1" x14ac:dyDescent="0.2">
      <c r="U74" s="232"/>
      <c r="V74" s="232"/>
      <c r="W74" s="232"/>
      <c r="X74" s="232"/>
      <c r="Y74" s="232"/>
      <c r="Z74" s="232"/>
    </row>
    <row r="75" spans="21:32" hidden="1" x14ac:dyDescent="0.2">
      <c r="U75" s="232"/>
      <c r="V75" s="232"/>
      <c r="W75" s="232"/>
      <c r="X75" s="232"/>
      <c r="Y75" s="232"/>
      <c r="Z75" s="232"/>
    </row>
    <row r="76" spans="21:32" hidden="1" x14ac:dyDescent="0.2">
      <c r="U76" s="232"/>
      <c r="V76" s="232"/>
      <c r="W76" s="232"/>
      <c r="X76" s="232"/>
      <c r="Y76" s="232"/>
      <c r="Z76" s="232"/>
    </row>
    <row r="77" spans="21:32" hidden="1" x14ac:dyDescent="0.2">
      <c r="U77" s="232"/>
      <c r="V77" s="232"/>
      <c r="W77" s="232"/>
      <c r="X77" s="232"/>
      <c r="Y77" s="232"/>
      <c r="Z77" s="232"/>
    </row>
    <row r="78" spans="21:32" hidden="1" x14ac:dyDescent="0.2">
      <c r="U78" s="232"/>
      <c r="V78" s="232"/>
      <c r="W78" s="232"/>
      <c r="X78" s="232"/>
      <c r="Y78" s="232"/>
      <c r="Z78" s="232"/>
    </row>
    <row r="79" spans="21:32" hidden="1" x14ac:dyDescent="0.2">
      <c r="U79" s="232"/>
      <c r="V79" s="232"/>
      <c r="W79" s="232"/>
      <c r="X79" s="232"/>
      <c r="Y79" s="232"/>
      <c r="Z79" s="232"/>
    </row>
  </sheetData>
  <sheetProtection algorithmName="SHA-512" hashValue="bUZlifB55Q8VnmEulKjfgfZ8BXDJrycps100f/cU69BY9OmK3/kQayFbdDNtQgHTaa7Rh2/NRRvvmseiHj2GOQ==" saltValue="3NtHMuUBB/P8UgQ8cZwXQg==" spinCount="100000" sheet="1" objects="1" scenarios="1"/>
  <mergeCells count="36">
    <mergeCell ref="P3:P4"/>
    <mergeCell ref="Q3:Q4"/>
    <mergeCell ref="T5:Z5"/>
    <mergeCell ref="B24:C24"/>
    <mergeCell ref="C35:G35"/>
    <mergeCell ref="H35:N35"/>
    <mergeCell ref="B3:C4"/>
    <mergeCell ref="D3:D4"/>
    <mergeCell ref="E3:E4"/>
    <mergeCell ref="F3:I3"/>
    <mergeCell ref="J3:M3"/>
    <mergeCell ref="N3:N4"/>
    <mergeCell ref="C36:G36"/>
    <mergeCell ref="H36:N36"/>
    <mergeCell ref="C37:G37"/>
    <mergeCell ref="H37:N37"/>
    <mergeCell ref="C38:G38"/>
    <mergeCell ref="H38:N38"/>
    <mergeCell ref="C39:G39"/>
    <mergeCell ref="H39:N39"/>
    <mergeCell ref="C40:G40"/>
    <mergeCell ref="H40:N40"/>
    <mergeCell ref="C41:G41"/>
    <mergeCell ref="H41:N41"/>
    <mergeCell ref="C52:H52"/>
    <mergeCell ref="C42:G42"/>
    <mergeCell ref="H42:N42"/>
    <mergeCell ref="C43:G43"/>
    <mergeCell ref="H43:N43"/>
    <mergeCell ref="C45:N45"/>
    <mergeCell ref="C46:N46"/>
    <mergeCell ref="C47:N47"/>
    <mergeCell ref="C48:N48"/>
    <mergeCell ref="C49:N49"/>
    <mergeCell ref="C50:N50"/>
    <mergeCell ref="C51:N51"/>
  </mergeCells>
  <conditionalFormatting sqref="P7:P14">
    <cfRule type="cellIs" dxfId="13" priority="2" operator="equal">
      <formula>0</formula>
    </cfRule>
  </conditionalFormatting>
  <conditionalFormatting sqref="Q6:Q11">
    <cfRule type="cellIs" dxfId="12" priority="5" operator="equal">
      <formula>0</formula>
    </cfRule>
  </conditionalFormatting>
  <conditionalFormatting sqref="Q13">
    <cfRule type="cellIs" dxfId="11" priority="3" operator="equal">
      <formula>0</formula>
    </cfRule>
  </conditionalFormatting>
  <conditionalFormatting sqref="Q17:Q18 Q20:Q21">
    <cfRule type="cellIs" dxfId="10" priority="4" operator="equal">
      <formula>0</formula>
    </cfRule>
  </conditionalFormatting>
  <printOptions horizontalCentered="1"/>
  <pageMargins left="0.39370078740157483" right="0.39370078740157483" top="0.78740157480314965" bottom="0.78740157480314965" header="0.31496062992125984" footer="0.31496062992125984"/>
  <pageSetup paperSize="8" scale="58"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45" id="{A27A2449-78A9-46CA-84AF-963CC7EFB43C}">
            <xm:f>Validation!$H$3=1</xm:f>
            <x14:dxf>
              <fill>
                <patternFill>
                  <bgColor rgb="FFE0DCD8"/>
                </patternFill>
              </fill>
            </x14:dxf>
          </x14:cfRule>
          <xm:sqref>G7:H9 K7:L14 G11:H14</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O79"/>
  <sheetViews>
    <sheetView showGridLines="0" zoomScaleNormal="100" workbookViewId="0">
      <selection activeCell="C28" sqref="C28"/>
    </sheetView>
  </sheetViews>
  <sheetFormatPr defaultColWidth="0" defaultRowHeight="14.25" zeroHeight="1" x14ac:dyDescent="0.2"/>
  <cols>
    <col min="1" max="1" width="2.5" customWidth="1"/>
    <col min="2" max="2" width="4.125" customWidth="1"/>
    <col min="3" max="3" width="48.375" bestFit="1" customWidth="1"/>
    <col min="4" max="5" width="5.125" customWidth="1"/>
    <col min="6" max="8" width="14.625" customWidth="1"/>
    <col min="9" max="9" width="2.625" style="95" customWidth="1"/>
    <col min="10" max="10" width="18.875" style="95" bestFit="1" customWidth="1"/>
    <col min="11" max="11" width="1.625" style="95" customWidth="1"/>
    <col min="12" max="12" width="1.625" style="96" hidden="1" customWidth="1"/>
    <col min="13" max="14" width="8.625" style="95" hidden="1" customWidth="1"/>
    <col min="15" max="15" width="1.625" style="96" hidden="1" customWidth="1"/>
    <col min="16" max="16384" width="8.75" hidden="1"/>
  </cols>
  <sheetData>
    <row r="1" spans="2:14" ht="20.25" x14ac:dyDescent="0.2">
      <c r="B1" s="91" t="s">
        <v>774</v>
      </c>
      <c r="C1" s="91"/>
      <c r="D1" s="91"/>
      <c r="E1" s="91"/>
      <c r="F1" s="91"/>
      <c r="G1" s="91"/>
      <c r="H1" s="93" t="str">
        <f>Validation!B3</f>
        <v>Yorkshire Water</v>
      </c>
      <c r="I1" s="91"/>
      <c r="J1" s="94" t="s">
        <v>62</v>
      </c>
    </row>
    <row r="2" spans="2:14" ht="15" thickBot="1" x14ac:dyDescent="0.25">
      <c r="B2" s="98" t="s">
        <v>48</v>
      </c>
      <c r="C2" s="95"/>
      <c r="D2" s="95"/>
      <c r="E2" s="95"/>
      <c r="F2" s="95"/>
      <c r="G2" s="95"/>
      <c r="H2" s="95"/>
    </row>
    <row r="3" spans="2:14" ht="14.45" customHeight="1" thickBot="1" x14ac:dyDescent="0.25">
      <c r="B3" s="818" t="s">
        <v>63</v>
      </c>
      <c r="C3" s="819"/>
      <c r="D3" s="212" t="s">
        <v>64</v>
      </c>
      <c r="E3" s="213" t="s">
        <v>65</v>
      </c>
      <c r="F3" s="214" t="s">
        <v>281</v>
      </c>
      <c r="G3" s="215" t="s">
        <v>282</v>
      </c>
      <c r="H3" s="216" t="s">
        <v>246</v>
      </c>
      <c r="J3" s="216" t="s">
        <v>69</v>
      </c>
      <c r="M3" s="702" t="s">
        <v>73</v>
      </c>
      <c r="N3" s="702"/>
    </row>
    <row r="4" spans="2:14" ht="15" thickBot="1" x14ac:dyDescent="0.25">
      <c r="B4" s="95"/>
      <c r="C4" s="95"/>
      <c r="D4" s="95"/>
      <c r="E4" s="95"/>
      <c r="F4" s="95"/>
      <c r="G4" s="95"/>
      <c r="H4" s="95"/>
      <c r="M4" s="112" t="s">
        <v>74</v>
      </c>
    </row>
    <row r="5" spans="2:14" ht="14.1" customHeight="1" x14ac:dyDescent="0.2">
      <c r="B5" s="113">
        <v>1</v>
      </c>
      <c r="C5" s="143" t="s">
        <v>75</v>
      </c>
      <c r="D5" s="115" t="s">
        <v>76</v>
      </c>
      <c r="E5" s="116">
        <v>3</v>
      </c>
      <c r="F5" s="217">
        <f xml:space="preserve"> '2A'!H6 + '2A'!H7</f>
        <v>395.11900000000003</v>
      </c>
      <c r="G5" s="218">
        <f xml:space="preserve"> '2A'!I6 + '2A'!I7</f>
        <v>490.988</v>
      </c>
      <c r="H5" s="219">
        <f>F5+G5</f>
        <v>886.10699999999997</v>
      </c>
      <c r="J5" s="29"/>
      <c r="M5" s="147"/>
      <c r="N5" s="147"/>
    </row>
    <row r="6" spans="2:14" x14ac:dyDescent="0.2">
      <c r="B6" s="121">
        <f xml:space="preserve"> B5 + 1</f>
        <v>2</v>
      </c>
      <c r="C6" s="114" t="s">
        <v>302</v>
      </c>
      <c r="D6" s="122" t="s">
        <v>76</v>
      </c>
      <c r="E6" s="123">
        <v>3</v>
      </c>
      <c r="F6" s="220">
        <f xml:space="preserve"> -1 * '2B'!F15</f>
        <v>-172.56299999999999</v>
      </c>
      <c r="G6" s="221">
        <f xml:space="preserve"> -1 * '2B'!G15</f>
        <v>-174.62200000000001</v>
      </c>
      <c r="H6" s="222">
        <f t="shared" ref="H6:H18" si="0">F6+G6</f>
        <v>-347.185</v>
      </c>
      <c r="J6" s="31"/>
      <c r="M6" s="147"/>
      <c r="N6" s="147"/>
    </row>
    <row r="7" spans="2:14" x14ac:dyDescent="0.2">
      <c r="B7" s="121">
        <f t="shared" ref="B7:B18" si="1" xml:space="preserve"> B6 + 1</f>
        <v>3</v>
      </c>
      <c r="C7" s="114" t="s">
        <v>775</v>
      </c>
      <c r="D7" s="122" t="s">
        <v>76</v>
      </c>
      <c r="E7" s="123">
        <v>3</v>
      </c>
      <c r="F7" s="565">
        <v>129.86799999999999</v>
      </c>
      <c r="G7" s="566">
        <v>202.03</v>
      </c>
      <c r="H7" s="222">
        <f t="shared" si="0"/>
        <v>331.89800000000002</v>
      </c>
      <c r="J7" s="29">
        <f t="shared" ref="J7" si="2" xml:space="preserve"> IF( SUM( L7:O7 ) = 0, 0, $M$4 )</f>
        <v>0</v>
      </c>
      <c r="M7" s="120">
        <f t="shared" ref="M7:M14" si="3" xml:space="preserve"> IF( ISNUMBER( F7 ), 0, 1 )</f>
        <v>0</v>
      </c>
      <c r="N7" s="120">
        <f>IF(Validation!$H$3=1,0,IF(ISNUMBER(G7),0,1))</f>
        <v>0</v>
      </c>
    </row>
    <row r="8" spans="2:14" x14ac:dyDescent="0.2">
      <c r="B8" s="121">
        <f t="shared" si="1"/>
        <v>4</v>
      </c>
      <c r="C8" s="114" t="s">
        <v>78</v>
      </c>
      <c r="D8" s="122" t="s">
        <v>76</v>
      </c>
      <c r="E8" s="123">
        <v>3</v>
      </c>
      <c r="F8" s="220">
        <f xml:space="preserve"> '2A'!H9</f>
        <v>0.79</v>
      </c>
      <c r="G8" s="221">
        <f xml:space="preserve"> '2A'!I9</f>
        <v>10.806000000000001</v>
      </c>
      <c r="H8" s="222">
        <f t="shared" si="0"/>
        <v>11.596</v>
      </c>
      <c r="J8" s="31"/>
      <c r="M8" s="147"/>
      <c r="N8" s="147"/>
    </row>
    <row r="9" spans="2:14" ht="15" thickBot="1" x14ac:dyDescent="0.25">
      <c r="B9" s="128">
        <f t="shared" si="1"/>
        <v>5</v>
      </c>
      <c r="C9" s="129" t="s">
        <v>776</v>
      </c>
      <c r="D9" s="130" t="s">
        <v>76</v>
      </c>
      <c r="E9" s="127">
        <v>3</v>
      </c>
      <c r="F9" s="223">
        <f>SUM(F5:F8)</f>
        <v>353.21400000000006</v>
      </c>
      <c r="G9" s="224">
        <f>SUM(G5:G8)</f>
        <v>529.202</v>
      </c>
      <c r="H9" s="225">
        <f t="shared" si="0"/>
        <v>882.41600000000005</v>
      </c>
    </row>
    <row r="10" spans="2:14" ht="15" thickBot="1" x14ac:dyDescent="0.25">
      <c r="B10" s="95"/>
      <c r="C10" s="95"/>
      <c r="D10" s="95"/>
      <c r="E10" s="95"/>
      <c r="F10" s="95"/>
      <c r="G10" s="95"/>
      <c r="H10" s="95"/>
    </row>
    <row r="11" spans="2:14" x14ac:dyDescent="0.2">
      <c r="B11" s="113">
        <f xml:space="preserve"> B9 + 1</f>
        <v>6</v>
      </c>
      <c r="C11" s="143" t="s">
        <v>80</v>
      </c>
      <c r="D11" s="115" t="s">
        <v>76</v>
      </c>
      <c r="E11" s="116">
        <v>3</v>
      </c>
      <c r="F11" s="567">
        <v>1.671</v>
      </c>
      <c r="G11" s="568">
        <v>0.22800000000000001</v>
      </c>
      <c r="H11" s="226">
        <f t="shared" si="0"/>
        <v>1.899</v>
      </c>
      <c r="J11" s="29">
        <f t="shared" ref="J11:J14" si="4" xml:space="preserve"> IF( SUM( L11:O11 ) = 0, 0, $M$4 )</f>
        <v>0</v>
      </c>
      <c r="M11" s="120">
        <f t="shared" si="3"/>
        <v>0</v>
      </c>
      <c r="N11" s="120">
        <f>IF(Validation!$H$3=1,0,IF(ISNUMBER(G11),0,1))</f>
        <v>0</v>
      </c>
    </row>
    <row r="12" spans="2:14" x14ac:dyDescent="0.2">
      <c r="B12" s="121">
        <f t="shared" si="1"/>
        <v>7</v>
      </c>
      <c r="C12" s="114" t="s">
        <v>81</v>
      </c>
      <c r="D12" s="122" t="s">
        <v>76</v>
      </c>
      <c r="E12" s="123">
        <v>3</v>
      </c>
      <c r="F12" s="565">
        <v>36.326000000000001</v>
      </c>
      <c r="G12" s="569">
        <v>49.287999999999997</v>
      </c>
      <c r="H12" s="227">
        <f t="shared" si="0"/>
        <v>85.614000000000004</v>
      </c>
      <c r="J12" s="29">
        <f t="shared" si="4"/>
        <v>0</v>
      </c>
      <c r="M12" s="120">
        <f t="shared" si="3"/>
        <v>0</v>
      </c>
      <c r="N12" s="120">
        <f>IF(Validation!$H$3=1,0,IF(ISNUMBER(G12),0,1))</f>
        <v>0</v>
      </c>
    </row>
    <row r="13" spans="2:14" x14ac:dyDescent="0.2">
      <c r="B13" s="121">
        <f t="shared" si="1"/>
        <v>8</v>
      </c>
      <c r="C13" s="114" t="s">
        <v>82</v>
      </c>
      <c r="D13" s="122" t="s">
        <v>76</v>
      </c>
      <c r="E13" s="123">
        <v>3</v>
      </c>
      <c r="F13" s="565">
        <v>-113.82</v>
      </c>
      <c r="G13" s="569">
        <v>-154.43</v>
      </c>
      <c r="H13" s="227">
        <f t="shared" si="0"/>
        <v>-268.25</v>
      </c>
      <c r="J13" s="29">
        <f t="shared" si="4"/>
        <v>0</v>
      </c>
      <c r="M13" s="120">
        <f t="shared" si="3"/>
        <v>0</v>
      </c>
      <c r="N13" s="120">
        <f>IF(Validation!$H$3=1,0,IF(ISNUMBER(G13),0,1))</f>
        <v>0</v>
      </c>
    </row>
    <row r="14" spans="2:14" x14ac:dyDescent="0.2">
      <c r="B14" s="121">
        <f t="shared" si="1"/>
        <v>9</v>
      </c>
      <c r="C14" s="114" t="s">
        <v>777</v>
      </c>
      <c r="D14" s="122" t="s">
        <v>76</v>
      </c>
      <c r="E14" s="123">
        <v>3</v>
      </c>
      <c r="F14" s="565">
        <v>0</v>
      </c>
      <c r="G14" s="569">
        <v>0</v>
      </c>
      <c r="H14" s="227">
        <f t="shared" si="0"/>
        <v>0</v>
      </c>
      <c r="J14" s="29">
        <f t="shared" si="4"/>
        <v>0</v>
      </c>
      <c r="M14" s="120">
        <f t="shared" si="3"/>
        <v>0</v>
      </c>
      <c r="N14" s="120">
        <f>IF(Validation!$H$3=1,0,IF(ISNUMBER(G14),0,1))</f>
        <v>0</v>
      </c>
    </row>
    <row r="15" spans="2:14" ht="15" thickBot="1" x14ac:dyDescent="0.25">
      <c r="B15" s="128">
        <f t="shared" si="1"/>
        <v>10</v>
      </c>
      <c r="C15" s="129" t="s">
        <v>84</v>
      </c>
      <c r="D15" s="130" t="s">
        <v>76</v>
      </c>
      <c r="E15" s="127">
        <v>3</v>
      </c>
      <c r="F15" s="223">
        <f xml:space="preserve"> F9 + SUM( F11:F14 )</f>
        <v>277.39100000000008</v>
      </c>
      <c r="G15" s="225">
        <f xml:space="preserve"> G9 + SUM( G11:G14 )</f>
        <v>424.28800000000001</v>
      </c>
      <c r="H15" s="228">
        <f>F15+G15</f>
        <v>701.67900000000009</v>
      </c>
    </row>
    <row r="16" spans="2:14" ht="15" thickBot="1" x14ac:dyDescent="0.25">
      <c r="B16" s="95"/>
      <c r="C16" s="95"/>
      <c r="D16" s="95"/>
      <c r="E16" s="95"/>
      <c r="F16" s="95"/>
      <c r="G16" s="95"/>
      <c r="H16" s="95"/>
    </row>
    <row r="17" spans="2:15" x14ac:dyDescent="0.2">
      <c r="B17" s="113">
        <f xml:space="preserve"> B15 + 1</f>
        <v>11</v>
      </c>
      <c r="C17" s="143" t="s">
        <v>85</v>
      </c>
      <c r="D17" s="115" t="s">
        <v>76</v>
      </c>
      <c r="E17" s="116">
        <v>3</v>
      </c>
      <c r="F17" s="567">
        <v>56.292999999999999</v>
      </c>
      <c r="G17" s="568">
        <v>76.376999999999995</v>
      </c>
      <c r="H17" s="229">
        <f t="shared" si="0"/>
        <v>132.66999999999999</v>
      </c>
      <c r="J17" s="29">
        <f xml:space="preserve"> IF( SUM( L17:O17 ) = 0, 0, $M$4 )</f>
        <v>0</v>
      </c>
      <c r="M17" s="120">
        <f xml:space="preserve"> IF( ISNUMBER( F17 ), 0, 1 )</f>
        <v>0</v>
      </c>
      <c r="N17" s="120">
        <f>IF(Validation!$H$3=1,0,IF(ISNUMBER(G17),0,1))</f>
        <v>0</v>
      </c>
    </row>
    <row r="18" spans="2:15" ht="15" thickBot="1" x14ac:dyDescent="0.25">
      <c r="B18" s="128">
        <f t="shared" si="1"/>
        <v>12</v>
      </c>
      <c r="C18" s="129" t="s">
        <v>86</v>
      </c>
      <c r="D18" s="130" t="s">
        <v>76</v>
      </c>
      <c r="E18" s="127">
        <v>3</v>
      </c>
      <c r="F18" s="223">
        <f xml:space="preserve"> F15 + F17</f>
        <v>333.68400000000008</v>
      </c>
      <c r="G18" s="225">
        <f xml:space="preserve"> G15 + G17</f>
        <v>500.66500000000002</v>
      </c>
      <c r="H18" s="230">
        <f t="shared" si="0"/>
        <v>834.34900000000016</v>
      </c>
      <c r="J18" s="136"/>
      <c r="M18" s="147"/>
      <c r="N18" s="147"/>
    </row>
    <row r="19" spans="2:15" x14ac:dyDescent="0.2">
      <c r="B19" s="137"/>
      <c r="C19" s="174"/>
      <c r="D19" s="137"/>
      <c r="E19" s="137"/>
      <c r="F19" s="137"/>
      <c r="G19" s="187"/>
      <c r="H19" s="144"/>
      <c r="J19" s="136"/>
      <c r="K19" s="144"/>
      <c r="L19" s="148"/>
    </row>
    <row r="20" spans="2:15" x14ac:dyDescent="0.2">
      <c r="B20" s="703" t="s">
        <v>90</v>
      </c>
      <c r="C20" s="703"/>
      <c r="D20" s="187"/>
      <c r="E20" s="187"/>
      <c r="F20" s="187"/>
      <c r="G20" s="187"/>
      <c r="H20" s="150"/>
      <c r="J20" s="136"/>
    </row>
    <row r="21" spans="2:15" x14ac:dyDescent="0.2">
      <c r="B21" s="162"/>
      <c r="C21" s="163"/>
      <c r="D21" s="187"/>
      <c r="E21" s="187"/>
      <c r="F21" s="187"/>
      <c r="G21" s="187"/>
      <c r="H21" s="150"/>
      <c r="J21" s="136"/>
    </row>
    <row r="22" spans="2:15" x14ac:dyDescent="0.2">
      <c r="B22" s="30"/>
      <c r="C22" s="164" t="s">
        <v>91</v>
      </c>
      <c r="D22" s="187"/>
      <c r="E22" s="187"/>
      <c r="F22" s="187"/>
      <c r="G22" s="187"/>
      <c r="H22" s="150"/>
      <c r="J22" s="136"/>
      <c r="K22" s="144"/>
      <c r="L22" s="148"/>
    </row>
    <row r="23" spans="2:15" x14ac:dyDescent="0.2">
      <c r="B23" s="162"/>
      <c r="C23" s="163"/>
      <c r="D23" s="187"/>
      <c r="E23" s="187"/>
      <c r="F23" s="187"/>
      <c r="G23" s="187"/>
      <c r="H23" s="150"/>
      <c r="I23" s="144"/>
      <c r="J23" s="136"/>
      <c r="K23" s="144"/>
      <c r="L23" s="148"/>
      <c r="O23" s="148"/>
    </row>
    <row r="24" spans="2:15" x14ac:dyDescent="0.2">
      <c r="B24" s="165"/>
      <c r="C24" s="164" t="s">
        <v>92</v>
      </c>
      <c r="D24" s="187"/>
      <c r="E24" s="187"/>
      <c r="F24" s="187"/>
      <c r="G24" s="187"/>
      <c r="H24" s="150"/>
      <c r="I24" s="150"/>
      <c r="J24" s="136"/>
    </row>
    <row r="25" spans="2:15" x14ac:dyDescent="0.2">
      <c r="B25" s="166"/>
      <c r="C25" s="164"/>
      <c r="D25" s="187"/>
      <c r="E25" s="187"/>
      <c r="F25" s="187"/>
      <c r="G25" s="187"/>
      <c r="H25" s="150"/>
      <c r="I25" s="150"/>
      <c r="J25" s="136"/>
      <c r="K25" s="150"/>
      <c r="L25" s="145"/>
      <c r="O25" s="145"/>
    </row>
    <row r="26" spans="2:15" x14ac:dyDescent="0.2">
      <c r="B26" s="167"/>
      <c r="C26" s="164" t="s">
        <v>93</v>
      </c>
      <c r="D26" s="187"/>
      <c r="E26" s="187"/>
      <c r="F26" s="187"/>
      <c r="G26" s="187"/>
      <c r="H26" s="150"/>
      <c r="I26" s="150"/>
      <c r="J26" s="136"/>
    </row>
    <row r="27" spans="2:15" x14ac:dyDescent="0.2">
      <c r="B27" s="172"/>
      <c r="C27" s="173"/>
      <c r="D27" s="206"/>
      <c r="E27" s="206"/>
      <c r="F27" s="206"/>
      <c r="G27" s="206"/>
      <c r="H27" s="153"/>
      <c r="I27" s="150"/>
      <c r="J27" s="136"/>
      <c r="K27" s="150"/>
      <c r="L27" s="145"/>
      <c r="O27" s="145"/>
    </row>
    <row r="28" spans="2:15" ht="15" thickBot="1" x14ac:dyDescent="0.25">
      <c r="B28" s="206"/>
      <c r="C28" s="207"/>
      <c r="D28" s="206"/>
      <c r="E28" s="206"/>
      <c r="F28" s="206"/>
      <c r="G28" s="206"/>
      <c r="H28" s="153"/>
      <c r="I28" s="150"/>
      <c r="J28" s="136"/>
      <c r="K28" s="150"/>
      <c r="L28" s="145"/>
      <c r="O28" s="145"/>
    </row>
    <row r="29" spans="2:15" ht="21" thickBot="1" x14ac:dyDescent="0.25">
      <c r="B29" s="168" t="str">
        <f ca="1" xml:space="preserve"> RIGHT(CELL("filename", $A$1), LEN(CELL("filename", $A$1)) - SEARCH("]", CELL("filename", $A$1)))&amp;" - Line definitions"</f>
        <v>4G - Line definitions</v>
      </c>
      <c r="C29" s="169"/>
      <c r="D29" s="170"/>
      <c r="E29" s="170"/>
      <c r="F29" s="170"/>
      <c r="G29" s="170"/>
      <c r="H29" s="176"/>
      <c r="I29" s="150"/>
      <c r="J29" s="136"/>
      <c r="K29" s="150"/>
      <c r="L29" s="145"/>
      <c r="O29" s="145"/>
    </row>
    <row r="30" spans="2:15" ht="15" thickBot="1" x14ac:dyDescent="0.25">
      <c r="B30" s="99"/>
      <c r="C30" s="177"/>
      <c r="D30" s="99"/>
      <c r="E30" s="99"/>
      <c r="F30" s="99"/>
      <c r="G30" s="137"/>
      <c r="H30" s="144"/>
      <c r="I30" s="150"/>
      <c r="J30" s="136"/>
    </row>
    <row r="31" spans="2:15" ht="15" thickBot="1" x14ac:dyDescent="0.25">
      <c r="B31" s="178" t="s">
        <v>94</v>
      </c>
      <c r="C31" s="706" t="s">
        <v>95</v>
      </c>
      <c r="D31" s="706"/>
      <c r="E31" s="706"/>
      <c r="F31" s="706"/>
      <c r="G31" s="706"/>
      <c r="H31" s="707"/>
      <c r="I31" s="150"/>
      <c r="J31" s="136"/>
      <c r="M31" s="112" t="s">
        <v>96</v>
      </c>
    </row>
    <row r="32" spans="2:15" ht="26.1" customHeight="1" x14ac:dyDescent="0.2">
      <c r="B32" s="209">
        <f>B5</f>
        <v>1</v>
      </c>
      <c r="C32" s="704" t="s">
        <v>778</v>
      </c>
      <c r="D32" s="704"/>
      <c r="E32" s="704"/>
      <c r="F32" s="704"/>
      <c r="G32" s="704"/>
      <c r="H32" s="705"/>
      <c r="I32" s="150"/>
      <c r="J32" s="231"/>
      <c r="K32" s="150"/>
      <c r="L32" s="145"/>
      <c r="M32" s="186" t="s">
        <v>101</v>
      </c>
      <c r="O32" s="145"/>
    </row>
    <row r="33" spans="2:15" ht="25.5" x14ac:dyDescent="0.2">
      <c r="B33" s="184">
        <f>B6</f>
        <v>2</v>
      </c>
      <c r="C33" s="695" t="s">
        <v>779</v>
      </c>
      <c r="D33" s="695"/>
      <c r="E33" s="695"/>
      <c r="F33" s="695"/>
      <c r="G33" s="695"/>
      <c r="H33" s="696"/>
      <c r="I33" s="150"/>
      <c r="J33" s="136"/>
      <c r="K33" s="144"/>
      <c r="L33" s="148"/>
      <c r="M33" s="186" t="s">
        <v>101</v>
      </c>
      <c r="N33" s="232"/>
      <c r="O33" s="148"/>
    </row>
    <row r="34" spans="2:15" ht="25.5" x14ac:dyDescent="0.2">
      <c r="B34" s="184">
        <f>B7</f>
        <v>3</v>
      </c>
      <c r="C34" s="695" t="s">
        <v>780</v>
      </c>
      <c r="D34" s="695"/>
      <c r="E34" s="695"/>
      <c r="F34" s="695"/>
      <c r="G34" s="695"/>
      <c r="H34" s="696"/>
      <c r="I34" s="150"/>
      <c r="J34" s="136"/>
      <c r="K34" s="144"/>
      <c r="L34" s="148"/>
      <c r="M34" s="186" t="s">
        <v>101</v>
      </c>
      <c r="N34" s="232"/>
      <c r="O34" s="148"/>
    </row>
    <row r="35" spans="2:15" x14ac:dyDescent="0.2">
      <c r="B35" s="184">
        <f t="shared" ref="B35:B36" si="5">B8</f>
        <v>4</v>
      </c>
      <c r="C35" s="695" t="s">
        <v>781</v>
      </c>
      <c r="D35" s="695"/>
      <c r="E35" s="695"/>
      <c r="F35" s="695"/>
      <c r="G35" s="695"/>
      <c r="H35" s="696"/>
      <c r="I35" s="150"/>
      <c r="K35" s="144"/>
      <c r="L35" s="148"/>
      <c r="M35" s="186">
        <v>1</v>
      </c>
      <c r="N35" s="232"/>
      <c r="O35" s="148"/>
    </row>
    <row r="36" spans="2:15" x14ac:dyDescent="0.2">
      <c r="B36" s="184">
        <f t="shared" si="5"/>
        <v>5</v>
      </c>
      <c r="C36" s="695" t="s">
        <v>782</v>
      </c>
      <c r="D36" s="695"/>
      <c r="E36" s="695"/>
      <c r="F36" s="695"/>
      <c r="G36" s="695"/>
      <c r="H36" s="696"/>
      <c r="I36" s="150"/>
      <c r="M36" s="186">
        <v>1</v>
      </c>
      <c r="N36" s="232"/>
    </row>
    <row r="37" spans="2:15" x14ac:dyDescent="0.2">
      <c r="B37" s="184">
        <f>B11</f>
        <v>6</v>
      </c>
      <c r="C37" s="695" t="s">
        <v>783</v>
      </c>
      <c r="D37" s="695"/>
      <c r="E37" s="695"/>
      <c r="F37" s="695"/>
      <c r="G37" s="695"/>
      <c r="H37" s="696"/>
      <c r="I37" s="150"/>
      <c r="M37" s="186">
        <v>1</v>
      </c>
      <c r="N37" s="232"/>
    </row>
    <row r="38" spans="2:15" x14ac:dyDescent="0.2">
      <c r="B38" s="184">
        <f t="shared" ref="B38:B41" si="6">B12</f>
        <v>7</v>
      </c>
      <c r="C38" s="695" t="s">
        <v>784</v>
      </c>
      <c r="D38" s="695"/>
      <c r="E38" s="695"/>
      <c r="F38" s="695"/>
      <c r="G38" s="695"/>
      <c r="H38" s="696"/>
      <c r="I38" s="153"/>
      <c r="M38" s="186">
        <v>1</v>
      </c>
      <c r="N38" s="232"/>
    </row>
    <row r="39" spans="2:15" x14ac:dyDescent="0.2">
      <c r="B39" s="184">
        <f t="shared" si="6"/>
        <v>8</v>
      </c>
      <c r="C39" s="695" t="s">
        <v>785</v>
      </c>
      <c r="D39" s="695"/>
      <c r="E39" s="695"/>
      <c r="F39" s="695"/>
      <c r="G39" s="695"/>
      <c r="H39" s="696"/>
      <c r="I39" s="153"/>
      <c r="M39" s="186">
        <v>1</v>
      </c>
      <c r="N39" s="232"/>
    </row>
    <row r="40" spans="2:15" x14ac:dyDescent="0.2">
      <c r="B40" s="184">
        <f t="shared" si="6"/>
        <v>9</v>
      </c>
      <c r="C40" s="695" t="s">
        <v>786</v>
      </c>
      <c r="D40" s="695"/>
      <c r="E40" s="695"/>
      <c r="F40" s="695"/>
      <c r="G40" s="695"/>
      <c r="H40" s="696"/>
      <c r="I40" s="153"/>
      <c r="M40" s="186">
        <v>1</v>
      </c>
      <c r="N40" s="232"/>
    </row>
    <row r="41" spans="2:15" x14ac:dyDescent="0.2">
      <c r="B41" s="184">
        <f t="shared" si="6"/>
        <v>10</v>
      </c>
      <c r="C41" s="695" t="s">
        <v>787</v>
      </c>
      <c r="D41" s="695"/>
      <c r="E41" s="695"/>
      <c r="F41" s="695"/>
      <c r="G41" s="695"/>
      <c r="H41" s="696"/>
      <c r="I41" s="153"/>
      <c r="K41" s="144"/>
      <c r="L41" s="148"/>
      <c r="M41" s="186">
        <v>1</v>
      </c>
      <c r="N41" s="232"/>
      <c r="O41" s="148"/>
    </row>
    <row r="42" spans="2:15" x14ac:dyDescent="0.2">
      <c r="B42" s="184">
        <f>B17</f>
        <v>11</v>
      </c>
      <c r="C42" s="695" t="s">
        <v>788</v>
      </c>
      <c r="D42" s="695"/>
      <c r="E42" s="695"/>
      <c r="F42" s="695"/>
      <c r="G42" s="695"/>
      <c r="H42" s="696"/>
      <c r="I42" s="153"/>
      <c r="M42" s="186">
        <v>1</v>
      </c>
      <c r="N42" s="232"/>
    </row>
    <row r="43" spans="2:15" ht="15" thickBot="1" x14ac:dyDescent="0.25">
      <c r="B43" s="211">
        <f>B18</f>
        <v>12</v>
      </c>
      <c r="C43" s="697" t="s">
        <v>789</v>
      </c>
      <c r="D43" s="697"/>
      <c r="E43" s="697"/>
      <c r="F43" s="697"/>
      <c r="G43" s="697"/>
      <c r="H43" s="698"/>
      <c r="I43" s="153"/>
      <c r="M43" s="186"/>
      <c r="N43" s="232"/>
    </row>
    <row r="44" spans="2:15" x14ac:dyDescent="0.2">
      <c r="B44" s="233"/>
      <c r="C44" s="234"/>
      <c r="D44" s="234"/>
      <c r="E44" s="234"/>
      <c r="F44" s="234"/>
      <c r="G44" s="234"/>
      <c r="H44" s="234"/>
      <c r="I44" s="153"/>
      <c r="M44" s="235"/>
      <c r="N44" s="232"/>
    </row>
    <row r="45" spans="2:15" hidden="1" x14ac:dyDescent="0.2">
      <c r="B45" s="233"/>
      <c r="C45" s="234"/>
      <c r="D45" s="234"/>
      <c r="E45" s="234"/>
      <c r="F45" s="234"/>
      <c r="G45" s="234"/>
      <c r="H45" s="234"/>
      <c r="I45" s="153"/>
      <c r="M45" s="235"/>
      <c r="N45" s="232"/>
    </row>
    <row r="46" spans="2:15" hidden="1" x14ac:dyDescent="0.2">
      <c r="I46" s="153"/>
      <c r="M46" s="186"/>
      <c r="N46" s="232"/>
    </row>
    <row r="47" spans="2:15" hidden="1" x14ac:dyDescent="0.2">
      <c r="I47" s="153"/>
      <c r="M47" s="235"/>
      <c r="N47" s="232"/>
    </row>
    <row r="48" spans="2:15" hidden="1" x14ac:dyDescent="0.2">
      <c r="I48" s="153"/>
      <c r="M48" s="236"/>
      <c r="N48" s="232"/>
    </row>
    <row r="49" spans="9:14" hidden="1" x14ac:dyDescent="0.2">
      <c r="I49" s="153"/>
      <c r="M49" s="186"/>
      <c r="N49" s="232"/>
    </row>
    <row r="50" spans="9:14" hidden="1" x14ac:dyDescent="0.2">
      <c r="I50" s="153"/>
      <c r="M50" s="235"/>
      <c r="N50" s="232"/>
    </row>
    <row r="51" spans="9:14" hidden="1" x14ac:dyDescent="0.2">
      <c r="I51" s="153"/>
      <c r="M51" s="236"/>
      <c r="N51" s="232"/>
    </row>
    <row r="52" spans="9:14" hidden="1" x14ac:dyDescent="0.2">
      <c r="I52" s="153"/>
      <c r="M52" s="232"/>
      <c r="N52" s="232"/>
    </row>
    <row r="53" spans="9:14" hidden="1" x14ac:dyDescent="0.2">
      <c r="I53" s="153"/>
      <c r="M53" s="232"/>
      <c r="N53" s="232"/>
    </row>
    <row r="54" spans="9:14" hidden="1" x14ac:dyDescent="0.2">
      <c r="I54" s="153"/>
      <c r="N54" s="232"/>
    </row>
    <row r="55" spans="9:14" hidden="1" x14ac:dyDescent="0.2">
      <c r="I55" s="153"/>
      <c r="N55" s="232"/>
    </row>
    <row r="56" spans="9:14" hidden="1" x14ac:dyDescent="0.2">
      <c r="I56" s="153"/>
      <c r="N56" s="232"/>
    </row>
    <row r="57" spans="9:14" hidden="1" x14ac:dyDescent="0.2">
      <c r="I57" s="153"/>
      <c r="N57" s="232"/>
    </row>
    <row r="58" spans="9:14" hidden="1" x14ac:dyDescent="0.2">
      <c r="I58" s="153"/>
      <c r="N58" s="232"/>
    </row>
    <row r="59" spans="9:14" hidden="1" x14ac:dyDescent="0.2">
      <c r="I59" s="153"/>
      <c r="N59" s="232"/>
    </row>
    <row r="60" spans="9:14" hidden="1" x14ac:dyDescent="0.2">
      <c r="I60" s="153"/>
      <c r="N60" s="232"/>
    </row>
    <row r="61" spans="9:14" hidden="1" x14ac:dyDescent="0.2">
      <c r="N61" s="232"/>
    </row>
    <row r="62" spans="9:14" hidden="1" x14ac:dyDescent="0.2">
      <c r="N62" s="232"/>
    </row>
    <row r="63" spans="9:14" hidden="1" x14ac:dyDescent="0.2">
      <c r="N63" s="232"/>
    </row>
    <row r="64" spans="9:14" hidden="1" x14ac:dyDescent="0.2">
      <c r="N64" s="232"/>
    </row>
    <row r="65" spans="14:14" hidden="1" x14ac:dyDescent="0.2">
      <c r="N65" s="232"/>
    </row>
    <row r="66" spans="14:14" hidden="1" x14ac:dyDescent="0.2">
      <c r="N66" s="232"/>
    </row>
    <row r="67" spans="14:14" hidden="1" x14ac:dyDescent="0.2">
      <c r="N67" s="232"/>
    </row>
    <row r="68" spans="14:14" hidden="1" x14ac:dyDescent="0.2">
      <c r="N68" s="232"/>
    </row>
    <row r="69" spans="14:14" hidden="1" x14ac:dyDescent="0.2">
      <c r="N69" s="232"/>
    </row>
    <row r="70" spans="14:14" hidden="1" x14ac:dyDescent="0.2">
      <c r="N70" s="232"/>
    </row>
    <row r="71" spans="14:14" hidden="1" x14ac:dyDescent="0.2">
      <c r="N71" s="232"/>
    </row>
    <row r="72" spans="14:14" hidden="1" x14ac:dyDescent="0.2">
      <c r="N72" s="232"/>
    </row>
    <row r="73" spans="14:14" hidden="1" x14ac:dyDescent="0.2">
      <c r="N73" s="232"/>
    </row>
    <row r="74" spans="14:14" hidden="1" x14ac:dyDescent="0.2">
      <c r="N74" s="232"/>
    </row>
    <row r="75" spans="14:14" hidden="1" x14ac:dyDescent="0.2">
      <c r="N75" s="232"/>
    </row>
    <row r="76" spans="14:14" hidden="1" x14ac:dyDescent="0.2">
      <c r="N76" s="232"/>
    </row>
    <row r="77" spans="14:14" hidden="1" x14ac:dyDescent="0.2">
      <c r="N77" s="232"/>
    </row>
    <row r="78" spans="14:14" hidden="1" x14ac:dyDescent="0.2">
      <c r="N78" s="232"/>
    </row>
    <row r="79" spans="14:14" hidden="1" x14ac:dyDescent="0.2">
      <c r="N79" s="232"/>
    </row>
  </sheetData>
  <sheetProtection algorithmName="SHA-512" hashValue="vrS829H95X/Lzxz1fLn7SSzHfhM6ylo+acXBTfB/yFprGwYYIggXGKp2/jAR8FnKItCJIdssS2CnqM+t8Up/ew==" saltValue="ekInxuEgAun6uDCJEE3utA==" spinCount="100000" sheet="1" objects="1" scenarios="1"/>
  <mergeCells count="16">
    <mergeCell ref="C33:H33"/>
    <mergeCell ref="B3:C3"/>
    <mergeCell ref="M3:N3"/>
    <mergeCell ref="B20:C20"/>
    <mergeCell ref="C31:H31"/>
    <mergeCell ref="C32:H32"/>
    <mergeCell ref="C40:H40"/>
    <mergeCell ref="C41:H41"/>
    <mergeCell ref="C42:H42"/>
    <mergeCell ref="C43:H43"/>
    <mergeCell ref="C34:H34"/>
    <mergeCell ref="C35:H35"/>
    <mergeCell ref="C36:H36"/>
    <mergeCell ref="C37:H37"/>
    <mergeCell ref="C38:H38"/>
    <mergeCell ref="C39:H39"/>
  </mergeCells>
  <conditionalFormatting sqref="J5:J8 J11:J14 J17">
    <cfRule type="cellIs" dxfId="8" priority="2" operator="equal">
      <formula>0</formula>
    </cfRule>
  </conditionalFormatting>
  <printOptions horizontalCentered="1"/>
  <pageMargins left="0.39370078740157483" right="0.39370078740157483" top="0.78740157480314965" bottom="0.78740157480314965" header="0.31496062992125984" footer="0.31496062992125984"/>
  <pageSetup paperSize="8" scale="96"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48" id="{1060D9B9-E3BE-40B9-B288-40E02451224C}">
            <xm:f>Validation!$H$3=1</xm:f>
            <x14:dxf>
              <fill>
                <patternFill>
                  <bgColor rgb="FFE0DCD8"/>
                </patternFill>
              </fill>
            </x14:dxf>
          </x14:cfRule>
          <xm:sqref>G5:G9 G11:G15 G17:G18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19500"/>
    <pageSetUpPr fitToPage="1"/>
  </sheetPr>
  <dimension ref="A1:H38"/>
  <sheetViews>
    <sheetView showGridLines="0" topLeftCell="A16" zoomScale="90" zoomScaleNormal="90" workbookViewId="0">
      <selection activeCell="C28" sqref="C28"/>
    </sheetView>
  </sheetViews>
  <sheetFormatPr defaultColWidth="0" defaultRowHeight="14.25" zeroHeight="1" x14ac:dyDescent="0.2"/>
  <cols>
    <col min="1" max="1" width="1.625" customWidth="1"/>
    <col min="2" max="2" width="50.75" customWidth="1"/>
    <col min="3" max="3" width="16.625" customWidth="1"/>
    <col min="4" max="5" width="17.625" customWidth="1"/>
    <col min="6" max="6" width="1.625" customWidth="1"/>
    <col min="7" max="8" width="0" hidden="1" customWidth="1"/>
    <col min="9" max="16384" width="8.75" hidden="1"/>
  </cols>
  <sheetData>
    <row r="1" spans="1:8" ht="20.25" x14ac:dyDescent="0.35">
      <c r="B1" s="1" t="s">
        <v>47</v>
      </c>
      <c r="C1" s="1"/>
      <c r="D1" s="1"/>
      <c r="E1" s="10"/>
    </row>
    <row r="2" spans="1:8" ht="15" thickBot="1" x14ac:dyDescent="0.25">
      <c r="B2" s="98" t="s">
        <v>48</v>
      </c>
    </row>
    <row r="3" spans="1:8" ht="16.5" thickBot="1" x14ac:dyDescent="0.25">
      <c r="A3" s="12"/>
      <c r="B3" s="679" t="s">
        <v>49</v>
      </c>
      <c r="C3" s="11" t="s">
        <v>50</v>
      </c>
      <c r="D3" s="12"/>
      <c r="E3" s="12"/>
      <c r="G3" s="12" t="str">
        <f>VLOOKUP(Validation!B3,Lists!B4:D22,3,FALSE)</f>
        <v>WaSC</v>
      </c>
      <c r="H3" s="12">
        <f>IF(G3="Woc",1,0)</f>
        <v>0</v>
      </c>
    </row>
    <row r="4" spans="1:8" x14ac:dyDescent="0.2"/>
    <row r="5" spans="1:8" x14ac:dyDescent="0.2">
      <c r="B5" s="725" t="s">
        <v>51</v>
      </c>
      <c r="C5" s="725"/>
      <c r="D5" s="725"/>
      <c r="E5" s="725"/>
    </row>
    <row r="6" spans="1:8" ht="15" thickBot="1" x14ac:dyDescent="0.25"/>
    <row r="7" spans="1:8" ht="27.75" thickBot="1" x14ac:dyDescent="0.3">
      <c r="B7" s="13" t="s">
        <v>52</v>
      </c>
      <c r="C7" s="14" t="s">
        <v>53</v>
      </c>
      <c r="D7" s="15" t="s">
        <v>54</v>
      </c>
      <c r="E7" s="16" t="s">
        <v>55</v>
      </c>
    </row>
    <row r="8" spans="1:8" ht="19.899999999999999" customHeight="1" x14ac:dyDescent="0.2">
      <c r="A8" s="19"/>
      <c r="B8" s="550" t="str">
        <f>+'1A'!B1</f>
        <v>1A - Income statement</v>
      </c>
      <c r="C8" s="17" t="str">
        <f>IF($H$3="Select company","",IF((SUM('1A'!O6:Q21))&gt;0,"Review validation checks on sheet","No issues identified"))</f>
        <v>No issues identified</v>
      </c>
      <c r="D8" s="18"/>
      <c r="E8" s="83" t="str">
        <f ca="1">+'1A'!B33</f>
        <v>1A - Line definitions</v>
      </c>
    </row>
    <row r="9" spans="1:8" ht="19.899999999999999" customHeight="1" x14ac:dyDescent="0.2">
      <c r="A9" s="19"/>
      <c r="B9" s="551" t="str">
        <f>+'1B'!B1</f>
        <v>1B - Statement of comprehensive income</v>
      </c>
      <c r="C9" s="20" t="str">
        <f>IF($H$3="Select company","",IF((SUM('1B'!O7:Q8))&gt;0,"Review validation checks on sheet","No issues identified"))</f>
        <v>No issues identified</v>
      </c>
      <c r="D9" s="21"/>
      <c r="E9" s="80" t="str">
        <f ca="1">+'1B'!B20</f>
        <v>1B - Line definitions</v>
      </c>
    </row>
    <row r="10" spans="1:8" ht="19.899999999999999" customHeight="1" x14ac:dyDescent="0.2">
      <c r="A10" s="19"/>
      <c r="B10" s="551" t="str">
        <f>+'1C'!B1</f>
        <v>1C - Statement of financial position</v>
      </c>
      <c r="C10" s="20" t="str">
        <f>IF($H$3="Select company","",IF((SUM('1C'!O7:Q46))&gt;0,"Review validation checks on sheet","No issues identified"))</f>
        <v>No issues identified</v>
      </c>
      <c r="D10" s="21"/>
      <c r="E10" s="80" t="str">
        <f ca="1">+'1C'!B58</f>
        <v>1C - Line definitions</v>
      </c>
    </row>
    <row r="11" spans="1:8" ht="19.899999999999999" customHeight="1" x14ac:dyDescent="0.2">
      <c r="A11" s="19"/>
      <c r="B11" s="551" t="str">
        <f>+'1D'!B1</f>
        <v>1D - Statement of cash flows</v>
      </c>
      <c r="C11" s="20" t="str">
        <f>IF($H$3="Select company","",IF((SUM('1D'!O8:Q32))&gt;0,"Review validation checks on sheet","No issues identified"))</f>
        <v>No issues identified</v>
      </c>
      <c r="D11" s="21"/>
      <c r="E11" s="80" t="str">
        <f ca="1">+'1D'!B45</f>
        <v>1D - Line definitions</v>
      </c>
    </row>
    <row r="12" spans="1:8" ht="19.899999999999999" customHeight="1" thickBot="1" x14ac:dyDescent="0.25">
      <c r="A12" s="19"/>
      <c r="B12" s="552" t="str">
        <f>+'1E'!B1</f>
        <v>1E - Net debt analysis at 31 March</v>
      </c>
      <c r="C12" s="22" t="str">
        <f>IF($H$3="Select company","",IF((SUM('1E'!N6:Q21))&gt;0,"Review validation checks on sheet","No issues identified"))</f>
        <v>No issues identified</v>
      </c>
      <c r="D12" s="23"/>
      <c r="E12" s="82" t="str">
        <f ca="1">+'1E'!B32</f>
        <v>1E - Line definitions</v>
      </c>
    </row>
    <row r="13" spans="1:8" ht="15" thickBot="1" x14ac:dyDescent="0.25">
      <c r="A13" s="19"/>
      <c r="B13" s="24"/>
      <c r="C13" s="19"/>
      <c r="D13" s="19"/>
      <c r="E13" s="19"/>
    </row>
    <row r="14" spans="1:8" ht="27.75" thickBot="1" x14ac:dyDescent="0.25">
      <c r="A14" s="19"/>
      <c r="B14" s="13" t="s">
        <v>56</v>
      </c>
      <c r="C14" s="15" t="str">
        <f>C7</f>
        <v>All expected cells completed?</v>
      </c>
      <c r="D14" s="15" t="str">
        <f>D7</f>
        <v>Other validations</v>
      </c>
      <c r="E14" s="16" t="s">
        <v>55</v>
      </c>
    </row>
    <row r="15" spans="1:8" ht="19.899999999999999" customHeight="1" x14ac:dyDescent="0.2">
      <c r="A15" s="19"/>
      <c r="B15" s="550" t="str">
        <f>+'2A'!B1</f>
        <v>2A - Segmental income statement</v>
      </c>
      <c r="C15" s="17" t="str">
        <f>IF($H$3="Select company","",IF((SUM('2A'!P6:T14))&gt;0,"Review validation checks on sheet","No issues identified"))</f>
        <v>No issues identified</v>
      </c>
      <c r="D15" s="17" t="str">
        <f>IF($H$3="Select company","",IF((SUM('2A'!V6:V14))&gt;0,"Review validation checks on sheet","No issues identified"))</f>
        <v>No issues identified</v>
      </c>
      <c r="E15" s="79" t="str">
        <f ca="1">+'2A'!B25</f>
        <v>2A - Line definitions</v>
      </c>
    </row>
    <row r="16" spans="1:8" ht="19.899999999999999" customHeight="1" x14ac:dyDescent="0.2">
      <c r="A16" s="19"/>
      <c r="B16" s="551" t="str">
        <f>+'2B'!B1</f>
        <v>2B - Totex analysis - wholesale</v>
      </c>
      <c r="C16" s="20" t="str">
        <f>IF($H$3="Select company","",IF((SUM('2B'!M6:N30))&gt;0,"Review validation checks on sheet","No issues identified"))</f>
        <v>No issues identified</v>
      </c>
      <c r="D16" s="21"/>
      <c r="E16" s="81" t="str">
        <f ca="1">+'2B'!B44</f>
        <v>2B - Line definitions</v>
      </c>
    </row>
    <row r="17" spans="1:5" ht="19.899999999999999" customHeight="1" x14ac:dyDescent="0.2">
      <c r="A17" s="19"/>
      <c r="B17" s="551" t="str">
        <f>+'2C'!B1</f>
        <v>2C - Operating cost analysis - retail</v>
      </c>
      <c r="C17" s="20" t="str">
        <f>IF($H$3="Select company","",IF((SUM('2C'!M6:N17))&gt;0,"Review validation checks on sheet","No issues identified"))</f>
        <v>No issues identified</v>
      </c>
      <c r="D17" s="21"/>
      <c r="E17" s="81" t="str">
        <f ca="1">+'2C'!B28</f>
        <v>2C - Line definitions</v>
      </c>
    </row>
    <row r="18" spans="1:5" ht="19.899999999999999" customHeight="1" x14ac:dyDescent="0.2">
      <c r="A18" s="19"/>
      <c r="B18" s="551" t="str">
        <f>+'2D'!B1</f>
        <v>2D - Historic cost analysis of fixed assets - wholesale &amp; retail</v>
      </c>
      <c r="C18" s="20" t="str">
        <f>IF($H$3="Select company","",IF((SUM('2D'!O7:R15))&gt;0,"Review validation checks on sheet","No issues identified"))</f>
        <v>No issues identified</v>
      </c>
      <c r="D18" s="21"/>
      <c r="E18" s="81" t="str">
        <f ca="1">+'2D'!B30</f>
        <v>2D - Line definitions</v>
      </c>
    </row>
    <row r="19" spans="1:5" ht="19.899999999999999" customHeight="1" x14ac:dyDescent="0.2">
      <c r="A19" s="19"/>
      <c r="B19" s="551" t="str">
        <f>+'2E'!B1</f>
        <v>2E - Analysis of capital contributions and land sales - wholesale</v>
      </c>
      <c r="C19" s="20" t="str">
        <f>IF($H$3="Select company","",IF((SUM('2E'!R7:T31))&gt;0,"Review validation checks on sheet","No issues identified"))</f>
        <v>No issues identified</v>
      </c>
      <c r="D19" s="21"/>
      <c r="E19" s="81" t="str">
        <f ca="1">+'2E'!B42</f>
        <v>2E - Line definitions</v>
      </c>
    </row>
    <row r="20" spans="1:5" ht="19.899999999999999" customHeight="1" x14ac:dyDescent="0.2">
      <c r="A20" s="19"/>
      <c r="B20" s="551" t="str">
        <f>+'2F'!B1</f>
        <v>2F - Household - revenues by customer type</v>
      </c>
      <c r="C20" s="20" t="str">
        <f>IF($H$3="Select company","",IF((SUM('2F'!M5:O10))&gt;0,"Review validation checks on sheet","No issues identified"))</f>
        <v>No issues identified</v>
      </c>
      <c r="D20" s="21"/>
      <c r="E20" s="81" t="str">
        <f ca="1">+'2F'!B22</f>
        <v>2F - Line definitions</v>
      </c>
    </row>
    <row r="21" spans="1:5" ht="19.899999999999999" customHeight="1" x14ac:dyDescent="0.2">
      <c r="A21" s="19"/>
      <c r="B21" s="551" t="str">
        <f>+'2G'!B1</f>
        <v>2G - Non-household water - revenues by customer type</v>
      </c>
      <c r="C21" s="20" t="str">
        <f>IF($H$3="Select company","",IF((SUM('2G'!N6:P26))&gt;0,"Review validation checks on sheet","No issues identified"))</f>
        <v>No issues identified</v>
      </c>
      <c r="D21" s="20" t="str">
        <f>IF($H$3="Select company","",IF((SUM('2G'!R29:R29))&gt;0,"Review validation checks on sheet","No issues identified"))</f>
        <v>No issues identified</v>
      </c>
      <c r="E21" s="81" t="str">
        <f ca="1">+'2G'!B40</f>
        <v>2G - Line definitions</v>
      </c>
    </row>
    <row r="22" spans="1:5" ht="19.899999999999999" customHeight="1" x14ac:dyDescent="0.2">
      <c r="A22" s="19"/>
      <c r="B22" s="551" t="str">
        <f>+'2H'!B1</f>
        <v>2H - Non-household wastewater - revenues by customer type</v>
      </c>
      <c r="C22" s="20" t="str">
        <f>IF($H$3="Select company","",IF(G3="WoC","",IF((SUM('2H'!N6:P28))&gt;0,"Review validation checks on sheet","No issues identified")))</f>
        <v>No issues identified</v>
      </c>
      <c r="D22" s="20" t="str">
        <f>IF($H$3="Select company","",IF(G3="WoC","",IF((SUM('2H'!R31:R31))&gt;0,"Review validation checks on sheet","No issues identified")))</f>
        <v>No issues identified</v>
      </c>
      <c r="E22" s="81" t="str">
        <f ca="1">+'2H'!B42</f>
        <v>2H - Line definitions</v>
      </c>
    </row>
    <row r="23" spans="1:5" ht="19.899999999999999" customHeight="1" thickBot="1" x14ac:dyDescent="0.25">
      <c r="A23" s="19"/>
      <c r="B23" s="552" t="str">
        <f>+'2I'!B1</f>
        <v>2I - Revenue analysis &amp; wholesale control reconciliation</v>
      </c>
      <c r="C23" s="22" t="str">
        <f>IF($H$3="Select company","",IF((SUM('2I'!N6:P37))&gt;0,"Review validation checks on sheet","No issues identified"))</f>
        <v>No issues identified</v>
      </c>
      <c r="D23" s="22" t="str">
        <f>IF($H$3="Select company","",IF((SUM('2I'!R23:R29))&gt;0,"Review validation checks on sheet","No issues identified"))</f>
        <v>No issues identified</v>
      </c>
      <c r="E23" s="82" t="str">
        <f ca="1">+'2I'!B49</f>
        <v>2I - Line definitions</v>
      </c>
    </row>
    <row r="24" spans="1:5" ht="15" thickBot="1" x14ac:dyDescent="0.25">
      <c r="A24" s="12"/>
      <c r="B24" s="25"/>
      <c r="C24" s="25"/>
      <c r="D24" s="25"/>
      <c r="E24" s="19"/>
    </row>
    <row r="25" spans="1:5" ht="27.75" thickBot="1" x14ac:dyDescent="0.3">
      <c r="A25" s="12"/>
      <c r="B25" s="26" t="s">
        <v>57</v>
      </c>
      <c r="C25" s="14" t="s">
        <v>53</v>
      </c>
      <c r="D25" s="15" t="s">
        <v>54</v>
      </c>
      <c r="E25" s="16" t="s">
        <v>55</v>
      </c>
    </row>
    <row r="26" spans="1:5" ht="19.899999999999999" customHeight="1" thickBot="1" x14ac:dyDescent="0.25">
      <c r="A26" s="28"/>
      <c r="B26" s="27" t="str">
        <f>+'3A'!B1</f>
        <v>3A - Outcome performance table</v>
      </c>
      <c r="C26" s="22" t="str">
        <f>IF($H$3="Select company","",IF((SUM('3A'!S5:Z59))&gt;0,"Review validation checks on sheet","No issues identified"))</f>
        <v>Review validation checks on sheet</v>
      </c>
      <c r="D26" s="22" t="str">
        <f>IF($H$3="Select company","",IF((SUM('3A'!AD5:AF59))&gt;0,"Review validation checks on sheet","No issues identified"))</f>
        <v>No issues identified</v>
      </c>
      <c r="E26" s="78" t="s">
        <v>58</v>
      </c>
    </row>
    <row r="27" spans="1:5" ht="15" thickBot="1" x14ac:dyDescent="0.25">
      <c r="A27" s="12"/>
      <c r="B27" s="25"/>
      <c r="C27" s="25"/>
      <c r="D27" s="25"/>
      <c r="E27" s="19"/>
    </row>
    <row r="28" spans="1:5" ht="27.75" thickBot="1" x14ac:dyDescent="0.3">
      <c r="A28" s="12"/>
      <c r="B28" s="26" t="s">
        <v>59</v>
      </c>
      <c r="C28" s="14" t="s">
        <v>53</v>
      </c>
      <c r="D28" s="15" t="s">
        <v>54</v>
      </c>
      <c r="E28" s="16" t="s">
        <v>55</v>
      </c>
    </row>
    <row r="29" spans="1:5" ht="19.899999999999999" customHeight="1" x14ac:dyDescent="0.2">
      <c r="A29" s="19"/>
      <c r="B29" s="550" t="str">
        <f>+'4A'!B1</f>
        <v>4A - Non-financial information</v>
      </c>
      <c r="C29" s="17" t="str">
        <f>IF($H$3="Select company","",IF((SUM('4A'!N8:O20))&gt;0,"Review validation checks on sheet","No issues identified"))</f>
        <v>No issues identified</v>
      </c>
      <c r="D29" s="18"/>
      <c r="E29" s="79" t="str">
        <f ca="1">+'4A'!B31</f>
        <v>4A - Line definitions</v>
      </c>
    </row>
    <row r="30" spans="1:5" ht="19.899999999999999" customHeight="1" x14ac:dyDescent="0.2">
      <c r="A30" s="19"/>
      <c r="B30" s="551" t="str">
        <f>+'4B'!B1</f>
        <v xml:space="preserve">4B - Wholesale totex analysis </v>
      </c>
      <c r="C30" s="20" t="str">
        <f>IF($H$3="Select company","",IF((SUM('4B'!N10:O16))&gt;0,"Review validation checks on sheet","No issues identified"))</f>
        <v>No issues identified</v>
      </c>
      <c r="D30" s="21"/>
      <c r="E30" s="80" t="str">
        <f ca="1">+'4B'!B27</f>
        <v>4B - Line definitions</v>
      </c>
    </row>
    <row r="31" spans="1:5" ht="19.899999999999999" customHeight="1" x14ac:dyDescent="0.2">
      <c r="A31" s="19"/>
      <c r="B31" s="551" t="str">
        <f>+'4C'!B1</f>
        <v>4C - Forecast impact of performance on RCV</v>
      </c>
      <c r="C31" s="20" t="str">
        <f>IF($H$3="Select company","",IF((SUM('4C'!K6:K8))&gt;0,"Review validation checks on sheet","No issues identified"))</f>
        <v>No issues identified</v>
      </c>
      <c r="D31" s="21"/>
      <c r="E31" s="81" t="str">
        <f ca="1">+'4C'!B20</f>
        <v>4C - Line definitions</v>
      </c>
    </row>
    <row r="32" spans="1:5" ht="19.899999999999999" customHeight="1" x14ac:dyDescent="0.2">
      <c r="A32" s="19"/>
      <c r="B32" s="551" t="str">
        <f>+'4D'!B1</f>
        <v>4D - Wholesale totex analysis - water</v>
      </c>
      <c r="C32" s="20" t="str">
        <f>IF($H$3="Select company","",IF((SUM('4D'!R7:W40))&gt;0,"Review validation checks on sheet","No issues identified"))</f>
        <v>No issues identified</v>
      </c>
      <c r="D32" s="20" t="str">
        <f>IF($H$3="Select company","",IF((SUM('4D'!Y7:Y32))&gt;0,"Review validation checks on sheet","No issues identified"))</f>
        <v>No issues identified</v>
      </c>
      <c r="E32" s="81" t="str">
        <f ca="1">+'4D'!B52</f>
        <v>4D - Line definitions</v>
      </c>
    </row>
    <row r="33" spans="1:5" ht="19.899999999999999" customHeight="1" x14ac:dyDescent="0.2">
      <c r="A33" s="19"/>
      <c r="B33" s="551" t="str">
        <f>+'4E'!B1</f>
        <v>4E - Wholesale totex analysis - wastewater</v>
      </c>
      <c r="C33" s="20" t="str">
        <f>IF($H$3="Select company","",IF(G3="WoC","",IF((SUM('4E'!T7:AA42))&gt;0,"Review validation checks on sheet","No issues identified")))</f>
        <v>No issues identified</v>
      </c>
      <c r="D33" s="20" t="str">
        <f>IF($H$3="Select company","",IF(G3="WoC","",IF((SUM('4E'!AC7:AC32))&gt;0,"Review validation checks on sheet","No issues identified")))</f>
        <v>No issues identified</v>
      </c>
      <c r="E33" s="81" t="str">
        <f ca="1">+'4E'!B54</f>
        <v>4E - Line definitions</v>
      </c>
    </row>
    <row r="34" spans="1:5" ht="19.899999999999999" customHeight="1" x14ac:dyDescent="0.2">
      <c r="A34" s="19"/>
      <c r="B34" s="551" t="str">
        <f>+'4F'!B1</f>
        <v>4F - Operating cost analysis - household retail</v>
      </c>
      <c r="C34" s="20" t="str">
        <f>IF($H$3="Select company","",IF((SUM('4F'!T7:Z21))&gt;0,"Review validation checks on sheet","No issues identified"))</f>
        <v>No issues identified</v>
      </c>
      <c r="D34" s="20" t="str">
        <f>IF($H$3="Select company","",IF((SUM('4F'!AB7:AB13))&gt;0,"Review validation checks on sheet","No issues identified"))</f>
        <v>No issues identified</v>
      </c>
      <c r="E34" s="81" t="str">
        <f ca="1">+'4F'!B33</f>
        <v>4F - Line definitions</v>
      </c>
    </row>
    <row r="35" spans="1:5" ht="19.899999999999999" customHeight="1" x14ac:dyDescent="0.2">
      <c r="A35" s="19"/>
      <c r="B35" s="551" t="str">
        <f>+'4G'!B1</f>
        <v>4G - Wholesale current cost financial performance</v>
      </c>
      <c r="C35" s="20" t="str">
        <f>IF($H$3="Select company","",IF((SUM('4G'!M5:N17))&gt;0,"Review validation checks on sheet","No issues identified"))</f>
        <v>No issues identified</v>
      </c>
      <c r="D35" s="21"/>
      <c r="E35" s="81" t="str">
        <f ca="1">+'4G'!B29</f>
        <v>4G - Line definitions</v>
      </c>
    </row>
    <row r="36" spans="1:5" ht="19.899999999999999" customHeight="1" x14ac:dyDescent="0.2">
      <c r="A36" s="19"/>
      <c r="B36" s="551" t="str">
        <f>+'4H'!B1</f>
        <v>4H - Financial metrics</v>
      </c>
      <c r="C36" s="20" t="str">
        <f>IF($H$3="Select company","",IF((SUM('4H'!L9:L25))&gt;0,"Review validation checks on sheet","No issues identified"))</f>
        <v>Review validation checks on sheet</v>
      </c>
      <c r="D36" s="20" t="str">
        <f>IF($H$3="Select company","",IF((SUM('4H'!N30:N35))&gt;0,"Review validation checks on sheet","No issues identified"))</f>
        <v>No issues identified</v>
      </c>
      <c r="E36" s="80" t="str">
        <f ca="1">+'4H'!B47</f>
        <v>4H - Line definitions</v>
      </c>
    </row>
    <row r="37" spans="1:5" ht="19.899999999999999" customHeight="1" thickBot="1" x14ac:dyDescent="0.25">
      <c r="A37" s="19"/>
      <c r="B37" s="552" t="str">
        <f>+'4I'!B1</f>
        <v>4I - Financial derivatives</v>
      </c>
      <c r="C37" s="22" t="str">
        <f>IF($H$3="Select company","",IF((SUM('4I'!T8:Z31))&gt;0,"Review validation checks on sheet","No issues identified"))</f>
        <v>No issues identified</v>
      </c>
      <c r="D37" s="22" t="str">
        <f>IF($H$3="Select company","",IF((SUM('4I'!AB35:AB35))&gt;0,"Review validation checks on sheet","No issues identified"))</f>
        <v>Review validation checks on sheet</v>
      </c>
      <c r="E37" s="82" t="str">
        <f ca="1">+'4I'!B46</f>
        <v>4I - Line definitions</v>
      </c>
    </row>
    <row r="38" spans="1:5" x14ac:dyDescent="0.2"/>
  </sheetData>
  <sheetProtection algorithmName="SHA-512" hashValue="SvicTO34iuMetzfepFrm+yzQrWQE4lwevEyOTAd4HY4yCnJS1UK/vjwTbIwOMmmCZdDOr0jC+7vU3omGh06bDA==" saltValue="7/VaGOxSJH2MTCVOHgkiEQ==" spinCount="100000" sheet="1" objects="1" scenarios="1"/>
  <mergeCells count="1">
    <mergeCell ref="B5:E5"/>
  </mergeCells>
  <conditionalFormatting sqref="C15:C23 C29:C37 D32:D34 C8:C12 D15 C26:D26">
    <cfRule type="cellIs" dxfId="101" priority="7" operator="equal">
      <formula>"Review validation checks on sheet"</formula>
    </cfRule>
  </conditionalFormatting>
  <conditionalFormatting sqref="C8:D12 C15:D23 C26:D26 C29:D37">
    <cfRule type="containsBlanks" dxfId="100" priority="1">
      <formula>LEN(TRIM(C8))=0</formula>
    </cfRule>
  </conditionalFormatting>
  <conditionalFormatting sqref="C22:D22 C33:D33">
    <cfRule type="expression" dxfId="99" priority="6">
      <formula>$H$3=1</formula>
    </cfRule>
  </conditionalFormatting>
  <conditionalFormatting sqref="D21:D23">
    <cfRule type="cellIs" dxfId="98" priority="3" operator="equal">
      <formula>"Review validation checks on sheet"</formula>
    </cfRule>
  </conditionalFormatting>
  <conditionalFormatting sqref="D22">
    <cfRule type="expression" dxfId="97" priority="2">
      <formula>$H$3=1</formula>
    </cfRule>
  </conditionalFormatting>
  <conditionalFormatting sqref="D36:D37">
    <cfRule type="cellIs" dxfId="96" priority="5" operator="equal">
      <formula>"Review validation checks on sheet"</formula>
    </cfRule>
  </conditionalFormatting>
  <hyperlinks>
    <hyperlink ref="E8" location="'1A'!B33" display="W3A - line definitions" xr:uid="{00000000-0004-0000-0200-000000000000}"/>
    <hyperlink ref="B8" location="'1A'!B1" display="A1 - table name" xr:uid="{00000000-0004-0000-0200-000001000000}"/>
    <hyperlink ref="E9" location="'1B'!B20" display="'1B'!B20" xr:uid="{00000000-0004-0000-0200-000002000000}"/>
    <hyperlink ref="E10" location="'1C'!B58" display="'1C'!B58" xr:uid="{00000000-0004-0000-0200-000003000000}"/>
    <hyperlink ref="E11" location="'1D'!B45" display="'1D'!B45" xr:uid="{00000000-0004-0000-0200-000004000000}"/>
    <hyperlink ref="E12" location="'1E'!B32" display="'1E'!B32" xr:uid="{00000000-0004-0000-0200-000005000000}"/>
    <hyperlink ref="E15" location="'2A'!B25" display="'2A'!B25" xr:uid="{00000000-0004-0000-0200-000006000000}"/>
    <hyperlink ref="E16" location="'2B'!B44" display="'2B'!B44" xr:uid="{00000000-0004-0000-0200-000007000000}"/>
    <hyperlink ref="E17" location="'2C'!B28" display="'2C'!B28" xr:uid="{00000000-0004-0000-0200-000008000000}"/>
    <hyperlink ref="E18" location="'2D'!B30" display="'2D'!B30" xr:uid="{00000000-0004-0000-0200-000009000000}"/>
    <hyperlink ref="E19" location="'2E'!B42" display="'2E'!B42" xr:uid="{00000000-0004-0000-0200-00000A000000}"/>
    <hyperlink ref="E20" location="'2F'!B22" display="'2F'!B22" xr:uid="{00000000-0004-0000-0200-00000B000000}"/>
    <hyperlink ref="E21" location="'2G'!B40" display="'2G'!B40" xr:uid="{00000000-0004-0000-0200-00000C000000}"/>
    <hyperlink ref="E22" location="'2H'!B42" display="'2H'!B42" xr:uid="{00000000-0004-0000-0200-00000D000000}"/>
    <hyperlink ref="E23" location="'2I'!B49" display="'2I'!B49" xr:uid="{00000000-0004-0000-0200-00000E000000}"/>
    <hyperlink ref="E29" location="'4A'!B31" display="'4A'!B31" xr:uid="{00000000-0004-0000-0200-00000F000000}"/>
    <hyperlink ref="E30" location="'4B'!B27" display="'4B'!B27" xr:uid="{00000000-0004-0000-0200-000010000000}"/>
    <hyperlink ref="E31" location="'4C'!B20" display="'4C'!B20" xr:uid="{00000000-0004-0000-0200-000011000000}"/>
    <hyperlink ref="E32" location="'4D'!B52" display="'4D'!B52" xr:uid="{00000000-0004-0000-0200-000012000000}"/>
    <hyperlink ref="E33" location="'4E'!B54" display="'4E'!B54" xr:uid="{00000000-0004-0000-0200-000013000000}"/>
    <hyperlink ref="E34" location="'4F'!B33" display="'4F'!B33" xr:uid="{00000000-0004-0000-0200-000014000000}"/>
    <hyperlink ref="E35" location="'4G'!B29" display="'4G'!B29" xr:uid="{00000000-0004-0000-0200-000015000000}"/>
    <hyperlink ref="E36" location="'4H'!B47" display="'4H'!B47" xr:uid="{00000000-0004-0000-0200-000016000000}"/>
    <hyperlink ref="E37" location="'4I'!B46" display="'4I'!B46" xr:uid="{00000000-0004-0000-0200-000017000000}"/>
    <hyperlink ref="B9" location="'1B'!B1" display="'1B'!B1" xr:uid="{00000000-0004-0000-0200-000018000000}"/>
    <hyperlink ref="B10" location="'1C'!B1" display="'1C'!B1" xr:uid="{00000000-0004-0000-0200-000019000000}"/>
    <hyperlink ref="B11" location="'1D'!B1" display="'1D'!B1" xr:uid="{00000000-0004-0000-0200-00001A000000}"/>
    <hyperlink ref="B12" location="'1E'!B1" display="'1E'!B1" xr:uid="{00000000-0004-0000-0200-00001B000000}"/>
    <hyperlink ref="B15" location="'2A'!B1" display="'2A'!B1" xr:uid="{00000000-0004-0000-0200-00001C000000}"/>
    <hyperlink ref="B16" location="'2B'!B1" display="'2B'!B1" xr:uid="{00000000-0004-0000-0200-00001D000000}"/>
    <hyperlink ref="B17" location="'2C'!B1" display="'2C'!B1" xr:uid="{00000000-0004-0000-0200-00001E000000}"/>
    <hyperlink ref="B18" location="'2D'!B1" display="'2D'!B1" xr:uid="{00000000-0004-0000-0200-00001F000000}"/>
    <hyperlink ref="B19" location="'2E'!B1" display="'2E'!B1" xr:uid="{00000000-0004-0000-0200-000020000000}"/>
    <hyperlink ref="B20" location="'2F'!B1" display="'2F'!B1" xr:uid="{00000000-0004-0000-0200-000021000000}"/>
    <hyperlink ref="B21" location="'2G'!B1" display="'2G'!B1" xr:uid="{00000000-0004-0000-0200-000022000000}"/>
    <hyperlink ref="B22" location="'2H'!B1" display="'2H'!B1" xr:uid="{00000000-0004-0000-0200-000023000000}"/>
    <hyperlink ref="B23" location="'2I'!B1" display="'2I'!B1" xr:uid="{00000000-0004-0000-0200-000024000000}"/>
    <hyperlink ref="B26" location="'3A'!B1" display="'3A'!B1" xr:uid="{00000000-0004-0000-0200-000025000000}"/>
    <hyperlink ref="B29" location="'4A'!B1" display="'4A'!B1" xr:uid="{00000000-0004-0000-0200-000026000000}"/>
    <hyperlink ref="B30" location="'4B'!B1" display="'4B'!B1" xr:uid="{00000000-0004-0000-0200-000027000000}"/>
    <hyperlink ref="B31" location="'4C'!B1" display="'4C'!B1" xr:uid="{00000000-0004-0000-0200-000028000000}"/>
    <hyperlink ref="B32" location="'4D'!B1" display="'4D'!B1" xr:uid="{00000000-0004-0000-0200-000029000000}"/>
    <hyperlink ref="B33" location="'4E'!B1" display="'4E'!B1" xr:uid="{00000000-0004-0000-0200-00002A000000}"/>
    <hyperlink ref="B34" location="'4F'!B1" display="'4F'!B1" xr:uid="{00000000-0004-0000-0200-00002B000000}"/>
    <hyperlink ref="B35" location="'4G'!B1" display="'4G'!B1" xr:uid="{00000000-0004-0000-0200-00002C000000}"/>
    <hyperlink ref="B36" location="'4H'!B1" display="'4H'!B1" xr:uid="{00000000-0004-0000-0200-00002D000000}"/>
    <hyperlink ref="B37" location="'4I'!B1" display="'4I'!B1" xr:uid="{00000000-0004-0000-0200-00002E000000}"/>
    <hyperlink ref="E26" location="'3A'!B75" display="3A - Line definitions" xr:uid="{00000000-0004-0000-0200-00002F000000}"/>
  </hyperlinks>
  <printOptions horizontalCentered="1"/>
  <pageMargins left="0.39370078740157483" right="0.39370078740157483" top="0.78740157480314965" bottom="0.78740157480314965" header="0.31496062992125984" footer="0.31496062992125984"/>
  <pageSetup paperSize="8"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Lists!$B$4:$B$23</xm:f>
          </x14:formula1>
          <xm:sqref>B3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A81"/>
  <sheetViews>
    <sheetView showGridLines="0" zoomScale="90" zoomScaleNormal="90" workbookViewId="0">
      <selection activeCell="C58" sqref="C58:F58"/>
    </sheetView>
  </sheetViews>
  <sheetFormatPr defaultColWidth="0" defaultRowHeight="14.25" zeroHeight="1" x14ac:dyDescent="0.2"/>
  <cols>
    <col min="1" max="1" width="1.625" style="95" customWidth="1"/>
    <col min="2" max="2" width="4.125" style="95" customWidth="1"/>
    <col min="3" max="3" width="60.875" style="95" customWidth="1"/>
    <col min="4" max="5" width="5.125" style="95" customWidth="1"/>
    <col min="6" max="6" width="12.5" style="95" customWidth="1"/>
    <col min="7" max="7" width="2.625" style="95" customWidth="1"/>
    <col min="8" max="8" width="17.375" style="99" customWidth="1"/>
    <col min="9" max="9" width="18.875" style="95" bestFit="1" customWidth="1"/>
    <col min="10" max="10" width="1.625" style="95" customWidth="1"/>
    <col min="11" max="11" width="1.625" style="96" hidden="1" customWidth="1"/>
    <col min="12" max="12" width="18.875" style="95" hidden="1" customWidth="1"/>
    <col min="13" max="13" width="1.625" style="96" hidden="1" customWidth="1"/>
    <col min="14" max="14" width="8.125" style="99" hidden="1" customWidth="1"/>
    <col min="15" max="15" width="1.625" style="96" hidden="1" customWidth="1"/>
    <col min="16" max="17" width="8.125" style="99" hidden="1" customWidth="1"/>
    <col min="18" max="18" width="65" style="99" hidden="1" customWidth="1"/>
    <col min="19" max="19" width="1.625" style="96" hidden="1" customWidth="1"/>
    <col min="20" max="20" width="3.625" style="95" hidden="1" customWidth="1"/>
    <col min="21" max="21" width="8.125" style="95" hidden="1" customWidth="1"/>
    <col min="22" max="27" width="8.875" style="95" hidden="1" customWidth="1"/>
    <col min="28" max="16384" width="8.125" style="95" hidden="1"/>
  </cols>
  <sheetData>
    <row r="1" spans="2:23" ht="20.25" x14ac:dyDescent="0.2">
      <c r="B1" s="91" t="s">
        <v>790</v>
      </c>
      <c r="C1" s="91"/>
      <c r="D1" s="91"/>
      <c r="E1" s="91"/>
      <c r="F1" s="93" t="str">
        <f>Validation!B3</f>
        <v>Yorkshire Water</v>
      </c>
      <c r="G1" s="91"/>
      <c r="H1" s="94"/>
      <c r="I1" s="94" t="s">
        <v>62</v>
      </c>
      <c r="N1" s="95"/>
      <c r="P1"/>
      <c r="Q1"/>
      <c r="R1"/>
    </row>
    <row r="2" spans="2:23" ht="15" thickBot="1" x14ac:dyDescent="0.25">
      <c r="B2" s="98" t="s">
        <v>48</v>
      </c>
      <c r="H2" s="95"/>
      <c r="N2" s="95"/>
    </row>
    <row r="3" spans="2:23" ht="14.45" customHeight="1" x14ac:dyDescent="0.2">
      <c r="B3" s="794" t="s">
        <v>63</v>
      </c>
      <c r="C3" s="795"/>
      <c r="D3" s="798" t="s">
        <v>64</v>
      </c>
      <c r="E3" s="800" t="s">
        <v>65</v>
      </c>
      <c r="F3" s="731" t="s">
        <v>791</v>
      </c>
      <c r="G3" s="187"/>
      <c r="H3" s="699" t="s">
        <v>277</v>
      </c>
      <c r="I3" s="699" t="s">
        <v>69</v>
      </c>
      <c r="J3" s="187"/>
    </row>
    <row r="4" spans="2:23" ht="36.75" thickBot="1" x14ac:dyDescent="0.25">
      <c r="B4" s="796"/>
      <c r="C4" s="797"/>
      <c r="D4" s="799"/>
      <c r="E4" s="801"/>
      <c r="F4" s="732"/>
      <c r="G4" s="187"/>
      <c r="H4" s="700"/>
      <c r="I4" s="701"/>
      <c r="L4" s="120" t="s">
        <v>73</v>
      </c>
      <c r="N4" s="103" t="s">
        <v>54</v>
      </c>
      <c r="P4" s="101" t="s">
        <v>278</v>
      </c>
      <c r="Q4" s="103"/>
      <c r="R4" s="103"/>
      <c r="W4" s="107"/>
    </row>
    <row r="5" spans="2:23" ht="15" thickBot="1" x14ac:dyDescent="0.25">
      <c r="G5" s="187"/>
      <c r="L5" s="112" t="s">
        <v>74</v>
      </c>
      <c r="N5"/>
    </row>
    <row r="6" spans="2:23" x14ac:dyDescent="0.2">
      <c r="B6" s="113">
        <v>1</v>
      </c>
      <c r="C6" s="143" t="s">
        <v>792</v>
      </c>
      <c r="D6" s="115" t="s">
        <v>76</v>
      </c>
      <c r="E6" s="116">
        <v>3</v>
      </c>
      <c r="F6" s="188">
        <f>'1E'!I11</f>
        <v>4475.7469999999994</v>
      </c>
      <c r="G6" s="187"/>
      <c r="H6" s="40"/>
      <c r="L6" s="147"/>
      <c r="N6" s="147"/>
      <c r="P6" s="189"/>
      <c r="Q6" s="189"/>
    </row>
    <row r="7" spans="2:23" x14ac:dyDescent="0.2">
      <c r="B7" s="121">
        <f xml:space="preserve"> B6 + 1</f>
        <v>2</v>
      </c>
      <c r="C7" s="114" t="s">
        <v>793</v>
      </c>
      <c r="D7" s="122" t="s">
        <v>76</v>
      </c>
      <c r="E7" s="123">
        <v>3</v>
      </c>
      <c r="F7" s="190">
        <f xml:space="preserve"> '4C'!F6 - '1E'!I11</f>
        <v>1357.2150000000011</v>
      </c>
      <c r="G7" s="187"/>
      <c r="H7" s="77"/>
      <c r="L7" s="147"/>
      <c r="N7" s="147"/>
      <c r="P7" s="189"/>
      <c r="Q7" s="189"/>
    </row>
    <row r="8" spans="2:23" x14ac:dyDescent="0.2">
      <c r="B8" s="121">
        <v>3</v>
      </c>
      <c r="C8" s="114" t="s">
        <v>794</v>
      </c>
      <c r="D8" s="122" t="s">
        <v>253</v>
      </c>
      <c r="E8" s="123">
        <v>2</v>
      </c>
      <c r="F8" s="191">
        <f>'1E'!I13</f>
        <v>76.731975966927251</v>
      </c>
      <c r="G8" s="187"/>
      <c r="H8" s="77"/>
      <c r="L8" s="147"/>
      <c r="N8" s="147"/>
      <c r="P8" s="189"/>
      <c r="Q8" s="189"/>
    </row>
    <row r="9" spans="2:23" x14ac:dyDescent="0.2">
      <c r="B9" s="121">
        <v>4</v>
      </c>
      <c r="C9" s="114" t="s">
        <v>795</v>
      </c>
      <c r="D9" s="122" t="s">
        <v>253</v>
      </c>
      <c r="E9" s="123">
        <v>2</v>
      </c>
      <c r="F9" s="561">
        <v>5.72</v>
      </c>
      <c r="G9" s="187"/>
      <c r="H9" s="77"/>
      <c r="I9" s="29">
        <f xml:space="preserve"> IF( SUM( K9:M9 ) = 0, 0, $L$5 )</f>
        <v>0</v>
      </c>
      <c r="L9" s="120">
        <f t="shared" ref="L9:L15" si="0" xml:space="preserve"> IF( ISNUMBER( F9 ), 0, 1 )</f>
        <v>0</v>
      </c>
      <c r="N9" s="147"/>
      <c r="P9" s="189"/>
      <c r="Q9" s="189"/>
    </row>
    <row r="10" spans="2:23" x14ac:dyDescent="0.2">
      <c r="B10" s="121">
        <v>5</v>
      </c>
      <c r="C10" s="114" t="s">
        <v>796</v>
      </c>
      <c r="D10" s="122" t="s">
        <v>253</v>
      </c>
      <c r="E10" s="123">
        <v>2</v>
      </c>
      <c r="F10" s="561">
        <v>3.51</v>
      </c>
      <c r="G10" s="187"/>
      <c r="H10" s="77"/>
      <c r="I10" s="29">
        <f xml:space="preserve"> IF( SUM( K10:M10 ) = 0, 0, $L$5 )</f>
        <v>0</v>
      </c>
      <c r="L10" s="120">
        <f t="shared" si="0"/>
        <v>0</v>
      </c>
      <c r="N10" s="147"/>
      <c r="P10" s="189"/>
      <c r="Q10" s="189"/>
    </row>
    <row r="11" spans="2:23" x14ac:dyDescent="0.2">
      <c r="B11" s="121">
        <v>6</v>
      </c>
      <c r="C11" s="114" t="s">
        <v>797</v>
      </c>
      <c r="D11" s="122" t="s">
        <v>253</v>
      </c>
      <c r="E11" s="123">
        <v>2</v>
      </c>
      <c r="F11" s="561">
        <v>0</v>
      </c>
      <c r="G11" s="187"/>
      <c r="H11" s="77"/>
      <c r="I11" s="29">
        <f xml:space="preserve"> IF( SUM( K11:M11 ) = 0, 0, $L$5 )</f>
        <v>0</v>
      </c>
      <c r="L11" s="120">
        <f t="shared" si="0"/>
        <v>0</v>
      </c>
      <c r="N11" s="147"/>
      <c r="P11" s="189"/>
      <c r="Q11" s="189"/>
    </row>
    <row r="12" spans="2:23" ht="25.5" x14ac:dyDescent="0.2">
      <c r="B12" s="121">
        <v>7</v>
      </c>
      <c r="C12" s="114" t="s">
        <v>798</v>
      </c>
      <c r="D12" s="122" t="s">
        <v>253</v>
      </c>
      <c r="E12" s="123">
        <v>2</v>
      </c>
      <c r="F12" s="192">
        <f xml:space="preserve"> IF( ( '2I'!F17 + '2I'!F23 = 0), 0, ( '2I'!F17 + '2I'!F23 - '2C'!F14 - '2I'!F9 - '2I'!F15 ) / ( '2I'!F17 + '2I'!F23 ) * 100 )</f>
        <v>1.2369321386344205</v>
      </c>
      <c r="G12" s="187"/>
      <c r="H12" s="77"/>
      <c r="I12" s="29"/>
      <c r="L12" s="147"/>
      <c r="N12" s="147"/>
      <c r="P12" s="189"/>
      <c r="Q12" s="189"/>
      <c r="R12" s="193" t="s">
        <v>799</v>
      </c>
    </row>
    <row r="13" spans="2:23" ht="25.5" x14ac:dyDescent="0.2">
      <c r="B13" s="121">
        <v>8</v>
      </c>
      <c r="C13" s="114" t="s">
        <v>800</v>
      </c>
      <c r="D13" s="122" t="s">
        <v>253</v>
      </c>
      <c r="E13" s="123">
        <v>2</v>
      </c>
      <c r="F13" s="192">
        <f xml:space="preserve"> IF( ( '2I'!G17 + '2I'!G23 = 0 ), 0, ( '2I'!G17 + '2I'!G23 - '2C'!G14 - '2I'!G9 - '2I'!G15 ) / ( '2I'!G17 + '2I'!G23 ) * 100 )</f>
        <v>2.4979579851916167</v>
      </c>
      <c r="G13" s="187"/>
      <c r="H13" s="77"/>
      <c r="I13" s="29"/>
      <c r="L13" s="147"/>
      <c r="P13" s="189"/>
      <c r="R13" s="193" t="s">
        <v>799</v>
      </c>
    </row>
    <row r="14" spans="2:23" x14ac:dyDescent="0.2">
      <c r="B14" s="121">
        <v>9</v>
      </c>
      <c r="C14" s="114" t="s">
        <v>801</v>
      </c>
      <c r="D14" s="122" t="s">
        <v>551</v>
      </c>
      <c r="E14" s="123" t="s">
        <v>551</v>
      </c>
      <c r="F14" s="562" t="s">
        <v>802</v>
      </c>
      <c r="G14" s="187"/>
      <c r="H14" s="77"/>
      <c r="I14" s="29" t="str">
        <f xml:space="preserve"> IF( SUM( K14:M14 ) = 0, 0, $L$5 )</f>
        <v>Please complete all cells in row</v>
      </c>
      <c r="L14" s="120">
        <f t="shared" si="0"/>
        <v>1</v>
      </c>
      <c r="N14" s="147"/>
      <c r="P14" s="189"/>
      <c r="Q14" s="189"/>
    </row>
    <row r="15" spans="2:23" x14ac:dyDescent="0.2">
      <c r="B15" s="121">
        <v>10</v>
      </c>
      <c r="C15" s="114" t="s">
        <v>803</v>
      </c>
      <c r="D15" s="122" t="s">
        <v>253</v>
      </c>
      <c r="E15" s="123">
        <v>2</v>
      </c>
      <c r="F15" s="561">
        <v>4.46</v>
      </c>
      <c r="G15" s="187"/>
      <c r="H15" s="77"/>
      <c r="I15" s="29">
        <f xml:space="preserve"> IF( SUM( K15:M15 ) = 0, 0, $L$5 )</f>
        <v>0</v>
      </c>
      <c r="L15" s="120">
        <f t="shared" si="0"/>
        <v>0</v>
      </c>
      <c r="N15" s="147"/>
      <c r="P15" s="189"/>
      <c r="Q15" s="189"/>
    </row>
    <row r="16" spans="2:23" x14ac:dyDescent="0.2">
      <c r="B16" s="121">
        <v>11</v>
      </c>
      <c r="C16" s="114" t="s">
        <v>804</v>
      </c>
      <c r="D16" s="122" t="s">
        <v>805</v>
      </c>
      <c r="E16" s="123">
        <v>2</v>
      </c>
      <c r="F16" s="561">
        <v>0</v>
      </c>
      <c r="G16" s="187"/>
      <c r="H16" s="77"/>
      <c r="I16" s="29">
        <f xml:space="preserve"> IF( SUM( K16:M16 ) = 0, 0, $L$5 )</f>
        <v>0</v>
      </c>
      <c r="L16" s="120">
        <f xml:space="preserve"> IF( ISNUMBER( F16 ), 0, 1 )</f>
        <v>0</v>
      </c>
      <c r="N16" s="147"/>
      <c r="P16" s="189"/>
      <c r="Q16" s="189"/>
    </row>
    <row r="17" spans="2:22" x14ac:dyDescent="0.2">
      <c r="B17" s="121">
        <v>12</v>
      </c>
      <c r="C17" s="114" t="s">
        <v>806</v>
      </c>
      <c r="D17" s="194" t="s">
        <v>76</v>
      </c>
      <c r="E17" s="195">
        <v>3</v>
      </c>
      <c r="F17" s="190">
        <f>'1D'!J19 - '1D'!J11</f>
        <v>368.30865404162637</v>
      </c>
      <c r="G17" s="187"/>
      <c r="H17" s="77"/>
      <c r="L17" s="147"/>
      <c r="N17" s="147"/>
      <c r="P17" s="189"/>
      <c r="Q17" s="189"/>
    </row>
    <row r="18" spans="2:22" x14ac:dyDescent="0.2">
      <c r="B18" s="121">
        <v>13</v>
      </c>
      <c r="C18" s="114" t="s">
        <v>807</v>
      </c>
      <c r="D18" s="122" t="s">
        <v>805</v>
      </c>
      <c r="E18" s="123">
        <v>2</v>
      </c>
      <c r="F18" s="561">
        <v>2.59</v>
      </c>
      <c r="G18" s="187"/>
      <c r="H18" s="77"/>
      <c r="I18" s="29">
        <f xml:space="preserve"> IF( SUM( K18:M18 ) = 0, 0, $L$5 )</f>
        <v>0</v>
      </c>
      <c r="L18" s="120">
        <f xml:space="preserve"> IF( ISNUMBER( F18 ), 0, 1 )</f>
        <v>0</v>
      </c>
      <c r="N18" s="147"/>
      <c r="P18" s="189"/>
      <c r="Q18" s="189"/>
    </row>
    <row r="19" spans="2:22" x14ac:dyDescent="0.2">
      <c r="B19" s="121">
        <v>14</v>
      </c>
      <c r="C19" s="114" t="s">
        <v>808</v>
      </c>
      <c r="D19" s="122" t="s">
        <v>805</v>
      </c>
      <c r="E19" s="123">
        <v>2</v>
      </c>
      <c r="F19" s="561">
        <v>1.68</v>
      </c>
      <c r="G19" s="187"/>
      <c r="H19" s="77"/>
      <c r="I19" s="29">
        <f xml:space="preserve"> IF( SUM( K19:M19 ) = 0, 0, $L$5 )</f>
        <v>0</v>
      </c>
      <c r="J19" s="187"/>
      <c r="K19" s="148"/>
      <c r="L19" s="120">
        <f xml:space="preserve"> IF( ISNUMBER( F19 ), 0, 1 )</f>
        <v>0</v>
      </c>
      <c r="M19" s="148"/>
      <c r="N19" s="147"/>
      <c r="P19" s="189"/>
      <c r="Q19" s="189"/>
      <c r="S19" s="148"/>
    </row>
    <row r="20" spans="2:22" x14ac:dyDescent="0.2">
      <c r="B20" s="121">
        <v>15</v>
      </c>
      <c r="C20" s="114" t="s">
        <v>809</v>
      </c>
      <c r="D20" s="122" t="s">
        <v>805</v>
      </c>
      <c r="E20" s="123">
        <v>2</v>
      </c>
      <c r="F20" s="192">
        <f>IF(F6 = 0, 0, +F17 / F6)</f>
        <v>8.2289873409204406E-2</v>
      </c>
      <c r="G20" s="187"/>
      <c r="H20" s="77"/>
      <c r="J20" s="187"/>
      <c r="L20" s="147"/>
      <c r="N20" s="147"/>
      <c r="P20" s="189"/>
      <c r="Q20" s="189"/>
    </row>
    <row r="21" spans="2:22" x14ac:dyDescent="0.2">
      <c r="B21" s="121">
        <v>16</v>
      </c>
      <c r="C21" s="114" t="s">
        <v>810</v>
      </c>
      <c r="D21" s="122" t="s">
        <v>253</v>
      </c>
      <c r="E21" s="123">
        <v>2</v>
      </c>
      <c r="F21" s="192">
        <f>IF('1A'!J15 = 0, 0, ( -1 * '1A'!J20 ) / '1A'!J15 * 100 )</f>
        <v>0.20062937159033145</v>
      </c>
      <c r="G21" s="187"/>
      <c r="H21" s="77"/>
      <c r="J21" s="187"/>
      <c r="L21" s="147"/>
      <c r="N21" s="147"/>
      <c r="P21" s="189"/>
      <c r="Q21" s="189"/>
    </row>
    <row r="22" spans="2:22" x14ac:dyDescent="0.2">
      <c r="B22" s="121">
        <v>17</v>
      </c>
      <c r="C22" s="114" t="s">
        <v>811</v>
      </c>
      <c r="D22" s="122" t="s">
        <v>76</v>
      </c>
      <c r="E22" s="123">
        <v>3</v>
      </c>
      <c r="F22" s="190">
        <f xml:space="preserve"> +F17 - ( -1 * '1D'!J30 )</f>
        <v>278.17165404162637</v>
      </c>
      <c r="G22" s="187"/>
      <c r="H22" s="77"/>
      <c r="I22" s="12"/>
      <c r="J22" s="187"/>
      <c r="K22" s="148"/>
      <c r="L22" s="147"/>
      <c r="M22" s="148"/>
      <c r="N22" s="147"/>
      <c r="P22" s="189"/>
      <c r="Q22" s="189"/>
      <c r="S22" s="148"/>
    </row>
    <row r="23" spans="2:22" ht="15" thickBot="1" x14ac:dyDescent="0.25">
      <c r="B23" s="128">
        <v>18</v>
      </c>
      <c r="C23" s="129" t="s">
        <v>812</v>
      </c>
      <c r="D23" s="130" t="s">
        <v>805</v>
      </c>
      <c r="E23" s="127">
        <v>2</v>
      </c>
      <c r="F23" s="196">
        <f>IF( '1D'!J22 = 0, 0, F22 / ( -1 * '1D'!J22 ) )</f>
        <v>1.0431149387616623</v>
      </c>
      <c r="G23" s="187"/>
      <c r="H23" s="77"/>
      <c r="J23" s="187"/>
      <c r="K23" s="148"/>
      <c r="L23" s="147"/>
      <c r="M23" s="148"/>
      <c r="N23" s="147"/>
      <c r="O23" s="148"/>
      <c r="P23" s="189"/>
      <c r="Q23" s="189"/>
      <c r="S23" s="148"/>
    </row>
    <row r="24" spans="2:22" ht="15" thickBot="1" x14ac:dyDescent="0.25">
      <c r="H24" s="77"/>
      <c r="J24" s="187"/>
      <c r="L24" s="147"/>
      <c r="N24" s="147"/>
      <c r="O24" s="145"/>
      <c r="P24" s="189"/>
      <c r="Q24" s="189"/>
    </row>
    <row r="25" spans="2:22" x14ac:dyDescent="0.2">
      <c r="B25" s="113">
        <v>19</v>
      </c>
      <c r="C25" s="143" t="s">
        <v>813</v>
      </c>
      <c r="D25" s="115" t="s">
        <v>76</v>
      </c>
      <c r="E25" s="116">
        <v>3</v>
      </c>
      <c r="F25" s="188">
        <f>'2A'!J6</f>
        <v>959.25299999999993</v>
      </c>
      <c r="G25" s="187"/>
      <c r="H25" s="77"/>
      <c r="J25" s="187"/>
      <c r="K25" s="145"/>
      <c r="L25" s="147"/>
      <c r="M25" s="145"/>
      <c r="N25" s="147"/>
      <c r="O25" s="145"/>
      <c r="P25" s="189"/>
      <c r="Q25" s="189"/>
      <c r="S25" s="145"/>
      <c r="V25" s="150"/>
    </row>
    <row r="26" spans="2:22" ht="15" thickBot="1" x14ac:dyDescent="0.25">
      <c r="B26" s="128">
        <v>20</v>
      </c>
      <c r="C26" s="129" t="s">
        <v>814</v>
      </c>
      <c r="D26" s="130" t="s">
        <v>76</v>
      </c>
      <c r="E26" s="127">
        <v>3</v>
      </c>
      <c r="F26" s="196">
        <f>'2A'!J6 - ( -1 * '2A'!J8 ) + '1D'!J9 - '1D'!J10</f>
        <v>543.95411591701748</v>
      </c>
      <c r="G26" s="187"/>
      <c r="H26" s="77"/>
      <c r="J26" s="187"/>
      <c r="L26" s="147"/>
      <c r="N26" s="147"/>
      <c r="O26" s="145"/>
      <c r="P26" s="189"/>
      <c r="Q26" s="189"/>
      <c r="V26" s="150"/>
    </row>
    <row r="27" spans="2:22" ht="15" thickBot="1" x14ac:dyDescent="0.25">
      <c r="G27" s="187"/>
      <c r="H27" s="77"/>
      <c r="J27" s="187"/>
      <c r="K27" s="145"/>
      <c r="L27" s="147"/>
      <c r="M27" s="145"/>
      <c r="N27" s="147"/>
      <c r="O27" s="145"/>
      <c r="P27" s="189"/>
      <c r="Q27" s="189"/>
      <c r="S27" s="145"/>
      <c r="V27" s="146"/>
    </row>
    <row r="28" spans="2:22" x14ac:dyDescent="0.2">
      <c r="B28" s="113">
        <v>21</v>
      </c>
      <c r="C28" s="143" t="s">
        <v>815</v>
      </c>
      <c r="D28" s="115" t="s">
        <v>253</v>
      </c>
      <c r="E28" s="116">
        <v>2</v>
      </c>
      <c r="F28" s="197">
        <f>IF( '1E'!I8 = 0, 0, ('1E'!F6+'1E'!I7) / '1E'!I8 * 100 )</f>
        <v>44.661145468590682</v>
      </c>
      <c r="G28" s="187"/>
      <c r="H28" s="77"/>
      <c r="K28" s="145"/>
      <c r="L28" s="147"/>
      <c r="M28" s="145"/>
      <c r="N28" s="147"/>
      <c r="O28" s="145"/>
      <c r="P28" s="189"/>
      <c r="Q28" s="189"/>
      <c r="S28" s="145"/>
      <c r="V28" s="198"/>
    </row>
    <row r="29" spans="2:22" x14ac:dyDescent="0.2">
      <c r="B29" s="199">
        <v>22</v>
      </c>
      <c r="C29" s="200" t="s">
        <v>816</v>
      </c>
      <c r="D29" s="194" t="s">
        <v>253</v>
      </c>
      <c r="E29" s="195">
        <v>2</v>
      </c>
      <c r="F29" s="192">
        <f>IF( '1E'!I8 = 0, 0, '1E'!G6 / '1E'!I8 * 100 )</f>
        <v>24.79294396041734</v>
      </c>
      <c r="G29" s="187"/>
      <c r="H29" s="77"/>
      <c r="J29" s="187"/>
      <c r="K29" s="145"/>
      <c r="L29" s="147"/>
      <c r="M29" s="145"/>
      <c r="N29" s="147"/>
      <c r="O29" s="145"/>
      <c r="P29" s="189"/>
      <c r="Q29" s="189"/>
      <c r="S29" s="145"/>
      <c r="V29" s="198"/>
    </row>
    <row r="30" spans="2:22" x14ac:dyDescent="0.2">
      <c r="B30" s="199">
        <v>23</v>
      </c>
      <c r="C30" s="200" t="s">
        <v>817</v>
      </c>
      <c r="D30" s="194" t="s">
        <v>253</v>
      </c>
      <c r="E30" s="195">
        <v>2</v>
      </c>
      <c r="F30" s="192">
        <f>IF('1E'!I8 = 0, 0, '1E'!H6 / '1E'!I8 * 100 )</f>
        <v>30.545910570991978</v>
      </c>
      <c r="G30" s="187"/>
      <c r="H30" s="77">
        <f xml:space="preserve"> IF( SUM( M30:O30 ) = 0, 0, R30 )</f>
        <v>0</v>
      </c>
      <c r="J30" s="187"/>
      <c r="L30" s="147"/>
      <c r="N30" s="120">
        <f xml:space="preserve"> IF( (P30 - Q30) = 0, 0, 1 )</f>
        <v>0</v>
      </c>
      <c r="O30" s="145"/>
      <c r="P30" s="189">
        <f xml:space="preserve"> F28 + F29 + F30</f>
        <v>100</v>
      </c>
      <c r="Q30" s="189">
        <v>100</v>
      </c>
      <c r="R30" s="198" t="s">
        <v>818</v>
      </c>
      <c r="V30" s="198"/>
    </row>
    <row r="31" spans="2:22" x14ac:dyDescent="0.2">
      <c r="B31" s="199">
        <v>24</v>
      </c>
      <c r="C31" s="200" t="s">
        <v>819</v>
      </c>
      <c r="D31" s="194" t="s">
        <v>253</v>
      </c>
      <c r="E31" s="195">
        <v>2</v>
      </c>
      <c r="F31" s="561">
        <v>1.56</v>
      </c>
      <c r="G31" s="187"/>
      <c r="H31" s="77"/>
      <c r="I31" s="29">
        <f xml:space="preserve"> IF( SUM( K31:M31 ) = 0, 0, $L$5 )</f>
        <v>0</v>
      </c>
      <c r="J31" s="187"/>
      <c r="L31" s="120">
        <f xml:space="preserve"> IF( ISNUMBER( F31 ), 0, 1 )</f>
        <v>0</v>
      </c>
      <c r="N31" s="147"/>
      <c r="O31" s="145"/>
      <c r="P31" s="189"/>
      <c r="Q31" s="189"/>
      <c r="V31" s="198"/>
    </row>
    <row r="32" spans="2:22" x14ac:dyDescent="0.2">
      <c r="B32" s="199">
        <v>25</v>
      </c>
      <c r="C32" s="201" t="s">
        <v>820</v>
      </c>
      <c r="D32" s="194" t="s">
        <v>253</v>
      </c>
      <c r="E32" s="195">
        <v>2</v>
      </c>
      <c r="F32" s="561">
        <v>7.69</v>
      </c>
      <c r="G32" s="187"/>
      <c r="H32" s="77"/>
      <c r="I32" s="29">
        <f xml:space="preserve"> IF( SUM( K32:M32 ) = 0, 0, $L$5 )</f>
        <v>0</v>
      </c>
      <c r="J32" s="187"/>
      <c r="K32" s="145"/>
      <c r="L32" s="120">
        <f xml:space="preserve"> IF( ISNUMBER( F32 ), 0, 1 )</f>
        <v>0</v>
      </c>
      <c r="M32" s="145"/>
      <c r="N32" s="147"/>
      <c r="O32" s="145"/>
      <c r="P32" s="189"/>
      <c r="Q32" s="189"/>
      <c r="S32" s="145"/>
      <c r="V32" s="198"/>
    </row>
    <row r="33" spans="1:22" x14ac:dyDescent="0.2">
      <c r="B33" s="199">
        <v>26</v>
      </c>
      <c r="C33" s="202" t="s">
        <v>821</v>
      </c>
      <c r="D33" s="194" t="s">
        <v>253</v>
      </c>
      <c r="E33" s="195">
        <v>2</v>
      </c>
      <c r="F33" s="561">
        <v>9.0399999999999991</v>
      </c>
      <c r="G33" s="187"/>
      <c r="H33" s="77"/>
      <c r="I33" s="29">
        <f xml:space="preserve"> IF( SUM( K33:M33 ) = 0, 0, $L$5 )</f>
        <v>0</v>
      </c>
      <c r="J33" s="187"/>
      <c r="K33" s="148"/>
      <c r="L33" s="120">
        <f xml:space="preserve"> IF( ISNUMBER( F33 ), 0, 1 )</f>
        <v>0</v>
      </c>
      <c r="M33" s="148"/>
      <c r="N33"/>
      <c r="O33" s="148"/>
      <c r="P33" s="189"/>
      <c r="S33" s="148"/>
      <c r="V33" s="198"/>
    </row>
    <row r="34" spans="1:22" x14ac:dyDescent="0.2">
      <c r="B34" s="199">
        <v>27</v>
      </c>
      <c r="C34" s="202" t="s">
        <v>822</v>
      </c>
      <c r="D34" s="194" t="s">
        <v>253</v>
      </c>
      <c r="E34" s="195">
        <v>2</v>
      </c>
      <c r="F34" s="563">
        <v>44.81</v>
      </c>
      <c r="G34" s="187"/>
      <c r="H34" s="77"/>
      <c r="I34" s="29">
        <f xml:space="preserve"> IF( SUM( K34:M34 ) = 0, 0, $L$5 )</f>
        <v>0</v>
      </c>
      <c r="J34" s="187"/>
      <c r="K34" s="148"/>
      <c r="L34" s="120">
        <f xml:space="preserve"> IF( ISNUMBER( F34 ), 0, 1 )</f>
        <v>0</v>
      </c>
      <c r="M34" s="148"/>
      <c r="N34"/>
      <c r="O34" s="148"/>
      <c r="P34" s="189"/>
      <c r="S34" s="148"/>
      <c r="V34" s="198"/>
    </row>
    <row r="35" spans="1:22" ht="15" thickBot="1" x14ac:dyDescent="0.25">
      <c r="B35" s="203">
        <v>28</v>
      </c>
      <c r="C35" s="129" t="s">
        <v>823</v>
      </c>
      <c r="D35" s="204" t="s">
        <v>253</v>
      </c>
      <c r="E35" s="205">
        <v>2</v>
      </c>
      <c r="F35" s="564">
        <v>36.9</v>
      </c>
      <c r="G35" s="187"/>
      <c r="H35" s="77">
        <f xml:space="preserve"> IF( SUM( M35:O35 ) = 0, 0, R35 )</f>
        <v>0</v>
      </c>
      <c r="I35" s="29">
        <f xml:space="preserve"> IF( SUM( K35:M35 ) = 0, 0, $L$5 )</f>
        <v>0</v>
      </c>
      <c r="J35" s="187"/>
      <c r="K35" s="148"/>
      <c r="L35" s="120">
        <f xml:space="preserve"> IF( ISNUMBER( F35 ), 0, 1 )</f>
        <v>0</v>
      </c>
      <c r="M35" s="148"/>
      <c r="N35" s="120">
        <f xml:space="preserve"> IF( (P35 - Q35) = 0, 0, 1 )</f>
        <v>0</v>
      </c>
      <c r="O35" s="145"/>
      <c r="P35" s="189">
        <f xml:space="preserve"> SUM( F31:F35 )</f>
        <v>100</v>
      </c>
      <c r="Q35" s="189">
        <v>100</v>
      </c>
      <c r="R35" s="198" t="s">
        <v>824</v>
      </c>
      <c r="S35" s="148"/>
      <c r="V35" s="198"/>
    </row>
    <row r="36" spans="1:22" x14ac:dyDescent="0.2">
      <c r="G36" s="187"/>
      <c r="H36" s="77"/>
      <c r="J36" s="187"/>
      <c r="L36" s="146"/>
      <c r="N36" s="137"/>
      <c r="O36" s="148"/>
    </row>
    <row r="37" spans="1:22" s="137" customFormat="1" x14ac:dyDescent="0.2">
      <c r="C37" s="174"/>
      <c r="G37" s="187"/>
      <c r="H37" s="77"/>
      <c r="J37" s="144"/>
      <c r="K37" s="96"/>
      <c r="L37" s="146"/>
      <c r="M37" s="96"/>
      <c r="N37" s="99"/>
      <c r="O37" s="148"/>
      <c r="P37" s="99"/>
      <c r="Q37" s="99"/>
      <c r="R37" s="99"/>
      <c r="S37" s="96"/>
      <c r="T37" s="144"/>
    </row>
    <row r="38" spans="1:22" s="187" customFormat="1" x14ac:dyDescent="0.2">
      <c r="B38" s="703" t="s">
        <v>90</v>
      </c>
      <c r="C38" s="703"/>
      <c r="H38" s="77"/>
      <c r="J38" s="150"/>
      <c r="K38" s="96"/>
      <c r="L38" s="95"/>
      <c r="M38" s="96"/>
      <c r="N38" s="99"/>
      <c r="O38" s="148"/>
      <c r="P38" s="99"/>
      <c r="Q38" s="99"/>
      <c r="R38" s="99"/>
      <c r="S38" s="96"/>
      <c r="T38" s="150"/>
    </row>
    <row r="39" spans="1:22" s="187" customFormat="1" x14ac:dyDescent="0.2">
      <c r="B39" s="162"/>
      <c r="C39" s="163"/>
      <c r="H39" s="77"/>
      <c r="J39" s="150"/>
      <c r="K39" s="96"/>
      <c r="L39" s="95"/>
      <c r="M39" s="96"/>
      <c r="N39" s="99"/>
      <c r="O39" s="148"/>
      <c r="P39" s="95"/>
      <c r="Q39" s="95"/>
      <c r="R39" s="95"/>
      <c r="S39" s="96"/>
      <c r="T39" s="150"/>
    </row>
    <row r="40" spans="1:22" s="187" customFormat="1" x14ac:dyDescent="0.2">
      <c r="B40" s="30"/>
      <c r="C40" s="164" t="s">
        <v>91</v>
      </c>
      <c r="H40" s="77"/>
      <c r="J40" s="150"/>
      <c r="K40" s="96"/>
      <c r="L40" s="95"/>
      <c r="M40" s="96"/>
      <c r="N40" s="99"/>
      <c r="O40" s="148"/>
      <c r="S40" s="96"/>
      <c r="T40" s="150"/>
    </row>
    <row r="41" spans="1:22" s="187" customFormat="1" x14ac:dyDescent="0.2">
      <c r="B41" s="162"/>
      <c r="C41" s="163"/>
      <c r="H41" s="77"/>
      <c r="J41" s="150"/>
      <c r="K41" s="148"/>
      <c r="L41" s="95"/>
      <c r="M41" s="148"/>
      <c r="N41" s="99"/>
      <c r="O41" s="148"/>
      <c r="S41" s="148"/>
      <c r="T41" s="150"/>
    </row>
    <row r="42" spans="1:22" s="187" customFormat="1" x14ac:dyDescent="0.2">
      <c r="B42" s="165"/>
      <c r="C42" s="164" t="s">
        <v>92</v>
      </c>
      <c r="H42" s="99"/>
      <c r="J42" s="150"/>
      <c r="K42" s="96"/>
      <c r="L42" s="95"/>
      <c r="M42" s="96"/>
      <c r="N42" s="99"/>
      <c r="O42" s="96"/>
      <c r="S42" s="96"/>
      <c r="T42" s="150"/>
    </row>
    <row r="43" spans="1:22" s="187" customFormat="1" x14ac:dyDescent="0.2">
      <c r="B43" s="166"/>
      <c r="C43" s="164"/>
      <c r="H43" s="99"/>
      <c r="J43" s="150"/>
      <c r="K43" s="96"/>
      <c r="L43" s="95"/>
      <c r="M43" s="96"/>
      <c r="N43" s="99"/>
      <c r="O43" s="96"/>
      <c r="S43" s="96"/>
      <c r="T43" s="150"/>
    </row>
    <row r="44" spans="1:22" s="187" customFormat="1" x14ac:dyDescent="0.2">
      <c r="B44" s="167"/>
      <c r="C44" s="164" t="s">
        <v>93</v>
      </c>
      <c r="H44" s="99"/>
      <c r="J44" s="150"/>
      <c r="K44" s="96"/>
      <c r="L44" s="95"/>
      <c r="M44" s="96"/>
      <c r="N44" s="99"/>
      <c r="O44" s="96"/>
      <c r="S44" s="96"/>
      <c r="T44" s="150"/>
    </row>
    <row r="45" spans="1:22" s="206" customFormat="1" x14ac:dyDescent="0.2">
      <c r="A45" s="172"/>
      <c r="B45" s="172"/>
      <c r="C45" s="173"/>
      <c r="H45" s="99"/>
      <c r="J45" s="153"/>
      <c r="K45" s="96"/>
      <c r="L45" s="95"/>
      <c r="M45" s="96"/>
      <c r="N45" s="99"/>
      <c r="O45" s="96"/>
      <c r="P45" s="187"/>
      <c r="Q45" s="187"/>
      <c r="R45" s="187"/>
      <c r="S45" s="96"/>
      <c r="T45" s="150"/>
    </row>
    <row r="46" spans="1:22" s="206" customFormat="1" ht="15" thickBot="1" x14ac:dyDescent="0.25">
      <c r="C46" s="207"/>
      <c r="H46" s="99"/>
      <c r="J46" s="153"/>
      <c r="K46" s="96"/>
      <c r="L46" s="95"/>
      <c r="M46" s="96"/>
      <c r="N46" s="99"/>
      <c r="O46" s="96"/>
      <c r="P46" s="187"/>
      <c r="Q46" s="187"/>
      <c r="R46" s="187"/>
      <c r="S46" s="96"/>
      <c r="T46" s="150"/>
    </row>
    <row r="47" spans="1:22" s="137" customFormat="1" ht="21" thickBot="1" x14ac:dyDescent="0.25">
      <c r="B47" s="168" t="str">
        <f ca="1" xml:space="preserve"> RIGHT(CELL("filename", $A$1), LEN(CELL("filename", $A$1)) - SEARCH("]", CELL("filename", $A$1)))&amp;" - Line definitions"</f>
        <v>4H - Line definitions</v>
      </c>
      <c r="C47" s="169"/>
      <c r="D47" s="170"/>
      <c r="E47" s="170"/>
      <c r="F47" s="171"/>
      <c r="G47" s="206"/>
      <c r="H47" s="99"/>
      <c r="I47" s="206"/>
      <c r="K47" s="96"/>
      <c r="L47" s="95"/>
      <c r="M47" s="96"/>
      <c r="N47" s="99"/>
      <c r="O47" s="96"/>
      <c r="P47" s="206"/>
      <c r="Q47" s="206"/>
      <c r="R47" s="206"/>
      <c r="S47" s="96"/>
      <c r="T47" s="150"/>
    </row>
    <row r="48" spans="1:22" s="137" customFormat="1" x14ac:dyDescent="0.2">
      <c r="B48" s="172"/>
      <c r="C48" s="173"/>
      <c r="D48" s="99"/>
      <c r="E48" s="99"/>
      <c r="F48" s="99"/>
      <c r="H48" s="99"/>
      <c r="K48" s="96"/>
      <c r="L48" s="95"/>
      <c r="M48" s="96"/>
      <c r="N48" s="99"/>
      <c r="O48" s="96"/>
      <c r="P48" s="206"/>
      <c r="Q48" s="206"/>
      <c r="R48" s="206"/>
      <c r="S48" s="96"/>
      <c r="T48" s="150"/>
    </row>
    <row r="49" spans="2:20" s="137" customFormat="1" ht="30" customHeight="1" x14ac:dyDescent="0.2">
      <c r="C49" s="174"/>
      <c r="H49" s="99"/>
      <c r="K49" s="96"/>
      <c r="L49" s="95"/>
      <c r="M49" s="96"/>
      <c r="N49" s="99"/>
      <c r="O49" s="96"/>
      <c r="S49" s="96"/>
      <c r="T49" s="150"/>
    </row>
    <row r="50" spans="2:20" s="137" customFormat="1" ht="15" thickBot="1" x14ac:dyDescent="0.25">
      <c r="B50" s="99"/>
      <c r="C50" s="177"/>
      <c r="D50" s="99"/>
      <c r="E50" s="99"/>
      <c r="F50" s="99"/>
      <c r="H50" s="99"/>
      <c r="K50" s="96"/>
      <c r="L50" s="208">
        <v>1</v>
      </c>
      <c r="M50" s="96"/>
      <c r="N50" s="99"/>
      <c r="O50" s="96"/>
      <c r="S50" s="96"/>
      <c r="T50" s="144"/>
    </row>
    <row r="51" spans="2:20" s="206" customFormat="1" ht="15" thickBot="1" x14ac:dyDescent="0.25">
      <c r="B51" s="178" t="s">
        <v>94</v>
      </c>
      <c r="C51" s="857" t="s">
        <v>95</v>
      </c>
      <c r="D51" s="821"/>
      <c r="E51" s="821"/>
      <c r="F51" s="822"/>
      <c r="G51" s="137"/>
      <c r="H51" s="99"/>
      <c r="I51" s="137"/>
      <c r="J51" s="137"/>
      <c r="K51" s="96"/>
      <c r="L51" s="208">
        <v>1</v>
      </c>
      <c r="M51" s="96"/>
      <c r="N51" s="99"/>
      <c r="O51" s="96"/>
      <c r="P51" s="137"/>
      <c r="Q51" s="137"/>
      <c r="R51" s="137"/>
      <c r="S51" s="96"/>
      <c r="T51" s="144"/>
    </row>
    <row r="52" spans="2:20" s="206" customFormat="1" ht="14.1" customHeight="1" x14ac:dyDescent="0.2">
      <c r="B52" s="209">
        <v>1</v>
      </c>
      <c r="C52" s="773" t="s">
        <v>825</v>
      </c>
      <c r="D52" s="774"/>
      <c r="E52" s="774"/>
      <c r="F52" s="775"/>
      <c r="G52" s="137"/>
      <c r="H52" s="99"/>
      <c r="I52" s="137"/>
      <c r="J52" s="137"/>
      <c r="K52" s="96"/>
      <c r="L52" s="208">
        <v>1</v>
      </c>
      <c r="M52" s="96"/>
      <c r="N52" s="99"/>
      <c r="O52" s="96"/>
      <c r="P52" s="137"/>
      <c r="Q52" s="137"/>
      <c r="R52" s="137"/>
      <c r="S52" s="96"/>
      <c r="T52" s="144"/>
    </row>
    <row r="53" spans="2:20" ht="25.5" x14ac:dyDescent="0.2">
      <c r="B53" s="184">
        <f>B7</f>
        <v>2</v>
      </c>
      <c r="C53" s="768" t="s">
        <v>826</v>
      </c>
      <c r="D53" s="769"/>
      <c r="E53" s="769"/>
      <c r="F53" s="770"/>
      <c r="G53" s="137"/>
      <c r="I53" s="137"/>
      <c r="J53" s="137"/>
      <c r="L53" s="210" t="s">
        <v>101</v>
      </c>
      <c r="P53" s="137"/>
      <c r="Q53" s="137"/>
      <c r="R53" s="137"/>
    </row>
    <row r="54" spans="2:20" s="137" customFormat="1" ht="25.5" x14ac:dyDescent="0.2">
      <c r="B54" s="184">
        <v>3</v>
      </c>
      <c r="C54" s="768" t="s">
        <v>827</v>
      </c>
      <c r="D54" s="769"/>
      <c r="E54" s="769"/>
      <c r="F54" s="770"/>
      <c r="H54" s="99"/>
      <c r="K54" s="96"/>
      <c r="L54" s="210" t="s">
        <v>101</v>
      </c>
      <c r="M54" s="96"/>
      <c r="N54" s="99"/>
      <c r="O54" s="96"/>
      <c r="S54" s="96"/>
      <c r="T54" s="144"/>
    </row>
    <row r="55" spans="2:20" s="137" customFormat="1" ht="76.5" x14ac:dyDescent="0.2">
      <c r="B55" s="184">
        <f>B9</f>
        <v>4</v>
      </c>
      <c r="C55" s="768" t="s">
        <v>828</v>
      </c>
      <c r="D55" s="769"/>
      <c r="E55" s="769"/>
      <c r="F55" s="770"/>
      <c r="H55" s="99"/>
      <c r="K55" s="96"/>
      <c r="L55" s="210" t="s">
        <v>271</v>
      </c>
      <c r="M55" s="96"/>
      <c r="N55" s="99"/>
      <c r="O55" s="96"/>
      <c r="S55" s="96"/>
      <c r="T55" s="144"/>
    </row>
    <row r="56" spans="2:20" s="137" customFormat="1" ht="89.25" x14ac:dyDescent="0.2">
      <c r="B56" s="184">
        <f>B10</f>
        <v>5</v>
      </c>
      <c r="C56" s="768" t="s">
        <v>829</v>
      </c>
      <c r="D56" s="769"/>
      <c r="E56" s="769"/>
      <c r="F56" s="770"/>
      <c r="H56" s="99"/>
      <c r="K56" s="96"/>
      <c r="L56" s="210" t="s">
        <v>830</v>
      </c>
      <c r="M56" s="96"/>
      <c r="N56" s="99"/>
      <c r="O56" s="96"/>
      <c r="S56" s="96"/>
      <c r="T56" s="144"/>
    </row>
    <row r="57" spans="2:20" s="146" customFormat="1" ht="38.25" x14ac:dyDescent="0.2">
      <c r="B57" s="184">
        <f>B11</f>
        <v>6</v>
      </c>
      <c r="C57" s="768" t="s">
        <v>831</v>
      </c>
      <c r="D57" s="769"/>
      <c r="E57" s="769"/>
      <c r="F57" s="770"/>
      <c r="G57" s="137"/>
      <c r="H57" s="99"/>
      <c r="I57" s="137"/>
      <c r="J57" s="137"/>
      <c r="K57" s="96"/>
      <c r="L57" s="210" t="s">
        <v>98</v>
      </c>
      <c r="M57" s="96"/>
      <c r="N57" s="99"/>
      <c r="O57" s="96"/>
      <c r="P57" s="137"/>
      <c r="Q57" s="137"/>
      <c r="R57" s="137"/>
      <c r="S57" s="96"/>
      <c r="T57" s="144"/>
    </row>
    <row r="58" spans="2:20" s="146" customFormat="1" ht="25.5" x14ac:dyDescent="0.2">
      <c r="B58" s="184" t="s">
        <v>832</v>
      </c>
      <c r="C58" s="768" t="s">
        <v>833</v>
      </c>
      <c r="D58" s="769"/>
      <c r="E58" s="769"/>
      <c r="F58" s="770"/>
      <c r="G58" s="137"/>
      <c r="H58" s="99"/>
      <c r="I58" s="137"/>
      <c r="J58" s="137"/>
      <c r="K58" s="96"/>
      <c r="L58" s="210" t="s">
        <v>101</v>
      </c>
      <c r="M58" s="96"/>
      <c r="N58" s="99"/>
      <c r="O58" s="96"/>
      <c r="P58" s="137"/>
      <c r="Q58" s="137"/>
      <c r="R58" s="137"/>
      <c r="S58" s="96"/>
      <c r="T58" s="144"/>
    </row>
    <row r="59" spans="2:20" s="146" customFormat="1" ht="51" x14ac:dyDescent="0.2">
      <c r="B59" s="184">
        <f>+B14</f>
        <v>9</v>
      </c>
      <c r="C59" s="768" t="s">
        <v>834</v>
      </c>
      <c r="D59" s="769"/>
      <c r="E59" s="769"/>
      <c r="F59" s="770"/>
      <c r="G59" s="137"/>
      <c r="H59" s="99"/>
      <c r="I59" s="137"/>
      <c r="J59" s="137"/>
      <c r="K59" s="96"/>
      <c r="L59" s="210" t="s">
        <v>107</v>
      </c>
      <c r="M59" s="96"/>
      <c r="N59" s="99"/>
      <c r="O59" s="96"/>
      <c r="P59" s="137"/>
      <c r="Q59" s="137"/>
      <c r="R59" s="137"/>
      <c r="S59" s="96"/>
      <c r="T59" s="144"/>
    </row>
    <row r="60" spans="2:20" ht="63.75" x14ac:dyDescent="0.2">
      <c r="B60" s="184">
        <f t="shared" ref="B60:B61" si="1">+B15</f>
        <v>10</v>
      </c>
      <c r="C60" s="768" t="s">
        <v>835</v>
      </c>
      <c r="D60" s="769"/>
      <c r="E60" s="769"/>
      <c r="F60" s="770"/>
      <c r="G60" s="137"/>
      <c r="I60" s="137"/>
      <c r="J60" s="137"/>
      <c r="L60" s="210" t="s">
        <v>367</v>
      </c>
      <c r="P60" s="137"/>
      <c r="Q60" s="137"/>
      <c r="R60" s="137"/>
    </row>
    <row r="61" spans="2:20" ht="51" x14ac:dyDescent="0.2">
      <c r="B61" s="184">
        <f t="shared" si="1"/>
        <v>11</v>
      </c>
      <c r="C61" s="768" t="s">
        <v>836</v>
      </c>
      <c r="D61" s="769"/>
      <c r="E61" s="769"/>
      <c r="F61" s="770"/>
      <c r="G61" s="137"/>
      <c r="I61" s="137"/>
      <c r="J61" s="137"/>
      <c r="L61" s="210" t="s">
        <v>107</v>
      </c>
      <c r="P61" s="137"/>
      <c r="Q61" s="137"/>
      <c r="R61" s="137"/>
    </row>
    <row r="62" spans="2:20" ht="38.25" x14ac:dyDescent="0.2">
      <c r="B62" s="184">
        <f>+B17</f>
        <v>12</v>
      </c>
      <c r="C62" s="768" t="s">
        <v>837</v>
      </c>
      <c r="D62" s="769"/>
      <c r="E62" s="769"/>
      <c r="F62" s="770"/>
      <c r="G62" s="137"/>
      <c r="I62" s="137"/>
      <c r="J62" s="137"/>
      <c r="L62" s="210" t="s">
        <v>98</v>
      </c>
      <c r="P62" s="137"/>
      <c r="Q62" s="137"/>
      <c r="R62" s="137"/>
    </row>
    <row r="63" spans="2:20" ht="25.5" x14ac:dyDescent="0.2">
      <c r="B63" s="184">
        <f t="shared" ref="B63:B65" si="2">+B18</f>
        <v>13</v>
      </c>
      <c r="C63" s="768" t="s">
        <v>838</v>
      </c>
      <c r="D63" s="769"/>
      <c r="E63" s="769"/>
      <c r="F63" s="770"/>
      <c r="G63" s="137"/>
      <c r="I63" s="137"/>
      <c r="J63" s="137"/>
      <c r="L63" s="210" t="s">
        <v>101</v>
      </c>
      <c r="P63" s="137"/>
      <c r="Q63" s="137"/>
      <c r="R63" s="137"/>
    </row>
    <row r="64" spans="2:20" ht="63.75" x14ac:dyDescent="0.2">
      <c r="B64" s="184">
        <f t="shared" si="2"/>
        <v>14</v>
      </c>
      <c r="C64" s="768" t="s">
        <v>839</v>
      </c>
      <c r="D64" s="769"/>
      <c r="E64" s="769"/>
      <c r="F64" s="770"/>
      <c r="G64" s="137"/>
      <c r="I64" s="137"/>
      <c r="J64" s="137"/>
      <c r="L64" s="210" t="s">
        <v>367</v>
      </c>
      <c r="P64" s="137"/>
      <c r="Q64" s="137"/>
      <c r="R64" s="137"/>
    </row>
    <row r="65" spans="2:18" ht="25.5" x14ac:dyDescent="0.2">
      <c r="B65" s="184">
        <f t="shared" si="2"/>
        <v>15</v>
      </c>
      <c r="C65" s="768" t="s">
        <v>840</v>
      </c>
      <c r="D65" s="769"/>
      <c r="E65" s="769"/>
      <c r="F65" s="770"/>
      <c r="G65" s="137"/>
      <c r="I65" s="137"/>
      <c r="J65" s="137"/>
      <c r="L65" s="210" t="s">
        <v>101</v>
      </c>
      <c r="P65" s="137"/>
      <c r="Q65" s="137"/>
      <c r="R65" s="137"/>
    </row>
    <row r="66" spans="2:18" ht="25.5" x14ac:dyDescent="0.2">
      <c r="B66" s="184">
        <v>16</v>
      </c>
      <c r="C66" s="768" t="s">
        <v>841</v>
      </c>
      <c r="D66" s="769"/>
      <c r="E66" s="769"/>
      <c r="F66" s="770"/>
      <c r="G66" s="137"/>
      <c r="I66" s="137"/>
      <c r="J66" s="137"/>
      <c r="L66" s="210" t="s">
        <v>101</v>
      </c>
      <c r="P66" s="137"/>
      <c r="Q66" s="137"/>
      <c r="R66" s="137"/>
    </row>
    <row r="67" spans="2:18" ht="16.7" customHeight="1" x14ac:dyDescent="0.2">
      <c r="B67" s="184">
        <v>17</v>
      </c>
      <c r="C67" s="768" t="s">
        <v>842</v>
      </c>
      <c r="D67" s="769"/>
      <c r="E67" s="769"/>
      <c r="F67" s="770"/>
      <c r="G67" s="137"/>
      <c r="I67" s="137"/>
      <c r="J67" s="137"/>
      <c r="L67" s="208">
        <v>1</v>
      </c>
      <c r="P67" s="137"/>
      <c r="Q67" s="137"/>
      <c r="R67" s="137"/>
    </row>
    <row r="68" spans="2:18" ht="16.7" customHeight="1" x14ac:dyDescent="0.2">
      <c r="B68" s="184">
        <v>18</v>
      </c>
      <c r="C68" s="768" t="s">
        <v>843</v>
      </c>
      <c r="D68" s="769"/>
      <c r="E68" s="769"/>
      <c r="F68" s="770"/>
      <c r="G68" s="137"/>
      <c r="I68" s="137"/>
      <c r="J68" s="137"/>
      <c r="L68" s="208">
        <v>1</v>
      </c>
      <c r="P68" s="137"/>
      <c r="Q68" s="137"/>
      <c r="R68" s="137"/>
    </row>
    <row r="69" spans="2:18" ht="16.7" customHeight="1" x14ac:dyDescent="0.2">
      <c r="B69" s="184">
        <v>19</v>
      </c>
      <c r="C69" s="768" t="s">
        <v>844</v>
      </c>
      <c r="D69" s="769"/>
      <c r="E69" s="769"/>
      <c r="F69" s="770"/>
      <c r="G69" s="137"/>
      <c r="I69" s="137"/>
      <c r="J69" s="137"/>
      <c r="L69" s="208">
        <v>1</v>
      </c>
      <c r="P69" s="137"/>
      <c r="Q69" s="137"/>
      <c r="R69" s="137"/>
    </row>
    <row r="70" spans="2:18" ht="38.25" x14ac:dyDescent="0.2">
      <c r="B70" s="184">
        <v>20</v>
      </c>
      <c r="C70" s="768" t="s">
        <v>845</v>
      </c>
      <c r="D70" s="769"/>
      <c r="E70" s="769"/>
      <c r="F70" s="770"/>
      <c r="G70" s="137"/>
      <c r="I70" s="137"/>
      <c r="J70" s="137"/>
      <c r="L70" s="210" t="s">
        <v>98</v>
      </c>
      <c r="P70" s="137"/>
      <c r="Q70" s="137"/>
      <c r="R70" s="137"/>
    </row>
    <row r="71" spans="2:18" ht="25.5" x14ac:dyDescent="0.2">
      <c r="B71" s="184">
        <v>21</v>
      </c>
      <c r="C71" s="768" t="s">
        <v>846</v>
      </c>
      <c r="D71" s="769"/>
      <c r="E71" s="769"/>
      <c r="F71" s="770"/>
      <c r="G71" s="137"/>
      <c r="I71" s="137"/>
      <c r="J71" s="137"/>
      <c r="L71" s="210" t="s">
        <v>101</v>
      </c>
    </row>
    <row r="72" spans="2:18" ht="16.7" customHeight="1" x14ac:dyDescent="0.2">
      <c r="B72" s="184">
        <v>22</v>
      </c>
      <c r="C72" s="768" t="s">
        <v>847</v>
      </c>
      <c r="D72" s="769"/>
      <c r="E72" s="769"/>
      <c r="F72" s="770"/>
      <c r="G72" s="137"/>
      <c r="I72" s="137"/>
      <c r="J72" s="137"/>
      <c r="L72" s="208">
        <v>1</v>
      </c>
    </row>
    <row r="73" spans="2:18" ht="16.7" customHeight="1" x14ac:dyDescent="0.2">
      <c r="B73" s="184">
        <v>23</v>
      </c>
      <c r="C73" s="768" t="s">
        <v>848</v>
      </c>
      <c r="D73" s="769"/>
      <c r="E73" s="769"/>
      <c r="F73" s="770"/>
      <c r="G73" s="137"/>
      <c r="I73" s="137"/>
      <c r="J73" s="137"/>
      <c r="L73" s="208">
        <v>1</v>
      </c>
    </row>
    <row r="74" spans="2:18" ht="15" thickBot="1" x14ac:dyDescent="0.25">
      <c r="B74" s="211" t="s">
        <v>849</v>
      </c>
      <c r="C74" s="765" t="s">
        <v>850</v>
      </c>
      <c r="D74" s="766"/>
      <c r="E74" s="766"/>
      <c r="F74" s="767"/>
      <c r="G74" s="137"/>
      <c r="I74" s="137"/>
      <c r="J74" s="137"/>
      <c r="L74" s="210">
        <v>1</v>
      </c>
    </row>
    <row r="75" spans="2:18" x14ac:dyDescent="0.2">
      <c r="G75" s="137"/>
      <c r="I75" s="137"/>
      <c r="J75" s="137"/>
    </row>
    <row r="76" spans="2:18" hidden="1" x14ac:dyDescent="0.2">
      <c r="G76" s="137"/>
      <c r="I76" s="137"/>
      <c r="J76" s="137"/>
    </row>
    <row r="77" spans="2:18" hidden="1" x14ac:dyDescent="0.2">
      <c r="G77" s="137"/>
      <c r="I77" s="137"/>
      <c r="J77" s="137"/>
    </row>
    <row r="78" spans="2:18" hidden="1" x14ac:dyDescent="0.2">
      <c r="G78" s="137"/>
      <c r="I78" s="137"/>
      <c r="J78" s="137"/>
    </row>
    <row r="79" spans="2:18" x14ac:dyDescent="0.2"/>
    <row r="80" spans="2:18" x14ac:dyDescent="0.2"/>
    <row r="81" x14ac:dyDescent="0.2"/>
  </sheetData>
  <sheetProtection algorithmName="SHA-512" hashValue="qc13RcCg07MeYSQvbwstxRvpjVJgGetGUlvhho8LOtgYGOT4+bjIXgaitWVYwMBYyeZ0dkeBcEzi91VqX55HCg==" saltValue="gepa3FT/wT51bsVDvvC+Bw==" spinCount="100000" sheet="1" objects="1" scenarios="1"/>
  <mergeCells count="31">
    <mergeCell ref="H3:H4"/>
    <mergeCell ref="I3:I4"/>
    <mergeCell ref="C55:F55"/>
    <mergeCell ref="B3:C4"/>
    <mergeCell ref="D3:D4"/>
    <mergeCell ref="E3:E4"/>
    <mergeCell ref="F3:F4"/>
    <mergeCell ref="B38:C38"/>
    <mergeCell ref="C51:F51"/>
    <mergeCell ref="C52:F52"/>
    <mergeCell ref="C53:F53"/>
    <mergeCell ref="C54:F54"/>
    <mergeCell ref="C67:F67"/>
    <mergeCell ref="C56:F56"/>
    <mergeCell ref="C57:F57"/>
    <mergeCell ref="C58:F58"/>
    <mergeCell ref="C59:F59"/>
    <mergeCell ref="C60:F60"/>
    <mergeCell ref="C61:F61"/>
    <mergeCell ref="C62:F62"/>
    <mergeCell ref="C63:F63"/>
    <mergeCell ref="C64:F64"/>
    <mergeCell ref="C65:F65"/>
    <mergeCell ref="C66:F66"/>
    <mergeCell ref="C74:F74"/>
    <mergeCell ref="C68:F68"/>
    <mergeCell ref="C69:F69"/>
    <mergeCell ref="C70:F70"/>
    <mergeCell ref="C71:F71"/>
    <mergeCell ref="C72:F72"/>
    <mergeCell ref="C73:F73"/>
  </mergeCells>
  <conditionalFormatting sqref="H7:H41">
    <cfRule type="cellIs" dxfId="7" priority="3" operator="equal">
      <formula>0</formula>
    </cfRule>
  </conditionalFormatting>
  <conditionalFormatting sqref="I9:I16">
    <cfRule type="cellIs" dxfId="6" priority="1" operator="equal">
      <formula>0</formula>
    </cfRule>
  </conditionalFormatting>
  <conditionalFormatting sqref="I18:I19 I31:I35">
    <cfRule type="cellIs" dxfId="5" priority="4" operator="equal">
      <formula>0</formula>
    </cfRule>
  </conditionalFormatting>
  <printOptions horizontalCentered="1"/>
  <pageMargins left="0.39370078740157483" right="0.39370078740157483" top="0.78740157480314965" bottom="0.78740157480314965" header="0.31496062992125984" footer="0.31496062992125984"/>
  <pageSetup paperSize="8" scale="98" fitToHeight="0" orientation="portrait" r:id="rId1"/>
  <headerFooter>
    <oddHeader>&amp;L&amp;9&amp;K857362Page &amp;P of &amp;N&amp;C&amp;9 &amp;K8573622016 annual performance report tables (Jan 2016)&amp;R&amp;9&amp;G</oddHeader>
    <oddFooter>&amp;L&amp;9&amp;K857362&amp;A&amp;R&amp;9&amp;K857362Printed: &amp;D &amp;T</oddFooter>
  </headerFooter>
  <rowBreaks count="1" manualBreakCount="1">
    <brk id="46" max="25" man="1"/>
  </rowBreaks>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G74"/>
  <sheetViews>
    <sheetView showGridLines="0" zoomScaleNormal="100" workbookViewId="0">
      <selection activeCell="H9" sqref="H9"/>
    </sheetView>
  </sheetViews>
  <sheetFormatPr defaultColWidth="0" defaultRowHeight="14.25" zeroHeight="1" x14ac:dyDescent="0.2"/>
  <cols>
    <col min="1" max="1" width="3" customWidth="1"/>
    <col min="2" max="2" width="3.875" customWidth="1"/>
    <col min="3" max="3" width="36.5" customWidth="1"/>
    <col min="4" max="5" width="5.125" customWidth="1"/>
    <col min="6" max="11" width="10.625" customWidth="1"/>
    <col min="12" max="13" width="5.125" customWidth="1"/>
    <col min="14" max="15" width="10.625" customWidth="1"/>
    <col min="16" max="16" width="2.625" style="99" customWidth="1"/>
    <col min="17" max="17" width="19.125" style="99" customWidth="1"/>
    <col min="18" max="18" width="1.625" style="95" customWidth="1"/>
    <col min="19" max="19" width="1.625" style="96" hidden="1" customWidth="1"/>
    <col min="20" max="26" width="4.625" style="95" hidden="1" customWidth="1"/>
    <col min="27" max="27" width="1.625" style="96" hidden="1" customWidth="1"/>
    <col min="28" max="28" width="8.875" style="97" hidden="1" customWidth="1"/>
    <col min="29" max="29" width="1.625" style="96" hidden="1" customWidth="1"/>
    <col min="30" max="31" width="8.75" hidden="1" customWidth="1"/>
    <col min="32" max="32" width="77" hidden="1" customWidth="1"/>
    <col min="33" max="33" width="1.625" style="96" hidden="1" customWidth="1"/>
    <col min="34" max="16384" width="8.75" hidden="1"/>
  </cols>
  <sheetData>
    <row r="1" spans="2:33" ht="20.25" x14ac:dyDescent="0.2">
      <c r="B1" s="91" t="s">
        <v>851</v>
      </c>
      <c r="C1" s="91"/>
      <c r="D1" s="91"/>
      <c r="E1" s="91"/>
      <c r="F1" s="91"/>
      <c r="G1" s="91"/>
      <c r="H1" s="91"/>
      <c r="I1" s="91"/>
      <c r="J1" s="91"/>
      <c r="K1" s="92"/>
      <c r="L1" s="91"/>
      <c r="M1" s="91"/>
      <c r="N1" s="91"/>
      <c r="O1" s="93" t="str">
        <f>Validation!B3</f>
        <v>Yorkshire Water</v>
      </c>
      <c r="P1" s="91"/>
      <c r="Q1" s="94" t="s">
        <v>62</v>
      </c>
    </row>
    <row r="2" spans="2:33" ht="15" thickBot="1" x14ac:dyDescent="0.25">
      <c r="B2" s="98" t="s">
        <v>48</v>
      </c>
      <c r="Q2" s="95"/>
    </row>
    <row r="3" spans="2:33" s="95" customFormat="1" ht="24.6" customHeight="1" x14ac:dyDescent="0.2">
      <c r="B3" s="708" t="s">
        <v>63</v>
      </c>
      <c r="C3" s="709"/>
      <c r="D3" s="712" t="s">
        <v>64</v>
      </c>
      <c r="E3" s="714" t="s">
        <v>65</v>
      </c>
      <c r="F3" s="733" t="s">
        <v>852</v>
      </c>
      <c r="G3" s="734"/>
      <c r="H3" s="735"/>
      <c r="I3" s="733" t="s">
        <v>853</v>
      </c>
      <c r="J3" s="870"/>
      <c r="K3" s="699" t="s">
        <v>854</v>
      </c>
      <c r="L3" s="867" t="s">
        <v>64</v>
      </c>
      <c r="M3" s="714" t="s">
        <v>65</v>
      </c>
      <c r="N3" s="733" t="s">
        <v>855</v>
      </c>
      <c r="O3" s="870"/>
      <c r="P3" s="100"/>
      <c r="Q3" s="699" t="s">
        <v>856</v>
      </c>
      <c r="S3" s="96"/>
      <c r="T3" s="101" t="s">
        <v>73</v>
      </c>
      <c r="U3" s="102"/>
      <c r="V3" s="102"/>
      <c r="W3" s="102"/>
      <c r="X3" s="102"/>
      <c r="Y3" s="102"/>
      <c r="Z3" s="102"/>
      <c r="AA3" s="96"/>
      <c r="AB3" s="103" t="s">
        <v>54</v>
      </c>
      <c r="AC3" s="96"/>
      <c r="AD3" s="101" t="s">
        <v>278</v>
      </c>
      <c r="AE3" s="103"/>
      <c r="AF3" s="103"/>
      <c r="AG3" s="96"/>
    </row>
    <row r="4" spans="2:33" s="95" customFormat="1" ht="27.75" thickBot="1" x14ac:dyDescent="0.25">
      <c r="B4" s="710"/>
      <c r="C4" s="711"/>
      <c r="D4" s="871"/>
      <c r="E4" s="715"/>
      <c r="F4" s="104" t="s">
        <v>857</v>
      </c>
      <c r="G4" s="105" t="s">
        <v>858</v>
      </c>
      <c r="H4" s="106" t="s">
        <v>859</v>
      </c>
      <c r="I4" s="104" t="s">
        <v>860</v>
      </c>
      <c r="J4" s="106" t="s">
        <v>861</v>
      </c>
      <c r="K4" s="700"/>
      <c r="L4" s="868"/>
      <c r="M4" s="869"/>
      <c r="N4" s="104" t="s">
        <v>862</v>
      </c>
      <c r="O4" s="106" t="s">
        <v>863</v>
      </c>
      <c r="P4" s="99"/>
      <c r="Q4" s="701"/>
      <c r="R4" s="107"/>
      <c r="S4" s="96"/>
      <c r="AA4" s="96"/>
      <c r="AC4" s="96"/>
      <c r="AG4" s="96"/>
    </row>
    <row r="5" spans="2:33" ht="15" thickBot="1" x14ac:dyDescent="0.25"/>
    <row r="6" spans="2:33" ht="15" thickBot="1" x14ac:dyDescent="0.25">
      <c r="B6" s="108" t="s">
        <v>864</v>
      </c>
      <c r="C6" s="109"/>
    </row>
    <row r="7" spans="2:33" ht="15.75" thickBot="1" x14ac:dyDescent="0.3">
      <c r="B7" s="110" t="s">
        <v>124</v>
      </c>
      <c r="C7" s="111" t="s">
        <v>865</v>
      </c>
      <c r="D7" s="71"/>
      <c r="E7" s="71"/>
      <c r="F7" s="71"/>
      <c r="G7" s="71"/>
      <c r="H7" s="71"/>
      <c r="L7" s="71"/>
      <c r="M7" s="71"/>
      <c r="T7" s="112" t="s">
        <v>74</v>
      </c>
    </row>
    <row r="8" spans="2:33" x14ac:dyDescent="0.2">
      <c r="B8" s="113">
        <v>1</v>
      </c>
      <c r="C8" s="114" t="s">
        <v>866</v>
      </c>
      <c r="D8" s="115" t="s">
        <v>76</v>
      </c>
      <c r="E8" s="116">
        <v>3</v>
      </c>
      <c r="F8" s="42">
        <v>0</v>
      </c>
      <c r="G8" s="43">
        <v>0</v>
      </c>
      <c r="H8" s="44">
        <v>475</v>
      </c>
      <c r="I8" s="117">
        <f>SUM(F8:H8)</f>
        <v>475</v>
      </c>
      <c r="J8" s="44">
        <v>23.055</v>
      </c>
      <c r="K8" s="45">
        <v>0</v>
      </c>
      <c r="L8" s="118" t="s">
        <v>253</v>
      </c>
      <c r="M8" s="116">
        <v>2</v>
      </c>
      <c r="N8" s="46">
        <v>2.0499999999999998</v>
      </c>
      <c r="O8" s="47">
        <v>0</v>
      </c>
      <c r="P8" s="119"/>
      <c r="Q8" s="29">
        <f xml:space="preserve"> IF( SUM( S8:AA8 ) = 0, 0, $T$7 )</f>
        <v>0</v>
      </c>
      <c r="T8" s="120">
        <f xml:space="preserve"> IF( ISNUMBER( F8 ), 0, 1 )</f>
        <v>0</v>
      </c>
      <c r="U8" s="120">
        <f t="shared" ref="U8:V10" si="0" xml:space="preserve"> IF( ISNUMBER( G8 ), 0, 1 )</f>
        <v>0</v>
      </c>
      <c r="V8" s="120">
        <f t="shared" si="0"/>
        <v>0</v>
      </c>
      <c r="W8" s="120">
        <f xml:space="preserve"> IF( ISNUMBER( J8 ), 0, 1 )</f>
        <v>0</v>
      </c>
      <c r="X8" s="120">
        <f xml:space="preserve"> IF( ISNUMBER( K8 ), 0, 1 )</f>
        <v>0</v>
      </c>
      <c r="Y8" s="120">
        <f xml:space="preserve"> IF( ISNUMBER( N8 ), 0, 1 )</f>
        <v>0</v>
      </c>
      <c r="Z8" s="120">
        <f xml:space="preserve"> IF( ISNUMBER( O8 ), 0, 1 )</f>
        <v>0</v>
      </c>
      <c r="AD8" s="28"/>
      <c r="AE8" s="28"/>
      <c r="AF8" s="28"/>
    </row>
    <row r="9" spans="2:33" x14ac:dyDescent="0.2">
      <c r="B9" s="121">
        <v>2</v>
      </c>
      <c r="C9" s="114" t="s">
        <v>867</v>
      </c>
      <c r="D9" s="122" t="s">
        <v>76</v>
      </c>
      <c r="E9" s="123">
        <v>3</v>
      </c>
      <c r="F9" s="48">
        <v>0</v>
      </c>
      <c r="G9" s="49">
        <v>0</v>
      </c>
      <c r="H9" s="50">
        <v>1289</v>
      </c>
      <c r="I9" s="124">
        <f t="shared" ref="I9:I10" si="1">SUM(F9:H9)</f>
        <v>1289</v>
      </c>
      <c r="J9" s="50">
        <v>-2390.6997894400001</v>
      </c>
      <c r="K9" s="51">
        <v>150.21975723</v>
      </c>
      <c r="L9" s="125" t="s">
        <v>253</v>
      </c>
      <c r="M9" s="123">
        <v>2</v>
      </c>
      <c r="N9" s="52">
        <v>2.5299999999999998</v>
      </c>
      <c r="O9" s="53">
        <v>0</v>
      </c>
      <c r="P9" s="119"/>
      <c r="Q9" s="29">
        <f t="shared" ref="Q9:Q10" si="2" xml:space="preserve"> IF( SUM( S9:AA9 ) = 0, 0, $T$7 )</f>
        <v>0</v>
      </c>
      <c r="T9" s="120">
        <f t="shared" ref="T9:T10" si="3" xml:space="preserve"> IF( ISNUMBER( F9 ), 0, 1 )</f>
        <v>0</v>
      </c>
      <c r="U9" s="120">
        <f t="shared" si="0"/>
        <v>0</v>
      </c>
      <c r="V9" s="120">
        <f t="shared" si="0"/>
        <v>0</v>
      </c>
      <c r="W9" s="120">
        <f t="shared" ref="W9:X10" si="4" xml:space="preserve"> IF( ISNUMBER( J9 ), 0, 1 )</f>
        <v>0</v>
      </c>
      <c r="X9" s="120">
        <f t="shared" si="4"/>
        <v>0</v>
      </c>
      <c r="Y9" s="120">
        <f t="shared" ref="Y9:Z10" si="5" xml:space="preserve"> IF( ISNUMBER( N9 ), 0, 1 )</f>
        <v>0</v>
      </c>
      <c r="Z9" s="120">
        <f t="shared" si="5"/>
        <v>0</v>
      </c>
      <c r="AD9" s="28"/>
      <c r="AE9" s="28"/>
      <c r="AF9" s="28"/>
    </row>
    <row r="10" spans="2:33" ht="14.45" customHeight="1" thickBot="1" x14ac:dyDescent="0.25">
      <c r="B10" s="121">
        <v>3</v>
      </c>
      <c r="C10" s="114" t="s">
        <v>868</v>
      </c>
      <c r="D10" s="122" t="s">
        <v>76</v>
      </c>
      <c r="E10" s="123">
        <v>3</v>
      </c>
      <c r="F10" s="48">
        <v>0</v>
      </c>
      <c r="G10" s="49">
        <v>0</v>
      </c>
      <c r="H10" s="50">
        <v>0</v>
      </c>
      <c r="I10" s="124">
        <f t="shared" si="1"/>
        <v>0</v>
      </c>
      <c r="J10" s="50">
        <v>0</v>
      </c>
      <c r="K10" s="51">
        <v>0</v>
      </c>
      <c r="L10" s="126" t="s">
        <v>253</v>
      </c>
      <c r="M10" s="127">
        <v>2</v>
      </c>
      <c r="N10" s="54">
        <v>0</v>
      </c>
      <c r="O10" s="55">
        <v>0</v>
      </c>
      <c r="P10" s="119"/>
      <c r="Q10" s="29">
        <f t="shared" si="2"/>
        <v>0</v>
      </c>
      <c r="T10" s="120">
        <f t="shared" si="3"/>
        <v>0</v>
      </c>
      <c r="U10" s="120">
        <f t="shared" si="0"/>
        <v>0</v>
      </c>
      <c r="V10" s="120">
        <f t="shared" si="0"/>
        <v>0</v>
      </c>
      <c r="W10" s="120">
        <f t="shared" si="4"/>
        <v>0</v>
      </c>
      <c r="X10" s="120">
        <f t="shared" si="4"/>
        <v>0</v>
      </c>
      <c r="Y10" s="120">
        <f t="shared" si="5"/>
        <v>0</v>
      </c>
      <c r="Z10" s="120">
        <f t="shared" si="5"/>
        <v>0</v>
      </c>
      <c r="AD10" s="28"/>
      <c r="AE10" s="28"/>
      <c r="AF10" s="28"/>
    </row>
    <row r="11" spans="2:33" ht="14.45" customHeight="1" thickBot="1" x14ac:dyDescent="0.25">
      <c r="B11" s="128">
        <v>4</v>
      </c>
      <c r="C11" s="129" t="s">
        <v>246</v>
      </c>
      <c r="D11" s="130" t="s">
        <v>76</v>
      </c>
      <c r="E11" s="127">
        <v>3</v>
      </c>
      <c r="F11" s="131">
        <f>SUM(F8:F10)</f>
        <v>0</v>
      </c>
      <c r="G11" s="132">
        <f t="shared" ref="G11:K11" si="6">SUM(G8:G10)</f>
        <v>0</v>
      </c>
      <c r="H11" s="133">
        <f t="shared" si="6"/>
        <v>1764</v>
      </c>
      <c r="I11" s="131">
        <f t="shared" si="6"/>
        <v>1764</v>
      </c>
      <c r="J11" s="133">
        <f t="shared" si="6"/>
        <v>-2367.6447894400003</v>
      </c>
      <c r="K11" s="134">
        <f t="shared" si="6"/>
        <v>150.21975723</v>
      </c>
      <c r="N11" s="135"/>
      <c r="O11" s="135"/>
      <c r="P11" s="119"/>
      <c r="Q11" s="136"/>
      <c r="AD11" s="28"/>
      <c r="AE11" s="28"/>
      <c r="AF11" s="28"/>
    </row>
    <row r="12" spans="2:33" ht="14.45" customHeight="1" thickBot="1" x14ac:dyDescent="0.25">
      <c r="D12" s="137"/>
      <c r="E12" s="137"/>
      <c r="F12" s="138"/>
      <c r="G12" s="138"/>
      <c r="H12" s="138"/>
      <c r="I12" s="138"/>
      <c r="J12" s="139"/>
      <c r="K12" s="139"/>
      <c r="L12" s="137"/>
      <c r="M12" s="137"/>
      <c r="N12" s="135"/>
      <c r="O12" s="135"/>
      <c r="P12" s="119"/>
      <c r="Q12" s="136"/>
      <c r="AD12" s="28"/>
      <c r="AE12" s="28"/>
      <c r="AF12" s="28"/>
    </row>
    <row r="13" spans="2:33" ht="14.45" customHeight="1" thickBot="1" x14ac:dyDescent="0.25">
      <c r="B13" s="140" t="s">
        <v>133</v>
      </c>
      <c r="C13" s="141" t="s">
        <v>869</v>
      </c>
      <c r="D13" s="142"/>
      <c r="E13" s="142"/>
      <c r="F13" s="139"/>
      <c r="G13" s="139"/>
      <c r="H13" s="139"/>
      <c r="I13" s="139"/>
      <c r="J13" s="139"/>
      <c r="K13" s="139"/>
      <c r="L13" s="142"/>
      <c r="M13" s="142"/>
      <c r="N13" s="135"/>
      <c r="O13" s="135"/>
      <c r="P13" s="2"/>
      <c r="Q13" s="136"/>
      <c r="AD13" s="28"/>
      <c r="AE13" s="28"/>
      <c r="AF13" s="28"/>
    </row>
    <row r="14" spans="2:33" ht="14.45" customHeight="1" x14ac:dyDescent="0.2">
      <c r="B14" s="113">
        <f xml:space="preserve"> B11 + 1</f>
        <v>5</v>
      </c>
      <c r="C14" s="143" t="s">
        <v>870</v>
      </c>
      <c r="D14" s="115" t="s">
        <v>871</v>
      </c>
      <c r="E14" s="116">
        <v>3</v>
      </c>
      <c r="F14" s="42">
        <v>0</v>
      </c>
      <c r="G14" s="43">
        <v>219.9392037491811</v>
      </c>
      <c r="H14" s="44">
        <v>66.008396901302106</v>
      </c>
      <c r="I14" s="117">
        <f>SUM(F14:H14)</f>
        <v>285.9476006504832</v>
      </c>
      <c r="J14" s="44">
        <v>43.086486490000006</v>
      </c>
      <c r="K14" s="56">
        <v>0</v>
      </c>
      <c r="L14" s="118" t="s">
        <v>253</v>
      </c>
      <c r="M14" s="116">
        <v>2</v>
      </c>
      <c r="N14" s="46">
        <v>1.6646844796712246</v>
      </c>
      <c r="O14" s="47">
        <v>0</v>
      </c>
      <c r="P14" s="119"/>
      <c r="Q14" s="29">
        <f xml:space="preserve"> IF( SUM( S14:AA14 ) = 0, 0, $T$7 )</f>
        <v>0</v>
      </c>
      <c r="T14" s="120">
        <f xml:space="preserve"> IF( ISNUMBER( F14 ), 0, 1 )</f>
        <v>0</v>
      </c>
      <c r="U14" s="120">
        <f t="shared" ref="U14:V17" si="7" xml:space="preserve"> IF( ISNUMBER( G14 ), 0, 1 )</f>
        <v>0</v>
      </c>
      <c r="V14" s="120">
        <f t="shared" si="7"/>
        <v>0</v>
      </c>
      <c r="W14" s="120">
        <f xml:space="preserve"> IF( ISNUMBER( J14 ), 0, 1 )</f>
        <v>0</v>
      </c>
      <c r="X14" s="120">
        <f xml:space="preserve"> IF( ISNUMBER( K14 ), 0, 1 )</f>
        <v>0</v>
      </c>
      <c r="Y14" s="120">
        <f xml:space="preserve"> IF( ISNUMBER( N14 ), 0, 1 )</f>
        <v>0</v>
      </c>
      <c r="Z14" s="120">
        <f xml:space="preserve"> IF( ISNUMBER( O14 ), 0, 1 )</f>
        <v>0</v>
      </c>
      <c r="AD14" s="28"/>
      <c r="AE14" s="28"/>
      <c r="AF14" s="28"/>
    </row>
    <row r="15" spans="2:33" ht="14.45" customHeight="1" x14ac:dyDescent="0.2">
      <c r="B15" s="121">
        <f xml:space="preserve"> B14 + 1</f>
        <v>6</v>
      </c>
      <c r="C15" s="114" t="s">
        <v>872</v>
      </c>
      <c r="D15" s="122" t="s">
        <v>871</v>
      </c>
      <c r="E15" s="123">
        <v>3</v>
      </c>
      <c r="F15" s="48">
        <v>0</v>
      </c>
      <c r="G15" s="49">
        <v>0</v>
      </c>
      <c r="H15" s="50">
        <v>0</v>
      </c>
      <c r="I15" s="124">
        <f t="shared" ref="I15" si="8">SUM(F15:H15)</f>
        <v>0</v>
      </c>
      <c r="J15" s="50">
        <v>0</v>
      </c>
      <c r="K15" s="57">
        <v>0</v>
      </c>
      <c r="L15" s="125" t="s">
        <v>253</v>
      </c>
      <c r="M15" s="123">
        <v>2</v>
      </c>
      <c r="N15" s="52">
        <v>0</v>
      </c>
      <c r="O15" s="53">
        <v>0</v>
      </c>
      <c r="P15" s="119"/>
      <c r="Q15" s="29">
        <f t="shared" ref="Q15:Q17" si="9" xml:space="preserve"> IF( SUM( S15:AA15 ) = 0, 0, $T$7 )</f>
        <v>0</v>
      </c>
      <c r="T15" s="120">
        <f t="shared" ref="T15:T17" si="10" xml:space="preserve"> IF( ISNUMBER( F15 ), 0, 1 )</f>
        <v>0</v>
      </c>
      <c r="U15" s="120">
        <f t="shared" si="7"/>
        <v>0</v>
      </c>
      <c r="V15" s="120">
        <f t="shared" si="7"/>
        <v>0</v>
      </c>
      <c r="W15" s="120">
        <f t="shared" ref="W15:X17" si="11" xml:space="preserve"> IF( ISNUMBER( J15 ), 0, 1 )</f>
        <v>0</v>
      </c>
      <c r="X15" s="120">
        <f t="shared" si="11"/>
        <v>0</v>
      </c>
      <c r="Y15" s="120">
        <f t="shared" ref="Y15:Z17" si="12" xml:space="preserve"> IF( ISNUMBER( N15 ), 0, 1 )</f>
        <v>0</v>
      </c>
      <c r="Z15" s="120">
        <f t="shared" si="12"/>
        <v>0</v>
      </c>
      <c r="AD15" s="28"/>
      <c r="AE15" s="28"/>
      <c r="AF15" s="28"/>
    </row>
    <row r="16" spans="2:33" ht="14.45" customHeight="1" x14ac:dyDescent="0.2">
      <c r="B16" s="121">
        <f t="shared" ref="B16:B18" si="13" xml:space="preserve"> B15 + 1</f>
        <v>7</v>
      </c>
      <c r="C16" s="114" t="s">
        <v>873</v>
      </c>
      <c r="D16" s="122" t="s">
        <v>871</v>
      </c>
      <c r="E16" s="123">
        <v>3</v>
      </c>
      <c r="F16" s="48">
        <v>0</v>
      </c>
      <c r="G16" s="49">
        <v>0</v>
      </c>
      <c r="H16" s="50">
        <v>0</v>
      </c>
      <c r="I16" s="124">
        <f>SUM(F16:H16)</f>
        <v>0</v>
      </c>
      <c r="J16" s="50">
        <v>0</v>
      </c>
      <c r="K16" s="57">
        <v>0</v>
      </c>
      <c r="L16" s="125" t="s">
        <v>253</v>
      </c>
      <c r="M16" s="123">
        <v>2</v>
      </c>
      <c r="N16" s="52">
        <v>0</v>
      </c>
      <c r="O16" s="53">
        <v>0</v>
      </c>
      <c r="P16" s="2"/>
      <c r="Q16" s="29">
        <f t="shared" si="9"/>
        <v>0</v>
      </c>
      <c r="T16" s="120">
        <f t="shared" si="10"/>
        <v>0</v>
      </c>
      <c r="U16" s="120">
        <f t="shared" si="7"/>
        <v>0</v>
      </c>
      <c r="V16" s="120">
        <f t="shared" si="7"/>
        <v>0</v>
      </c>
      <c r="W16" s="120">
        <f t="shared" si="11"/>
        <v>0</v>
      </c>
      <c r="X16" s="120">
        <f t="shared" si="11"/>
        <v>0</v>
      </c>
      <c r="Y16" s="120">
        <f t="shared" si="12"/>
        <v>0</v>
      </c>
      <c r="Z16" s="120">
        <f t="shared" si="12"/>
        <v>0</v>
      </c>
      <c r="AD16" s="28"/>
      <c r="AE16" s="28"/>
      <c r="AF16" s="28"/>
    </row>
    <row r="17" spans="2:33" ht="14.45" customHeight="1" thickBot="1" x14ac:dyDescent="0.25">
      <c r="B17" s="121">
        <f t="shared" si="13"/>
        <v>8</v>
      </c>
      <c r="C17" s="114" t="s">
        <v>874</v>
      </c>
      <c r="D17" s="122" t="s">
        <v>871</v>
      </c>
      <c r="E17" s="123">
        <v>3</v>
      </c>
      <c r="F17" s="48">
        <v>0</v>
      </c>
      <c r="G17" s="49">
        <v>0</v>
      </c>
      <c r="H17" s="50">
        <v>33.799999999999997</v>
      </c>
      <c r="I17" s="124">
        <f t="shared" ref="I17" si="14">SUM(F17:H17)</f>
        <v>33.799999999999997</v>
      </c>
      <c r="J17" s="50">
        <v>-5.4912001500000001</v>
      </c>
      <c r="K17" s="57">
        <v>0</v>
      </c>
      <c r="L17" s="126" t="s">
        <v>253</v>
      </c>
      <c r="M17" s="127">
        <v>2</v>
      </c>
      <c r="N17" s="54">
        <v>1.4500000000000002</v>
      </c>
      <c r="O17" s="55">
        <v>0</v>
      </c>
      <c r="P17" s="2"/>
      <c r="Q17" s="29">
        <f t="shared" si="9"/>
        <v>0</v>
      </c>
      <c r="T17" s="120">
        <f t="shared" si="10"/>
        <v>0</v>
      </c>
      <c r="U17" s="120">
        <f t="shared" si="7"/>
        <v>0</v>
      </c>
      <c r="V17" s="120">
        <f t="shared" si="7"/>
        <v>0</v>
      </c>
      <c r="W17" s="120">
        <f t="shared" si="11"/>
        <v>0</v>
      </c>
      <c r="X17" s="120">
        <f t="shared" si="11"/>
        <v>0</v>
      </c>
      <c r="Y17" s="120">
        <f t="shared" si="12"/>
        <v>0</v>
      </c>
      <c r="Z17" s="120">
        <f t="shared" si="12"/>
        <v>0</v>
      </c>
      <c r="AD17" s="28"/>
      <c r="AE17" s="28"/>
      <c r="AF17" s="28"/>
    </row>
    <row r="18" spans="2:33" ht="15.6" customHeight="1" thickBot="1" x14ac:dyDescent="0.25">
      <c r="B18" s="128">
        <f t="shared" si="13"/>
        <v>9</v>
      </c>
      <c r="C18" s="129" t="s">
        <v>246</v>
      </c>
      <c r="D18" s="130" t="s">
        <v>871</v>
      </c>
      <c r="E18" s="127">
        <v>3</v>
      </c>
      <c r="F18" s="131">
        <f>SUM(F14:F17)</f>
        <v>0</v>
      </c>
      <c r="G18" s="132">
        <f t="shared" ref="G18:J18" si="15">SUM(G14:G17)</f>
        <v>219.9392037491811</v>
      </c>
      <c r="H18" s="133">
        <f t="shared" si="15"/>
        <v>99.808396901302103</v>
      </c>
      <c r="I18" s="131">
        <f t="shared" si="15"/>
        <v>319.74760065048321</v>
      </c>
      <c r="J18" s="133">
        <f t="shared" si="15"/>
        <v>37.595286340000008</v>
      </c>
      <c r="K18" s="134">
        <f>SUM(K14:K17)</f>
        <v>0</v>
      </c>
      <c r="L18" s="142"/>
      <c r="M18" s="142"/>
      <c r="N18" s="135"/>
      <c r="O18" s="135"/>
      <c r="P18" s="119"/>
      <c r="Q18" s="136"/>
      <c r="R18" s="144"/>
      <c r="S18" s="145"/>
      <c r="T18" s="146"/>
      <c r="U18" s="144"/>
      <c r="V18" s="144"/>
      <c r="W18" s="144"/>
      <c r="X18" s="144"/>
      <c r="Y18" s="144"/>
      <c r="Z18" s="144"/>
      <c r="AA18" s="145"/>
      <c r="AC18" s="145"/>
      <c r="AD18" s="28"/>
      <c r="AE18" s="28"/>
      <c r="AF18" s="28"/>
      <c r="AG18" s="145"/>
    </row>
    <row r="19" spans="2:33" ht="15.6" customHeight="1" thickBot="1" x14ac:dyDescent="0.25">
      <c r="B19" s="147"/>
      <c r="C19" s="98"/>
      <c r="D19" s="142"/>
      <c r="E19" s="142"/>
      <c r="F19" s="139"/>
      <c r="G19" s="139"/>
      <c r="H19" s="139"/>
      <c r="I19" s="139"/>
      <c r="J19" s="139"/>
      <c r="K19" s="139"/>
      <c r="L19" s="142"/>
      <c r="M19" s="142"/>
      <c r="N19" s="135"/>
      <c r="O19" s="135"/>
      <c r="P19" s="119"/>
      <c r="Q19" s="136"/>
      <c r="R19" s="144"/>
      <c r="S19" s="145"/>
      <c r="T19" s="146"/>
      <c r="U19" s="144"/>
      <c r="V19" s="144"/>
      <c r="W19" s="144"/>
      <c r="X19" s="144"/>
      <c r="Y19" s="144"/>
      <c r="Z19" s="144"/>
      <c r="AA19" s="145"/>
      <c r="AC19" s="145"/>
      <c r="AD19" s="28"/>
      <c r="AE19" s="28"/>
      <c r="AF19" s="28"/>
      <c r="AG19" s="145"/>
    </row>
    <row r="20" spans="2:33" ht="15" thickBot="1" x14ac:dyDescent="0.25">
      <c r="B20" s="140" t="s">
        <v>139</v>
      </c>
      <c r="C20" s="141" t="s">
        <v>875</v>
      </c>
      <c r="D20" s="142"/>
      <c r="E20" s="142"/>
      <c r="F20" s="139"/>
      <c r="G20" s="139"/>
      <c r="H20" s="139"/>
      <c r="I20" s="139"/>
      <c r="J20" s="139"/>
      <c r="K20" s="139"/>
      <c r="L20" s="142"/>
      <c r="M20" s="142"/>
      <c r="N20" s="135"/>
      <c r="O20" s="135"/>
      <c r="P20" s="119"/>
      <c r="Q20" s="136"/>
      <c r="R20" s="144"/>
      <c r="S20" s="145"/>
      <c r="T20" s="146"/>
      <c r="U20" s="144"/>
      <c r="V20" s="144"/>
      <c r="W20" s="144"/>
      <c r="X20" s="144"/>
      <c r="Y20" s="144"/>
      <c r="Z20" s="144"/>
      <c r="AA20" s="145"/>
      <c r="AC20" s="145"/>
      <c r="AD20" s="28"/>
      <c r="AE20" s="28"/>
      <c r="AF20" s="28"/>
      <c r="AG20" s="145"/>
    </row>
    <row r="21" spans="2:33" x14ac:dyDescent="0.2">
      <c r="B21" s="113">
        <v>10</v>
      </c>
      <c r="C21" s="143" t="s">
        <v>876</v>
      </c>
      <c r="D21" s="115" t="s">
        <v>871</v>
      </c>
      <c r="E21" s="116">
        <v>3</v>
      </c>
      <c r="F21" s="42">
        <v>0</v>
      </c>
      <c r="G21" s="43">
        <v>0</v>
      </c>
      <c r="H21" s="44">
        <v>0</v>
      </c>
      <c r="I21" s="117">
        <f>SUM(F21:H21)</f>
        <v>0</v>
      </c>
      <c r="J21" s="44">
        <v>0</v>
      </c>
      <c r="K21" s="58">
        <v>0</v>
      </c>
      <c r="L21" s="118" t="s">
        <v>253</v>
      </c>
      <c r="M21" s="116">
        <v>2</v>
      </c>
      <c r="N21" s="46">
        <v>0</v>
      </c>
      <c r="O21" s="47">
        <v>0</v>
      </c>
      <c r="P21" s="119"/>
      <c r="Q21" s="29">
        <f t="shared" ref="Q21:Q24" si="16" xml:space="preserve"> IF( SUM( S21:AA21 ) = 0, 0, $T$7 )</f>
        <v>0</v>
      </c>
      <c r="T21" s="120">
        <f t="shared" ref="T21:V24" si="17" xml:space="preserve"> IF( ISNUMBER( F21 ), 0, 1 )</f>
        <v>0</v>
      </c>
      <c r="U21" s="120">
        <f t="shared" si="17"/>
        <v>0</v>
      </c>
      <c r="V21" s="120">
        <f t="shared" si="17"/>
        <v>0</v>
      </c>
      <c r="W21" s="120">
        <f t="shared" ref="W21:X24" si="18" xml:space="preserve"> IF( ISNUMBER( J21 ), 0, 1 )</f>
        <v>0</v>
      </c>
      <c r="X21" s="120">
        <f t="shared" si="18"/>
        <v>0</v>
      </c>
      <c r="Y21" s="120">
        <f t="shared" ref="Y21:Z24" si="19" xml:space="preserve"> IF( ISNUMBER( N21 ), 0, 1 )</f>
        <v>0</v>
      </c>
      <c r="Z21" s="120">
        <f t="shared" si="19"/>
        <v>0</v>
      </c>
      <c r="AD21" s="28"/>
      <c r="AE21" s="28"/>
      <c r="AF21" s="28"/>
    </row>
    <row r="22" spans="2:33" x14ac:dyDescent="0.2">
      <c r="B22" s="121">
        <v>11</v>
      </c>
      <c r="C22" s="114" t="s">
        <v>877</v>
      </c>
      <c r="D22" s="122" t="s">
        <v>871</v>
      </c>
      <c r="E22" s="123">
        <v>3</v>
      </c>
      <c r="F22" s="48">
        <v>0</v>
      </c>
      <c r="G22" s="49">
        <v>0</v>
      </c>
      <c r="H22" s="50">
        <v>0</v>
      </c>
      <c r="I22" s="124">
        <f t="shared" ref="I22:I24" si="20">SUM(F22:H22)</f>
        <v>0</v>
      </c>
      <c r="J22" s="50">
        <v>0</v>
      </c>
      <c r="K22" s="59">
        <v>0</v>
      </c>
      <c r="L22" s="125" t="s">
        <v>253</v>
      </c>
      <c r="M22" s="123">
        <v>2</v>
      </c>
      <c r="N22" s="52">
        <v>0</v>
      </c>
      <c r="O22" s="53">
        <v>0</v>
      </c>
      <c r="P22" s="119"/>
      <c r="Q22" s="29">
        <f t="shared" si="16"/>
        <v>0</v>
      </c>
      <c r="T22" s="120">
        <f t="shared" si="17"/>
        <v>0</v>
      </c>
      <c r="U22" s="120">
        <f t="shared" si="17"/>
        <v>0</v>
      </c>
      <c r="V22" s="120">
        <f t="shared" si="17"/>
        <v>0</v>
      </c>
      <c r="W22" s="120">
        <f t="shared" si="18"/>
        <v>0</v>
      </c>
      <c r="X22" s="120">
        <f t="shared" si="18"/>
        <v>0</v>
      </c>
      <c r="Y22" s="120">
        <f t="shared" si="19"/>
        <v>0</v>
      </c>
      <c r="Z22" s="120">
        <f t="shared" si="19"/>
        <v>0</v>
      </c>
      <c r="AD22" s="28"/>
      <c r="AE22" s="28"/>
      <c r="AF22" s="28"/>
    </row>
    <row r="23" spans="2:33" x14ac:dyDescent="0.2">
      <c r="B23" s="121">
        <v>12</v>
      </c>
      <c r="C23" s="114" t="s">
        <v>878</v>
      </c>
      <c r="D23" s="122" t="s">
        <v>871</v>
      </c>
      <c r="E23" s="123">
        <v>3</v>
      </c>
      <c r="F23" s="48">
        <v>0</v>
      </c>
      <c r="G23" s="49">
        <v>0</v>
      </c>
      <c r="H23" s="50">
        <v>0</v>
      </c>
      <c r="I23" s="124">
        <f>SUM(F23:H23)</f>
        <v>0</v>
      </c>
      <c r="J23" s="50">
        <v>0</v>
      </c>
      <c r="K23" s="59">
        <v>0</v>
      </c>
      <c r="L23" s="125" t="s">
        <v>253</v>
      </c>
      <c r="M23" s="123">
        <v>2</v>
      </c>
      <c r="N23" s="52">
        <v>0</v>
      </c>
      <c r="O23" s="53">
        <v>0</v>
      </c>
      <c r="P23" s="119"/>
      <c r="Q23" s="29">
        <f t="shared" si="16"/>
        <v>0</v>
      </c>
      <c r="T23" s="120">
        <f t="shared" si="17"/>
        <v>0</v>
      </c>
      <c r="U23" s="120">
        <f t="shared" si="17"/>
        <v>0</v>
      </c>
      <c r="V23" s="120">
        <f t="shared" si="17"/>
        <v>0</v>
      </c>
      <c r="W23" s="120">
        <f t="shared" si="18"/>
        <v>0</v>
      </c>
      <c r="X23" s="120">
        <f t="shared" si="18"/>
        <v>0</v>
      </c>
      <c r="Y23" s="120">
        <f t="shared" si="19"/>
        <v>0</v>
      </c>
      <c r="Z23" s="120">
        <f t="shared" si="19"/>
        <v>0</v>
      </c>
      <c r="AA23" s="148"/>
      <c r="AC23" s="148"/>
      <c r="AD23" s="28"/>
      <c r="AE23" s="28"/>
      <c r="AF23" s="28"/>
      <c r="AG23" s="148"/>
    </row>
    <row r="24" spans="2:33" ht="15" thickBot="1" x14ac:dyDescent="0.25">
      <c r="B24" s="121">
        <v>13</v>
      </c>
      <c r="C24" s="114" t="s">
        <v>879</v>
      </c>
      <c r="D24" s="122" t="s">
        <v>871</v>
      </c>
      <c r="E24" s="123">
        <v>3</v>
      </c>
      <c r="F24" s="48">
        <v>0</v>
      </c>
      <c r="G24" s="49">
        <v>0</v>
      </c>
      <c r="H24" s="50">
        <v>0</v>
      </c>
      <c r="I24" s="124">
        <f t="shared" si="20"/>
        <v>0</v>
      </c>
      <c r="J24" s="50">
        <v>0</v>
      </c>
      <c r="K24" s="60">
        <v>0</v>
      </c>
      <c r="L24" s="126" t="s">
        <v>253</v>
      </c>
      <c r="M24" s="127">
        <v>2</v>
      </c>
      <c r="N24" s="54">
        <v>0</v>
      </c>
      <c r="O24" s="55">
        <v>0</v>
      </c>
      <c r="P24" s="119"/>
      <c r="Q24" s="29">
        <f t="shared" si="16"/>
        <v>0</v>
      </c>
      <c r="T24" s="120">
        <f t="shared" si="17"/>
        <v>0</v>
      </c>
      <c r="U24" s="120">
        <f t="shared" si="17"/>
        <v>0</v>
      </c>
      <c r="V24" s="120">
        <f t="shared" si="17"/>
        <v>0</v>
      </c>
      <c r="W24" s="120">
        <f t="shared" si="18"/>
        <v>0</v>
      </c>
      <c r="X24" s="120">
        <f t="shared" si="18"/>
        <v>0</v>
      </c>
      <c r="Y24" s="120">
        <f t="shared" si="19"/>
        <v>0</v>
      </c>
      <c r="Z24" s="120">
        <f t="shared" si="19"/>
        <v>0</v>
      </c>
      <c r="AA24" s="145"/>
      <c r="AC24" s="145"/>
      <c r="AD24" s="28"/>
      <c r="AE24" s="28"/>
      <c r="AF24" s="28"/>
      <c r="AG24" s="145"/>
    </row>
    <row r="25" spans="2:33" ht="15" thickBot="1" x14ac:dyDescent="0.25">
      <c r="B25" s="128">
        <v>14</v>
      </c>
      <c r="C25" s="129" t="s">
        <v>246</v>
      </c>
      <c r="D25" s="130" t="s">
        <v>871</v>
      </c>
      <c r="E25" s="127">
        <v>3</v>
      </c>
      <c r="F25" s="131">
        <f>SUM(F21:F24)</f>
        <v>0</v>
      </c>
      <c r="G25" s="132">
        <f t="shared" ref="G25:J25" si="21">SUM(G21:G24)</f>
        <v>0</v>
      </c>
      <c r="H25" s="133">
        <f t="shared" si="21"/>
        <v>0</v>
      </c>
      <c r="I25" s="131">
        <f t="shared" si="21"/>
        <v>0</v>
      </c>
      <c r="J25" s="133">
        <f t="shared" si="21"/>
        <v>0</v>
      </c>
      <c r="K25" s="149">
        <f>SUM(K21:K24)</f>
        <v>0</v>
      </c>
      <c r="L25" s="142"/>
      <c r="M25" s="142"/>
      <c r="N25" s="135"/>
      <c r="O25" s="135"/>
      <c r="P25" s="119"/>
      <c r="Q25" s="136"/>
      <c r="R25" s="144"/>
      <c r="S25" s="145"/>
      <c r="T25" s="146"/>
      <c r="U25" s="144"/>
      <c r="V25" s="144"/>
      <c r="W25" s="144"/>
      <c r="X25" s="144"/>
      <c r="Y25" s="144"/>
      <c r="Z25" s="144"/>
      <c r="AA25" s="145"/>
      <c r="AC25" s="145"/>
      <c r="AD25" s="28"/>
      <c r="AE25" s="28"/>
      <c r="AF25" s="28"/>
      <c r="AG25" s="145"/>
    </row>
    <row r="26" spans="2:33" ht="15" thickBot="1" x14ac:dyDescent="0.25">
      <c r="B26" s="147"/>
      <c r="C26" s="98"/>
      <c r="D26" s="142"/>
      <c r="E26" s="142"/>
      <c r="F26" s="139"/>
      <c r="G26" s="139"/>
      <c r="H26" s="139"/>
      <c r="I26" s="139"/>
      <c r="J26" s="139"/>
      <c r="K26" s="139"/>
      <c r="L26" s="142"/>
      <c r="M26" s="142"/>
      <c r="N26" s="135"/>
      <c r="O26" s="135"/>
      <c r="P26" s="119"/>
      <c r="Q26" s="136"/>
      <c r="R26" s="150"/>
      <c r="S26" s="145"/>
      <c r="T26" s="150"/>
      <c r="U26" s="150"/>
      <c r="V26" s="150"/>
      <c r="W26" s="150"/>
      <c r="X26" s="150"/>
      <c r="Y26" s="150"/>
      <c r="Z26" s="150"/>
      <c r="AA26" s="145"/>
      <c r="AC26" s="145"/>
      <c r="AG26" s="145"/>
    </row>
    <row r="27" spans="2:33" ht="15" thickBot="1" x14ac:dyDescent="0.25">
      <c r="B27" s="140" t="s">
        <v>148</v>
      </c>
      <c r="C27" s="141" t="s">
        <v>880</v>
      </c>
      <c r="D27" s="142"/>
      <c r="E27" s="142"/>
      <c r="F27" s="139"/>
      <c r="G27" s="139"/>
      <c r="H27" s="139"/>
      <c r="I27" s="139"/>
      <c r="J27" s="139"/>
      <c r="K27" s="139"/>
      <c r="L27" s="142"/>
      <c r="M27" s="142"/>
      <c r="N27" s="135"/>
      <c r="O27" s="135"/>
      <c r="P27" s="2"/>
      <c r="Q27" s="151"/>
      <c r="R27" s="150"/>
      <c r="S27" s="145"/>
      <c r="T27" s="150"/>
      <c r="U27" s="150"/>
      <c r="V27" s="150"/>
      <c r="W27" s="150"/>
      <c r="X27" s="150"/>
      <c r="Y27" s="150"/>
      <c r="Z27" s="150"/>
      <c r="AA27" s="145"/>
      <c r="AC27" s="145"/>
      <c r="AG27" s="145"/>
    </row>
    <row r="28" spans="2:33" x14ac:dyDescent="0.2">
      <c r="B28" s="113">
        <v>15</v>
      </c>
      <c r="C28" s="143" t="s">
        <v>881</v>
      </c>
      <c r="D28" s="115" t="s">
        <v>76</v>
      </c>
      <c r="E28" s="116">
        <v>3</v>
      </c>
      <c r="F28" s="42">
        <v>0</v>
      </c>
      <c r="G28" s="43">
        <v>0</v>
      </c>
      <c r="H28" s="44">
        <v>0</v>
      </c>
      <c r="I28" s="117">
        <f>SUM(F28:H28)</f>
        <v>0</v>
      </c>
      <c r="J28" s="44">
        <v>0</v>
      </c>
      <c r="K28" s="58">
        <v>0</v>
      </c>
      <c r="L28" s="118" t="s">
        <v>76</v>
      </c>
      <c r="M28" s="116">
        <v>3</v>
      </c>
      <c r="N28" s="42">
        <v>0</v>
      </c>
      <c r="O28" s="44">
        <v>0</v>
      </c>
      <c r="P28" s="2"/>
      <c r="Q28" s="29">
        <f t="shared" ref="Q28:Q31" si="22" xml:space="preserve"> IF( SUM( S28:AA28 ) = 0, 0, $T$7 )</f>
        <v>0</v>
      </c>
      <c r="T28" s="120">
        <f t="shared" ref="T28:V31" si="23" xml:space="preserve"> IF( ISNUMBER( F28 ), 0, 1 )</f>
        <v>0</v>
      </c>
      <c r="U28" s="120">
        <f t="shared" si="23"/>
        <v>0</v>
      </c>
      <c r="V28" s="120">
        <f t="shared" si="23"/>
        <v>0</v>
      </c>
      <c r="W28" s="120">
        <f t="shared" ref="W28:X31" si="24" xml:space="preserve"> IF( ISNUMBER( J28 ), 0, 1 )</f>
        <v>0</v>
      </c>
      <c r="X28" s="120">
        <f t="shared" si="24"/>
        <v>0</v>
      </c>
      <c r="Y28" s="120">
        <f t="shared" ref="Y28:Z31" si="25" xml:space="preserve"> IF( ISNUMBER( N28 ), 0, 1 )</f>
        <v>0</v>
      </c>
      <c r="Z28" s="120">
        <f t="shared" si="25"/>
        <v>0</v>
      </c>
    </row>
    <row r="29" spans="2:33" x14ac:dyDescent="0.2">
      <c r="B29" s="121">
        <v>16</v>
      </c>
      <c r="C29" s="114" t="s">
        <v>882</v>
      </c>
      <c r="D29" s="122" t="s">
        <v>76</v>
      </c>
      <c r="E29" s="123">
        <v>3</v>
      </c>
      <c r="F29" s="48">
        <v>0</v>
      </c>
      <c r="G29" s="49">
        <v>0</v>
      </c>
      <c r="H29" s="50">
        <v>0</v>
      </c>
      <c r="I29" s="124">
        <f t="shared" ref="I29" si="26">SUM(F29:H29)</f>
        <v>0</v>
      </c>
      <c r="J29" s="50">
        <v>0</v>
      </c>
      <c r="K29" s="59">
        <v>0</v>
      </c>
      <c r="L29" s="125" t="s">
        <v>76</v>
      </c>
      <c r="M29" s="123">
        <v>3</v>
      </c>
      <c r="N29" s="48">
        <v>0</v>
      </c>
      <c r="O29" s="50">
        <v>0</v>
      </c>
      <c r="P29" s="119"/>
      <c r="Q29" s="29">
        <f t="shared" si="22"/>
        <v>0</v>
      </c>
      <c r="T29" s="120">
        <f t="shared" si="23"/>
        <v>0</v>
      </c>
      <c r="U29" s="120">
        <f t="shared" si="23"/>
        <v>0</v>
      </c>
      <c r="V29" s="120">
        <f t="shared" si="23"/>
        <v>0</v>
      </c>
      <c r="W29" s="120">
        <f t="shared" si="24"/>
        <v>0</v>
      </c>
      <c r="X29" s="120">
        <f t="shared" si="24"/>
        <v>0</v>
      </c>
      <c r="Y29" s="120">
        <f t="shared" si="25"/>
        <v>0</v>
      </c>
      <c r="Z29" s="120">
        <f t="shared" si="25"/>
        <v>0</v>
      </c>
    </row>
    <row r="30" spans="2:33" x14ac:dyDescent="0.2">
      <c r="B30" s="121">
        <v>17</v>
      </c>
      <c r="C30" s="114" t="s">
        <v>883</v>
      </c>
      <c r="D30" s="122" t="s">
        <v>76</v>
      </c>
      <c r="E30" s="123">
        <v>3</v>
      </c>
      <c r="F30" s="48">
        <v>0</v>
      </c>
      <c r="G30" s="49">
        <v>0</v>
      </c>
      <c r="H30" s="50">
        <v>0</v>
      </c>
      <c r="I30" s="124">
        <f>SUM(F30:H30)</f>
        <v>0</v>
      </c>
      <c r="J30" s="50">
        <v>0</v>
      </c>
      <c r="K30" s="59">
        <v>0</v>
      </c>
      <c r="L30" s="125" t="s">
        <v>76</v>
      </c>
      <c r="M30" s="123">
        <v>3</v>
      </c>
      <c r="N30" s="48">
        <v>0</v>
      </c>
      <c r="O30" s="50">
        <v>0</v>
      </c>
      <c r="P30" s="119"/>
      <c r="Q30" s="29">
        <f t="shared" si="22"/>
        <v>0</v>
      </c>
      <c r="T30" s="120">
        <f t="shared" si="23"/>
        <v>0</v>
      </c>
      <c r="U30" s="120">
        <f t="shared" si="23"/>
        <v>0</v>
      </c>
      <c r="V30" s="120">
        <f t="shared" si="23"/>
        <v>0</v>
      </c>
      <c r="W30" s="120">
        <f t="shared" si="24"/>
        <v>0</v>
      </c>
      <c r="X30" s="120">
        <f t="shared" si="24"/>
        <v>0</v>
      </c>
      <c r="Y30" s="120">
        <f t="shared" si="25"/>
        <v>0</v>
      </c>
      <c r="Z30" s="120">
        <f t="shared" si="25"/>
        <v>0</v>
      </c>
      <c r="AB30" s="147"/>
    </row>
    <row r="31" spans="2:33" ht="15" thickBot="1" x14ac:dyDescent="0.25">
      <c r="B31" s="121">
        <v>18</v>
      </c>
      <c r="C31" s="114" t="s">
        <v>884</v>
      </c>
      <c r="D31" s="122" t="s">
        <v>76</v>
      </c>
      <c r="E31" s="123">
        <v>3</v>
      </c>
      <c r="F31" s="48">
        <v>0</v>
      </c>
      <c r="G31" s="49">
        <v>0</v>
      </c>
      <c r="H31" s="50">
        <v>0</v>
      </c>
      <c r="I31" s="124">
        <f t="shared" ref="I31" si="27">SUM(F31:H31)</f>
        <v>0</v>
      </c>
      <c r="J31" s="50">
        <v>0</v>
      </c>
      <c r="K31" s="59">
        <v>0</v>
      </c>
      <c r="L31" s="126" t="s">
        <v>76</v>
      </c>
      <c r="M31" s="127">
        <v>3</v>
      </c>
      <c r="N31" s="61">
        <v>0</v>
      </c>
      <c r="O31" s="62">
        <v>0</v>
      </c>
      <c r="P31" s="119"/>
      <c r="Q31" s="29">
        <f t="shared" si="22"/>
        <v>0</v>
      </c>
      <c r="T31" s="120">
        <f t="shared" si="23"/>
        <v>0</v>
      </c>
      <c r="U31" s="120">
        <f t="shared" si="23"/>
        <v>0</v>
      </c>
      <c r="V31" s="120">
        <f t="shared" si="23"/>
        <v>0</v>
      </c>
      <c r="W31" s="120">
        <f t="shared" si="24"/>
        <v>0</v>
      </c>
      <c r="X31" s="120">
        <f t="shared" si="24"/>
        <v>0</v>
      </c>
      <c r="Y31" s="120">
        <f t="shared" si="25"/>
        <v>0</v>
      </c>
      <c r="Z31" s="120">
        <f t="shared" si="25"/>
        <v>0</v>
      </c>
    </row>
    <row r="32" spans="2:33" ht="15" thickBot="1" x14ac:dyDescent="0.25">
      <c r="B32" s="128">
        <v>19</v>
      </c>
      <c r="C32" s="129" t="s">
        <v>246</v>
      </c>
      <c r="D32" s="130" t="s">
        <v>871</v>
      </c>
      <c r="E32" s="127">
        <v>3</v>
      </c>
      <c r="F32" s="131">
        <f xml:space="preserve"> SUM( F28:F31 )</f>
        <v>0</v>
      </c>
      <c r="G32" s="132">
        <f t="shared" ref="G32:K32" si="28" xml:space="preserve"> SUM( G28:G31 )</f>
        <v>0</v>
      </c>
      <c r="H32" s="133">
        <f t="shared" si="28"/>
        <v>0</v>
      </c>
      <c r="I32" s="131">
        <f t="shared" si="28"/>
        <v>0</v>
      </c>
      <c r="J32" s="133">
        <f t="shared" si="28"/>
        <v>0</v>
      </c>
      <c r="K32" s="152">
        <f t="shared" si="28"/>
        <v>0</v>
      </c>
      <c r="L32" s="142"/>
      <c r="M32" s="142"/>
      <c r="N32" s="135"/>
      <c r="O32" s="135"/>
      <c r="P32" s="119"/>
      <c r="Q32" s="136"/>
      <c r="R32" s="144"/>
      <c r="S32" s="145"/>
      <c r="T32" s="146"/>
      <c r="U32" s="144"/>
      <c r="V32" s="144"/>
      <c r="W32" s="144"/>
      <c r="X32" s="144"/>
      <c r="Y32" s="144"/>
      <c r="Z32" s="144"/>
      <c r="AA32" s="145"/>
      <c r="AC32" s="145"/>
      <c r="AG32" s="145"/>
    </row>
    <row r="33" spans="2:33" ht="15" thickBot="1" x14ac:dyDescent="0.25">
      <c r="B33" s="147"/>
      <c r="C33" s="98"/>
      <c r="D33" s="142"/>
      <c r="E33" s="142"/>
      <c r="F33" s="139"/>
      <c r="G33" s="139"/>
      <c r="H33" s="139"/>
      <c r="I33" s="139"/>
      <c r="J33" s="139"/>
      <c r="K33" s="139"/>
      <c r="L33" s="142"/>
      <c r="M33" s="142"/>
      <c r="N33" s="135"/>
      <c r="O33" s="135"/>
      <c r="P33" s="119"/>
      <c r="Q33" s="136"/>
      <c r="R33" s="144"/>
      <c r="S33" s="148"/>
      <c r="T33" s="146"/>
      <c r="U33" s="144"/>
      <c r="V33" s="144"/>
      <c r="W33" s="144"/>
      <c r="X33" s="144"/>
      <c r="Y33" s="144"/>
      <c r="Z33" s="144"/>
      <c r="AA33" s="148"/>
      <c r="AC33" s="148"/>
      <c r="AG33" s="148"/>
    </row>
    <row r="34" spans="2:33" ht="15" thickBot="1" x14ac:dyDescent="0.25">
      <c r="B34" s="140" t="s">
        <v>155</v>
      </c>
      <c r="C34" s="141" t="s">
        <v>246</v>
      </c>
      <c r="D34" s="142"/>
      <c r="E34" s="142"/>
      <c r="F34" s="139"/>
      <c r="G34" s="139"/>
      <c r="H34" s="139"/>
      <c r="I34" s="139"/>
      <c r="J34" s="139"/>
      <c r="K34" s="139"/>
      <c r="L34" s="142"/>
      <c r="M34" s="142"/>
      <c r="N34" s="135"/>
      <c r="O34" s="135"/>
      <c r="P34" s="144"/>
      <c r="Q34" s="146"/>
      <c r="R34" s="144"/>
      <c r="S34" s="148"/>
      <c r="T34" s="153"/>
      <c r="U34" s="144"/>
      <c r="V34" s="144"/>
      <c r="W34" s="144"/>
      <c r="X34" s="144"/>
      <c r="Y34" s="144"/>
      <c r="Z34" s="144"/>
      <c r="AA34" s="148"/>
      <c r="AC34" s="148"/>
      <c r="AG34" s="148"/>
    </row>
    <row r="35" spans="2:33" ht="15" thickBot="1" x14ac:dyDescent="0.25">
      <c r="B35" s="154">
        <v>20</v>
      </c>
      <c r="C35" s="155" t="s">
        <v>246</v>
      </c>
      <c r="D35" s="156" t="s">
        <v>76</v>
      </c>
      <c r="E35" s="157">
        <v>3</v>
      </c>
      <c r="F35" s="158">
        <f xml:space="preserve"> F11 + F18 + F25 + F32</f>
        <v>0</v>
      </c>
      <c r="G35" s="159">
        <f t="shared" ref="G35:K35" si="29" xml:space="preserve"> G11 + G18 + G25 + G32</f>
        <v>219.9392037491811</v>
      </c>
      <c r="H35" s="160">
        <f xml:space="preserve"> H11 + H18 + H25 + H32</f>
        <v>1863.8083969013021</v>
      </c>
      <c r="I35" s="158">
        <f t="shared" si="29"/>
        <v>2083.747600650483</v>
      </c>
      <c r="J35" s="160">
        <f t="shared" si="29"/>
        <v>-2330.0495031000005</v>
      </c>
      <c r="K35" s="161">
        <f t="shared" si="29"/>
        <v>150.21975723</v>
      </c>
      <c r="L35" s="142"/>
      <c r="M35" s="142"/>
      <c r="N35" s="135"/>
      <c r="O35" s="135"/>
      <c r="P35" s="150"/>
      <c r="Q35" s="29" t="str">
        <f xml:space="preserve"> IF( SUM( AA35:AC35 ) = 0, 0, AF35 )</f>
        <v>Please provide explanation why 'Nominal value net' does not equal the 'Financial instruments' totals from table 1C.</v>
      </c>
      <c r="R35" s="144"/>
      <c r="S35" s="148"/>
      <c r="T35" s="146"/>
      <c r="U35" s="144"/>
      <c r="V35" s="144"/>
      <c r="W35" s="144"/>
      <c r="X35" s="144"/>
      <c r="Y35" s="144"/>
      <c r="Z35" s="144"/>
      <c r="AA35" s="148"/>
      <c r="AB35" s="120">
        <f xml:space="preserve"> IF( (AD35 - AE35) = 0, 0, 1 )</f>
        <v>1</v>
      </c>
      <c r="AC35" s="148"/>
      <c r="AD35" s="139">
        <f xml:space="preserve"> ROUND( I35, 3 )</f>
        <v>2083.748</v>
      </c>
      <c r="AE35" s="139">
        <f xml:space="preserve"> ROUND( ('1C'!J11 + '1C'!J18 + '1C'!J26 + '1C'!J35), 3 )</f>
        <v>-1529.028</v>
      </c>
      <c r="AF35" s="28" t="s">
        <v>885</v>
      </c>
      <c r="AG35" s="148"/>
    </row>
    <row r="36" spans="2:33" x14ac:dyDescent="0.2">
      <c r="B36" s="147"/>
      <c r="C36" s="98"/>
      <c r="D36" s="142"/>
      <c r="E36" s="142"/>
      <c r="L36" s="142"/>
      <c r="M36" s="142"/>
      <c r="N36" s="135"/>
      <c r="O36" s="135"/>
      <c r="P36" s="150"/>
      <c r="Q36" s="146"/>
      <c r="R36" s="137"/>
      <c r="S36" s="148"/>
      <c r="T36" s="137"/>
      <c r="U36" s="137"/>
      <c r="V36" s="137"/>
      <c r="W36" s="137"/>
      <c r="X36" s="137"/>
      <c r="Y36" s="137"/>
      <c r="Z36" s="137"/>
      <c r="AA36" s="148"/>
      <c r="AC36" s="148"/>
      <c r="AG36" s="148"/>
    </row>
    <row r="37" spans="2:33" x14ac:dyDescent="0.2">
      <c r="B37" s="703" t="s">
        <v>90</v>
      </c>
      <c r="C37" s="703"/>
      <c r="D37" s="142"/>
      <c r="E37" s="142"/>
      <c r="L37" s="142"/>
      <c r="M37" s="142"/>
      <c r="N37" s="135"/>
      <c r="O37" s="135"/>
      <c r="P37" s="150"/>
      <c r="R37" s="137"/>
      <c r="S37" s="148"/>
      <c r="T37" s="137"/>
      <c r="U37" s="137"/>
      <c r="V37" s="137"/>
      <c r="W37" s="137"/>
      <c r="X37" s="137"/>
      <c r="Y37" s="137"/>
      <c r="Z37" s="137"/>
      <c r="AA37" s="148"/>
      <c r="AC37" s="148"/>
      <c r="AG37" s="148"/>
    </row>
    <row r="38" spans="2:33" x14ac:dyDescent="0.2">
      <c r="B38" s="162"/>
      <c r="C38" s="163"/>
      <c r="D38" s="142"/>
      <c r="E38" s="142"/>
      <c r="L38" s="142"/>
      <c r="M38" s="142"/>
      <c r="P38" s="150"/>
      <c r="R38" s="146"/>
      <c r="S38" s="148"/>
      <c r="T38" s="146"/>
      <c r="U38" s="146"/>
      <c r="V38" s="146"/>
      <c r="W38" s="146"/>
      <c r="X38" s="146"/>
      <c r="Y38" s="146"/>
      <c r="Z38" s="146"/>
      <c r="AA38" s="148"/>
      <c r="AC38" s="148"/>
      <c r="AG38" s="148"/>
    </row>
    <row r="39" spans="2:33" x14ac:dyDescent="0.2">
      <c r="B39" s="30"/>
      <c r="C39" s="164" t="s">
        <v>91</v>
      </c>
      <c r="D39" s="142"/>
      <c r="E39" s="142"/>
      <c r="L39" s="142"/>
      <c r="M39" s="142"/>
      <c r="P39" s="150"/>
      <c r="R39" s="146"/>
      <c r="S39" s="148"/>
      <c r="T39" s="146"/>
      <c r="U39" s="146"/>
      <c r="V39" s="146"/>
      <c r="W39" s="146"/>
      <c r="X39" s="146"/>
      <c r="Y39" s="146"/>
      <c r="Z39" s="146"/>
      <c r="AA39" s="148"/>
      <c r="AC39" s="148"/>
      <c r="AG39" s="148"/>
    </row>
    <row r="40" spans="2:33" x14ac:dyDescent="0.2">
      <c r="B40" s="162"/>
      <c r="C40" s="163"/>
      <c r="D40" s="142"/>
      <c r="E40" s="142"/>
      <c r="L40" s="142"/>
      <c r="M40" s="142"/>
      <c r="P40" s="150"/>
      <c r="R40" s="146"/>
      <c r="S40" s="148"/>
      <c r="T40" s="146"/>
      <c r="U40" s="146"/>
      <c r="V40" s="146"/>
      <c r="W40" s="146"/>
      <c r="X40" s="146"/>
      <c r="Y40" s="146"/>
      <c r="Z40" s="146"/>
      <c r="AA40" s="148"/>
      <c r="AC40" s="148"/>
      <c r="AG40" s="148"/>
    </row>
    <row r="41" spans="2:33" x14ac:dyDescent="0.2">
      <c r="B41" s="165"/>
      <c r="C41" s="164" t="s">
        <v>92</v>
      </c>
      <c r="P41" s="150"/>
      <c r="S41" s="148"/>
      <c r="AA41" s="148"/>
      <c r="AC41" s="148"/>
      <c r="AG41" s="148"/>
    </row>
    <row r="42" spans="2:33" x14ac:dyDescent="0.2">
      <c r="B42" s="166"/>
      <c r="C42" s="164"/>
      <c r="P42" s="153"/>
    </row>
    <row r="43" spans="2:33" x14ac:dyDescent="0.2">
      <c r="B43" s="167"/>
      <c r="C43" s="164" t="s">
        <v>93</v>
      </c>
      <c r="P43" s="153"/>
    </row>
    <row r="44" spans="2:33" x14ac:dyDescent="0.2">
      <c r="B44" s="164"/>
      <c r="C44" s="164"/>
      <c r="P44" s="153"/>
    </row>
    <row r="45" spans="2:33" ht="15" thickBot="1" x14ac:dyDescent="0.25">
      <c r="B45" s="164"/>
      <c r="C45" s="164"/>
      <c r="P45" s="153"/>
      <c r="T45" s="137"/>
    </row>
    <row r="46" spans="2:33" ht="21" thickBot="1" x14ac:dyDescent="0.25">
      <c r="B46" s="168" t="str">
        <f ca="1" xml:space="preserve"> RIGHT(CELL("filename", $A$1), LEN(CELL("filename", $A$1)) - SEARCH("]", CELL("filename", $A$1)))&amp;" - Line definitions"</f>
        <v>4I - Line definitions</v>
      </c>
      <c r="C46" s="169"/>
      <c r="D46" s="170"/>
      <c r="E46" s="170"/>
      <c r="F46" s="170"/>
      <c r="G46" s="170"/>
      <c r="H46" s="170"/>
      <c r="I46" s="170"/>
      <c r="J46" s="170"/>
      <c r="K46" s="170"/>
      <c r="L46" s="170"/>
      <c r="M46" s="170"/>
      <c r="N46" s="170"/>
      <c r="O46" s="171"/>
      <c r="P46" s="2"/>
    </row>
    <row r="47" spans="2:33" x14ac:dyDescent="0.2">
      <c r="B47" s="172"/>
      <c r="C47" s="173"/>
      <c r="D47" s="99"/>
      <c r="E47" s="99"/>
      <c r="F47" s="99"/>
      <c r="G47" s="137"/>
      <c r="H47" s="137"/>
      <c r="I47" s="137"/>
      <c r="O47" t="s">
        <v>122</v>
      </c>
      <c r="P47" s="2"/>
    </row>
    <row r="48" spans="2:33" ht="32.450000000000003" customHeight="1" x14ac:dyDescent="0.2">
      <c r="B48" s="137"/>
      <c r="C48" s="174"/>
      <c r="D48" s="137"/>
      <c r="E48" s="137"/>
      <c r="F48" s="137"/>
      <c r="G48" s="137"/>
      <c r="H48" s="137"/>
      <c r="I48" s="137"/>
      <c r="P48" s="2"/>
    </row>
    <row r="49" spans="2:20" x14ac:dyDescent="0.2">
      <c r="B49" s="175"/>
      <c r="C49" s="174"/>
      <c r="D49" s="137"/>
      <c r="E49" s="137"/>
      <c r="F49" s="137"/>
      <c r="G49" s="137"/>
      <c r="H49" s="137"/>
      <c r="I49" s="137"/>
      <c r="P49" s="2"/>
    </row>
    <row r="50" spans="2:20" ht="15" thickBot="1" x14ac:dyDescent="0.25">
      <c r="B50" s="137"/>
      <c r="C50" s="174"/>
      <c r="D50" s="137"/>
      <c r="E50" s="137"/>
      <c r="F50" s="137"/>
      <c r="G50" s="137"/>
      <c r="H50" s="137"/>
      <c r="I50" s="144"/>
      <c r="P50" s="2"/>
    </row>
    <row r="51" spans="2:20" ht="21" thickBot="1" x14ac:dyDescent="0.25">
      <c r="B51" s="168" t="str">
        <f ca="1" xml:space="preserve"> RIGHT(CELL("filename", $A$1), LEN(CELL("filename", $A$1)) - SEARCH("]", CELL("filename", $A$1)))&amp;" - Line definitions"</f>
        <v>4I - Line definitions</v>
      </c>
      <c r="C51" s="169"/>
      <c r="D51" s="170"/>
      <c r="E51" s="170"/>
      <c r="F51" s="170"/>
      <c r="G51" s="170"/>
      <c r="H51" s="170"/>
      <c r="I51" s="170"/>
      <c r="J51" s="170"/>
      <c r="K51" s="170"/>
      <c r="L51" s="170"/>
      <c r="M51" s="170"/>
      <c r="N51" s="170"/>
      <c r="O51" s="176"/>
      <c r="P51" s="2"/>
    </row>
    <row r="52" spans="2:20" ht="15" thickBot="1" x14ac:dyDescent="0.25">
      <c r="B52" s="99"/>
      <c r="C52" s="177"/>
      <c r="D52" s="99"/>
      <c r="E52" s="99"/>
      <c r="F52" s="99"/>
      <c r="G52" s="137"/>
      <c r="H52" s="137"/>
      <c r="I52" s="144"/>
      <c r="P52" s="2"/>
    </row>
    <row r="53" spans="2:20" ht="15" thickBot="1" x14ac:dyDescent="0.25">
      <c r="B53" s="178" t="s">
        <v>94</v>
      </c>
      <c r="C53" s="179" t="s">
        <v>95</v>
      </c>
      <c r="D53" s="180"/>
      <c r="E53" s="180"/>
      <c r="F53" s="180"/>
      <c r="G53" s="180"/>
      <c r="H53" s="180"/>
      <c r="I53" s="180"/>
      <c r="J53" s="180"/>
      <c r="K53" s="180"/>
      <c r="L53" s="180"/>
      <c r="M53" s="180"/>
      <c r="N53" s="180"/>
      <c r="O53" s="181"/>
      <c r="P53" s="2"/>
      <c r="T53" s="112" t="s">
        <v>96</v>
      </c>
    </row>
    <row r="54" spans="2:20" x14ac:dyDescent="0.2">
      <c r="B54" s="182">
        <v>1</v>
      </c>
      <c r="C54" s="864" t="s">
        <v>886</v>
      </c>
      <c r="D54" s="865"/>
      <c r="E54" s="865"/>
      <c r="F54" s="865"/>
      <c r="G54" s="865"/>
      <c r="H54" s="865"/>
      <c r="I54" s="865"/>
      <c r="J54" s="865"/>
      <c r="K54" s="865"/>
      <c r="L54" s="865"/>
      <c r="M54" s="865"/>
      <c r="N54" s="865"/>
      <c r="O54" s="866"/>
      <c r="P54" s="2"/>
      <c r="T54" s="183">
        <v>1</v>
      </c>
    </row>
    <row r="55" spans="2:20" x14ac:dyDescent="0.2">
      <c r="B55" s="184">
        <v>2</v>
      </c>
      <c r="C55" s="861" t="s">
        <v>887</v>
      </c>
      <c r="D55" s="862"/>
      <c r="E55" s="862"/>
      <c r="F55" s="862"/>
      <c r="G55" s="862"/>
      <c r="H55" s="862"/>
      <c r="I55" s="862"/>
      <c r="J55" s="862"/>
      <c r="K55" s="862"/>
      <c r="L55" s="862"/>
      <c r="M55" s="862"/>
      <c r="N55" s="862"/>
      <c r="O55" s="863"/>
      <c r="P55" s="2"/>
      <c r="T55" s="183">
        <v>1</v>
      </c>
    </row>
    <row r="56" spans="2:20" x14ac:dyDescent="0.2">
      <c r="B56" s="184">
        <v>3</v>
      </c>
      <c r="C56" s="861" t="s">
        <v>888</v>
      </c>
      <c r="D56" s="862"/>
      <c r="E56" s="862"/>
      <c r="F56" s="862"/>
      <c r="G56" s="862"/>
      <c r="H56" s="862"/>
      <c r="I56" s="862"/>
      <c r="J56" s="862"/>
      <c r="K56" s="862"/>
      <c r="L56" s="862"/>
      <c r="M56" s="862"/>
      <c r="N56" s="862"/>
      <c r="O56" s="863"/>
      <c r="P56" s="2"/>
      <c r="T56" s="183">
        <v>1</v>
      </c>
    </row>
    <row r="57" spans="2:20" x14ac:dyDescent="0.2">
      <c r="B57" s="184">
        <v>4</v>
      </c>
      <c r="C57" s="861" t="s">
        <v>889</v>
      </c>
      <c r="D57" s="862"/>
      <c r="E57" s="862"/>
      <c r="F57" s="862"/>
      <c r="G57" s="862"/>
      <c r="H57" s="862"/>
      <c r="I57" s="862"/>
      <c r="J57" s="862"/>
      <c r="K57" s="862"/>
      <c r="L57" s="862"/>
      <c r="M57" s="862"/>
      <c r="N57" s="862"/>
      <c r="O57" s="863"/>
      <c r="P57" s="2"/>
      <c r="T57" s="183">
        <v>1</v>
      </c>
    </row>
    <row r="58" spans="2:20" x14ac:dyDescent="0.2">
      <c r="B58" s="184">
        <v>5</v>
      </c>
      <c r="C58" s="861" t="s">
        <v>890</v>
      </c>
      <c r="D58" s="862"/>
      <c r="E58" s="862"/>
      <c r="F58" s="862"/>
      <c r="G58" s="862"/>
      <c r="H58" s="862"/>
      <c r="I58" s="862"/>
      <c r="J58" s="862"/>
      <c r="K58" s="862"/>
      <c r="L58" s="862"/>
      <c r="M58" s="862"/>
      <c r="N58" s="862"/>
      <c r="O58" s="863"/>
      <c r="P58" s="2"/>
      <c r="T58" s="183">
        <v>1</v>
      </c>
    </row>
    <row r="59" spans="2:20" x14ac:dyDescent="0.2">
      <c r="B59" s="184">
        <v>6</v>
      </c>
      <c r="C59" s="861" t="s">
        <v>891</v>
      </c>
      <c r="D59" s="862"/>
      <c r="E59" s="862"/>
      <c r="F59" s="862"/>
      <c r="G59" s="862"/>
      <c r="H59" s="862"/>
      <c r="I59" s="862"/>
      <c r="J59" s="862"/>
      <c r="K59" s="862"/>
      <c r="L59" s="862"/>
      <c r="M59" s="862"/>
      <c r="N59" s="862"/>
      <c r="O59" s="863"/>
      <c r="P59" s="2"/>
      <c r="T59" s="183">
        <v>1</v>
      </c>
    </row>
    <row r="60" spans="2:20" x14ac:dyDescent="0.2">
      <c r="B60" s="184">
        <v>7</v>
      </c>
      <c r="C60" s="861" t="s">
        <v>892</v>
      </c>
      <c r="D60" s="862"/>
      <c r="E60" s="862"/>
      <c r="F60" s="862"/>
      <c r="G60" s="862"/>
      <c r="H60" s="862"/>
      <c r="I60" s="862"/>
      <c r="J60" s="862"/>
      <c r="K60" s="862"/>
      <c r="L60" s="862"/>
      <c r="M60" s="862"/>
      <c r="N60" s="862"/>
      <c r="O60" s="863"/>
      <c r="P60" s="2"/>
      <c r="T60" s="183">
        <v>1</v>
      </c>
    </row>
    <row r="61" spans="2:20" x14ac:dyDescent="0.2">
      <c r="B61" s="184">
        <v>8</v>
      </c>
      <c r="C61" s="861" t="s">
        <v>893</v>
      </c>
      <c r="D61" s="862"/>
      <c r="E61" s="862"/>
      <c r="F61" s="862"/>
      <c r="G61" s="862"/>
      <c r="H61" s="862"/>
      <c r="I61" s="862"/>
      <c r="J61" s="862"/>
      <c r="K61" s="862"/>
      <c r="L61" s="862"/>
      <c r="M61" s="862"/>
      <c r="N61" s="862"/>
      <c r="O61" s="863"/>
      <c r="P61" s="2"/>
      <c r="T61" s="183">
        <v>1</v>
      </c>
    </row>
    <row r="62" spans="2:20" x14ac:dyDescent="0.2">
      <c r="B62" s="184">
        <v>9</v>
      </c>
      <c r="C62" s="861" t="s">
        <v>894</v>
      </c>
      <c r="D62" s="862"/>
      <c r="E62" s="862"/>
      <c r="F62" s="862"/>
      <c r="G62" s="862"/>
      <c r="H62" s="862"/>
      <c r="I62" s="862"/>
      <c r="J62" s="862"/>
      <c r="K62" s="862"/>
      <c r="L62" s="862"/>
      <c r="M62" s="862"/>
      <c r="N62" s="862"/>
      <c r="O62" s="863"/>
      <c r="P62" s="2"/>
      <c r="T62" s="183">
        <v>1</v>
      </c>
    </row>
    <row r="63" spans="2:20" x14ac:dyDescent="0.2">
      <c r="B63" s="184">
        <v>10</v>
      </c>
      <c r="C63" s="861" t="s">
        <v>895</v>
      </c>
      <c r="D63" s="862"/>
      <c r="E63" s="862"/>
      <c r="F63" s="862"/>
      <c r="G63" s="862"/>
      <c r="H63" s="862"/>
      <c r="I63" s="862"/>
      <c r="J63" s="862"/>
      <c r="K63" s="862"/>
      <c r="L63" s="862"/>
      <c r="M63" s="862"/>
      <c r="N63" s="862"/>
      <c r="O63" s="863"/>
      <c r="P63" s="2"/>
      <c r="T63" s="183">
        <v>1</v>
      </c>
    </row>
    <row r="64" spans="2:20" x14ac:dyDescent="0.2">
      <c r="B64" s="184">
        <v>11</v>
      </c>
      <c r="C64" s="861" t="s">
        <v>896</v>
      </c>
      <c r="D64" s="862"/>
      <c r="E64" s="862"/>
      <c r="F64" s="862"/>
      <c r="G64" s="862"/>
      <c r="H64" s="862"/>
      <c r="I64" s="862"/>
      <c r="J64" s="862"/>
      <c r="K64" s="862"/>
      <c r="L64" s="862"/>
      <c r="M64" s="862"/>
      <c r="N64" s="862"/>
      <c r="O64" s="863"/>
      <c r="P64" s="2"/>
      <c r="T64" s="183">
        <v>1</v>
      </c>
    </row>
    <row r="65" spans="2:20" x14ac:dyDescent="0.2">
      <c r="B65" s="184">
        <v>12</v>
      </c>
      <c r="C65" s="861" t="s">
        <v>897</v>
      </c>
      <c r="D65" s="862"/>
      <c r="E65" s="862"/>
      <c r="F65" s="862"/>
      <c r="G65" s="862"/>
      <c r="H65" s="862"/>
      <c r="I65" s="862"/>
      <c r="J65" s="862"/>
      <c r="K65" s="862"/>
      <c r="L65" s="862"/>
      <c r="M65" s="862"/>
      <c r="N65" s="862"/>
      <c r="O65" s="863"/>
      <c r="P65" s="2"/>
      <c r="T65" s="183">
        <v>1</v>
      </c>
    </row>
    <row r="66" spans="2:20" x14ac:dyDescent="0.2">
      <c r="B66" s="184">
        <v>13</v>
      </c>
      <c r="C66" s="861" t="s">
        <v>898</v>
      </c>
      <c r="D66" s="862"/>
      <c r="E66" s="862"/>
      <c r="F66" s="862"/>
      <c r="G66" s="862"/>
      <c r="H66" s="862"/>
      <c r="I66" s="862"/>
      <c r="J66" s="862"/>
      <c r="K66" s="862"/>
      <c r="L66" s="862"/>
      <c r="M66" s="862"/>
      <c r="N66" s="862"/>
      <c r="O66" s="863"/>
      <c r="P66" s="2"/>
      <c r="T66" s="183">
        <v>1</v>
      </c>
    </row>
    <row r="67" spans="2:20" x14ac:dyDescent="0.2">
      <c r="B67" s="184">
        <v>14</v>
      </c>
      <c r="C67" s="861" t="s">
        <v>899</v>
      </c>
      <c r="D67" s="862"/>
      <c r="E67" s="862"/>
      <c r="F67" s="862"/>
      <c r="G67" s="862"/>
      <c r="H67" s="862"/>
      <c r="I67" s="862"/>
      <c r="J67" s="862"/>
      <c r="K67" s="862"/>
      <c r="L67" s="862"/>
      <c r="M67" s="862"/>
      <c r="N67" s="862"/>
      <c r="O67" s="863"/>
      <c r="P67" s="2"/>
      <c r="T67" s="183">
        <v>1</v>
      </c>
    </row>
    <row r="68" spans="2:20" x14ac:dyDescent="0.2">
      <c r="B68" s="184">
        <v>15</v>
      </c>
      <c r="C68" s="861" t="s">
        <v>900</v>
      </c>
      <c r="D68" s="862"/>
      <c r="E68" s="862"/>
      <c r="F68" s="862"/>
      <c r="G68" s="862"/>
      <c r="H68" s="862"/>
      <c r="I68" s="862"/>
      <c r="J68" s="862"/>
      <c r="K68" s="862"/>
      <c r="L68" s="862"/>
      <c r="M68" s="862"/>
      <c r="N68" s="862"/>
      <c r="O68" s="863"/>
      <c r="P68" s="2"/>
      <c r="T68" s="183">
        <v>1</v>
      </c>
    </row>
    <row r="69" spans="2:20" x14ac:dyDescent="0.2">
      <c r="B69" s="184">
        <v>16</v>
      </c>
      <c r="C69" s="861" t="s">
        <v>901</v>
      </c>
      <c r="D69" s="862"/>
      <c r="E69" s="862"/>
      <c r="F69" s="862"/>
      <c r="G69" s="862"/>
      <c r="H69" s="862"/>
      <c r="I69" s="862"/>
      <c r="J69" s="862"/>
      <c r="K69" s="862"/>
      <c r="L69" s="862"/>
      <c r="M69" s="862"/>
      <c r="N69" s="862"/>
      <c r="O69" s="863"/>
      <c r="P69" s="2"/>
      <c r="T69" s="183">
        <v>1</v>
      </c>
    </row>
    <row r="70" spans="2:20" x14ac:dyDescent="0.2">
      <c r="B70" s="184">
        <v>17</v>
      </c>
      <c r="C70" s="861" t="s">
        <v>902</v>
      </c>
      <c r="D70" s="862"/>
      <c r="E70" s="862"/>
      <c r="F70" s="862"/>
      <c r="G70" s="862"/>
      <c r="H70" s="862"/>
      <c r="I70" s="862"/>
      <c r="J70" s="862"/>
      <c r="K70" s="862"/>
      <c r="L70" s="862"/>
      <c r="M70" s="862"/>
      <c r="N70" s="862"/>
      <c r="O70" s="863"/>
      <c r="P70" s="2"/>
      <c r="T70" s="183">
        <v>1</v>
      </c>
    </row>
    <row r="71" spans="2:20" x14ac:dyDescent="0.2">
      <c r="B71" s="184">
        <v>18</v>
      </c>
      <c r="C71" s="861" t="s">
        <v>903</v>
      </c>
      <c r="D71" s="862"/>
      <c r="E71" s="862"/>
      <c r="F71" s="862"/>
      <c r="G71" s="862"/>
      <c r="H71" s="862"/>
      <c r="I71" s="862"/>
      <c r="J71" s="862"/>
      <c r="K71" s="862"/>
      <c r="L71" s="862"/>
      <c r="M71" s="862"/>
      <c r="N71" s="862"/>
      <c r="O71" s="863"/>
      <c r="P71" s="2"/>
      <c r="T71" s="183">
        <v>1</v>
      </c>
    </row>
    <row r="72" spans="2:20" x14ac:dyDescent="0.2">
      <c r="B72" s="184">
        <v>19</v>
      </c>
      <c r="C72" s="861" t="s">
        <v>904</v>
      </c>
      <c r="D72" s="862"/>
      <c r="E72" s="862"/>
      <c r="F72" s="862"/>
      <c r="G72" s="862"/>
      <c r="H72" s="862"/>
      <c r="I72" s="862"/>
      <c r="J72" s="862"/>
      <c r="K72" s="862"/>
      <c r="L72" s="862"/>
      <c r="M72" s="862"/>
      <c r="N72" s="862"/>
      <c r="O72" s="863"/>
      <c r="P72" s="2"/>
      <c r="T72" s="183">
        <v>1</v>
      </c>
    </row>
    <row r="73" spans="2:20" ht="15" thickBot="1" x14ac:dyDescent="0.25">
      <c r="B73" s="185">
        <v>20</v>
      </c>
      <c r="C73" s="858" t="s">
        <v>905</v>
      </c>
      <c r="D73" s="859"/>
      <c r="E73" s="859"/>
      <c r="F73" s="859"/>
      <c r="G73" s="859"/>
      <c r="H73" s="859"/>
      <c r="I73" s="859"/>
      <c r="J73" s="859"/>
      <c r="K73" s="859"/>
      <c r="L73" s="859"/>
      <c r="M73" s="859"/>
      <c r="N73" s="859"/>
      <c r="O73" s="860"/>
      <c r="P73" s="2"/>
      <c r="T73" s="183">
        <v>1</v>
      </c>
    </row>
    <row r="74" spans="2:20" x14ac:dyDescent="0.2">
      <c r="P74" s="2"/>
      <c r="T74" s="186"/>
    </row>
  </sheetData>
  <sheetProtection algorithmName="SHA-512" hashValue="ESF9czyMenPO8Vv96U+jmVpw/qsU/qHZavTgnZyx/UP9afFocmkb+eDydvDILP6nVGgA7Hc4Qql9EImE/x4NXg==" saltValue="bO597ZZQt4bRd04mmILy6Q==" spinCount="100000" sheet="1" objects="1" scenarios="1"/>
  <mergeCells count="31">
    <mergeCell ref="L3:L4"/>
    <mergeCell ref="M3:M4"/>
    <mergeCell ref="N3:O3"/>
    <mergeCell ref="D3:D4"/>
    <mergeCell ref="E3:E4"/>
    <mergeCell ref="F3:H3"/>
    <mergeCell ref="I3:J3"/>
    <mergeCell ref="K3:K4"/>
    <mergeCell ref="Q3:Q4"/>
    <mergeCell ref="B37:C37"/>
    <mergeCell ref="C66:O66"/>
    <mergeCell ref="C55:O55"/>
    <mergeCell ref="C56:O56"/>
    <mergeCell ref="C57:O57"/>
    <mergeCell ref="C58:O58"/>
    <mergeCell ref="C59:O59"/>
    <mergeCell ref="C60:O60"/>
    <mergeCell ref="C61:O61"/>
    <mergeCell ref="C62:O62"/>
    <mergeCell ref="C63:O63"/>
    <mergeCell ref="C64:O64"/>
    <mergeCell ref="C65:O65"/>
    <mergeCell ref="C54:O54"/>
    <mergeCell ref="B3:C4"/>
    <mergeCell ref="C73:O73"/>
    <mergeCell ref="C67:O67"/>
    <mergeCell ref="C68:O68"/>
    <mergeCell ref="C69:O69"/>
    <mergeCell ref="C70:O70"/>
    <mergeCell ref="C71:O71"/>
    <mergeCell ref="C72:O72"/>
  </mergeCells>
  <conditionalFormatting sqref="Q8:Q10">
    <cfRule type="cellIs" dxfId="4" priority="5" operator="equal">
      <formula>0</formula>
    </cfRule>
  </conditionalFormatting>
  <conditionalFormatting sqref="Q14:Q17">
    <cfRule type="cellIs" dxfId="3" priority="4" operator="equal">
      <formula>0</formula>
    </cfRule>
  </conditionalFormatting>
  <conditionalFormatting sqref="Q21:Q24">
    <cfRule type="cellIs" dxfId="2" priority="3" operator="equal">
      <formula>0</formula>
    </cfRule>
  </conditionalFormatting>
  <conditionalFormatting sqref="Q28:Q31">
    <cfRule type="cellIs" dxfId="1" priority="2" operator="equal">
      <formula>0</formula>
    </cfRule>
  </conditionalFormatting>
  <conditionalFormatting sqref="Q35">
    <cfRule type="cellIs" dxfId="0" priority="1" operator="equal">
      <formula>0</formula>
    </cfRule>
  </conditionalFormatting>
  <printOptions horizontalCentered="1"/>
  <pageMargins left="0.39370078740157483" right="0.39370078740157483" top="0.78740157480314965" bottom="0.78740157480314965" header="0.31496062992125984" footer="0.31496062992125984"/>
  <pageSetup paperSize="8" scale="74" fitToHeight="0" orientation="portrait" r:id="rId1"/>
  <headerFooter>
    <oddHeader>&amp;L&amp;9&amp;K857362Page &amp;P of &amp;N&amp;C&amp;9 &amp;K8573622016 annual performance report tables (Jan 2016)&amp;R&amp;9&amp;G</oddHeader>
    <oddFooter>&amp;L&amp;9&amp;K857362&amp;A&amp;R&amp;9&amp;K857362Printed: &amp;D &amp;T</oddFoot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J23"/>
  <sheetViews>
    <sheetView zoomScaleNormal="100" workbookViewId="0">
      <selection activeCell="A23" sqref="A23"/>
    </sheetView>
  </sheetViews>
  <sheetFormatPr defaultRowHeight="14.25" x14ac:dyDescent="0.2"/>
  <cols>
    <col min="1" max="1" width="26.875" bestFit="1" customWidth="1"/>
    <col min="2" max="2" width="36.375" customWidth="1"/>
    <col min="3" max="4" width="8.625" customWidth="1"/>
    <col min="5" max="5" width="2.625" customWidth="1"/>
    <col min="6" max="6" width="8.875" customWidth="1"/>
  </cols>
  <sheetData>
    <row r="1" spans="1:10" ht="20.25" x14ac:dyDescent="0.35">
      <c r="A1" s="1" t="s">
        <v>906</v>
      </c>
      <c r="B1" s="1"/>
      <c r="C1" s="1"/>
      <c r="D1" s="1"/>
      <c r="E1" s="1"/>
      <c r="F1" s="1"/>
      <c r="G1" s="1"/>
      <c r="H1" s="1"/>
      <c r="I1" s="1"/>
      <c r="J1" s="1"/>
    </row>
    <row r="2" spans="1:10" x14ac:dyDescent="0.2">
      <c r="A2" s="63"/>
      <c r="B2" s="63"/>
      <c r="E2" s="63"/>
    </row>
    <row r="3" spans="1:10" s="12" customFormat="1" ht="27" x14ac:dyDescent="0.2">
      <c r="A3" s="64" t="s">
        <v>907</v>
      </c>
      <c r="B3" s="64" t="s">
        <v>908</v>
      </c>
      <c r="C3" s="64" t="s">
        <v>909</v>
      </c>
      <c r="D3" s="64" t="s">
        <v>910</v>
      </c>
      <c r="F3" s="65" t="s">
        <v>911</v>
      </c>
      <c r="G3" s="64"/>
      <c r="H3" s="64"/>
    </row>
    <row r="4" spans="1:10" x14ac:dyDescent="0.2">
      <c r="A4" s="63"/>
      <c r="B4" s="63" t="s">
        <v>912</v>
      </c>
      <c r="C4" s="63"/>
      <c r="D4" s="63" t="s">
        <v>913</v>
      </c>
    </row>
    <row r="5" spans="1:10" x14ac:dyDescent="0.2">
      <c r="A5" s="63" t="s">
        <v>914</v>
      </c>
      <c r="B5" s="63" t="s">
        <v>915</v>
      </c>
      <c r="C5" s="63" t="s">
        <v>916</v>
      </c>
      <c r="D5" s="63" t="s">
        <v>913</v>
      </c>
      <c r="F5" s="65" t="s">
        <v>917</v>
      </c>
    </row>
    <row r="6" spans="1:10" x14ac:dyDescent="0.2">
      <c r="A6" s="63" t="s">
        <v>918</v>
      </c>
      <c r="B6" s="63" t="s">
        <v>919</v>
      </c>
      <c r="C6" s="63" t="s">
        <v>920</v>
      </c>
      <c r="D6" s="63" t="s">
        <v>913</v>
      </c>
      <c r="F6" s="63" t="s">
        <v>548</v>
      </c>
    </row>
    <row r="7" spans="1:10" x14ac:dyDescent="0.2">
      <c r="A7" s="63" t="s">
        <v>921</v>
      </c>
      <c r="B7" s="63" t="s">
        <v>922</v>
      </c>
      <c r="C7" s="63" t="s">
        <v>923</v>
      </c>
      <c r="D7" s="63" t="s">
        <v>913</v>
      </c>
      <c r="F7" s="63" t="s">
        <v>543</v>
      </c>
    </row>
    <row r="8" spans="1:10" x14ac:dyDescent="0.2">
      <c r="A8" s="63" t="s">
        <v>924</v>
      </c>
      <c r="B8" s="63" t="s">
        <v>925</v>
      </c>
      <c r="C8" s="63" t="s">
        <v>926</v>
      </c>
      <c r="D8" s="63" t="s">
        <v>913</v>
      </c>
      <c r="F8" s="63" t="s">
        <v>546</v>
      </c>
    </row>
    <row r="9" spans="1:10" x14ac:dyDescent="0.2">
      <c r="A9" s="63" t="s">
        <v>927</v>
      </c>
      <c r="B9" s="63" t="s">
        <v>928</v>
      </c>
      <c r="C9" s="63" t="s">
        <v>929</v>
      </c>
      <c r="D9" s="63" t="s">
        <v>913</v>
      </c>
    </row>
    <row r="10" spans="1:10" x14ac:dyDescent="0.2">
      <c r="A10" s="63" t="s">
        <v>930</v>
      </c>
      <c r="B10" s="63" t="s">
        <v>931</v>
      </c>
      <c r="C10" s="63" t="s">
        <v>932</v>
      </c>
      <c r="D10" s="63" t="s">
        <v>913</v>
      </c>
      <c r="F10" s="65" t="s">
        <v>933</v>
      </c>
    </row>
    <row r="11" spans="1:10" x14ac:dyDescent="0.2">
      <c r="A11" s="63" t="s">
        <v>934</v>
      </c>
      <c r="B11" s="63" t="s">
        <v>935</v>
      </c>
      <c r="C11" s="63" t="s">
        <v>936</v>
      </c>
      <c r="D11" s="63" t="s">
        <v>913</v>
      </c>
      <c r="F11" s="63" t="s">
        <v>552</v>
      </c>
    </row>
    <row r="12" spans="1:10" x14ac:dyDescent="0.2">
      <c r="A12" s="63" t="s">
        <v>937</v>
      </c>
      <c r="B12" s="63" t="s">
        <v>938</v>
      </c>
      <c r="C12" s="63" t="s">
        <v>939</v>
      </c>
      <c r="D12" s="63" t="s">
        <v>913</v>
      </c>
      <c r="F12" s="63" t="s">
        <v>549</v>
      </c>
    </row>
    <row r="13" spans="1:10" x14ac:dyDescent="0.2">
      <c r="A13" s="63" t="s">
        <v>940</v>
      </c>
      <c r="B13" s="63" t="s">
        <v>941</v>
      </c>
      <c r="C13" s="63" t="s">
        <v>942</v>
      </c>
      <c r="D13" s="63" t="s">
        <v>913</v>
      </c>
      <c r="F13" s="63" t="s">
        <v>943</v>
      </c>
    </row>
    <row r="14" spans="1:10" x14ac:dyDescent="0.2">
      <c r="A14" s="63" t="s">
        <v>944</v>
      </c>
      <c r="B14" s="63" t="s">
        <v>49</v>
      </c>
      <c r="C14" s="63" t="s">
        <v>945</v>
      </c>
      <c r="D14" s="63" t="s">
        <v>913</v>
      </c>
      <c r="F14" s="63" t="s">
        <v>545</v>
      </c>
    </row>
    <row r="15" spans="1:10" x14ac:dyDescent="0.2">
      <c r="A15" s="63" t="s">
        <v>946</v>
      </c>
      <c r="B15" s="63" t="s">
        <v>946</v>
      </c>
      <c r="C15" s="63" t="s">
        <v>947</v>
      </c>
      <c r="D15" s="63" t="s">
        <v>948</v>
      </c>
      <c r="F15" s="63" t="s">
        <v>544</v>
      </c>
    </row>
    <row r="16" spans="1:10" x14ac:dyDescent="0.2">
      <c r="A16" s="63" t="s">
        <v>949</v>
      </c>
      <c r="B16" s="63" t="s">
        <v>950</v>
      </c>
      <c r="C16" s="63" t="s">
        <v>951</v>
      </c>
      <c r="D16" s="63" t="s">
        <v>948</v>
      </c>
      <c r="F16" s="63" t="s">
        <v>546</v>
      </c>
    </row>
    <row r="17" spans="1:4" x14ac:dyDescent="0.2">
      <c r="A17" s="63" t="s">
        <v>952</v>
      </c>
      <c r="B17" s="63" t="s">
        <v>953</v>
      </c>
      <c r="C17" s="63" t="s">
        <v>954</v>
      </c>
      <c r="D17" s="63" t="s">
        <v>948</v>
      </c>
    </row>
    <row r="18" spans="1:4" x14ac:dyDescent="0.2">
      <c r="A18" s="63" t="s">
        <v>955</v>
      </c>
      <c r="B18" s="63" t="s">
        <v>956</v>
      </c>
      <c r="C18" s="63" t="s">
        <v>957</v>
      </c>
      <c r="D18" s="63" t="s">
        <v>948</v>
      </c>
    </row>
    <row r="19" spans="1:4" x14ac:dyDescent="0.2">
      <c r="A19" s="63" t="s">
        <v>958</v>
      </c>
      <c r="B19" s="63" t="s">
        <v>959</v>
      </c>
      <c r="C19" s="63" t="s">
        <v>960</v>
      </c>
      <c r="D19" s="63" t="s">
        <v>948</v>
      </c>
    </row>
    <row r="20" spans="1:4" x14ac:dyDescent="0.2">
      <c r="A20" s="63" t="s">
        <v>961</v>
      </c>
      <c r="B20" s="63" t="s">
        <v>962</v>
      </c>
      <c r="C20" s="63" t="s">
        <v>963</v>
      </c>
      <c r="D20" s="63" t="s">
        <v>948</v>
      </c>
    </row>
    <row r="21" spans="1:4" x14ac:dyDescent="0.2">
      <c r="A21" s="63" t="s">
        <v>964</v>
      </c>
      <c r="B21" s="63" t="s">
        <v>965</v>
      </c>
      <c r="C21" s="63" t="s">
        <v>966</v>
      </c>
      <c r="D21" s="63" t="s">
        <v>948</v>
      </c>
    </row>
    <row r="22" spans="1:4" x14ac:dyDescent="0.2">
      <c r="A22" s="63" t="s">
        <v>967</v>
      </c>
      <c r="B22" s="63" t="s">
        <v>968</v>
      </c>
      <c r="C22" s="63" t="s">
        <v>969</v>
      </c>
      <c r="D22" s="63" t="s">
        <v>948</v>
      </c>
    </row>
    <row r="23" spans="1:4" x14ac:dyDescent="0.2">
      <c r="A23" s="63" t="s">
        <v>970</v>
      </c>
      <c r="B23" s="63" t="s">
        <v>971</v>
      </c>
      <c r="C23" s="63" t="s">
        <v>972</v>
      </c>
      <c r="D23" s="63" t="s">
        <v>913</v>
      </c>
    </row>
  </sheetData>
  <sheetProtection algorithmName="SHA-512" hashValue="IP47WfzPa2tPH73k1BvCe24m7eRbMfYr1J0r6gvG4G3DF5+48ZuQ5LXKlgHpIl00nWLVBHIJs9TJ62AZGRZRdg==" saltValue="6Gl94twEANOzl4o4wEYWWA==" spinCount="100000" sheet="1" objects="1" scenarios="1"/>
  <pageMargins left="0.70866141732283472" right="0.70866141732283472" top="0.74803149606299213" bottom="0.74803149606299213" header="0.31496062992125984" footer="0.31496062992125984"/>
  <pageSetup paperSize="9" scale="63" orientation="portrait" r:id="rId1"/>
  <headerFooter>
    <oddFooter>&amp;L2016 Annual performance report tables, December 2015</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V529"/>
  <sheetViews>
    <sheetView workbookViewId="0"/>
  </sheetViews>
  <sheetFormatPr defaultRowHeight="14.25" x14ac:dyDescent="0.2"/>
  <cols>
    <col min="2" max="2" width="21.125" bestFit="1" customWidth="1"/>
  </cols>
  <sheetData>
    <row r="1" spans="1:74" x14ac:dyDescent="0.2">
      <c r="N1" t="s">
        <v>973</v>
      </c>
      <c r="S1" t="s">
        <v>974</v>
      </c>
      <c r="X1" t="s">
        <v>975</v>
      </c>
      <c r="AE1" t="s">
        <v>976</v>
      </c>
      <c r="AJ1" t="s">
        <v>977</v>
      </c>
      <c r="AO1" t="s">
        <v>545</v>
      </c>
      <c r="AT1" t="s">
        <v>549</v>
      </c>
      <c r="AY1" t="s">
        <v>978</v>
      </c>
      <c r="BD1" t="s">
        <v>979</v>
      </c>
      <c r="BE1" t="s">
        <v>980</v>
      </c>
      <c r="BF1" t="s">
        <v>981</v>
      </c>
      <c r="BG1" t="s">
        <v>982</v>
      </c>
      <c r="BH1" t="s">
        <v>983</v>
      </c>
      <c r="BI1" t="s">
        <v>984</v>
      </c>
      <c r="BL1" t="s">
        <v>985</v>
      </c>
    </row>
    <row r="2" spans="1:74" x14ac:dyDescent="0.2">
      <c r="A2" t="s">
        <v>986</v>
      </c>
      <c r="B2" t="s">
        <v>522</v>
      </c>
      <c r="C2" t="s">
        <v>987</v>
      </c>
      <c r="D2" t="s">
        <v>988</v>
      </c>
      <c r="E2" t="s">
        <v>989</v>
      </c>
      <c r="F2" t="s">
        <v>990</v>
      </c>
      <c r="G2" t="s">
        <v>991</v>
      </c>
      <c r="H2" t="s">
        <v>992</v>
      </c>
      <c r="I2" t="s">
        <v>523</v>
      </c>
      <c r="J2" t="s">
        <v>993</v>
      </c>
      <c r="K2" t="s">
        <v>994</v>
      </c>
      <c r="L2" t="s">
        <v>995</v>
      </c>
      <c r="M2" t="s">
        <v>996</v>
      </c>
      <c r="N2" t="s">
        <v>997</v>
      </c>
      <c r="O2" t="s">
        <v>998</v>
      </c>
      <c r="P2" t="s">
        <v>999</v>
      </c>
      <c r="Q2" t="s">
        <v>1000</v>
      </c>
      <c r="R2" t="s">
        <v>1001</v>
      </c>
      <c r="S2" t="s">
        <v>1002</v>
      </c>
      <c r="T2" t="s">
        <v>1003</v>
      </c>
      <c r="U2" t="s">
        <v>1004</v>
      </c>
      <c r="V2" t="s">
        <v>1005</v>
      </c>
      <c r="W2" t="s">
        <v>1006</v>
      </c>
      <c r="X2" t="s">
        <v>1007</v>
      </c>
      <c r="Y2" t="s">
        <v>1008</v>
      </c>
      <c r="Z2" t="s">
        <v>1009</v>
      </c>
      <c r="AA2" t="s">
        <v>1010</v>
      </c>
      <c r="AB2" t="s">
        <v>1011</v>
      </c>
      <c r="AC2" t="s">
        <v>1012</v>
      </c>
      <c r="AD2" t="s">
        <v>1013</v>
      </c>
      <c r="AE2" t="s">
        <v>1014</v>
      </c>
      <c r="AF2" t="s">
        <v>1015</v>
      </c>
      <c r="AG2" t="s">
        <v>1016</v>
      </c>
      <c r="AH2" t="s">
        <v>1017</v>
      </c>
      <c r="AI2" t="s">
        <v>1018</v>
      </c>
      <c r="AJ2" t="s">
        <v>1014</v>
      </c>
      <c r="AK2" t="s">
        <v>1015</v>
      </c>
      <c r="AL2" t="s">
        <v>1016</v>
      </c>
      <c r="AM2" t="s">
        <v>1017</v>
      </c>
      <c r="AN2" t="s">
        <v>1018</v>
      </c>
      <c r="AO2" t="s">
        <v>1014</v>
      </c>
      <c r="AP2" t="s">
        <v>1015</v>
      </c>
      <c r="AQ2" t="s">
        <v>1016</v>
      </c>
      <c r="AR2" t="s">
        <v>1017</v>
      </c>
      <c r="AS2" t="s">
        <v>1018</v>
      </c>
      <c r="AT2" t="s">
        <v>1014</v>
      </c>
      <c r="AU2" t="s">
        <v>1015</v>
      </c>
      <c r="AV2" t="s">
        <v>1016</v>
      </c>
      <c r="AW2" t="s">
        <v>1017</v>
      </c>
      <c r="AX2" t="s">
        <v>1018</v>
      </c>
      <c r="AY2" t="s">
        <v>1014</v>
      </c>
      <c r="AZ2" t="s">
        <v>1015</v>
      </c>
      <c r="BA2" t="s">
        <v>1016</v>
      </c>
      <c r="BB2" t="s">
        <v>1017</v>
      </c>
      <c r="BC2" t="s">
        <v>1018</v>
      </c>
      <c r="BD2" t="s">
        <v>1019</v>
      </c>
      <c r="BE2" t="s">
        <v>1019</v>
      </c>
      <c r="BF2" t="s">
        <v>1019</v>
      </c>
      <c r="BG2" t="s">
        <v>1019</v>
      </c>
      <c r="BH2" t="s">
        <v>1019</v>
      </c>
      <c r="BI2" t="s">
        <v>1019</v>
      </c>
      <c r="BJ2" t="s">
        <v>1020</v>
      </c>
      <c r="BK2" t="s">
        <v>1021</v>
      </c>
      <c r="BL2" t="s">
        <v>524</v>
      </c>
      <c r="BM2" t="s">
        <v>525</v>
      </c>
      <c r="BN2" t="s">
        <v>526</v>
      </c>
      <c r="BO2" t="s">
        <v>1022</v>
      </c>
      <c r="BP2" t="s">
        <v>1023</v>
      </c>
      <c r="BQ2" t="s">
        <v>529</v>
      </c>
      <c r="BR2" t="s">
        <v>1024</v>
      </c>
      <c r="BS2" t="s">
        <v>1025</v>
      </c>
      <c r="BT2" t="s">
        <v>1026</v>
      </c>
      <c r="BU2" t="s">
        <v>1027</v>
      </c>
      <c r="BV2" t="s">
        <v>1028</v>
      </c>
    </row>
    <row r="3" spans="1:74" x14ac:dyDescent="0.2">
      <c r="A3" t="s">
        <v>1029</v>
      </c>
      <c r="B3" t="s">
        <v>1030</v>
      </c>
      <c r="C3" t="s">
        <v>948</v>
      </c>
      <c r="D3" t="s">
        <v>281</v>
      </c>
      <c r="E3" t="s">
        <v>1031</v>
      </c>
      <c r="F3" t="s">
        <v>1032</v>
      </c>
      <c r="G3" t="s">
        <v>1033</v>
      </c>
      <c r="H3" t="s">
        <v>1034</v>
      </c>
      <c r="I3" t="s">
        <v>1035</v>
      </c>
      <c r="J3" t="s">
        <v>1036</v>
      </c>
      <c r="K3" t="s">
        <v>1037</v>
      </c>
      <c r="M3" t="s">
        <v>543</v>
      </c>
      <c r="N3" t="s">
        <v>1038</v>
      </c>
      <c r="O3" t="s">
        <v>1039</v>
      </c>
      <c r="P3" t="s">
        <v>1040</v>
      </c>
      <c r="Q3">
        <v>1</v>
      </c>
      <c r="R3">
        <v>189.3</v>
      </c>
      <c r="S3">
        <v>183.9</v>
      </c>
      <c r="T3">
        <v>178.5</v>
      </c>
      <c r="U3">
        <v>173.1</v>
      </c>
      <c r="V3">
        <v>167.7</v>
      </c>
      <c r="W3">
        <v>162.19999999999999</v>
      </c>
      <c r="AE3" t="s">
        <v>548</v>
      </c>
      <c r="AF3" t="s">
        <v>548</v>
      </c>
      <c r="AG3" t="s">
        <v>548</v>
      </c>
      <c r="AH3" t="s">
        <v>548</v>
      </c>
      <c r="AI3" t="s">
        <v>548</v>
      </c>
      <c r="AJ3">
        <v>211.9</v>
      </c>
      <c r="AK3">
        <v>206.5</v>
      </c>
      <c r="AL3">
        <v>201.1</v>
      </c>
      <c r="AM3">
        <v>195.7</v>
      </c>
      <c r="AN3">
        <v>190.3</v>
      </c>
      <c r="AO3">
        <v>183.9</v>
      </c>
      <c r="AP3">
        <v>178.5</v>
      </c>
      <c r="AQ3">
        <v>173.1</v>
      </c>
      <c r="AR3">
        <v>167.7</v>
      </c>
      <c r="AS3">
        <v>162.19999999999999</v>
      </c>
      <c r="AT3">
        <v>170.2</v>
      </c>
      <c r="AU3">
        <v>170.2</v>
      </c>
      <c r="AV3">
        <v>170.2</v>
      </c>
      <c r="AW3">
        <v>167.7</v>
      </c>
      <c r="AX3">
        <v>162.19999999999999</v>
      </c>
      <c r="AY3">
        <v>155.9</v>
      </c>
      <c r="AZ3">
        <v>150.5</v>
      </c>
      <c r="BA3">
        <v>145.1</v>
      </c>
      <c r="BB3">
        <v>139.69999999999999</v>
      </c>
      <c r="BC3">
        <v>134.30000000000001</v>
      </c>
      <c r="BD3">
        <v>0.249</v>
      </c>
      <c r="BH3">
        <v>8.4000000000000005E-2</v>
      </c>
      <c r="BI3">
        <v>0.126</v>
      </c>
      <c r="BJ3">
        <v>1</v>
      </c>
      <c r="BK3" t="s">
        <v>1041</v>
      </c>
      <c r="BV3" t="s">
        <v>1042</v>
      </c>
    </row>
    <row r="4" spans="1:74" x14ac:dyDescent="0.2">
      <c r="A4" t="s">
        <v>1029</v>
      </c>
      <c r="B4" t="s">
        <v>1043</v>
      </c>
      <c r="C4" t="s">
        <v>948</v>
      </c>
      <c r="D4" t="s">
        <v>281</v>
      </c>
      <c r="E4" t="s">
        <v>1031</v>
      </c>
      <c r="F4" t="s">
        <v>1032</v>
      </c>
      <c r="G4" t="s">
        <v>1044</v>
      </c>
      <c r="H4" t="s">
        <v>1045</v>
      </c>
      <c r="I4" t="s">
        <v>1046</v>
      </c>
      <c r="J4" t="s">
        <v>1047</v>
      </c>
      <c r="K4" t="s">
        <v>1037</v>
      </c>
      <c r="M4" t="s">
        <v>543</v>
      </c>
      <c r="N4" t="s">
        <v>1048</v>
      </c>
      <c r="O4" t="s">
        <v>1039</v>
      </c>
      <c r="P4" t="s">
        <v>1049</v>
      </c>
      <c r="Q4">
        <v>1</v>
      </c>
      <c r="R4">
        <v>158.4</v>
      </c>
      <c r="S4">
        <v>156.30000000000001</v>
      </c>
      <c r="T4">
        <v>155.6</v>
      </c>
      <c r="U4">
        <v>153.30000000000001</v>
      </c>
      <c r="V4">
        <v>150.30000000000001</v>
      </c>
      <c r="W4">
        <v>147.4</v>
      </c>
      <c r="AG4" t="s">
        <v>548</v>
      </c>
      <c r="AI4" t="s">
        <v>548</v>
      </c>
      <c r="BD4">
        <v>0.75</v>
      </c>
      <c r="BE4">
        <v>1.75</v>
      </c>
      <c r="BJ4">
        <v>1</v>
      </c>
      <c r="BK4" t="s">
        <v>1041</v>
      </c>
      <c r="BU4" t="s">
        <v>1050</v>
      </c>
      <c r="BV4" t="s">
        <v>1042</v>
      </c>
    </row>
    <row r="5" spans="1:74" x14ac:dyDescent="0.2">
      <c r="A5" t="s">
        <v>1029</v>
      </c>
      <c r="B5" t="s">
        <v>1051</v>
      </c>
      <c r="C5" t="s">
        <v>948</v>
      </c>
      <c r="D5" t="s">
        <v>281</v>
      </c>
      <c r="E5" t="s">
        <v>1031</v>
      </c>
      <c r="F5" t="s">
        <v>1032</v>
      </c>
      <c r="G5" t="s">
        <v>1052</v>
      </c>
      <c r="H5" t="s">
        <v>1053</v>
      </c>
      <c r="I5" t="s">
        <v>1054</v>
      </c>
      <c r="J5" t="s">
        <v>1047</v>
      </c>
      <c r="K5" t="s">
        <v>1037</v>
      </c>
      <c r="M5" t="s">
        <v>543</v>
      </c>
      <c r="N5" t="s">
        <v>1055</v>
      </c>
      <c r="O5" t="s">
        <v>1039</v>
      </c>
      <c r="P5" t="s">
        <v>1040</v>
      </c>
      <c r="Q5">
        <v>1</v>
      </c>
      <c r="R5">
        <v>1114.7</v>
      </c>
      <c r="S5">
        <v>1110.4000000000001</v>
      </c>
      <c r="T5">
        <v>1103.5</v>
      </c>
      <c r="U5">
        <v>1100.8</v>
      </c>
      <c r="V5">
        <v>1068.0999999999999</v>
      </c>
      <c r="W5">
        <v>1067</v>
      </c>
      <c r="AG5" t="s">
        <v>548</v>
      </c>
      <c r="AI5" t="s">
        <v>548</v>
      </c>
      <c r="BD5">
        <v>0.59</v>
      </c>
      <c r="BE5">
        <v>1.91</v>
      </c>
      <c r="BJ5">
        <v>1</v>
      </c>
      <c r="BK5" t="s">
        <v>1041</v>
      </c>
      <c r="BU5" t="s">
        <v>1056</v>
      </c>
      <c r="BV5" t="s">
        <v>1042</v>
      </c>
    </row>
    <row r="6" spans="1:74" x14ac:dyDescent="0.2">
      <c r="A6" t="s">
        <v>1029</v>
      </c>
      <c r="B6" t="s">
        <v>1057</v>
      </c>
      <c r="C6" t="s">
        <v>948</v>
      </c>
      <c r="D6" t="s">
        <v>281</v>
      </c>
      <c r="E6" t="s">
        <v>1031</v>
      </c>
      <c r="F6" t="s">
        <v>1032</v>
      </c>
      <c r="G6" t="s">
        <v>1058</v>
      </c>
      <c r="H6" t="s">
        <v>1059</v>
      </c>
      <c r="I6" t="s">
        <v>1060</v>
      </c>
      <c r="J6" t="s">
        <v>1036</v>
      </c>
      <c r="K6" t="s">
        <v>1037</v>
      </c>
      <c r="N6" t="s">
        <v>1061</v>
      </c>
      <c r="O6" t="s">
        <v>1039</v>
      </c>
      <c r="P6" t="s">
        <v>1040</v>
      </c>
      <c r="Q6">
        <v>1</v>
      </c>
      <c r="R6">
        <v>0</v>
      </c>
      <c r="S6">
        <v>-6.7</v>
      </c>
      <c r="T6">
        <v>-12.5</v>
      </c>
      <c r="U6">
        <v>-14.1</v>
      </c>
      <c r="V6">
        <v>-42.1</v>
      </c>
      <c r="W6">
        <v>-42.1</v>
      </c>
      <c r="AE6" t="s">
        <v>548</v>
      </c>
      <c r="AF6" t="s">
        <v>548</v>
      </c>
      <c r="AG6" t="s">
        <v>548</v>
      </c>
      <c r="AH6" t="s">
        <v>548</v>
      </c>
      <c r="AI6" t="s">
        <v>548</v>
      </c>
      <c r="AJ6">
        <v>0</v>
      </c>
      <c r="AK6">
        <v>0</v>
      </c>
      <c r="AL6">
        <v>0</v>
      </c>
      <c r="AM6">
        <v>0</v>
      </c>
      <c r="AN6">
        <v>0</v>
      </c>
      <c r="AO6">
        <v>-6.7</v>
      </c>
      <c r="AP6">
        <v>-12.5</v>
      </c>
      <c r="AQ6">
        <v>-14.1</v>
      </c>
      <c r="AR6">
        <v>-42.1</v>
      </c>
      <c r="AS6">
        <v>-42.1</v>
      </c>
      <c r="AT6">
        <v>-6.7</v>
      </c>
      <c r="AU6">
        <v>-12.5</v>
      </c>
      <c r="AV6">
        <v>-14.1</v>
      </c>
      <c r="AW6">
        <v>-42.1</v>
      </c>
      <c r="AX6">
        <v>-42.1</v>
      </c>
      <c r="AY6">
        <v>-6.7</v>
      </c>
      <c r="AZ6">
        <v>-15.5</v>
      </c>
      <c r="BA6">
        <v>-35.700000000000003</v>
      </c>
      <c r="BB6">
        <v>-42.1</v>
      </c>
      <c r="BC6">
        <v>-42.1</v>
      </c>
      <c r="BD6">
        <v>6.8000000000000005E-2</v>
      </c>
      <c r="BH6">
        <v>6.8000000000000005E-2</v>
      </c>
      <c r="BJ6">
        <v>1</v>
      </c>
      <c r="BK6" t="s">
        <v>1041</v>
      </c>
      <c r="BV6" t="s">
        <v>1042</v>
      </c>
    </row>
    <row r="7" spans="1:74" x14ac:dyDescent="0.2">
      <c r="A7" t="s">
        <v>1029</v>
      </c>
      <c r="B7" t="s">
        <v>1062</v>
      </c>
      <c r="C7" t="s">
        <v>948</v>
      </c>
      <c r="D7" t="s">
        <v>281</v>
      </c>
      <c r="E7" t="s">
        <v>1031</v>
      </c>
      <c r="F7" t="s">
        <v>1032</v>
      </c>
      <c r="G7" t="s">
        <v>1063</v>
      </c>
      <c r="H7" t="s">
        <v>1064</v>
      </c>
      <c r="I7" t="s">
        <v>1065</v>
      </c>
      <c r="J7" t="s">
        <v>1066</v>
      </c>
      <c r="N7" t="s">
        <v>1061</v>
      </c>
      <c r="O7" t="s">
        <v>1067</v>
      </c>
      <c r="P7" t="s">
        <v>1067</v>
      </c>
      <c r="Q7" t="s">
        <v>1067</v>
      </c>
      <c r="R7" t="s">
        <v>1067</v>
      </c>
      <c r="S7" t="s">
        <v>1067</v>
      </c>
      <c r="T7" t="s">
        <v>1067</v>
      </c>
      <c r="U7" t="s">
        <v>1067</v>
      </c>
      <c r="V7" t="s">
        <v>1067</v>
      </c>
      <c r="W7" t="s">
        <v>1067</v>
      </c>
      <c r="AD7" t="s">
        <v>548</v>
      </c>
      <c r="BV7" t="s">
        <v>1042</v>
      </c>
    </row>
    <row r="8" spans="1:74" x14ac:dyDescent="0.2">
      <c r="A8" t="s">
        <v>1029</v>
      </c>
      <c r="B8" t="s">
        <v>1068</v>
      </c>
      <c r="C8" t="s">
        <v>948</v>
      </c>
      <c r="D8" t="s">
        <v>281</v>
      </c>
      <c r="E8" t="s">
        <v>1031</v>
      </c>
      <c r="F8" t="s">
        <v>1069</v>
      </c>
      <c r="G8" t="s">
        <v>1070</v>
      </c>
      <c r="H8" t="s">
        <v>1071</v>
      </c>
      <c r="I8" t="s">
        <v>1072</v>
      </c>
      <c r="J8" t="s">
        <v>1047</v>
      </c>
      <c r="K8" t="s">
        <v>1037</v>
      </c>
      <c r="M8" t="s">
        <v>543</v>
      </c>
      <c r="N8" t="s">
        <v>1073</v>
      </c>
      <c r="O8" t="s">
        <v>253</v>
      </c>
      <c r="P8" t="s">
        <v>1074</v>
      </c>
      <c r="Q8">
        <v>2</v>
      </c>
      <c r="R8">
        <v>99.95</v>
      </c>
      <c r="S8">
        <v>99.95</v>
      </c>
      <c r="T8">
        <v>99.95</v>
      </c>
      <c r="U8">
        <v>99.95</v>
      </c>
      <c r="V8">
        <v>99.95</v>
      </c>
      <c r="W8">
        <v>99.95</v>
      </c>
      <c r="X8" t="s">
        <v>548</v>
      </c>
      <c r="AE8" t="s">
        <v>548</v>
      </c>
      <c r="AF8" t="s">
        <v>548</v>
      </c>
      <c r="AG8" t="s">
        <v>548</v>
      </c>
      <c r="AH8" t="s">
        <v>548</v>
      </c>
      <c r="AI8" t="s">
        <v>548</v>
      </c>
      <c r="BD8">
        <v>0.72</v>
      </c>
      <c r="BJ8">
        <v>1</v>
      </c>
      <c r="BK8" t="s">
        <v>1041</v>
      </c>
      <c r="BU8" t="s">
        <v>1075</v>
      </c>
      <c r="BV8" t="s">
        <v>1007</v>
      </c>
    </row>
    <row r="9" spans="1:74" x14ac:dyDescent="0.2">
      <c r="A9" t="s">
        <v>1029</v>
      </c>
      <c r="B9" t="s">
        <v>1076</v>
      </c>
      <c r="C9" t="s">
        <v>948</v>
      </c>
      <c r="D9" t="s">
        <v>281</v>
      </c>
      <c r="E9" t="s">
        <v>1031</v>
      </c>
      <c r="F9" t="s">
        <v>1069</v>
      </c>
      <c r="G9" t="s">
        <v>1077</v>
      </c>
      <c r="H9" t="s">
        <v>1078</v>
      </c>
      <c r="I9" t="s">
        <v>1079</v>
      </c>
      <c r="J9" t="s">
        <v>1047</v>
      </c>
      <c r="K9" t="s">
        <v>1037</v>
      </c>
      <c r="N9" t="s">
        <v>1008</v>
      </c>
      <c r="O9" t="s">
        <v>1039</v>
      </c>
      <c r="P9" t="s">
        <v>1080</v>
      </c>
      <c r="Q9">
        <v>2</v>
      </c>
      <c r="R9">
        <v>0.66</v>
      </c>
      <c r="S9">
        <v>0.66</v>
      </c>
      <c r="T9">
        <v>0.66</v>
      </c>
      <c r="U9">
        <v>0.66</v>
      </c>
      <c r="V9">
        <v>0.66</v>
      </c>
      <c r="W9">
        <v>0.66</v>
      </c>
      <c r="Y9" t="s">
        <v>548</v>
      </c>
      <c r="AE9" t="s">
        <v>548</v>
      </c>
      <c r="AF9" t="s">
        <v>548</v>
      </c>
      <c r="AG9" t="s">
        <v>548</v>
      </c>
      <c r="AH9" t="s">
        <v>548</v>
      </c>
      <c r="AI9" t="s">
        <v>548</v>
      </c>
      <c r="AJ9">
        <v>1.3</v>
      </c>
      <c r="AK9">
        <v>1.3</v>
      </c>
      <c r="AL9">
        <v>1.3</v>
      </c>
      <c r="AM9">
        <v>1.3</v>
      </c>
      <c r="AN9">
        <v>1.3</v>
      </c>
      <c r="AO9">
        <v>0.66</v>
      </c>
      <c r="AP9">
        <v>0.66</v>
      </c>
      <c r="AQ9">
        <v>0.66</v>
      </c>
      <c r="AR9">
        <v>0.66</v>
      </c>
      <c r="AS9">
        <v>0.66</v>
      </c>
      <c r="BD9">
        <v>0.438</v>
      </c>
      <c r="BJ9">
        <v>1</v>
      </c>
      <c r="BK9" t="s">
        <v>1041</v>
      </c>
      <c r="BV9" t="s">
        <v>1008</v>
      </c>
    </row>
    <row r="10" spans="1:74" x14ac:dyDescent="0.2">
      <c r="A10" t="s">
        <v>1029</v>
      </c>
      <c r="B10" t="s">
        <v>1081</v>
      </c>
      <c r="C10" t="s">
        <v>948</v>
      </c>
      <c r="D10" t="s">
        <v>281</v>
      </c>
      <c r="E10" t="s">
        <v>1031</v>
      </c>
      <c r="F10" t="s">
        <v>1082</v>
      </c>
      <c r="G10" t="s">
        <v>1083</v>
      </c>
      <c r="H10" t="s">
        <v>1084</v>
      </c>
      <c r="I10" t="s">
        <v>1085</v>
      </c>
      <c r="J10" t="s">
        <v>1036</v>
      </c>
      <c r="K10" t="s">
        <v>1037</v>
      </c>
      <c r="N10" t="s">
        <v>1086</v>
      </c>
      <c r="O10" t="s">
        <v>1039</v>
      </c>
      <c r="P10" t="s">
        <v>1087</v>
      </c>
      <c r="Q10" t="s">
        <v>1088</v>
      </c>
      <c r="R10">
        <v>320</v>
      </c>
      <c r="S10">
        <v>320</v>
      </c>
      <c r="T10">
        <v>320</v>
      </c>
      <c r="U10">
        <v>320</v>
      </c>
      <c r="V10">
        <v>320</v>
      </c>
      <c r="W10">
        <v>320</v>
      </c>
      <c r="AE10" t="s">
        <v>548</v>
      </c>
      <c r="AF10" t="s">
        <v>548</v>
      </c>
      <c r="AG10" t="s">
        <v>548</v>
      </c>
      <c r="AH10" t="s">
        <v>548</v>
      </c>
      <c r="AI10" t="s">
        <v>548</v>
      </c>
      <c r="AJ10">
        <v>775</v>
      </c>
      <c r="AK10">
        <v>775</v>
      </c>
      <c r="AL10">
        <v>775</v>
      </c>
      <c r="AM10">
        <v>775</v>
      </c>
      <c r="AN10">
        <v>775</v>
      </c>
      <c r="AO10">
        <v>505</v>
      </c>
      <c r="AP10">
        <v>505</v>
      </c>
      <c r="AQ10">
        <v>505</v>
      </c>
      <c r="AR10">
        <v>505</v>
      </c>
      <c r="AS10">
        <v>505</v>
      </c>
      <c r="AT10">
        <v>135</v>
      </c>
      <c r="AU10">
        <v>135</v>
      </c>
      <c r="AV10">
        <v>135</v>
      </c>
      <c r="AW10">
        <v>135</v>
      </c>
      <c r="AX10">
        <v>135</v>
      </c>
      <c r="AY10">
        <v>0</v>
      </c>
      <c r="AZ10">
        <v>0</v>
      </c>
      <c r="BA10">
        <v>0</v>
      </c>
      <c r="BB10">
        <v>0</v>
      </c>
      <c r="BC10">
        <v>0</v>
      </c>
      <c r="BD10">
        <v>6.0650000000000001E-3</v>
      </c>
      <c r="BH10">
        <v>1.093E-3</v>
      </c>
      <c r="BJ10">
        <v>1</v>
      </c>
      <c r="BK10" t="s">
        <v>1041</v>
      </c>
      <c r="BV10" t="s">
        <v>1042</v>
      </c>
    </row>
    <row r="11" spans="1:74" x14ac:dyDescent="0.2">
      <c r="A11" t="s">
        <v>1029</v>
      </c>
      <c r="B11" t="s">
        <v>1089</v>
      </c>
      <c r="C11" t="s">
        <v>948</v>
      </c>
      <c r="D11" t="s">
        <v>281</v>
      </c>
      <c r="E11" t="s">
        <v>1031</v>
      </c>
      <c r="F11" t="s">
        <v>1082</v>
      </c>
      <c r="G11" t="s">
        <v>1090</v>
      </c>
      <c r="H11" t="s">
        <v>1091</v>
      </c>
      <c r="I11" t="s">
        <v>1092</v>
      </c>
      <c r="J11" t="s">
        <v>1047</v>
      </c>
      <c r="K11" t="s">
        <v>1037</v>
      </c>
      <c r="N11" t="s">
        <v>1093</v>
      </c>
      <c r="O11" t="s">
        <v>1039</v>
      </c>
      <c r="P11" t="s">
        <v>1094</v>
      </c>
      <c r="Q11" t="s">
        <v>1088</v>
      </c>
      <c r="R11">
        <v>3100</v>
      </c>
      <c r="S11">
        <v>3100</v>
      </c>
      <c r="T11">
        <v>3100</v>
      </c>
      <c r="U11">
        <v>3100</v>
      </c>
      <c r="V11">
        <v>3100</v>
      </c>
      <c r="W11">
        <v>3100</v>
      </c>
      <c r="AE11" t="s">
        <v>548</v>
      </c>
      <c r="AF11" t="s">
        <v>548</v>
      </c>
      <c r="AG11" t="s">
        <v>548</v>
      </c>
      <c r="AH11" t="s">
        <v>548</v>
      </c>
      <c r="AI11" t="s">
        <v>548</v>
      </c>
      <c r="AJ11">
        <v>4350</v>
      </c>
      <c r="AK11">
        <v>4350</v>
      </c>
      <c r="AL11">
        <v>4350</v>
      </c>
      <c r="AM11">
        <v>4350</v>
      </c>
      <c r="AN11">
        <v>4350</v>
      </c>
      <c r="AO11">
        <v>3500</v>
      </c>
      <c r="AP11">
        <v>3500</v>
      </c>
      <c r="AQ11">
        <v>3500</v>
      </c>
      <c r="AR11">
        <v>3500</v>
      </c>
      <c r="AS11">
        <v>3500</v>
      </c>
      <c r="BD11">
        <v>2.6649999999999998E-3</v>
      </c>
      <c r="BJ11">
        <v>1</v>
      </c>
      <c r="BK11" t="s">
        <v>1041</v>
      </c>
      <c r="BV11" t="s">
        <v>1042</v>
      </c>
    </row>
    <row r="12" spans="1:74" x14ac:dyDescent="0.2">
      <c r="A12" t="s">
        <v>1029</v>
      </c>
      <c r="B12" t="s">
        <v>1095</v>
      </c>
      <c r="C12" t="s">
        <v>948</v>
      </c>
      <c r="D12" t="s">
        <v>281</v>
      </c>
      <c r="E12" t="s">
        <v>1031</v>
      </c>
      <c r="F12" t="s">
        <v>1082</v>
      </c>
      <c r="G12" t="s">
        <v>1096</v>
      </c>
      <c r="H12" t="s">
        <v>1097</v>
      </c>
      <c r="I12" t="s">
        <v>1098</v>
      </c>
      <c r="J12" t="s">
        <v>1066</v>
      </c>
      <c r="N12" t="s">
        <v>1086</v>
      </c>
      <c r="O12" t="s">
        <v>1039</v>
      </c>
      <c r="P12" t="s">
        <v>1099</v>
      </c>
      <c r="Q12" t="s">
        <v>1088</v>
      </c>
      <c r="R12">
        <v>110</v>
      </c>
      <c r="S12">
        <v>110</v>
      </c>
      <c r="T12">
        <v>110</v>
      </c>
      <c r="U12">
        <v>110</v>
      </c>
      <c r="V12">
        <v>110</v>
      </c>
      <c r="W12">
        <v>110</v>
      </c>
      <c r="BU12" t="s">
        <v>1100</v>
      </c>
      <c r="BV12" t="s">
        <v>1042</v>
      </c>
    </row>
    <row r="13" spans="1:74" x14ac:dyDescent="0.2">
      <c r="A13" t="s">
        <v>1029</v>
      </c>
      <c r="B13" t="s">
        <v>1101</v>
      </c>
      <c r="C13" t="s">
        <v>948</v>
      </c>
      <c r="D13" t="s">
        <v>281</v>
      </c>
      <c r="E13" t="s">
        <v>1031</v>
      </c>
      <c r="F13" t="s">
        <v>1082</v>
      </c>
      <c r="G13" t="s">
        <v>1102</v>
      </c>
      <c r="H13" t="s">
        <v>1103</v>
      </c>
      <c r="I13" t="s">
        <v>1104</v>
      </c>
      <c r="J13" t="s">
        <v>1066</v>
      </c>
      <c r="N13" t="s">
        <v>1086</v>
      </c>
      <c r="O13" t="s">
        <v>1039</v>
      </c>
      <c r="P13" t="s">
        <v>1099</v>
      </c>
      <c r="Q13" t="s">
        <v>1088</v>
      </c>
      <c r="R13">
        <v>550</v>
      </c>
      <c r="S13">
        <v>550</v>
      </c>
      <c r="T13">
        <v>550</v>
      </c>
      <c r="U13">
        <v>550</v>
      </c>
      <c r="V13">
        <v>550</v>
      </c>
      <c r="W13">
        <v>550</v>
      </c>
      <c r="BU13" t="s">
        <v>1100</v>
      </c>
      <c r="BV13" t="s">
        <v>1042</v>
      </c>
    </row>
    <row r="14" spans="1:74" x14ac:dyDescent="0.2">
      <c r="A14" t="s">
        <v>1029</v>
      </c>
      <c r="B14" t="s">
        <v>1105</v>
      </c>
      <c r="C14" t="s">
        <v>948</v>
      </c>
      <c r="D14" t="s">
        <v>1106</v>
      </c>
      <c r="E14" t="s">
        <v>1107</v>
      </c>
      <c r="F14" t="s">
        <v>1108</v>
      </c>
      <c r="G14" t="s">
        <v>1109</v>
      </c>
      <c r="H14" t="s">
        <v>1110</v>
      </c>
      <c r="I14" t="s">
        <v>1111</v>
      </c>
      <c r="J14" t="s">
        <v>1036</v>
      </c>
      <c r="K14" t="s">
        <v>1037</v>
      </c>
      <c r="M14" t="s">
        <v>543</v>
      </c>
      <c r="N14" t="s">
        <v>1112</v>
      </c>
      <c r="O14" t="s">
        <v>1113</v>
      </c>
      <c r="P14" t="s">
        <v>1114</v>
      </c>
      <c r="Q14" t="s">
        <v>1088</v>
      </c>
      <c r="R14" t="s">
        <v>1067</v>
      </c>
      <c r="S14" t="s">
        <v>1067</v>
      </c>
      <c r="T14" t="s">
        <v>1067</v>
      </c>
      <c r="U14" t="s">
        <v>1067</v>
      </c>
      <c r="V14" t="s">
        <v>1067</v>
      </c>
      <c r="W14" t="s">
        <v>1067</v>
      </c>
      <c r="AE14" t="s">
        <v>548</v>
      </c>
      <c r="AF14" t="s">
        <v>548</v>
      </c>
      <c r="AG14" t="s">
        <v>548</v>
      </c>
      <c r="AH14" t="s">
        <v>548</v>
      </c>
      <c r="AI14" t="s">
        <v>548</v>
      </c>
      <c r="AJ14" t="s">
        <v>1115</v>
      </c>
      <c r="AK14" t="s">
        <v>1115</v>
      </c>
      <c r="AL14" t="s">
        <v>1115</v>
      </c>
      <c r="AM14" t="s">
        <v>1115</v>
      </c>
      <c r="AN14" t="s">
        <v>1115</v>
      </c>
      <c r="AO14" t="s">
        <v>1115</v>
      </c>
      <c r="AP14" t="s">
        <v>1115</v>
      </c>
      <c r="AQ14" t="s">
        <v>1115</v>
      </c>
      <c r="AR14" t="s">
        <v>1115</v>
      </c>
      <c r="AS14" t="s">
        <v>1115</v>
      </c>
      <c r="AT14" t="s">
        <v>1115</v>
      </c>
      <c r="AU14" t="s">
        <v>1115</v>
      </c>
      <c r="AV14" t="s">
        <v>1115</v>
      </c>
      <c r="AW14" t="s">
        <v>1115</v>
      </c>
      <c r="AX14" t="s">
        <v>1115</v>
      </c>
      <c r="AY14" t="s">
        <v>1115</v>
      </c>
      <c r="AZ14" t="s">
        <v>1115</v>
      </c>
      <c r="BA14" t="s">
        <v>1115</v>
      </c>
      <c r="BB14" t="s">
        <v>1115</v>
      </c>
      <c r="BC14" t="s">
        <v>1115</v>
      </c>
      <c r="BD14" t="s">
        <v>1115</v>
      </c>
      <c r="BH14" t="s">
        <v>1115</v>
      </c>
      <c r="BJ14">
        <v>1</v>
      </c>
      <c r="BK14" t="s">
        <v>1041</v>
      </c>
      <c r="BU14" t="s">
        <v>1116</v>
      </c>
      <c r="BV14" t="s">
        <v>1042</v>
      </c>
    </row>
    <row r="15" spans="1:74" x14ac:dyDescent="0.2">
      <c r="A15" t="s">
        <v>1029</v>
      </c>
      <c r="B15" t="s">
        <v>1117</v>
      </c>
      <c r="C15" t="s">
        <v>948</v>
      </c>
      <c r="D15" t="s">
        <v>1106</v>
      </c>
      <c r="E15" t="s">
        <v>1107</v>
      </c>
      <c r="F15" t="s">
        <v>1108</v>
      </c>
      <c r="G15" t="s">
        <v>1118</v>
      </c>
      <c r="H15" t="s">
        <v>1119</v>
      </c>
      <c r="I15" t="s">
        <v>1120</v>
      </c>
      <c r="J15" t="s">
        <v>1066</v>
      </c>
      <c r="N15" t="s">
        <v>1121</v>
      </c>
      <c r="O15" t="s">
        <v>1067</v>
      </c>
      <c r="P15" t="s">
        <v>1067</v>
      </c>
      <c r="Q15" t="s">
        <v>1067</v>
      </c>
      <c r="R15" t="s">
        <v>1067</v>
      </c>
      <c r="S15" t="s">
        <v>1067</v>
      </c>
      <c r="T15" t="s">
        <v>1067</v>
      </c>
      <c r="U15" t="s">
        <v>1067</v>
      </c>
      <c r="V15" t="s">
        <v>1067</v>
      </c>
      <c r="W15" t="s">
        <v>1067</v>
      </c>
      <c r="BV15" t="s">
        <v>1042</v>
      </c>
    </row>
    <row r="16" spans="1:74" x14ac:dyDescent="0.2">
      <c r="A16" t="s">
        <v>916</v>
      </c>
      <c r="B16" t="s">
        <v>1122</v>
      </c>
      <c r="C16" t="s">
        <v>913</v>
      </c>
      <c r="D16" t="s">
        <v>281</v>
      </c>
      <c r="E16" t="s">
        <v>1031</v>
      </c>
      <c r="F16" t="s">
        <v>1123</v>
      </c>
      <c r="G16" t="s">
        <v>1044</v>
      </c>
      <c r="H16" t="s">
        <v>1124</v>
      </c>
      <c r="I16" t="s">
        <v>1125</v>
      </c>
      <c r="J16" t="s">
        <v>1036</v>
      </c>
      <c r="K16" t="s">
        <v>1037</v>
      </c>
      <c r="N16" t="s">
        <v>1086</v>
      </c>
      <c r="O16" t="s">
        <v>1126</v>
      </c>
      <c r="P16" t="s">
        <v>1127</v>
      </c>
      <c r="Q16">
        <v>2</v>
      </c>
      <c r="R16">
        <v>19.36</v>
      </c>
      <c r="S16">
        <v>16.899999999999999</v>
      </c>
      <c r="T16">
        <v>14.5</v>
      </c>
      <c r="U16">
        <v>12</v>
      </c>
      <c r="V16">
        <v>12</v>
      </c>
      <c r="W16">
        <v>12</v>
      </c>
      <c r="Z16" t="s">
        <v>548</v>
      </c>
      <c r="AE16" t="s">
        <v>548</v>
      </c>
      <c r="AF16" t="s">
        <v>548</v>
      </c>
      <c r="AG16" t="s">
        <v>548</v>
      </c>
      <c r="AH16" t="s">
        <v>548</v>
      </c>
      <c r="AI16" t="s">
        <v>548</v>
      </c>
      <c r="AJ16">
        <v>20.86</v>
      </c>
      <c r="AK16">
        <v>20.86</v>
      </c>
      <c r="AL16">
        <v>13.5</v>
      </c>
      <c r="AM16">
        <v>13.5</v>
      </c>
      <c r="AN16">
        <v>13.5</v>
      </c>
      <c r="AO16">
        <v>19.36</v>
      </c>
      <c r="AP16">
        <v>19.36</v>
      </c>
      <c r="AQ16">
        <v>12</v>
      </c>
      <c r="AR16">
        <v>12</v>
      </c>
      <c r="AS16">
        <v>12</v>
      </c>
      <c r="AT16">
        <v>12</v>
      </c>
      <c r="AU16">
        <v>12</v>
      </c>
      <c r="AV16">
        <v>12</v>
      </c>
      <c r="AW16">
        <v>12</v>
      </c>
      <c r="AX16">
        <v>12</v>
      </c>
      <c r="AY16">
        <v>10</v>
      </c>
      <c r="AZ16">
        <v>10</v>
      </c>
      <c r="BA16">
        <v>10</v>
      </c>
      <c r="BB16">
        <v>10</v>
      </c>
      <c r="BC16">
        <v>10</v>
      </c>
      <c r="BD16">
        <v>5.7080000000000002</v>
      </c>
      <c r="BH16">
        <v>2.8359999999999999</v>
      </c>
      <c r="BJ16">
        <v>1</v>
      </c>
      <c r="BK16" t="s">
        <v>1041</v>
      </c>
      <c r="BV16" t="s">
        <v>1009</v>
      </c>
    </row>
    <row r="17" spans="1:74" x14ac:dyDescent="0.2">
      <c r="A17" t="s">
        <v>916</v>
      </c>
      <c r="B17" t="s">
        <v>1128</v>
      </c>
      <c r="C17" t="s">
        <v>913</v>
      </c>
      <c r="D17" t="s">
        <v>281</v>
      </c>
      <c r="E17" t="s">
        <v>1031</v>
      </c>
      <c r="F17" t="s">
        <v>1123</v>
      </c>
      <c r="G17" t="s">
        <v>1052</v>
      </c>
      <c r="H17" t="s">
        <v>1129</v>
      </c>
      <c r="I17" t="s">
        <v>1130</v>
      </c>
      <c r="J17" t="s">
        <v>1036</v>
      </c>
      <c r="K17" t="s">
        <v>1037</v>
      </c>
      <c r="M17" t="s">
        <v>543</v>
      </c>
      <c r="N17" t="s">
        <v>1131</v>
      </c>
      <c r="O17" t="s">
        <v>1039</v>
      </c>
      <c r="P17" t="s">
        <v>1087</v>
      </c>
      <c r="Q17" t="s">
        <v>1088</v>
      </c>
      <c r="R17">
        <v>517</v>
      </c>
      <c r="U17">
        <v>361</v>
      </c>
      <c r="W17">
        <v>257</v>
      </c>
      <c r="AG17" t="s">
        <v>548</v>
      </c>
      <c r="AI17" t="s">
        <v>548</v>
      </c>
      <c r="AL17">
        <v>441</v>
      </c>
      <c r="AN17">
        <v>337</v>
      </c>
      <c r="AQ17">
        <v>366</v>
      </c>
      <c r="AS17">
        <v>262</v>
      </c>
      <c r="AX17">
        <v>230</v>
      </c>
      <c r="BC17">
        <v>150</v>
      </c>
      <c r="BD17">
        <v>0.03</v>
      </c>
      <c r="BH17">
        <v>1.4999999999999999E-2</v>
      </c>
      <c r="BJ17">
        <v>1</v>
      </c>
      <c r="BK17" t="s">
        <v>1041</v>
      </c>
      <c r="BV17" t="s">
        <v>1042</v>
      </c>
    </row>
    <row r="18" spans="1:74" x14ac:dyDescent="0.2">
      <c r="A18" t="s">
        <v>916</v>
      </c>
      <c r="B18" t="s">
        <v>1132</v>
      </c>
      <c r="C18" t="s">
        <v>913</v>
      </c>
      <c r="D18" t="s">
        <v>281</v>
      </c>
      <c r="E18" t="s">
        <v>1031</v>
      </c>
      <c r="F18" t="s">
        <v>1123</v>
      </c>
      <c r="G18" t="s">
        <v>1058</v>
      </c>
      <c r="H18" t="s">
        <v>1133</v>
      </c>
      <c r="I18" t="s">
        <v>1134</v>
      </c>
      <c r="J18" t="s">
        <v>1036</v>
      </c>
      <c r="K18" t="s">
        <v>1037</v>
      </c>
      <c r="N18" t="s">
        <v>1008</v>
      </c>
      <c r="O18" t="s">
        <v>1039</v>
      </c>
      <c r="P18" t="s">
        <v>1080</v>
      </c>
      <c r="Q18">
        <v>2</v>
      </c>
      <c r="R18">
        <v>1.51</v>
      </c>
      <c r="S18">
        <v>1.42</v>
      </c>
      <c r="T18">
        <v>1.32</v>
      </c>
      <c r="U18">
        <v>1.23</v>
      </c>
      <c r="V18">
        <v>1.23</v>
      </c>
      <c r="W18">
        <v>1.23</v>
      </c>
      <c r="Y18" t="s">
        <v>548</v>
      </c>
      <c r="AE18" t="s">
        <v>548</v>
      </c>
      <c r="AF18" t="s">
        <v>548</v>
      </c>
      <c r="AG18" t="s">
        <v>548</v>
      </c>
      <c r="AH18" t="s">
        <v>548</v>
      </c>
      <c r="AI18" t="s">
        <v>548</v>
      </c>
      <c r="AJ18">
        <v>2.74</v>
      </c>
      <c r="AK18">
        <v>2.74</v>
      </c>
      <c r="AL18">
        <v>2.46</v>
      </c>
      <c r="AM18">
        <v>2.46</v>
      </c>
      <c r="AN18">
        <v>2.46</v>
      </c>
      <c r="AO18">
        <v>1.51</v>
      </c>
      <c r="AP18">
        <v>1.51</v>
      </c>
      <c r="AQ18">
        <v>1.23</v>
      </c>
      <c r="AR18">
        <v>1.23</v>
      </c>
      <c r="AS18">
        <v>1.23</v>
      </c>
      <c r="AT18">
        <v>1.23</v>
      </c>
      <c r="AU18">
        <v>1.23</v>
      </c>
      <c r="AV18">
        <v>1.23</v>
      </c>
      <c r="AW18">
        <v>1.23</v>
      </c>
      <c r="AX18">
        <v>1.23</v>
      </c>
      <c r="AY18">
        <v>0</v>
      </c>
      <c r="AZ18">
        <v>0</v>
      </c>
      <c r="BA18">
        <v>0</v>
      </c>
      <c r="BB18">
        <v>0</v>
      </c>
      <c r="BC18">
        <v>0</v>
      </c>
      <c r="BD18">
        <v>1.5720000000000001</v>
      </c>
      <c r="BH18">
        <v>1.1779999999999999</v>
      </c>
      <c r="BJ18">
        <v>1</v>
      </c>
      <c r="BK18" t="s">
        <v>1041</v>
      </c>
      <c r="BV18" t="s">
        <v>1008</v>
      </c>
    </row>
    <row r="19" spans="1:74" x14ac:dyDescent="0.2">
      <c r="A19" t="s">
        <v>916</v>
      </c>
      <c r="B19" t="s">
        <v>1135</v>
      </c>
      <c r="C19" t="s">
        <v>913</v>
      </c>
      <c r="D19" t="s">
        <v>281</v>
      </c>
      <c r="E19" t="s">
        <v>1031</v>
      </c>
      <c r="F19" t="s">
        <v>1136</v>
      </c>
      <c r="G19" t="s">
        <v>1070</v>
      </c>
      <c r="H19" t="s">
        <v>1137</v>
      </c>
      <c r="I19" t="s">
        <v>1138</v>
      </c>
      <c r="J19" t="s">
        <v>1036</v>
      </c>
      <c r="K19" t="s">
        <v>1037</v>
      </c>
      <c r="N19" t="s">
        <v>1121</v>
      </c>
      <c r="O19" t="s">
        <v>253</v>
      </c>
      <c r="P19" t="s">
        <v>1139</v>
      </c>
      <c r="Q19" t="s">
        <v>1088</v>
      </c>
      <c r="R19">
        <v>0</v>
      </c>
      <c r="S19">
        <v>0</v>
      </c>
      <c r="T19">
        <v>0</v>
      </c>
      <c r="U19">
        <v>0</v>
      </c>
      <c r="V19">
        <v>0</v>
      </c>
      <c r="W19">
        <v>0</v>
      </c>
      <c r="AE19" t="s">
        <v>548</v>
      </c>
      <c r="AF19" t="s">
        <v>548</v>
      </c>
      <c r="AG19" t="s">
        <v>548</v>
      </c>
      <c r="AH19" t="s">
        <v>548</v>
      </c>
      <c r="AI19" t="s">
        <v>548</v>
      </c>
      <c r="AJ19">
        <v>-20</v>
      </c>
      <c r="AK19">
        <v>-20</v>
      </c>
      <c r="AL19">
        <v>-20</v>
      </c>
      <c r="AM19">
        <v>-20</v>
      </c>
      <c r="AN19">
        <v>-20</v>
      </c>
      <c r="AO19">
        <v>0</v>
      </c>
      <c r="AP19">
        <v>0</v>
      </c>
      <c r="AQ19">
        <v>0</v>
      </c>
      <c r="AR19">
        <v>0</v>
      </c>
      <c r="AS19">
        <v>0</v>
      </c>
      <c r="AT19">
        <v>0</v>
      </c>
      <c r="AU19">
        <v>0</v>
      </c>
      <c r="AV19">
        <v>0</v>
      </c>
      <c r="AW19">
        <v>0</v>
      </c>
      <c r="AX19">
        <v>0</v>
      </c>
      <c r="AY19">
        <v>20</v>
      </c>
      <c r="AZ19">
        <v>20</v>
      </c>
      <c r="BA19">
        <v>20</v>
      </c>
      <c r="BB19">
        <v>20</v>
      </c>
      <c r="BC19">
        <v>20</v>
      </c>
      <c r="BD19">
        <v>2.5000000000000001E-2</v>
      </c>
      <c r="BH19">
        <v>2.5000000000000001E-2</v>
      </c>
      <c r="BJ19">
        <v>1</v>
      </c>
      <c r="BK19" t="s">
        <v>1041</v>
      </c>
      <c r="BV19" t="s">
        <v>1042</v>
      </c>
    </row>
    <row r="20" spans="1:74" x14ac:dyDescent="0.2">
      <c r="A20" t="s">
        <v>916</v>
      </c>
      <c r="B20" t="s">
        <v>1140</v>
      </c>
      <c r="C20" t="s">
        <v>913</v>
      </c>
      <c r="D20" t="s">
        <v>281</v>
      </c>
      <c r="E20" t="s">
        <v>1031</v>
      </c>
      <c r="F20" t="s">
        <v>1141</v>
      </c>
      <c r="G20" t="s">
        <v>1083</v>
      </c>
      <c r="H20" t="s">
        <v>1142</v>
      </c>
      <c r="I20" t="s">
        <v>1143</v>
      </c>
      <c r="J20" t="s">
        <v>1047</v>
      </c>
      <c r="K20" t="s">
        <v>1037</v>
      </c>
      <c r="N20" t="s">
        <v>1144</v>
      </c>
      <c r="O20" t="s">
        <v>253</v>
      </c>
      <c r="P20" t="s">
        <v>1145</v>
      </c>
      <c r="Q20">
        <v>1</v>
      </c>
      <c r="R20">
        <v>27.5</v>
      </c>
      <c r="W20">
        <v>24.7</v>
      </c>
      <c r="AI20" t="s">
        <v>548</v>
      </c>
      <c r="AN20">
        <v>27.5</v>
      </c>
      <c r="AS20">
        <v>24.7</v>
      </c>
      <c r="BD20">
        <v>8.6999999999999994E-2</v>
      </c>
      <c r="BJ20">
        <v>5</v>
      </c>
      <c r="BK20" t="s">
        <v>1146</v>
      </c>
      <c r="BV20" t="s">
        <v>1042</v>
      </c>
    </row>
    <row r="21" spans="1:74" x14ac:dyDescent="0.2">
      <c r="A21" t="s">
        <v>916</v>
      </c>
      <c r="B21" t="s">
        <v>1147</v>
      </c>
      <c r="C21" t="s">
        <v>913</v>
      </c>
      <c r="D21" t="s">
        <v>281</v>
      </c>
      <c r="E21" t="s">
        <v>1031</v>
      </c>
      <c r="F21" t="s">
        <v>1141</v>
      </c>
      <c r="G21" t="s">
        <v>1090</v>
      </c>
      <c r="H21" t="s">
        <v>1148</v>
      </c>
      <c r="I21" t="s">
        <v>1149</v>
      </c>
      <c r="J21" t="s">
        <v>1066</v>
      </c>
      <c r="N21" t="s">
        <v>1150</v>
      </c>
      <c r="O21" t="s">
        <v>1039</v>
      </c>
      <c r="P21" t="s">
        <v>1151</v>
      </c>
      <c r="Q21" t="s">
        <v>1088</v>
      </c>
      <c r="R21">
        <v>1</v>
      </c>
      <c r="W21">
        <v>1</v>
      </c>
      <c r="BV21" t="s">
        <v>1042</v>
      </c>
    </row>
    <row r="22" spans="1:74" x14ac:dyDescent="0.2">
      <c r="A22" t="s">
        <v>916</v>
      </c>
      <c r="B22" t="s">
        <v>1152</v>
      </c>
      <c r="C22" t="s">
        <v>913</v>
      </c>
      <c r="D22" t="s">
        <v>281</v>
      </c>
      <c r="E22" t="s">
        <v>1031</v>
      </c>
      <c r="F22" t="s">
        <v>1153</v>
      </c>
      <c r="G22" t="s">
        <v>1154</v>
      </c>
      <c r="H22" t="s">
        <v>1155</v>
      </c>
      <c r="I22" t="s">
        <v>1156</v>
      </c>
      <c r="J22" t="s">
        <v>1066</v>
      </c>
      <c r="N22" t="s">
        <v>1055</v>
      </c>
      <c r="O22" t="s">
        <v>1113</v>
      </c>
      <c r="P22" t="s">
        <v>1157</v>
      </c>
      <c r="Q22" t="s">
        <v>1088</v>
      </c>
      <c r="R22">
        <v>100</v>
      </c>
      <c r="W22">
        <v>100</v>
      </c>
      <c r="BV22" t="s">
        <v>1042</v>
      </c>
    </row>
    <row r="23" spans="1:74" x14ac:dyDescent="0.2">
      <c r="A23" t="s">
        <v>916</v>
      </c>
      <c r="B23" t="s">
        <v>1158</v>
      </c>
      <c r="C23" t="s">
        <v>913</v>
      </c>
      <c r="D23" t="s">
        <v>281</v>
      </c>
      <c r="E23" t="s">
        <v>1031</v>
      </c>
      <c r="F23" t="s">
        <v>1153</v>
      </c>
      <c r="G23" t="s">
        <v>1159</v>
      </c>
      <c r="H23" t="s">
        <v>1160</v>
      </c>
      <c r="I23" t="s">
        <v>1161</v>
      </c>
      <c r="J23" t="s">
        <v>1066</v>
      </c>
      <c r="N23" t="s">
        <v>1055</v>
      </c>
      <c r="O23" t="s">
        <v>1113</v>
      </c>
      <c r="P23" t="s">
        <v>1157</v>
      </c>
      <c r="Q23" t="s">
        <v>1088</v>
      </c>
      <c r="R23">
        <v>100</v>
      </c>
      <c r="W23">
        <v>100</v>
      </c>
      <c r="BV23" t="s">
        <v>1042</v>
      </c>
    </row>
    <row r="24" spans="1:74" x14ac:dyDescent="0.2">
      <c r="A24" t="s">
        <v>916</v>
      </c>
      <c r="B24" t="s">
        <v>1162</v>
      </c>
      <c r="C24" t="s">
        <v>913</v>
      </c>
      <c r="D24" t="s">
        <v>281</v>
      </c>
      <c r="E24" t="s">
        <v>1031</v>
      </c>
      <c r="F24" t="s">
        <v>1153</v>
      </c>
      <c r="G24" t="s">
        <v>1163</v>
      </c>
      <c r="H24" t="s">
        <v>1164</v>
      </c>
      <c r="I24" t="s">
        <v>1165</v>
      </c>
      <c r="J24" t="s">
        <v>1047</v>
      </c>
      <c r="K24" t="s">
        <v>1037</v>
      </c>
      <c r="N24" t="s">
        <v>1048</v>
      </c>
      <c r="O24" t="s">
        <v>1039</v>
      </c>
      <c r="P24" t="s">
        <v>1166</v>
      </c>
      <c r="Q24" t="s">
        <v>1088</v>
      </c>
      <c r="R24">
        <v>0</v>
      </c>
      <c r="W24">
        <v>7</v>
      </c>
      <c r="AI24" t="s">
        <v>548</v>
      </c>
      <c r="AN24">
        <v>0</v>
      </c>
      <c r="AS24">
        <v>7</v>
      </c>
      <c r="BD24">
        <v>0.222</v>
      </c>
      <c r="BJ24">
        <v>5</v>
      </c>
      <c r="BK24" t="s">
        <v>1146</v>
      </c>
      <c r="BV24" t="s">
        <v>1042</v>
      </c>
    </row>
    <row r="25" spans="1:74" x14ac:dyDescent="0.2">
      <c r="A25" t="s">
        <v>916</v>
      </c>
      <c r="B25" t="s">
        <v>1167</v>
      </c>
      <c r="C25" t="s">
        <v>913</v>
      </c>
      <c r="D25" t="s">
        <v>281</v>
      </c>
      <c r="E25" t="s">
        <v>1031</v>
      </c>
      <c r="F25" t="s">
        <v>1153</v>
      </c>
      <c r="G25" t="s">
        <v>1168</v>
      </c>
      <c r="H25" t="s">
        <v>1169</v>
      </c>
      <c r="I25" t="s">
        <v>1170</v>
      </c>
      <c r="J25" t="s">
        <v>1036</v>
      </c>
      <c r="K25" t="s">
        <v>1037</v>
      </c>
      <c r="L25" t="s">
        <v>548</v>
      </c>
      <c r="M25" t="s">
        <v>543</v>
      </c>
      <c r="N25" t="s">
        <v>1038</v>
      </c>
      <c r="O25" t="s">
        <v>1039</v>
      </c>
      <c r="P25" t="s">
        <v>1040</v>
      </c>
      <c r="Q25" t="s">
        <v>1088</v>
      </c>
      <c r="R25">
        <v>192</v>
      </c>
      <c r="S25">
        <v>192</v>
      </c>
      <c r="T25">
        <v>192</v>
      </c>
      <c r="U25">
        <v>192</v>
      </c>
      <c r="V25">
        <v>192</v>
      </c>
      <c r="W25">
        <v>192</v>
      </c>
      <c r="AE25" t="s">
        <v>548</v>
      </c>
      <c r="AF25" t="s">
        <v>548</v>
      </c>
      <c r="AG25" t="s">
        <v>548</v>
      </c>
      <c r="AH25" t="s">
        <v>548</v>
      </c>
      <c r="AI25" t="s">
        <v>548</v>
      </c>
      <c r="AJ25">
        <v>211</v>
      </c>
      <c r="AK25">
        <v>211</v>
      </c>
      <c r="AL25">
        <v>211</v>
      </c>
      <c r="AM25">
        <v>211</v>
      </c>
      <c r="AN25">
        <v>211</v>
      </c>
      <c r="AO25">
        <v>192</v>
      </c>
      <c r="AP25">
        <v>192</v>
      </c>
      <c r="AQ25">
        <v>192</v>
      </c>
      <c r="AR25">
        <v>192</v>
      </c>
      <c r="AS25">
        <v>192</v>
      </c>
      <c r="AT25">
        <v>192</v>
      </c>
      <c r="AU25">
        <v>192</v>
      </c>
      <c r="AV25">
        <v>192</v>
      </c>
      <c r="AW25">
        <v>192</v>
      </c>
      <c r="AX25">
        <v>192</v>
      </c>
      <c r="AY25">
        <v>191</v>
      </c>
      <c r="AZ25">
        <v>187</v>
      </c>
      <c r="BA25">
        <v>182</v>
      </c>
      <c r="BB25">
        <v>177</v>
      </c>
      <c r="BC25">
        <v>172</v>
      </c>
      <c r="BD25">
        <v>0.4</v>
      </c>
      <c r="BH25">
        <v>0.51500000000000001</v>
      </c>
      <c r="BI25">
        <v>0.51500000000000001</v>
      </c>
      <c r="BJ25">
        <v>1</v>
      </c>
      <c r="BK25" t="s">
        <v>1041</v>
      </c>
      <c r="BU25" t="s">
        <v>1171</v>
      </c>
      <c r="BV25" t="s">
        <v>1042</v>
      </c>
    </row>
    <row r="26" spans="1:74" x14ac:dyDescent="0.2">
      <c r="A26" t="s">
        <v>916</v>
      </c>
      <c r="B26" t="s">
        <v>1172</v>
      </c>
      <c r="C26" t="s">
        <v>913</v>
      </c>
      <c r="D26" t="s">
        <v>281</v>
      </c>
      <c r="E26" t="s">
        <v>1031</v>
      </c>
      <c r="F26" t="s">
        <v>1173</v>
      </c>
      <c r="G26" t="s">
        <v>1174</v>
      </c>
      <c r="H26" t="s">
        <v>1175</v>
      </c>
      <c r="I26" t="s">
        <v>1176</v>
      </c>
      <c r="J26" t="s">
        <v>1066</v>
      </c>
      <c r="N26" t="s">
        <v>1177</v>
      </c>
      <c r="O26" t="s">
        <v>253</v>
      </c>
      <c r="P26" t="s">
        <v>1178</v>
      </c>
      <c r="Q26" t="s">
        <v>1088</v>
      </c>
      <c r="R26">
        <v>49</v>
      </c>
      <c r="W26">
        <v>50</v>
      </c>
      <c r="BV26" t="s">
        <v>1042</v>
      </c>
    </row>
    <row r="27" spans="1:74" x14ac:dyDescent="0.2">
      <c r="A27" t="s">
        <v>916</v>
      </c>
      <c r="B27" t="s">
        <v>1179</v>
      </c>
      <c r="C27" t="s">
        <v>913</v>
      </c>
      <c r="D27" t="s">
        <v>281</v>
      </c>
      <c r="E27" t="s">
        <v>1031</v>
      </c>
      <c r="F27" t="s">
        <v>1173</v>
      </c>
      <c r="G27" t="s">
        <v>1180</v>
      </c>
      <c r="H27" t="s">
        <v>1181</v>
      </c>
      <c r="I27" t="s">
        <v>1182</v>
      </c>
      <c r="J27" t="s">
        <v>1047</v>
      </c>
      <c r="K27" t="s">
        <v>1037</v>
      </c>
      <c r="N27" t="s">
        <v>1183</v>
      </c>
      <c r="O27" t="s">
        <v>1039</v>
      </c>
      <c r="P27" t="s">
        <v>1184</v>
      </c>
      <c r="Q27" t="s">
        <v>1088</v>
      </c>
      <c r="R27">
        <v>0</v>
      </c>
      <c r="W27">
        <v>16</v>
      </c>
      <c r="AI27" t="s">
        <v>548</v>
      </c>
      <c r="AN27">
        <v>0</v>
      </c>
      <c r="AS27">
        <v>16</v>
      </c>
      <c r="BD27">
        <v>0.156</v>
      </c>
      <c r="BJ27">
        <v>5</v>
      </c>
      <c r="BK27" t="s">
        <v>1146</v>
      </c>
      <c r="BU27" t="s">
        <v>1185</v>
      </c>
      <c r="BV27" t="s">
        <v>1042</v>
      </c>
    </row>
    <row r="28" spans="1:74" x14ac:dyDescent="0.2">
      <c r="A28" t="s">
        <v>916</v>
      </c>
      <c r="B28" t="s">
        <v>1186</v>
      </c>
      <c r="C28" t="s">
        <v>913</v>
      </c>
      <c r="D28" t="s">
        <v>281</v>
      </c>
      <c r="E28" t="s">
        <v>1031</v>
      </c>
      <c r="F28" t="s">
        <v>1187</v>
      </c>
      <c r="G28" t="s">
        <v>1188</v>
      </c>
      <c r="H28" t="s">
        <v>1189</v>
      </c>
      <c r="I28" t="s">
        <v>1190</v>
      </c>
      <c r="J28" t="s">
        <v>1066</v>
      </c>
      <c r="N28" t="s">
        <v>1191</v>
      </c>
      <c r="O28" t="s">
        <v>253</v>
      </c>
      <c r="P28" t="s">
        <v>1192</v>
      </c>
      <c r="Q28" t="s">
        <v>1088</v>
      </c>
      <c r="R28">
        <v>0</v>
      </c>
      <c r="W28">
        <v>7</v>
      </c>
      <c r="BV28" t="s">
        <v>1042</v>
      </c>
    </row>
    <row r="29" spans="1:74" x14ac:dyDescent="0.2">
      <c r="A29" t="s">
        <v>916</v>
      </c>
      <c r="B29" t="s">
        <v>1193</v>
      </c>
      <c r="C29" t="s">
        <v>913</v>
      </c>
      <c r="D29" t="s">
        <v>281</v>
      </c>
      <c r="E29" t="s">
        <v>1031</v>
      </c>
      <c r="F29" t="s">
        <v>1187</v>
      </c>
      <c r="G29" t="s">
        <v>1194</v>
      </c>
      <c r="H29" t="s">
        <v>1195</v>
      </c>
      <c r="I29" t="s">
        <v>1196</v>
      </c>
      <c r="J29" t="s">
        <v>1066</v>
      </c>
      <c r="N29" t="s">
        <v>1191</v>
      </c>
      <c r="O29" t="s">
        <v>253</v>
      </c>
      <c r="P29" t="s">
        <v>1197</v>
      </c>
      <c r="Q29" t="s">
        <v>1088</v>
      </c>
      <c r="R29">
        <v>50</v>
      </c>
      <c r="W29">
        <v>60</v>
      </c>
      <c r="BV29" t="s">
        <v>1042</v>
      </c>
    </row>
    <row r="30" spans="1:74" x14ac:dyDescent="0.2">
      <c r="A30" t="s">
        <v>916</v>
      </c>
      <c r="B30" t="s">
        <v>1198</v>
      </c>
      <c r="C30" t="s">
        <v>913</v>
      </c>
      <c r="D30" t="s">
        <v>281</v>
      </c>
      <c r="E30" t="s">
        <v>1031</v>
      </c>
      <c r="F30" t="s">
        <v>1199</v>
      </c>
      <c r="G30" t="s">
        <v>1200</v>
      </c>
      <c r="H30" t="s">
        <v>1201</v>
      </c>
      <c r="I30" t="s">
        <v>1202</v>
      </c>
      <c r="J30" t="s">
        <v>1066</v>
      </c>
      <c r="N30" t="s">
        <v>1203</v>
      </c>
      <c r="O30" t="s">
        <v>253</v>
      </c>
      <c r="P30" t="s">
        <v>1204</v>
      </c>
      <c r="Q30" t="s">
        <v>1041</v>
      </c>
      <c r="W30" t="s">
        <v>1205</v>
      </c>
      <c r="BV30" t="s">
        <v>1042</v>
      </c>
    </row>
    <row r="31" spans="1:74" x14ac:dyDescent="0.2">
      <c r="A31" t="s">
        <v>916</v>
      </c>
      <c r="B31" t="s">
        <v>1206</v>
      </c>
      <c r="C31" t="s">
        <v>913</v>
      </c>
      <c r="D31" t="s">
        <v>281</v>
      </c>
      <c r="E31" t="s">
        <v>1031</v>
      </c>
      <c r="F31" t="s">
        <v>1207</v>
      </c>
      <c r="G31" t="s">
        <v>1208</v>
      </c>
      <c r="H31" t="s">
        <v>1209</v>
      </c>
      <c r="I31" t="s">
        <v>1210</v>
      </c>
      <c r="J31" t="s">
        <v>1047</v>
      </c>
      <c r="K31" t="s">
        <v>1037</v>
      </c>
      <c r="M31" t="s">
        <v>543</v>
      </c>
      <c r="N31" t="s">
        <v>1093</v>
      </c>
      <c r="O31" t="s">
        <v>1211</v>
      </c>
      <c r="P31" t="s">
        <v>1212</v>
      </c>
      <c r="Q31" t="s">
        <v>1041</v>
      </c>
      <c r="R31" t="s">
        <v>1213</v>
      </c>
      <c r="S31" t="s">
        <v>1214</v>
      </c>
      <c r="T31" t="s">
        <v>1214</v>
      </c>
      <c r="U31" t="s">
        <v>1214</v>
      </c>
      <c r="V31" t="s">
        <v>1214</v>
      </c>
      <c r="W31" t="s">
        <v>1214</v>
      </c>
      <c r="AE31" t="s">
        <v>548</v>
      </c>
      <c r="AF31" t="s">
        <v>548</v>
      </c>
      <c r="AG31" t="s">
        <v>548</v>
      </c>
      <c r="AH31" t="s">
        <v>548</v>
      </c>
      <c r="AI31" t="s">
        <v>548</v>
      </c>
      <c r="BJ31">
        <v>1</v>
      </c>
      <c r="BK31" t="s">
        <v>1041</v>
      </c>
      <c r="BU31" t="s">
        <v>1215</v>
      </c>
      <c r="BV31" t="s">
        <v>1042</v>
      </c>
    </row>
    <row r="32" spans="1:74" x14ac:dyDescent="0.2">
      <c r="A32" t="s">
        <v>916</v>
      </c>
      <c r="B32" t="s">
        <v>1216</v>
      </c>
      <c r="C32" t="s">
        <v>913</v>
      </c>
      <c r="D32" t="s">
        <v>281</v>
      </c>
      <c r="E32" t="s">
        <v>1031</v>
      </c>
      <c r="F32" t="s">
        <v>1207</v>
      </c>
      <c r="G32" t="s">
        <v>1217</v>
      </c>
      <c r="H32" t="s">
        <v>1218</v>
      </c>
      <c r="I32" t="s">
        <v>1219</v>
      </c>
      <c r="J32" t="s">
        <v>1047</v>
      </c>
      <c r="K32" t="s">
        <v>1037</v>
      </c>
      <c r="M32" t="s">
        <v>543</v>
      </c>
      <c r="N32" t="s">
        <v>1093</v>
      </c>
      <c r="O32" t="s">
        <v>1211</v>
      </c>
      <c r="P32" t="s">
        <v>1212</v>
      </c>
      <c r="Q32" t="s">
        <v>1041</v>
      </c>
      <c r="R32" t="s">
        <v>1213</v>
      </c>
      <c r="S32" t="s">
        <v>1214</v>
      </c>
      <c r="T32" t="s">
        <v>1214</v>
      </c>
      <c r="U32" t="s">
        <v>1214</v>
      </c>
      <c r="V32" t="s">
        <v>1214</v>
      </c>
      <c r="W32" t="s">
        <v>1214</v>
      </c>
      <c r="AE32" t="s">
        <v>548</v>
      </c>
      <c r="AF32" t="s">
        <v>548</v>
      </c>
      <c r="AG32" t="s">
        <v>548</v>
      </c>
      <c r="AH32" t="s">
        <v>548</v>
      </c>
      <c r="AI32" t="s">
        <v>548</v>
      </c>
      <c r="BJ32">
        <v>1</v>
      </c>
      <c r="BK32" t="s">
        <v>1041</v>
      </c>
      <c r="BU32" t="s">
        <v>1220</v>
      </c>
      <c r="BV32" t="s">
        <v>1042</v>
      </c>
    </row>
    <row r="33" spans="1:74" x14ac:dyDescent="0.2">
      <c r="A33" t="s">
        <v>916</v>
      </c>
      <c r="B33" t="s">
        <v>1221</v>
      </c>
      <c r="C33" t="s">
        <v>913</v>
      </c>
      <c r="D33" t="s">
        <v>281</v>
      </c>
      <c r="E33" t="s">
        <v>1031</v>
      </c>
      <c r="F33" t="s">
        <v>1222</v>
      </c>
      <c r="G33" t="s">
        <v>1223</v>
      </c>
      <c r="H33" t="s">
        <v>1224</v>
      </c>
      <c r="I33" t="s">
        <v>1225</v>
      </c>
      <c r="J33" t="s">
        <v>1047</v>
      </c>
      <c r="K33" t="s">
        <v>1037</v>
      </c>
      <c r="M33" t="s">
        <v>543</v>
      </c>
      <c r="N33" t="s">
        <v>1073</v>
      </c>
      <c r="O33" t="s">
        <v>253</v>
      </c>
      <c r="P33" t="s">
        <v>1074</v>
      </c>
      <c r="Q33">
        <v>2</v>
      </c>
      <c r="R33">
        <v>99.96</v>
      </c>
      <c r="S33">
        <v>99.96</v>
      </c>
      <c r="T33">
        <v>99.96</v>
      </c>
      <c r="U33">
        <v>100</v>
      </c>
      <c r="V33">
        <v>100</v>
      </c>
      <c r="W33">
        <v>100</v>
      </c>
      <c r="X33" t="s">
        <v>548</v>
      </c>
      <c r="AG33" t="s">
        <v>548</v>
      </c>
      <c r="AH33" t="s">
        <v>548</v>
      </c>
      <c r="AI33" t="s">
        <v>548</v>
      </c>
      <c r="AL33">
        <v>99.89</v>
      </c>
      <c r="AM33">
        <v>99.89</v>
      </c>
      <c r="AN33">
        <v>99.89</v>
      </c>
      <c r="AQ33">
        <v>99.95</v>
      </c>
      <c r="AR33">
        <v>99.95</v>
      </c>
      <c r="AS33">
        <v>99.95</v>
      </c>
      <c r="BD33">
        <v>17.412500000000001</v>
      </c>
      <c r="BJ33">
        <v>1</v>
      </c>
      <c r="BK33" t="s">
        <v>1041</v>
      </c>
      <c r="BV33" t="s">
        <v>1007</v>
      </c>
    </row>
    <row r="34" spans="1:74" x14ac:dyDescent="0.2">
      <c r="A34" t="s">
        <v>916</v>
      </c>
      <c r="B34" t="s">
        <v>1226</v>
      </c>
      <c r="C34" t="s">
        <v>913</v>
      </c>
      <c r="D34" t="s">
        <v>282</v>
      </c>
      <c r="E34" t="s">
        <v>1227</v>
      </c>
      <c r="F34" t="s">
        <v>1123</v>
      </c>
      <c r="G34" t="s">
        <v>1228</v>
      </c>
      <c r="H34" t="s">
        <v>1229</v>
      </c>
      <c r="I34" t="s">
        <v>1230</v>
      </c>
      <c r="J34" t="s">
        <v>1036</v>
      </c>
      <c r="K34" t="s">
        <v>1037</v>
      </c>
      <c r="N34" t="s">
        <v>1231</v>
      </c>
      <c r="O34" t="s">
        <v>1039</v>
      </c>
      <c r="P34" t="s">
        <v>1232</v>
      </c>
      <c r="Q34" t="s">
        <v>1088</v>
      </c>
      <c r="R34">
        <v>0</v>
      </c>
      <c r="W34">
        <v>27</v>
      </c>
      <c r="AB34" t="s">
        <v>548</v>
      </c>
      <c r="AI34" t="s">
        <v>548</v>
      </c>
      <c r="AN34">
        <v>-24</v>
      </c>
      <c r="AS34">
        <v>24</v>
      </c>
      <c r="AX34">
        <v>30</v>
      </c>
      <c r="BC34">
        <v>78</v>
      </c>
      <c r="BD34">
        <v>4.2000000000000003E-2</v>
      </c>
      <c r="BH34">
        <v>3.5999999999999997E-2</v>
      </c>
      <c r="BJ34">
        <v>5</v>
      </c>
      <c r="BK34" t="s">
        <v>1146</v>
      </c>
      <c r="BV34" t="s">
        <v>1011</v>
      </c>
    </row>
    <row r="35" spans="1:74" x14ac:dyDescent="0.2">
      <c r="A35" t="s">
        <v>916</v>
      </c>
      <c r="B35" t="s">
        <v>1233</v>
      </c>
      <c r="C35" t="s">
        <v>913</v>
      </c>
      <c r="D35" t="s">
        <v>282</v>
      </c>
      <c r="E35" t="s">
        <v>1227</v>
      </c>
      <c r="F35" t="s">
        <v>1123</v>
      </c>
      <c r="G35" t="s">
        <v>1234</v>
      </c>
      <c r="H35" t="s">
        <v>1235</v>
      </c>
      <c r="I35" t="s">
        <v>1236</v>
      </c>
      <c r="J35" t="s">
        <v>1047</v>
      </c>
      <c r="K35" t="s">
        <v>1037</v>
      </c>
      <c r="N35" t="s">
        <v>1231</v>
      </c>
      <c r="O35" t="s">
        <v>1039</v>
      </c>
      <c r="P35" t="s">
        <v>1237</v>
      </c>
      <c r="Q35" t="s">
        <v>1088</v>
      </c>
      <c r="R35">
        <v>0</v>
      </c>
      <c r="W35">
        <v>22</v>
      </c>
      <c r="AI35" t="s">
        <v>548</v>
      </c>
      <c r="AN35">
        <v>-66</v>
      </c>
      <c r="AS35">
        <v>21</v>
      </c>
      <c r="BD35">
        <v>2.3E-2</v>
      </c>
      <c r="BJ35">
        <v>5</v>
      </c>
      <c r="BK35" t="s">
        <v>1146</v>
      </c>
      <c r="BV35" t="s">
        <v>1042</v>
      </c>
    </row>
    <row r="36" spans="1:74" x14ac:dyDescent="0.2">
      <c r="A36" t="s">
        <v>916</v>
      </c>
      <c r="B36" t="s">
        <v>1238</v>
      </c>
      <c r="C36" t="s">
        <v>913</v>
      </c>
      <c r="D36" t="s">
        <v>282</v>
      </c>
      <c r="E36" t="s">
        <v>1227</v>
      </c>
      <c r="F36" t="s">
        <v>1123</v>
      </c>
      <c r="G36" t="s">
        <v>1239</v>
      </c>
      <c r="H36" t="s">
        <v>1240</v>
      </c>
      <c r="I36" t="s">
        <v>1241</v>
      </c>
      <c r="J36" t="s">
        <v>1066</v>
      </c>
      <c r="N36" t="s">
        <v>1242</v>
      </c>
      <c r="O36" t="s">
        <v>253</v>
      </c>
      <c r="P36" t="s">
        <v>1243</v>
      </c>
      <c r="Q36" t="s">
        <v>1088</v>
      </c>
      <c r="W36">
        <v>25</v>
      </c>
      <c r="BV36" t="s">
        <v>1042</v>
      </c>
    </row>
    <row r="37" spans="1:74" x14ac:dyDescent="0.2">
      <c r="A37" t="s">
        <v>916</v>
      </c>
      <c r="B37" t="s">
        <v>1244</v>
      </c>
      <c r="C37" t="s">
        <v>913</v>
      </c>
      <c r="D37" t="s">
        <v>282</v>
      </c>
      <c r="E37" t="s">
        <v>1227</v>
      </c>
      <c r="F37" t="s">
        <v>1136</v>
      </c>
      <c r="G37" t="s">
        <v>1245</v>
      </c>
      <c r="H37" t="s">
        <v>1246</v>
      </c>
      <c r="I37" t="s">
        <v>1247</v>
      </c>
      <c r="J37" t="s">
        <v>1036</v>
      </c>
      <c r="K37" t="s">
        <v>1037</v>
      </c>
      <c r="N37" t="s">
        <v>1121</v>
      </c>
      <c r="O37" t="s">
        <v>253</v>
      </c>
      <c r="P37" t="s">
        <v>1139</v>
      </c>
      <c r="Q37" t="s">
        <v>1088</v>
      </c>
      <c r="R37">
        <v>0</v>
      </c>
      <c r="S37">
        <v>0</v>
      </c>
      <c r="T37">
        <v>0</v>
      </c>
      <c r="U37">
        <v>0</v>
      </c>
      <c r="V37">
        <v>0</v>
      </c>
      <c r="W37">
        <v>0</v>
      </c>
      <c r="AE37" t="s">
        <v>548</v>
      </c>
      <c r="AF37" t="s">
        <v>548</v>
      </c>
      <c r="AG37" t="s">
        <v>548</v>
      </c>
      <c r="AH37" t="s">
        <v>548</v>
      </c>
      <c r="AI37" t="s">
        <v>548</v>
      </c>
      <c r="AJ37">
        <v>-20</v>
      </c>
      <c r="AK37">
        <v>-20</v>
      </c>
      <c r="AL37">
        <v>-20</v>
      </c>
      <c r="AM37">
        <v>-20</v>
      </c>
      <c r="AN37">
        <v>-20</v>
      </c>
      <c r="AO37">
        <v>0</v>
      </c>
      <c r="AP37">
        <v>0</v>
      </c>
      <c r="AQ37">
        <v>0</v>
      </c>
      <c r="AR37">
        <v>0</v>
      </c>
      <c r="AS37">
        <v>0</v>
      </c>
      <c r="AT37">
        <v>0</v>
      </c>
      <c r="AU37">
        <v>0</v>
      </c>
      <c r="AV37">
        <v>0</v>
      </c>
      <c r="AW37">
        <v>0</v>
      </c>
      <c r="AX37">
        <v>0</v>
      </c>
      <c r="AY37">
        <v>20</v>
      </c>
      <c r="AZ37">
        <v>20</v>
      </c>
      <c r="BA37">
        <v>20</v>
      </c>
      <c r="BB37">
        <v>20</v>
      </c>
      <c r="BC37">
        <v>20</v>
      </c>
      <c r="BD37">
        <v>2.5000000000000001E-2</v>
      </c>
      <c r="BH37">
        <v>2.5000000000000001E-2</v>
      </c>
      <c r="BJ37">
        <v>1</v>
      </c>
      <c r="BK37" t="s">
        <v>1041</v>
      </c>
      <c r="BV37" t="s">
        <v>1042</v>
      </c>
    </row>
    <row r="38" spans="1:74" x14ac:dyDescent="0.2">
      <c r="A38" t="s">
        <v>916</v>
      </c>
      <c r="B38" t="s">
        <v>1248</v>
      </c>
      <c r="C38" t="s">
        <v>913</v>
      </c>
      <c r="D38" t="s">
        <v>282</v>
      </c>
      <c r="E38" t="s">
        <v>1227</v>
      </c>
      <c r="F38" t="s">
        <v>1173</v>
      </c>
      <c r="G38" t="s">
        <v>1249</v>
      </c>
      <c r="H38" t="s">
        <v>1250</v>
      </c>
      <c r="I38" t="s">
        <v>1251</v>
      </c>
      <c r="J38" t="s">
        <v>1036</v>
      </c>
      <c r="K38" t="s">
        <v>1037</v>
      </c>
      <c r="N38" t="s">
        <v>1183</v>
      </c>
      <c r="O38" t="s">
        <v>253</v>
      </c>
      <c r="P38" t="s">
        <v>1252</v>
      </c>
      <c r="Q38" t="s">
        <v>1088</v>
      </c>
      <c r="R38">
        <v>58</v>
      </c>
      <c r="W38">
        <v>67</v>
      </c>
      <c r="AI38" t="s">
        <v>548</v>
      </c>
      <c r="AN38">
        <v>58</v>
      </c>
      <c r="AS38">
        <v>67</v>
      </c>
      <c r="AX38">
        <v>67</v>
      </c>
      <c r="BC38">
        <v>75</v>
      </c>
      <c r="BD38">
        <v>0.373</v>
      </c>
      <c r="BH38">
        <v>0.373</v>
      </c>
      <c r="BJ38">
        <v>5</v>
      </c>
      <c r="BK38" t="s">
        <v>1146</v>
      </c>
      <c r="BV38" t="s">
        <v>1042</v>
      </c>
    </row>
    <row r="39" spans="1:74" x14ac:dyDescent="0.2">
      <c r="A39" t="s">
        <v>916</v>
      </c>
      <c r="B39" t="s">
        <v>1253</v>
      </c>
      <c r="C39" t="s">
        <v>913</v>
      </c>
      <c r="D39" t="s">
        <v>282</v>
      </c>
      <c r="E39" t="s">
        <v>1227</v>
      </c>
      <c r="F39" t="s">
        <v>1173</v>
      </c>
      <c r="G39" t="s">
        <v>1254</v>
      </c>
      <c r="H39" t="s">
        <v>1255</v>
      </c>
      <c r="I39" t="s">
        <v>1256</v>
      </c>
      <c r="J39" t="s">
        <v>1066</v>
      </c>
      <c r="N39" t="s">
        <v>1177</v>
      </c>
      <c r="O39" t="s">
        <v>253</v>
      </c>
      <c r="P39" t="s">
        <v>1178</v>
      </c>
      <c r="Q39" t="s">
        <v>1088</v>
      </c>
      <c r="R39">
        <v>49</v>
      </c>
      <c r="W39">
        <v>50</v>
      </c>
      <c r="BV39" t="s">
        <v>1042</v>
      </c>
    </row>
    <row r="40" spans="1:74" x14ac:dyDescent="0.2">
      <c r="A40" t="s">
        <v>916</v>
      </c>
      <c r="B40" t="s">
        <v>1257</v>
      </c>
      <c r="C40" t="s">
        <v>913</v>
      </c>
      <c r="D40" t="s">
        <v>282</v>
      </c>
      <c r="E40" t="s">
        <v>1227</v>
      </c>
      <c r="F40" t="s">
        <v>1173</v>
      </c>
      <c r="G40" t="s">
        <v>1258</v>
      </c>
      <c r="H40" t="s">
        <v>1259</v>
      </c>
      <c r="I40" t="s">
        <v>1260</v>
      </c>
      <c r="J40" t="s">
        <v>1036</v>
      </c>
      <c r="K40" t="s">
        <v>1037</v>
      </c>
      <c r="N40" t="s">
        <v>1261</v>
      </c>
      <c r="O40" t="s">
        <v>1039</v>
      </c>
      <c r="P40" t="s">
        <v>1262</v>
      </c>
      <c r="Q40" t="s">
        <v>1088</v>
      </c>
      <c r="R40">
        <v>408</v>
      </c>
      <c r="S40">
        <v>371</v>
      </c>
      <c r="T40">
        <v>335</v>
      </c>
      <c r="U40">
        <v>298</v>
      </c>
      <c r="V40">
        <v>298</v>
      </c>
      <c r="W40">
        <v>298</v>
      </c>
      <c r="AA40" t="s">
        <v>548</v>
      </c>
      <c r="AE40" t="s">
        <v>548</v>
      </c>
      <c r="AF40" t="s">
        <v>548</v>
      </c>
      <c r="AG40" t="s">
        <v>548</v>
      </c>
      <c r="AH40" t="s">
        <v>548</v>
      </c>
      <c r="AI40" t="s">
        <v>548</v>
      </c>
      <c r="AJ40">
        <v>505</v>
      </c>
      <c r="AK40">
        <v>505</v>
      </c>
      <c r="AL40">
        <v>505</v>
      </c>
      <c r="AM40">
        <v>505</v>
      </c>
      <c r="AN40">
        <v>505</v>
      </c>
      <c r="AO40">
        <v>408</v>
      </c>
      <c r="AP40">
        <v>408</v>
      </c>
      <c r="AQ40">
        <v>298</v>
      </c>
      <c r="AR40">
        <v>298</v>
      </c>
      <c r="AS40">
        <v>298</v>
      </c>
      <c r="AT40">
        <v>298</v>
      </c>
      <c r="AU40">
        <v>298</v>
      </c>
      <c r="AV40">
        <v>298</v>
      </c>
      <c r="AW40">
        <v>298</v>
      </c>
      <c r="AX40">
        <v>298</v>
      </c>
      <c r="AY40">
        <v>140</v>
      </c>
      <c r="AZ40">
        <v>140</v>
      </c>
      <c r="BA40">
        <v>140</v>
      </c>
      <c r="BB40">
        <v>140</v>
      </c>
      <c r="BC40">
        <v>140</v>
      </c>
      <c r="BD40">
        <v>2.8500000000000001E-2</v>
      </c>
      <c r="BH40">
        <v>2.8500000000000001E-2</v>
      </c>
      <c r="BJ40">
        <v>1</v>
      </c>
      <c r="BK40" t="s">
        <v>1041</v>
      </c>
      <c r="BV40" t="s">
        <v>1010</v>
      </c>
    </row>
    <row r="41" spans="1:74" x14ac:dyDescent="0.2">
      <c r="A41" t="s">
        <v>916</v>
      </c>
      <c r="B41" t="s">
        <v>1263</v>
      </c>
      <c r="C41" t="s">
        <v>913</v>
      </c>
      <c r="D41" t="s">
        <v>282</v>
      </c>
      <c r="E41" t="s">
        <v>1227</v>
      </c>
      <c r="F41" t="s">
        <v>1173</v>
      </c>
      <c r="G41" t="s">
        <v>1264</v>
      </c>
      <c r="H41" t="s">
        <v>1265</v>
      </c>
      <c r="I41" t="s">
        <v>1266</v>
      </c>
      <c r="J41" t="s">
        <v>1047</v>
      </c>
      <c r="K41" t="s">
        <v>1037</v>
      </c>
      <c r="N41" t="s">
        <v>1183</v>
      </c>
      <c r="O41" t="s">
        <v>1039</v>
      </c>
      <c r="P41" t="s">
        <v>1184</v>
      </c>
      <c r="Q41" t="s">
        <v>1088</v>
      </c>
      <c r="R41">
        <v>0</v>
      </c>
      <c r="W41">
        <v>76</v>
      </c>
      <c r="AI41" t="s">
        <v>548</v>
      </c>
      <c r="AN41">
        <v>0</v>
      </c>
      <c r="AS41">
        <v>76</v>
      </c>
      <c r="BD41">
        <v>0.62</v>
      </c>
      <c r="BJ41">
        <v>1</v>
      </c>
      <c r="BK41" t="s">
        <v>1041</v>
      </c>
      <c r="BV41" t="s">
        <v>1042</v>
      </c>
    </row>
    <row r="42" spans="1:74" x14ac:dyDescent="0.2">
      <c r="A42" t="s">
        <v>916</v>
      </c>
      <c r="B42" t="s">
        <v>1267</v>
      </c>
      <c r="C42" t="s">
        <v>913</v>
      </c>
      <c r="D42" t="s">
        <v>282</v>
      </c>
      <c r="E42" t="s">
        <v>1227</v>
      </c>
      <c r="F42" t="s">
        <v>1187</v>
      </c>
      <c r="G42" t="s">
        <v>1268</v>
      </c>
      <c r="H42" t="s">
        <v>1269</v>
      </c>
      <c r="I42" t="s">
        <v>1270</v>
      </c>
      <c r="J42" t="s">
        <v>1066</v>
      </c>
      <c r="N42" t="s">
        <v>1191</v>
      </c>
      <c r="O42" t="s">
        <v>253</v>
      </c>
      <c r="P42" t="s">
        <v>1271</v>
      </c>
      <c r="Q42" t="s">
        <v>1088</v>
      </c>
      <c r="R42">
        <v>0</v>
      </c>
      <c r="W42">
        <v>7</v>
      </c>
      <c r="BV42" t="s">
        <v>1042</v>
      </c>
    </row>
    <row r="43" spans="1:74" x14ac:dyDescent="0.2">
      <c r="A43" t="s">
        <v>916</v>
      </c>
      <c r="B43" t="s">
        <v>1272</v>
      </c>
      <c r="C43" t="s">
        <v>913</v>
      </c>
      <c r="D43" t="s">
        <v>282</v>
      </c>
      <c r="E43" t="s">
        <v>1227</v>
      </c>
      <c r="F43" t="s">
        <v>1187</v>
      </c>
      <c r="G43" t="s">
        <v>1273</v>
      </c>
      <c r="H43" t="s">
        <v>1274</v>
      </c>
      <c r="I43" t="s">
        <v>1275</v>
      </c>
      <c r="J43" t="s">
        <v>1066</v>
      </c>
      <c r="N43" t="s">
        <v>1191</v>
      </c>
      <c r="O43" t="s">
        <v>253</v>
      </c>
      <c r="P43" t="s">
        <v>1276</v>
      </c>
      <c r="Q43" t="s">
        <v>1088</v>
      </c>
      <c r="R43">
        <v>50</v>
      </c>
      <c r="W43">
        <v>60</v>
      </c>
      <c r="BV43" t="s">
        <v>1042</v>
      </c>
    </row>
    <row r="44" spans="1:74" x14ac:dyDescent="0.2">
      <c r="A44" t="s">
        <v>916</v>
      </c>
      <c r="B44" t="s">
        <v>1277</v>
      </c>
      <c r="C44" t="s">
        <v>913</v>
      </c>
      <c r="D44" t="s">
        <v>282</v>
      </c>
      <c r="E44" t="s">
        <v>1227</v>
      </c>
      <c r="F44" t="s">
        <v>1199</v>
      </c>
      <c r="G44" t="s">
        <v>1278</v>
      </c>
      <c r="H44" t="s">
        <v>1279</v>
      </c>
      <c r="I44" t="s">
        <v>1280</v>
      </c>
      <c r="J44" t="s">
        <v>1066</v>
      </c>
      <c r="N44" t="s">
        <v>1203</v>
      </c>
      <c r="O44" t="s">
        <v>253</v>
      </c>
      <c r="P44" t="s">
        <v>1204</v>
      </c>
      <c r="Q44" t="s">
        <v>1041</v>
      </c>
      <c r="R44" t="s">
        <v>1067</v>
      </c>
      <c r="W44" t="s">
        <v>1205</v>
      </c>
      <c r="BV44" t="s">
        <v>1042</v>
      </c>
    </row>
    <row r="45" spans="1:74" x14ac:dyDescent="0.2">
      <c r="A45" t="s">
        <v>916</v>
      </c>
      <c r="B45" t="s">
        <v>1281</v>
      </c>
      <c r="C45" t="s">
        <v>913</v>
      </c>
      <c r="D45" t="s">
        <v>282</v>
      </c>
      <c r="E45" t="s">
        <v>1227</v>
      </c>
      <c r="F45" t="s">
        <v>1207</v>
      </c>
      <c r="G45" t="s">
        <v>1282</v>
      </c>
      <c r="H45" t="s">
        <v>1283</v>
      </c>
      <c r="I45" t="s">
        <v>1284</v>
      </c>
      <c r="J45" t="s">
        <v>1047</v>
      </c>
      <c r="K45" t="s">
        <v>1037</v>
      </c>
      <c r="M45" t="s">
        <v>543</v>
      </c>
      <c r="N45" t="s">
        <v>1285</v>
      </c>
      <c r="O45" t="s">
        <v>1211</v>
      </c>
      <c r="P45" t="s">
        <v>1212</v>
      </c>
      <c r="Q45" t="s">
        <v>1041</v>
      </c>
      <c r="R45" t="s">
        <v>1213</v>
      </c>
      <c r="S45" t="s">
        <v>1214</v>
      </c>
      <c r="T45" t="s">
        <v>1214</v>
      </c>
      <c r="U45" t="s">
        <v>1214</v>
      </c>
      <c r="V45" t="s">
        <v>1214</v>
      </c>
      <c r="W45" t="s">
        <v>1214</v>
      </c>
      <c r="AE45" t="s">
        <v>548</v>
      </c>
      <c r="AF45" t="s">
        <v>548</v>
      </c>
      <c r="AG45" t="s">
        <v>548</v>
      </c>
      <c r="AH45" t="s">
        <v>548</v>
      </c>
      <c r="AI45" t="s">
        <v>548</v>
      </c>
      <c r="BJ45">
        <v>1</v>
      </c>
      <c r="BK45" t="s">
        <v>1041</v>
      </c>
      <c r="BU45" t="s">
        <v>1286</v>
      </c>
      <c r="BV45" t="s">
        <v>1042</v>
      </c>
    </row>
    <row r="46" spans="1:74" x14ac:dyDescent="0.2">
      <c r="A46" t="s">
        <v>916</v>
      </c>
      <c r="B46" t="s">
        <v>1287</v>
      </c>
      <c r="C46" t="s">
        <v>913</v>
      </c>
      <c r="D46" t="s">
        <v>282</v>
      </c>
      <c r="E46" t="s">
        <v>1227</v>
      </c>
      <c r="F46" t="s">
        <v>1207</v>
      </c>
      <c r="G46" t="s">
        <v>1288</v>
      </c>
      <c r="H46" t="s">
        <v>1289</v>
      </c>
      <c r="I46" t="s">
        <v>1290</v>
      </c>
      <c r="J46" t="s">
        <v>1047</v>
      </c>
      <c r="K46" t="s">
        <v>1037</v>
      </c>
      <c r="M46" t="s">
        <v>543</v>
      </c>
      <c r="N46" t="s">
        <v>1285</v>
      </c>
      <c r="O46" t="s">
        <v>1211</v>
      </c>
      <c r="P46" t="s">
        <v>1212</v>
      </c>
      <c r="Q46" t="s">
        <v>1041</v>
      </c>
      <c r="R46" t="s">
        <v>1213</v>
      </c>
      <c r="S46" t="s">
        <v>1214</v>
      </c>
      <c r="T46" t="s">
        <v>1214</v>
      </c>
      <c r="U46" t="s">
        <v>1214</v>
      </c>
      <c r="V46" t="s">
        <v>1214</v>
      </c>
      <c r="W46" t="s">
        <v>1214</v>
      </c>
      <c r="AE46" t="s">
        <v>548</v>
      </c>
      <c r="AF46" t="s">
        <v>548</v>
      </c>
      <c r="AG46" t="s">
        <v>548</v>
      </c>
      <c r="AH46" t="s">
        <v>548</v>
      </c>
      <c r="AI46" t="s">
        <v>548</v>
      </c>
      <c r="BJ46">
        <v>1</v>
      </c>
      <c r="BK46" t="s">
        <v>1041</v>
      </c>
      <c r="BU46" t="s">
        <v>1291</v>
      </c>
      <c r="BV46" t="s">
        <v>1042</v>
      </c>
    </row>
    <row r="47" spans="1:74" x14ac:dyDescent="0.2">
      <c r="A47" t="s">
        <v>916</v>
      </c>
      <c r="B47" t="s">
        <v>1292</v>
      </c>
      <c r="C47" t="s">
        <v>913</v>
      </c>
      <c r="D47" t="s">
        <v>1106</v>
      </c>
      <c r="E47" t="s">
        <v>1107</v>
      </c>
      <c r="F47" t="s">
        <v>1123</v>
      </c>
      <c r="G47" t="s">
        <v>1109</v>
      </c>
      <c r="H47" t="s">
        <v>1293</v>
      </c>
      <c r="I47" t="s">
        <v>1294</v>
      </c>
      <c r="J47" t="s">
        <v>1066</v>
      </c>
      <c r="N47" t="s">
        <v>1112</v>
      </c>
      <c r="O47" t="s">
        <v>1295</v>
      </c>
      <c r="P47" t="s">
        <v>1296</v>
      </c>
      <c r="Q47" t="s">
        <v>1041</v>
      </c>
      <c r="R47" t="s">
        <v>1297</v>
      </c>
      <c r="S47" t="s">
        <v>1297</v>
      </c>
      <c r="T47" t="s">
        <v>1297</v>
      </c>
      <c r="U47" t="s">
        <v>1297</v>
      </c>
      <c r="V47" t="s">
        <v>1297</v>
      </c>
      <c r="W47" t="s">
        <v>1297</v>
      </c>
      <c r="BV47" t="s">
        <v>1042</v>
      </c>
    </row>
    <row r="48" spans="1:74" x14ac:dyDescent="0.2">
      <c r="A48" t="s">
        <v>916</v>
      </c>
      <c r="B48" t="s">
        <v>1298</v>
      </c>
      <c r="C48" t="s">
        <v>913</v>
      </c>
      <c r="D48" t="s">
        <v>1106</v>
      </c>
      <c r="E48" t="s">
        <v>1107</v>
      </c>
      <c r="F48" t="s">
        <v>1123</v>
      </c>
      <c r="G48" t="s">
        <v>1118</v>
      </c>
      <c r="H48" t="s">
        <v>1299</v>
      </c>
      <c r="I48" t="s">
        <v>1300</v>
      </c>
      <c r="J48" t="s">
        <v>1036</v>
      </c>
      <c r="K48" t="s">
        <v>1037</v>
      </c>
      <c r="M48" t="s">
        <v>543</v>
      </c>
      <c r="N48" t="s">
        <v>1112</v>
      </c>
      <c r="O48" t="s">
        <v>1113</v>
      </c>
      <c r="P48" t="s">
        <v>1114</v>
      </c>
      <c r="Q48" t="s">
        <v>1088</v>
      </c>
      <c r="R48">
        <v>85</v>
      </c>
      <c r="S48" t="s">
        <v>1115</v>
      </c>
      <c r="T48" t="s">
        <v>1115</v>
      </c>
      <c r="U48" t="s">
        <v>1115</v>
      </c>
      <c r="V48" t="s">
        <v>1115</v>
      </c>
      <c r="W48" t="s">
        <v>1115</v>
      </c>
      <c r="AE48" t="s">
        <v>548</v>
      </c>
      <c r="AF48" t="s">
        <v>548</v>
      </c>
      <c r="AG48" t="s">
        <v>548</v>
      </c>
      <c r="AH48" t="s">
        <v>548</v>
      </c>
      <c r="AI48" t="s">
        <v>548</v>
      </c>
      <c r="AJ48" t="s">
        <v>1115</v>
      </c>
      <c r="AK48" t="s">
        <v>1115</v>
      </c>
      <c r="AL48" t="s">
        <v>1115</v>
      </c>
      <c r="AM48" t="s">
        <v>1115</v>
      </c>
      <c r="AN48" t="s">
        <v>1115</v>
      </c>
      <c r="AO48" t="s">
        <v>1115</v>
      </c>
      <c r="AP48" t="s">
        <v>1115</v>
      </c>
      <c r="AQ48" t="s">
        <v>1115</v>
      </c>
      <c r="AR48" t="s">
        <v>1115</v>
      </c>
      <c r="AS48" t="s">
        <v>1115</v>
      </c>
      <c r="AT48" t="s">
        <v>1115</v>
      </c>
      <c r="AU48" t="s">
        <v>1115</v>
      </c>
      <c r="AV48" t="s">
        <v>1115</v>
      </c>
      <c r="AW48" t="s">
        <v>1115</v>
      </c>
      <c r="AX48" t="s">
        <v>1115</v>
      </c>
      <c r="AY48" t="s">
        <v>1115</v>
      </c>
      <c r="AZ48" t="s">
        <v>1115</v>
      </c>
      <c r="BA48" t="s">
        <v>1115</v>
      </c>
      <c r="BB48" t="s">
        <v>1115</v>
      </c>
      <c r="BC48" t="s">
        <v>1115</v>
      </c>
      <c r="BD48" t="s">
        <v>1115</v>
      </c>
      <c r="BH48" t="s">
        <v>1115</v>
      </c>
      <c r="BJ48">
        <v>1</v>
      </c>
      <c r="BK48" t="s">
        <v>1041</v>
      </c>
      <c r="BU48" t="s">
        <v>1116</v>
      </c>
      <c r="BV48" t="s">
        <v>1042</v>
      </c>
    </row>
    <row r="49" spans="1:74" x14ac:dyDescent="0.2">
      <c r="A49" t="s">
        <v>916</v>
      </c>
      <c r="B49" t="s">
        <v>1301</v>
      </c>
      <c r="C49" t="s">
        <v>913</v>
      </c>
      <c r="D49" t="s">
        <v>1106</v>
      </c>
      <c r="E49" t="s">
        <v>1107</v>
      </c>
      <c r="F49" t="s">
        <v>1123</v>
      </c>
      <c r="G49" t="s">
        <v>1302</v>
      </c>
      <c r="H49" t="s">
        <v>1303</v>
      </c>
      <c r="I49" t="s">
        <v>1304</v>
      </c>
      <c r="J49" t="s">
        <v>1066</v>
      </c>
      <c r="N49" t="s">
        <v>1203</v>
      </c>
      <c r="O49" t="s">
        <v>1067</v>
      </c>
      <c r="P49" t="s">
        <v>1067</v>
      </c>
      <c r="Q49" t="s">
        <v>1067</v>
      </c>
      <c r="R49" t="s">
        <v>1067</v>
      </c>
      <c r="W49" t="s">
        <v>1305</v>
      </c>
      <c r="BV49" t="s">
        <v>1042</v>
      </c>
    </row>
    <row r="50" spans="1:74" x14ac:dyDescent="0.2">
      <c r="A50" t="s">
        <v>916</v>
      </c>
      <c r="B50" t="s">
        <v>1306</v>
      </c>
      <c r="C50" t="s">
        <v>913</v>
      </c>
      <c r="D50" t="s">
        <v>1106</v>
      </c>
      <c r="E50" t="s">
        <v>1107</v>
      </c>
      <c r="F50" t="s">
        <v>1136</v>
      </c>
      <c r="G50" t="s">
        <v>1307</v>
      </c>
      <c r="H50" t="s">
        <v>1308</v>
      </c>
      <c r="I50" t="s">
        <v>1309</v>
      </c>
      <c r="J50" t="s">
        <v>1036</v>
      </c>
      <c r="K50" t="s">
        <v>1037</v>
      </c>
      <c r="N50" t="s">
        <v>1121</v>
      </c>
      <c r="O50" t="s">
        <v>253</v>
      </c>
      <c r="P50" t="s">
        <v>1139</v>
      </c>
      <c r="Q50" t="s">
        <v>1088</v>
      </c>
      <c r="R50">
        <v>0</v>
      </c>
      <c r="S50">
        <v>0</v>
      </c>
      <c r="T50">
        <v>0</v>
      </c>
      <c r="U50">
        <v>0</v>
      </c>
      <c r="V50">
        <v>0</v>
      </c>
      <c r="W50">
        <v>0</v>
      </c>
      <c r="AE50" t="s">
        <v>548</v>
      </c>
      <c r="AF50" t="s">
        <v>548</v>
      </c>
      <c r="AG50" t="s">
        <v>548</v>
      </c>
      <c r="AH50" t="s">
        <v>548</v>
      </c>
      <c r="AI50" t="s">
        <v>548</v>
      </c>
      <c r="AJ50">
        <v>-20</v>
      </c>
      <c r="AK50">
        <v>-20</v>
      </c>
      <c r="AL50">
        <v>-20</v>
      </c>
      <c r="AM50">
        <v>-20</v>
      </c>
      <c r="AN50">
        <v>-20</v>
      </c>
      <c r="AO50">
        <v>0</v>
      </c>
      <c r="AP50">
        <v>0</v>
      </c>
      <c r="AQ50">
        <v>0</v>
      </c>
      <c r="AR50">
        <v>0</v>
      </c>
      <c r="AS50">
        <v>0</v>
      </c>
      <c r="AT50">
        <v>0</v>
      </c>
      <c r="AU50">
        <v>0</v>
      </c>
      <c r="AV50">
        <v>0</v>
      </c>
      <c r="AW50">
        <v>0</v>
      </c>
      <c r="AX50">
        <v>0</v>
      </c>
      <c r="AY50">
        <v>20</v>
      </c>
      <c r="AZ50">
        <v>20</v>
      </c>
      <c r="BA50">
        <v>20</v>
      </c>
      <c r="BB50">
        <v>20</v>
      </c>
      <c r="BC50">
        <v>20</v>
      </c>
      <c r="BD50">
        <v>2.5000000000000001E-2</v>
      </c>
      <c r="BH50">
        <v>2.5000000000000001E-2</v>
      </c>
      <c r="BJ50">
        <v>1</v>
      </c>
      <c r="BK50" t="s">
        <v>1041</v>
      </c>
      <c r="BV50" t="s">
        <v>1042</v>
      </c>
    </row>
    <row r="51" spans="1:74" x14ac:dyDescent="0.2">
      <c r="A51" t="s">
        <v>916</v>
      </c>
      <c r="B51" t="s">
        <v>1310</v>
      </c>
      <c r="C51" t="s">
        <v>913</v>
      </c>
      <c r="D51" t="s">
        <v>1106</v>
      </c>
      <c r="E51" t="s">
        <v>1107</v>
      </c>
      <c r="F51" t="s">
        <v>1136</v>
      </c>
      <c r="G51" t="s">
        <v>1311</v>
      </c>
      <c r="H51" t="s">
        <v>1312</v>
      </c>
      <c r="I51" t="s">
        <v>1313</v>
      </c>
      <c r="J51" t="s">
        <v>1036</v>
      </c>
      <c r="K51" t="s">
        <v>1037</v>
      </c>
      <c r="N51" t="s">
        <v>1121</v>
      </c>
      <c r="O51" t="s">
        <v>253</v>
      </c>
      <c r="P51" t="s">
        <v>1139</v>
      </c>
      <c r="Q51" t="s">
        <v>1088</v>
      </c>
      <c r="R51">
        <v>0</v>
      </c>
      <c r="S51">
        <v>0</v>
      </c>
      <c r="T51">
        <v>0</v>
      </c>
      <c r="U51">
        <v>0</v>
      </c>
      <c r="V51">
        <v>0</v>
      </c>
      <c r="W51">
        <v>0</v>
      </c>
      <c r="AE51" t="s">
        <v>548</v>
      </c>
      <c r="AF51" t="s">
        <v>548</v>
      </c>
      <c r="AG51" t="s">
        <v>548</v>
      </c>
      <c r="AH51" t="s">
        <v>548</v>
      </c>
      <c r="AI51" t="s">
        <v>548</v>
      </c>
      <c r="AJ51">
        <v>-20</v>
      </c>
      <c r="AK51">
        <v>-20</v>
      </c>
      <c r="AL51">
        <v>-20</v>
      </c>
      <c r="AM51">
        <v>-20</v>
      </c>
      <c r="AN51">
        <v>-20</v>
      </c>
      <c r="AO51">
        <v>0</v>
      </c>
      <c r="AP51">
        <v>0</v>
      </c>
      <c r="AQ51">
        <v>0</v>
      </c>
      <c r="AR51">
        <v>0</v>
      </c>
      <c r="AS51">
        <v>0</v>
      </c>
      <c r="AT51">
        <v>0</v>
      </c>
      <c r="AU51">
        <v>0</v>
      </c>
      <c r="AV51">
        <v>0</v>
      </c>
      <c r="AW51">
        <v>0</v>
      </c>
      <c r="AX51">
        <v>0</v>
      </c>
      <c r="AY51">
        <v>20</v>
      </c>
      <c r="AZ51">
        <v>20</v>
      </c>
      <c r="BA51">
        <v>20</v>
      </c>
      <c r="BB51">
        <v>20</v>
      </c>
      <c r="BC51">
        <v>20</v>
      </c>
      <c r="BD51">
        <v>2.5000000000000001E-2</v>
      </c>
      <c r="BH51">
        <v>2.5000000000000001E-2</v>
      </c>
      <c r="BJ51">
        <v>1</v>
      </c>
      <c r="BK51" t="s">
        <v>1041</v>
      </c>
      <c r="BV51" t="s">
        <v>1042</v>
      </c>
    </row>
    <row r="52" spans="1:74" x14ac:dyDescent="0.2">
      <c r="A52" t="s">
        <v>916</v>
      </c>
      <c r="B52" t="s">
        <v>1314</v>
      </c>
      <c r="C52" t="s">
        <v>913</v>
      </c>
      <c r="D52" t="s">
        <v>1106</v>
      </c>
      <c r="E52" t="s">
        <v>1107</v>
      </c>
      <c r="F52" t="s">
        <v>1187</v>
      </c>
      <c r="G52" t="s">
        <v>1315</v>
      </c>
      <c r="H52" t="s">
        <v>1316</v>
      </c>
      <c r="I52" t="s">
        <v>1317</v>
      </c>
      <c r="J52" t="s">
        <v>1066</v>
      </c>
      <c r="N52" t="s">
        <v>1191</v>
      </c>
      <c r="O52" t="s">
        <v>253</v>
      </c>
      <c r="P52" t="s">
        <v>1271</v>
      </c>
      <c r="Q52" t="s">
        <v>1088</v>
      </c>
      <c r="R52">
        <v>0</v>
      </c>
      <c r="W52">
        <v>7</v>
      </c>
      <c r="BV52" t="s">
        <v>1042</v>
      </c>
    </row>
    <row r="53" spans="1:74" x14ac:dyDescent="0.2">
      <c r="A53" t="s">
        <v>916</v>
      </c>
      <c r="B53" t="s">
        <v>1318</v>
      </c>
      <c r="C53" t="s">
        <v>913</v>
      </c>
      <c r="D53" t="s">
        <v>1106</v>
      </c>
      <c r="E53" t="s">
        <v>1107</v>
      </c>
      <c r="F53" t="s">
        <v>1187</v>
      </c>
      <c r="G53" t="s">
        <v>1319</v>
      </c>
      <c r="H53" t="s">
        <v>1320</v>
      </c>
      <c r="I53" t="s">
        <v>1321</v>
      </c>
      <c r="J53" t="s">
        <v>1066</v>
      </c>
      <c r="N53" t="s">
        <v>1191</v>
      </c>
      <c r="O53" t="s">
        <v>253</v>
      </c>
      <c r="P53" t="s">
        <v>1276</v>
      </c>
      <c r="Q53" t="s">
        <v>1088</v>
      </c>
      <c r="R53">
        <v>50</v>
      </c>
      <c r="W53">
        <v>60</v>
      </c>
      <c r="BV53" t="s">
        <v>1042</v>
      </c>
    </row>
    <row r="54" spans="1:74" x14ac:dyDescent="0.2">
      <c r="A54" t="s">
        <v>916</v>
      </c>
      <c r="B54" t="s">
        <v>1322</v>
      </c>
      <c r="C54" t="s">
        <v>913</v>
      </c>
      <c r="D54" t="s">
        <v>1106</v>
      </c>
      <c r="E54" t="s">
        <v>1107</v>
      </c>
      <c r="F54" t="s">
        <v>1199</v>
      </c>
      <c r="G54" t="s">
        <v>1323</v>
      </c>
      <c r="H54" t="s">
        <v>1324</v>
      </c>
      <c r="I54" t="s">
        <v>1325</v>
      </c>
      <c r="J54" t="s">
        <v>1066</v>
      </c>
      <c r="N54" t="s">
        <v>1203</v>
      </c>
      <c r="O54" t="s">
        <v>253</v>
      </c>
      <c r="P54" t="s">
        <v>1204</v>
      </c>
      <c r="Q54" t="s">
        <v>1041</v>
      </c>
      <c r="R54" t="s">
        <v>1067</v>
      </c>
      <c r="S54" t="s">
        <v>1067</v>
      </c>
      <c r="T54" t="s">
        <v>1326</v>
      </c>
      <c r="U54" t="s">
        <v>1326</v>
      </c>
      <c r="V54" t="s">
        <v>1326</v>
      </c>
      <c r="W54" t="s">
        <v>1205</v>
      </c>
      <c r="BV54" t="s">
        <v>1042</v>
      </c>
    </row>
    <row r="55" spans="1:74" x14ac:dyDescent="0.2">
      <c r="A55" t="s">
        <v>1327</v>
      </c>
      <c r="B55" t="s">
        <v>1328</v>
      </c>
      <c r="C55" t="s">
        <v>948</v>
      </c>
      <c r="D55" t="s">
        <v>281</v>
      </c>
      <c r="E55" t="s">
        <v>1031</v>
      </c>
      <c r="F55" t="s">
        <v>1329</v>
      </c>
      <c r="G55" t="s">
        <v>1330</v>
      </c>
      <c r="H55" t="s">
        <v>1331</v>
      </c>
      <c r="I55" t="s">
        <v>1332</v>
      </c>
      <c r="J55" t="s">
        <v>1036</v>
      </c>
      <c r="K55" t="s">
        <v>1037</v>
      </c>
      <c r="N55" t="s">
        <v>1086</v>
      </c>
      <c r="O55" t="s">
        <v>1126</v>
      </c>
      <c r="P55" t="s">
        <v>1127</v>
      </c>
      <c r="Q55">
        <v>2</v>
      </c>
      <c r="R55">
        <v>13.7</v>
      </c>
      <c r="S55">
        <v>13.4</v>
      </c>
      <c r="T55">
        <v>13.1</v>
      </c>
      <c r="U55">
        <v>12.8</v>
      </c>
      <c r="V55">
        <v>12.5</v>
      </c>
      <c r="W55">
        <v>12.2</v>
      </c>
      <c r="Z55" t="s">
        <v>548</v>
      </c>
      <c r="AE55" t="s">
        <v>548</v>
      </c>
      <c r="AF55" t="s">
        <v>548</v>
      </c>
      <c r="AG55" t="s">
        <v>548</v>
      </c>
      <c r="AH55" t="s">
        <v>548</v>
      </c>
      <c r="AI55" t="s">
        <v>548</v>
      </c>
      <c r="AJ55">
        <v>15.4</v>
      </c>
      <c r="AK55">
        <v>15.1</v>
      </c>
      <c r="AL55">
        <v>14.8</v>
      </c>
      <c r="AM55">
        <v>14.5</v>
      </c>
      <c r="AN55">
        <v>14.2</v>
      </c>
      <c r="AO55">
        <v>14.4</v>
      </c>
      <c r="AP55">
        <v>14.1</v>
      </c>
      <c r="AQ55">
        <v>13.8</v>
      </c>
      <c r="AR55">
        <v>13.5</v>
      </c>
      <c r="AS55">
        <v>13.2</v>
      </c>
      <c r="AT55">
        <v>10.199999999999999</v>
      </c>
      <c r="AU55">
        <v>10.199999999999999</v>
      </c>
      <c r="AV55">
        <v>10.199999999999999</v>
      </c>
      <c r="AW55">
        <v>10.199999999999999</v>
      </c>
      <c r="AX55">
        <v>10.199999999999999</v>
      </c>
      <c r="AY55">
        <v>8.9</v>
      </c>
      <c r="AZ55">
        <v>8.9</v>
      </c>
      <c r="BA55">
        <v>8.9</v>
      </c>
      <c r="BB55">
        <v>8.9</v>
      </c>
      <c r="BC55">
        <v>8.9</v>
      </c>
      <c r="BD55">
        <v>0.7389</v>
      </c>
      <c r="BH55">
        <v>0.50970000000000004</v>
      </c>
      <c r="BJ55">
        <v>1</v>
      </c>
      <c r="BK55" t="s">
        <v>1041</v>
      </c>
      <c r="BU55" t="s">
        <v>1333</v>
      </c>
      <c r="BV55" t="s">
        <v>1009</v>
      </c>
    </row>
    <row r="56" spans="1:74" x14ac:dyDescent="0.2">
      <c r="A56" t="s">
        <v>1327</v>
      </c>
      <c r="B56" t="s">
        <v>1334</v>
      </c>
      <c r="C56" t="s">
        <v>948</v>
      </c>
      <c r="D56" t="s">
        <v>281</v>
      </c>
      <c r="E56" t="s">
        <v>1031</v>
      </c>
      <c r="F56" t="s">
        <v>1329</v>
      </c>
      <c r="G56" t="s">
        <v>1335</v>
      </c>
      <c r="H56" t="s">
        <v>1336</v>
      </c>
      <c r="I56" t="s">
        <v>1337</v>
      </c>
      <c r="J56" t="s">
        <v>1047</v>
      </c>
      <c r="K56" t="s">
        <v>1338</v>
      </c>
      <c r="M56" t="s">
        <v>543</v>
      </c>
      <c r="N56" t="s">
        <v>1093</v>
      </c>
      <c r="O56" t="s">
        <v>1211</v>
      </c>
      <c r="P56" t="s">
        <v>1339</v>
      </c>
      <c r="Q56" t="s">
        <v>1041</v>
      </c>
      <c r="R56" t="s">
        <v>1213</v>
      </c>
      <c r="S56" t="s">
        <v>1213</v>
      </c>
      <c r="T56" t="s">
        <v>1213</v>
      </c>
      <c r="U56" t="s">
        <v>1213</v>
      </c>
      <c r="V56" t="s">
        <v>1213</v>
      </c>
      <c r="W56" t="s">
        <v>1213</v>
      </c>
      <c r="AE56" t="s">
        <v>548</v>
      </c>
      <c r="AF56" t="s">
        <v>548</v>
      </c>
      <c r="AG56" t="s">
        <v>548</v>
      </c>
      <c r="AH56" t="s">
        <v>548</v>
      </c>
      <c r="AI56" t="s">
        <v>548</v>
      </c>
      <c r="AJ56" t="s">
        <v>1340</v>
      </c>
      <c r="AK56" t="s">
        <v>1340</v>
      </c>
      <c r="AL56" t="s">
        <v>1340</v>
      </c>
      <c r="AM56" t="s">
        <v>1340</v>
      </c>
      <c r="AN56" t="s">
        <v>1340</v>
      </c>
      <c r="AO56" t="s">
        <v>1341</v>
      </c>
      <c r="AP56" t="s">
        <v>1341</v>
      </c>
      <c r="AQ56" t="s">
        <v>1341</v>
      </c>
      <c r="AR56" t="s">
        <v>1341</v>
      </c>
      <c r="AS56" t="s">
        <v>1341</v>
      </c>
      <c r="BD56">
        <v>2.0539999999999998</v>
      </c>
      <c r="BE56">
        <v>0.68500000000000005</v>
      </c>
      <c r="BJ56">
        <v>1</v>
      </c>
      <c r="BK56" t="s">
        <v>1041</v>
      </c>
      <c r="BV56" t="s">
        <v>1042</v>
      </c>
    </row>
    <row r="57" spans="1:74" x14ac:dyDescent="0.2">
      <c r="A57" t="s">
        <v>1327</v>
      </c>
      <c r="B57" t="s">
        <v>1342</v>
      </c>
      <c r="C57" t="s">
        <v>948</v>
      </c>
      <c r="D57" t="s">
        <v>281</v>
      </c>
      <c r="E57" t="s">
        <v>1031</v>
      </c>
      <c r="F57" t="s">
        <v>1329</v>
      </c>
      <c r="G57" t="s">
        <v>1343</v>
      </c>
      <c r="H57" t="s">
        <v>1344</v>
      </c>
      <c r="I57" t="s">
        <v>1345</v>
      </c>
      <c r="J57" t="s">
        <v>1047</v>
      </c>
      <c r="K57" t="s">
        <v>1338</v>
      </c>
      <c r="M57" t="s">
        <v>543</v>
      </c>
      <c r="N57" t="s">
        <v>1093</v>
      </c>
      <c r="O57" t="s">
        <v>1211</v>
      </c>
      <c r="P57" t="s">
        <v>1339</v>
      </c>
      <c r="Q57" t="s">
        <v>1041</v>
      </c>
      <c r="R57" t="s">
        <v>1213</v>
      </c>
      <c r="S57" t="s">
        <v>1213</v>
      </c>
      <c r="T57" t="s">
        <v>1213</v>
      </c>
      <c r="U57" t="s">
        <v>1213</v>
      </c>
      <c r="V57" t="s">
        <v>1213</v>
      </c>
      <c r="W57" t="s">
        <v>1213</v>
      </c>
      <c r="AE57" t="s">
        <v>548</v>
      </c>
      <c r="AF57" t="s">
        <v>548</v>
      </c>
      <c r="AG57" t="s">
        <v>548</v>
      </c>
      <c r="AH57" t="s">
        <v>548</v>
      </c>
      <c r="AI57" t="s">
        <v>548</v>
      </c>
      <c r="AJ57" t="s">
        <v>1340</v>
      </c>
      <c r="AK57" t="s">
        <v>1340</v>
      </c>
      <c r="AL57" t="s">
        <v>1340</v>
      </c>
      <c r="AM57" t="s">
        <v>1340</v>
      </c>
      <c r="AN57" t="s">
        <v>1340</v>
      </c>
      <c r="AO57" t="s">
        <v>1341</v>
      </c>
      <c r="AP57" t="s">
        <v>1341</v>
      </c>
      <c r="AQ57" t="s">
        <v>1341</v>
      </c>
      <c r="AR57" t="s">
        <v>1341</v>
      </c>
      <c r="AS57" t="s">
        <v>1341</v>
      </c>
      <c r="BD57">
        <v>2.1190000000000002</v>
      </c>
      <c r="BE57">
        <v>0.70599999999999996</v>
      </c>
      <c r="BJ57">
        <v>1</v>
      </c>
      <c r="BK57" t="s">
        <v>1041</v>
      </c>
      <c r="BV57" t="s">
        <v>1042</v>
      </c>
    </row>
    <row r="58" spans="1:74" x14ac:dyDescent="0.2">
      <c r="A58" t="s">
        <v>1327</v>
      </c>
      <c r="B58" t="s">
        <v>1346</v>
      </c>
      <c r="C58" t="s">
        <v>948</v>
      </c>
      <c r="D58" t="s">
        <v>281</v>
      </c>
      <c r="E58" t="s">
        <v>1031</v>
      </c>
      <c r="F58" t="s">
        <v>1347</v>
      </c>
      <c r="G58" t="s">
        <v>1348</v>
      </c>
      <c r="H58" t="s">
        <v>1349</v>
      </c>
      <c r="I58" t="s">
        <v>1350</v>
      </c>
      <c r="J58" t="s">
        <v>1036</v>
      </c>
      <c r="K58" t="s">
        <v>1037</v>
      </c>
      <c r="N58" t="s">
        <v>1144</v>
      </c>
      <c r="O58" t="s">
        <v>1039</v>
      </c>
      <c r="P58" t="s">
        <v>1351</v>
      </c>
      <c r="Q58" t="s">
        <v>1088</v>
      </c>
      <c r="R58">
        <v>288589</v>
      </c>
      <c r="S58">
        <v>288589</v>
      </c>
      <c r="T58">
        <v>288589</v>
      </c>
      <c r="U58">
        <v>9063</v>
      </c>
      <c r="V58">
        <v>9063</v>
      </c>
      <c r="W58">
        <v>9063</v>
      </c>
      <c r="AC58" t="s">
        <v>548</v>
      </c>
      <c r="AE58" t="s">
        <v>548</v>
      </c>
      <c r="AF58" t="s">
        <v>548</v>
      </c>
      <c r="AG58" t="s">
        <v>548</v>
      </c>
      <c r="AH58" t="s">
        <v>548</v>
      </c>
      <c r="AI58" t="s">
        <v>548</v>
      </c>
      <c r="AJ58">
        <v>308589</v>
      </c>
      <c r="AK58">
        <v>308589</v>
      </c>
      <c r="AL58">
        <v>69063</v>
      </c>
      <c r="AM58">
        <v>69063</v>
      </c>
      <c r="AN58">
        <v>69063</v>
      </c>
      <c r="AO58">
        <v>288589</v>
      </c>
      <c r="AP58">
        <v>288589</v>
      </c>
      <c r="AQ58">
        <v>9063</v>
      </c>
      <c r="AR58">
        <v>9063</v>
      </c>
      <c r="AS58">
        <v>9063</v>
      </c>
      <c r="AT58">
        <v>288589</v>
      </c>
      <c r="AU58">
        <v>288589</v>
      </c>
      <c r="AV58">
        <v>9063</v>
      </c>
      <c r="AW58">
        <v>9063</v>
      </c>
      <c r="AX58">
        <v>9063</v>
      </c>
      <c r="AY58">
        <v>268589</v>
      </c>
      <c r="AZ58">
        <v>268589</v>
      </c>
      <c r="BA58">
        <v>0</v>
      </c>
      <c r="BB58">
        <v>0</v>
      </c>
      <c r="BC58">
        <v>0</v>
      </c>
      <c r="BD58">
        <v>4.0599999999999998E-5</v>
      </c>
      <c r="BH58">
        <v>2.1209999999999999E-5</v>
      </c>
      <c r="BJ58">
        <v>1</v>
      </c>
      <c r="BK58" t="s">
        <v>1041</v>
      </c>
      <c r="BV58" t="s">
        <v>1042</v>
      </c>
    </row>
    <row r="59" spans="1:74" x14ac:dyDescent="0.2">
      <c r="A59" t="s">
        <v>1327</v>
      </c>
      <c r="B59" t="s">
        <v>1352</v>
      </c>
      <c r="C59" t="s">
        <v>948</v>
      </c>
      <c r="D59" t="s">
        <v>281</v>
      </c>
      <c r="E59" t="s">
        <v>1031</v>
      </c>
      <c r="F59" t="s">
        <v>1353</v>
      </c>
      <c r="G59" t="s">
        <v>1354</v>
      </c>
      <c r="H59" t="s">
        <v>1355</v>
      </c>
      <c r="I59" t="s">
        <v>1356</v>
      </c>
      <c r="J59" t="s">
        <v>1066</v>
      </c>
      <c r="N59" t="s">
        <v>1055</v>
      </c>
      <c r="O59" t="s">
        <v>1113</v>
      </c>
      <c r="P59" t="s">
        <v>1157</v>
      </c>
      <c r="Q59" t="s">
        <v>1088</v>
      </c>
      <c r="R59">
        <v>100</v>
      </c>
      <c r="S59">
        <v>100</v>
      </c>
      <c r="T59">
        <v>100</v>
      </c>
      <c r="U59">
        <v>100</v>
      </c>
      <c r="V59">
        <v>100</v>
      </c>
      <c r="W59">
        <v>100</v>
      </c>
      <c r="BV59" t="s">
        <v>1042</v>
      </c>
    </row>
    <row r="60" spans="1:74" x14ac:dyDescent="0.2">
      <c r="A60" t="s">
        <v>1327</v>
      </c>
      <c r="B60" t="s">
        <v>1357</v>
      </c>
      <c r="C60" t="s">
        <v>948</v>
      </c>
      <c r="D60" t="s">
        <v>281</v>
      </c>
      <c r="E60" t="s">
        <v>1031</v>
      </c>
      <c r="F60" t="s">
        <v>1353</v>
      </c>
      <c r="G60" t="s">
        <v>1358</v>
      </c>
      <c r="H60" t="s">
        <v>1359</v>
      </c>
      <c r="I60" t="s">
        <v>1360</v>
      </c>
      <c r="J60" t="s">
        <v>1047</v>
      </c>
      <c r="K60" t="s">
        <v>1037</v>
      </c>
      <c r="N60" t="s">
        <v>1150</v>
      </c>
      <c r="O60" t="s">
        <v>1039</v>
      </c>
      <c r="P60" t="s">
        <v>1361</v>
      </c>
      <c r="Q60">
        <v>1</v>
      </c>
      <c r="R60">
        <v>0</v>
      </c>
      <c r="S60">
        <v>10.199999999999999</v>
      </c>
      <c r="T60">
        <v>10.199999999999999</v>
      </c>
      <c r="U60">
        <v>10.199999999999999</v>
      </c>
      <c r="V60">
        <v>10.199999999999999</v>
      </c>
      <c r="W60">
        <v>10.199999999999999</v>
      </c>
      <c r="AE60" t="s">
        <v>548</v>
      </c>
      <c r="AF60" t="s">
        <v>548</v>
      </c>
      <c r="AG60" t="s">
        <v>548</v>
      </c>
      <c r="AH60" t="s">
        <v>548</v>
      </c>
      <c r="AI60" t="s">
        <v>548</v>
      </c>
      <c r="AJ60">
        <v>15.2</v>
      </c>
      <c r="AK60">
        <v>15.2</v>
      </c>
      <c r="AL60">
        <v>15.2</v>
      </c>
      <c r="AM60">
        <v>15.2</v>
      </c>
      <c r="AN60">
        <v>15.2</v>
      </c>
      <c r="AO60">
        <v>10.199999999999999</v>
      </c>
      <c r="AP60">
        <v>10.199999999999999</v>
      </c>
      <c r="AQ60">
        <v>10.199999999999999</v>
      </c>
      <c r="AR60">
        <v>10.199999999999999</v>
      </c>
      <c r="AS60">
        <v>10.199999999999999</v>
      </c>
      <c r="BD60">
        <v>4.2999999999999997E-2</v>
      </c>
      <c r="BJ60">
        <v>1</v>
      </c>
      <c r="BK60" t="s">
        <v>1041</v>
      </c>
      <c r="BU60" t="s">
        <v>1362</v>
      </c>
      <c r="BV60" t="s">
        <v>1042</v>
      </c>
    </row>
    <row r="61" spans="1:74" x14ac:dyDescent="0.2">
      <c r="A61" t="s">
        <v>1327</v>
      </c>
      <c r="B61" t="s">
        <v>1363</v>
      </c>
      <c r="C61" t="s">
        <v>948</v>
      </c>
      <c r="D61" t="s">
        <v>281</v>
      </c>
      <c r="E61" t="s">
        <v>1031</v>
      </c>
      <c r="F61" t="s">
        <v>1364</v>
      </c>
      <c r="G61" t="s">
        <v>1365</v>
      </c>
      <c r="H61" t="s">
        <v>1366</v>
      </c>
      <c r="I61" t="s">
        <v>1367</v>
      </c>
      <c r="J61" t="s">
        <v>1047</v>
      </c>
      <c r="K61" t="s">
        <v>1037</v>
      </c>
      <c r="N61" t="s">
        <v>1073</v>
      </c>
      <c r="O61" t="s">
        <v>253</v>
      </c>
      <c r="P61" t="s">
        <v>1074</v>
      </c>
      <c r="Q61">
        <v>2</v>
      </c>
      <c r="R61">
        <v>99.96</v>
      </c>
      <c r="S61">
        <v>99.96</v>
      </c>
      <c r="T61">
        <v>99.96</v>
      </c>
      <c r="U61">
        <v>100</v>
      </c>
      <c r="V61">
        <v>100</v>
      </c>
      <c r="W61">
        <v>100</v>
      </c>
      <c r="X61" t="s">
        <v>548</v>
      </c>
      <c r="AE61" t="s">
        <v>548</v>
      </c>
      <c r="AF61" t="s">
        <v>548</v>
      </c>
      <c r="AG61" t="s">
        <v>548</v>
      </c>
      <c r="AH61" t="s">
        <v>548</v>
      </c>
      <c r="AI61" t="s">
        <v>548</v>
      </c>
      <c r="AJ61">
        <v>99.94</v>
      </c>
      <c r="AK61">
        <v>99.94</v>
      </c>
      <c r="AL61">
        <v>99.94</v>
      </c>
      <c r="AM61">
        <v>99.94</v>
      </c>
      <c r="AN61">
        <v>99.94</v>
      </c>
      <c r="AO61">
        <v>99.95</v>
      </c>
      <c r="AP61">
        <v>99.95</v>
      </c>
      <c r="AQ61">
        <v>99.95</v>
      </c>
      <c r="AR61">
        <v>99.95</v>
      </c>
      <c r="AS61">
        <v>99.95</v>
      </c>
      <c r="BD61">
        <v>0.28399999999999997</v>
      </c>
      <c r="BJ61">
        <v>100</v>
      </c>
      <c r="BK61" t="s">
        <v>1368</v>
      </c>
      <c r="BU61" t="s">
        <v>1369</v>
      </c>
      <c r="BV61" t="s">
        <v>1007</v>
      </c>
    </row>
    <row r="62" spans="1:74" x14ac:dyDescent="0.2">
      <c r="A62" t="s">
        <v>1327</v>
      </c>
      <c r="B62" t="s">
        <v>1370</v>
      </c>
      <c r="C62" t="s">
        <v>948</v>
      </c>
      <c r="D62" t="s">
        <v>281</v>
      </c>
      <c r="E62" t="s">
        <v>1031</v>
      </c>
      <c r="F62" t="s">
        <v>1371</v>
      </c>
      <c r="G62" t="s">
        <v>1372</v>
      </c>
      <c r="H62" t="s">
        <v>1373</v>
      </c>
      <c r="I62" t="s">
        <v>1374</v>
      </c>
      <c r="J62" t="s">
        <v>1036</v>
      </c>
      <c r="K62" t="s">
        <v>1037</v>
      </c>
      <c r="N62" t="s">
        <v>1008</v>
      </c>
      <c r="O62" t="s">
        <v>1039</v>
      </c>
      <c r="P62" t="s">
        <v>1375</v>
      </c>
      <c r="Q62" t="s">
        <v>1088</v>
      </c>
      <c r="R62">
        <v>2450</v>
      </c>
      <c r="S62">
        <v>2422</v>
      </c>
      <c r="T62">
        <v>2409</v>
      </c>
      <c r="U62">
        <v>2322</v>
      </c>
      <c r="V62">
        <v>2275</v>
      </c>
      <c r="W62">
        <v>2221</v>
      </c>
      <c r="Y62" t="s">
        <v>548</v>
      </c>
      <c r="AE62" t="s">
        <v>548</v>
      </c>
      <c r="AF62" t="s">
        <v>548</v>
      </c>
      <c r="AG62" t="s">
        <v>548</v>
      </c>
      <c r="AH62" t="s">
        <v>548</v>
      </c>
      <c r="AI62" t="s">
        <v>548</v>
      </c>
      <c r="AJ62">
        <v>2477</v>
      </c>
      <c r="AK62">
        <v>2464</v>
      </c>
      <c r="AL62">
        <v>2377</v>
      </c>
      <c r="AM62">
        <v>2330</v>
      </c>
      <c r="AN62">
        <v>2276</v>
      </c>
      <c r="AO62">
        <v>2422</v>
      </c>
      <c r="AP62">
        <v>2409</v>
      </c>
      <c r="AQ62">
        <v>2322</v>
      </c>
      <c r="AR62">
        <v>2275</v>
      </c>
      <c r="AS62">
        <v>2221</v>
      </c>
      <c r="AT62">
        <v>1439</v>
      </c>
      <c r="AU62">
        <v>1439</v>
      </c>
      <c r="AV62">
        <v>1439</v>
      </c>
      <c r="AW62">
        <v>1439</v>
      </c>
      <c r="AX62">
        <v>1439</v>
      </c>
      <c r="AY62">
        <v>1276</v>
      </c>
      <c r="AZ62">
        <v>1276</v>
      </c>
      <c r="BA62">
        <v>1276</v>
      </c>
      <c r="BB62">
        <v>1276</v>
      </c>
      <c r="BC62">
        <v>1276</v>
      </c>
      <c r="BD62">
        <v>5.8950000000000001E-3</v>
      </c>
      <c r="BH62">
        <v>1.23E-3</v>
      </c>
      <c r="BJ62">
        <v>1</v>
      </c>
      <c r="BK62" t="s">
        <v>1041</v>
      </c>
      <c r="BU62" t="s">
        <v>1369</v>
      </c>
      <c r="BV62" t="s">
        <v>1008</v>
      </c>
    </row>
    <row r="63" spans="1:74" x14ac:dyDescent="0.2">
      <c r="A63" t="s">
        <v>1327</v>
      </c>
      <c r="B63" t="s">
        <v>1376</v>
      </c>
      <c r="C63" t="s">
        <v>948</v>
      </c>
      <c r="D63" t="s">
        <v>281</v>
      </c>
      <c r="E63" t="s">
        <v>1031</v>
      </c>
      <c r="F63" t="s">
        <v>1377</v>
      </c>
      <c r="G63" t="s">
        <v>1378</v>
      </c>
      <c r="H63" t="s">
        <v>1379</v>
      </c>
      <c r="I63" t="s">
        <v>1380</v>
      </c>
      <c r="J63" t="s">
        <v>1036</v>
      </c>
      <c r="K63" t="s">
        <v>1037</v>
      </c>
      <c r="N63" t="s">
        <v>1038</v>
      </c>
      <c r="O63" t="s">
        <v>1039</v>
      </c>
      <c r="P63" t="s">
        <v>1040</v>
      </c>
      <c r="Q63" t="s">
        <v>1088</v>
      </c>
      <c r="R63">
        <v>48</v>
      </c>
      <c r="S63">
        <v>48</v>
      </c>
      <c r="T63">
        <v>47</v>
      </c>
      <c r="U63">
        <v>45</v>
      </c>
      <c r="V63">
        <v>44</v>
      </c>
      <c r="W63">
        <v>43</v>
      </c>
      <c r="AE63" t="s">
        <v>548</v>
      </c>
      <c r="AF63" t="s">
        <v>548</v>
      </c>
      <c r="AG63" t="s">
        <v>548</v>
      </c>
      <c r="AH63" t="s">
        <v>548</v>
      </c>
      <c r="AI63" t="s">
        <v>548</v>
      </c>
      <c r="AJ63">
        <v>50</v>
      </c>
      <c r="AK63">
        <v>49</v>
      </c>
      <c r="AL63">
        <v>47</v>
      </c>
      <c r="AM63">
        <v>46</v>
      </c>
      <c r="AN63">
        <v>45</v>
      </c>
      <c r="AO63">
        <v>48</v>
      </c>
      <c r="AP63">
        <v>47</v>
      </c>
      <c r="AQ63">
        <v>45</v>
      </c>
      <c r="AR63">
        <v>44</v>
      </c>
      <c r="AS63">
        <v>43</v>
      </c>
      <c r="AT63">
        <v>44</v>
      </c>
      <c r="AU63">
        <v>44</v>
      </c>
      <c r="AV63">
        <v>44</v>
      </c>
      <c r="AW63">
        <v>44</v>
      </c>
      <c r="AX63">
        <v>43</v>
      </c>
      <c r="AY63">
        <v>42</v>
      </c>
      <c r="AZ63">
        <v>42</v>
      </c>
      <c r="BA63">
        <v>42</v>
      </c>
      <c r="BB63">
        <v>42</v>
      </c>
      <c r="BC63">
        <v>41</v>
      </c>
      <c r="BD63">
        <v>0.90200000000000002</v>
      </c>
      <c r="BH63">
        <v>0.48599999999999999</v>
      </c>
      <c r="BJ63">
        <v>1</v>
      </c>
      <c r="BK63" t="s">
        <v>1041</v>
      </c>
      <c r="BV63" t="s">
        <v>1042</v>
      </c>
    </row>
    <row r="64" spans="1:74" x14ac:dyDescent="0.2">
      <c r="A64" t="s">
        <v>1327</v>
      </c>
      <c r="B64" t="s">
        <v>1381</v>
      </c>
      <c r="C64" t="s">
        <v>948</v>
      </c>
      <c r="D64" t="s">
        <v>281</v>
      </c>
      <c r="E64" t="s">
        <v>1031</v>
      </c>
      <c r="F64" t="s">
        <v>1382</v>
      </c>
      <c r="G64" t="s">
        <v>1383</v>
      </c>
      <c r="H64" t="s">
        <v>1384</v>
      </c>
      <c r="I64" t="s">
        <v>1385</v>
      </c>
      <c r="J64" t="s">
        <v>1036</v>
      </c>
      <c r="K64" t="s">
        <v>1037</v>
      </c>
      <c r="N64" t="s">
        <v>1386</v>
      </c>
      <c r="O64" t="s">
        <v>253</v>
      </c>
      <c r="P64" t="s">
        <v>1387</v>
      </c>
      <c r="Q64">
        <v>1</v>
      </c>
      <c r="R64">
        <v>45.6</v>
      </c>
      <c r="S64">
        <v>50.4</v>
      </c>
      <c r="T64">
        <v>54.8</v>
      </c>
      <c r="U64">
        <v>58.8</v>
      </c>
      <c r="V64">
        <v>62.5</v>
      </c>
      <c r="W64">
        <v>65.900000000000006</v>
      </c>
      <c r="AE64" t="s">
        <v>548</v>
      </c>
      <c r="AF64" t="s">
        <v>548</v>
      </c>
      <c r="AG64" t="s">
        <v>548</v>
      </c>
      <c r="AH64" t="s">
        <v>548</v>
      </c>
      <c r="AI64" t="s">
        <v>548</v>
      </c>
      <c r="AJ64">
        <v>46.4</v>
      </c>
      <c r="AK64">
        <v>50.8</v>
      </c>
      <c r="AL64">
        <v>54.8</v>
      </c>
      <c r="AM64">
        <v>58.5</v>
      </c>
      <c r="AN64">
        <v>61.9</v>
      </c>
      <c r="AO64">
        <v>50.4</v>
      </c>
      <c r="AP64">
        <v>54.8</v>
      </c>
      <c r="AQ64">
        <v>58.8</v>
      </c>
      <c r="AR64">
        <v>62.5</v>
      </c>
      <c r="AS64">
        <v>65.900000000000006</v>
      </c>
      <c r="AT64">
        <v>50.4</v>
      </c>
      <c r="AU64">
        <v>54.8</v>
      </c>
      <c r="AV64">
        <v>58.8</v>
      </c>
      <c r="AW64">
        <v>62.5</v>
      </c>
      <c r="AX64">
        <v>65.900000000000006</v>
      </c>
      <c r="AY64">
        <v>54.4</v>
      </c>
      <c r="AZ64">
        <v>58.8</v>
      </c>
      <c r="BA64">
        <v>62.8</v>
      </c>
      <c r="BB64">
        <v>66.5</v>
      </c>
      <c r="BC64">
        <v>69.900000000000006</v>
      </c>
      <c r="BD64">
        <v>3.7999999999999999E-2</v>
      </c>
      <c r="BH64">
        <v>3.5999999999999997E-2</v>
      </c>
      <c r="BJ64">
        <v>1</v>
      </c>
      <c r="BK64" t="s">
        <v>1041</v>
      </c>
      <c r="BV64" t="s">
        <v>1042</v>
      </c>
    </row>
    <row r="65" spans="1:74" x14ac:dyDescent="0.2">
      <c r="A65" t="s">
        <v>1327</v>
      </c>
      <c r="B65" t="s">
        <v>1388</v>
      </c>
      <c r="C65" t="s">
        <v>948</v>
      </c>
      <c r="D65" t="s">
        <v>281</v>
      </c>
      <c r="E65" t="s">
        <v>1031</v>
      </c>
      <c r="F65" t="s">
        <v>1389</v>
      </c>
      <c r="G65" t="s">
        <v>1390</v>
      </c>
      <c r="H65" t="s">
        <v>1391</v>
      </c>
      <c r="I65" t="s">
        <v>1392</v>
      </c>
      <c r="J65" t="s">
        <v>1066</v>
      </c>
      <c r="N65" t="s">
        <v>1191</v>
      </c>
      <c r="O65" t="s">
        <v>1039</v>
      </c>
      <c r="P65" t="s">
        <v>1393</v>
      </c>
      <c r="Q65" t="s">
        <v>1088</v>
      </c>
      <c r="R65">
        <v>40</v>
      </c>
      <c r="S65">
        <v>32</v>
      </c>
      <c r="T65">
        <v>25</v>
      </c>
      <c r="U65">
        <v>23</v>
      </c>
      <c r="V65">
        <v>22</v>
      </c>
      <c r="W65">
        <v>20</v>
      </c>
      <c r="BV65" t="s">
        <v>1042</v>
      </c>
    </row>
    <row r="66" spans="1:74" x14ac:dyDescent="0.2">
      <c r="A66" t="s">
        <v>1327</v>
      </c>
      <c r="B66" t="s">
        <v>1394</v>
      </c>
      <c r="C66" t="s">
        <v>948</v>
      </c>
      <c r="D66" t="s">
        <v>281</v>
      </c>
      <c r="E66" t="s">
        <v>1031</v>
      </c>
      <c r="F66" t="s">
        <v>1389</v>
      </c>
      <c r="G66" t="s">
        <v>1395</v>
      </c>
      <c r="H66" t="s">
        <v>1396</v>
      </c>
      <c r="I66" t="s">
        <v>1397</v>
      </c>
      <c r="J66" t="s">
        <v>1066</v>
      </c>
      <c r="N66" t="s">
        <v>1061</v>
      </c>
      <c r="O66" t="s">
        <v>1295</v>
      </c>
      <c r="P66" t="s">
        <v>1398</v>
      </c>
      <c r="Q66" t="s">
        <v>1041</v>
      </c>
      <c r="R66" t="s">
        <v>1340</v>
      </c>
      <c r="S66" t="s">
        <v>1340</v>
      </c>
      <c r="T66" t="s">
        <v>1340</v>
      </c>
      <c r="U66" t="s">
        <v>1341</v>
      </c>
      <c r="V66" t="s">
        <v>1341</v>
      </c>
      <c r="W66" t="s">
        <v>1213</v>
      </c>
      <c r="BV66" t="s">
        <v>1042</v>
      </c>
    </row>
    <row r="67" spans="1:74" x14ac:dyDescent="0.2">
      <c r="A67" t="s">
        <v>1327</v>
      </c>
      <c r="B67" t="s">
        <v>1399</v>
      </c>
      <c r="C67" t="s">
        <v>948</v>
      </c>
      <c r="D67" t="s">
        <v>281</v>
      </c>
      <c r="E67" t="s">
        <v>1031</v>
      </c>
      <c r="F67" t="s">
        <v>1389</v>
      </c>
      <c r="G67" t="s">
        <v>1400</v>
      </c>
      <c r="H67" t="s">
        <v>1401</v>
      </c>
      <c r="I67" t="s">
        <v>1402</v>
      </c>
      <c r="J67" t="s">
        <v>1066</v>
      </c>
      <c r="N67" t="s">
        <v>1177</v>
      </c>
      <c r="O67" t="s">
        <v>1067</v>
      </c>
      <c r="P67" t="s">
        <v>1403</v>
      </c>
      <c r="Q67" t="s">
        <v>1067</v>
      </c>
      <c r="R67" t="s">
        <v>1404</v>
      </c>
      <c r="S67" t="s">
        <v>1405</v>
      </c>
      <c r="T67" t="s">
        <v>1405</v>
      </c>
      <c r="U67" t="s">
        <v>1405</v>
      </c>
      <c r="V67" t="s">
        <v>1405</v>
      </c>
      <c r="W67" t="s">
        <v>1405</v>
      </c>
      <c r="BV67" t="s">
        <v>1042</v>
      </c>
    </row>
    <row r="68" spans="1:74" x14ac:dyDescent="0.2">
      <c r="A68" t="s">
        <v>1327</v>
      </c>
      <c r="B68" t="s">
        <v>1406</v>
      </c>
      <c r="C68" t="s">
        <v>948</v>
      </c>
      <c r="D68" t="s">
        <v>281</v>
      </c>
      <c r="E68" t="s">
        <v>1031</v>
      </c>
      <c r="F68" t="s">
        <v>1389</v>
      </c>
      <c r="G68" t="s">
        <v>1407</v>
      </c>
      <c r="H68" t="s">
        <v>1408</v>
      </c>
      <c r="I68" t="s">
        <v>1409</v>
      </c>
      <c r="J68" t="s">
        <v>1066</v>
      </c>
      <c r="N68" t="s">
        <v>1410</v>
      </c>
      <c r="O68" t="s">
        <v>253</v>
      </c>
      <c r="P68" t="s">
        <v>1411</v>
      </c>
      <c r="Q68" t="s">
        <v>1088</v>
      </c>
      <c r="R68">
        <v>97</v>
      </c>
      <c r="S68">
        <v>100</v>
      </c>
      <c r="T68">
        <v>100</v>
      </c>
      <c r="U68">
        <v>100</v>
      </c>
      <c r="V68">
        <v>100</v>
      </c>
      <c r="W68">
        <v>100</v>
      </c>
      <c r="BV68" t="s">
        <v>1042</v>
      </c>
    </row>
    <row r="69" spans="1:74" x14ac:dyDescent="0.2">
      <c r="A69" t="s">
        <v>1327</v>
      </c>
      <c r="B69" t="s">
        <v>1412</v>
      </c>
      <c r="C69" t="s">
        <v>948</v>
      </c>
      <c r="D69" t="s">
        <v>1106</v>
      </c>
      <c r="E69" t="s">
        <v>1107</v>
      </c>
      <c r="F69" t="s">
        <v>1382</v>
      </c>
      <c r="G69" t="s">
        <v>1413</v>
      </c>
      <c r="H69" t="s">
        <v>1414</v>
      </c>
      <c r="I69" t="s">
        <v>1415</v>
      </c>
      <c r="J69" t="s">
        <v>1066</v>
      </c>
      <c r="N69" t="s">
        <v>1048</v>
      </c>
      <c r="O69" t="s">
        <v>1039</v>
      </c>
      <c r="P69" t="s">
        <v>1416</v>
      </c>
      <c r="Q69">
        <v>1</v>
      </c>
      <c r="R69">
        <v>145.6</v>
      </c>
      <c r="S69">
        <v>145.4</v>
      </c>
      <c r="T69">
        <v>144.5</v>
      </c>
      <c r="U69">
        <v>143.6</v>
      </c>
      <c r="V69">
        <v>142.80000000000001</v>
      </c>
      <c r="W69">
        <v>142</v>
      </c>
      <c r="BV69" t="s">
        <v>1042</v>
      </c>
    </row>
    <row r="70" spans="1:74" x14ac:dyDescent="0.2">
      <c r="A70" t="s">
        <v>1327</v>
      </c>
      <c r="B70" t="s">
        <v>1417</v>
      </c>
      <c r="C70" t="s">
        <v>948</v>
      </c>
      <c r="D70" t="s">
        <v>1106</v>
      </c>
      <c r="E70" t="s">
        <v>1107</v>
      </c>
      <c r="F70" t="s">
        <v>1418</v>
      </c>
      <c r="G70" t="s">
        <v>1419</v>
      </c>
      <c r="H70" t="s">
        <v>1420</v>
      </c>
      <c r="I70" t="s">
        <v>1421</v>
      </c>
      <c r="J70" t="s">
        <v>1066</v>
      </c>
      <c r="N70" t="s">
        <v>1121</v>
      </c>
      <c r="O70" t="s">
        <v>253</v>
      </c>
      <c r="P70" t="s">
        <v>1422</v>
      </c>
      <c r="Q70">
        <v>1</v>
      </c>
      <c r="R70">
        <v>2.1</v>
      </c>
      <c r="S70">
        <v>2</v>
      </c>
      <c r="T70">
        <v>2</v>
      </c>
      <c r="U70">
        <v>1.9</v>
      </c>
      <c r="V70">
        <v>1.9</v>
      </c>
      <c r="W70">
        <v>1.8</v>
      </c>
      <c r="BV70" t="s">
        <v>1042</v>
      </c>
    </row>
    <row r="71" spans="1:74" x14ac:dyDescent="0.2">
      <c r="A71" t="s">
        <v>1327</v>
      </c>
      <c r="B71" t="s">
        <v>1423</v>
      </c>
      <c r="C71" t="s">
        <v>948</v>
      </c>
      <c r="D71" t="s">
        <v>1106</v>
      </c>
      <c r="E71" t="s">
        <v>1107</v>
      </c>
      <c r="F71" t="s">
        <v>1123</v>
      </c>
      <c r="G71" t="s">
        <v>1424</v>
      </c>
      <c r="H71" t="s">
        <v>1425</v>
      </c>
      <c r="I71" t="s">
        <v>1426</v>
      </c>
      <c r="J71" t="s">
        <v>1036</v>
      </c>
      <c r="K71" t="s">
        <v>1037</v>
      </c>
      <c r="M71" t="s">
        <v>543</v>
      </c>
      <c r="N71" t="s">
        <v>1112</v>
      </c>
      <c r="O71" t="s">
        <v>1295</v>
      </c>
      <c r="P71" t="s">
        <v>1427</v>
      </c>
      <c r="Q71" t="s">
        <v>1041</v>
      </c>
      <c r="R71">
        <v>85.3</v>
      </c>
      <c r="S71" t="s">
        <v>1428</v>
      </c>
      <c r="T71" t="s">
        <v>1428</v>
      </c>
      <c r="U71" t="s">
        <v>1428</v>
      </c>
      <c r="V71" t="s">
        <v>1428</v>
      </c>
      <c r="W71" t="s">
        <v>1428</v>
      </c>
      <c r="AE71" t="s">
        <v>548</v>
      </c>
      <c r="AF71" t="s">
        <v>548</v>
      </c>
      <c r="AG71" t="s">
        <v>548</v>
      </c>
      <c r="AH71" t="s">
        <v>548</v>
      </c>
      <c r="AI71" t="s">
        <v>548</v>
      </c>
      <c r="AJ71" t="s">
        <v>1115</v>
      </c>
      <c r="AK71" t="s">
        <v>1115</v>
      </c>
      <c r="AL71" t="s">
        <v>1115</v>
      </c>
      <c r="AM71" t="s">
        <v>1115</v>
      </c>
      <c r="AN71" t="s">
        <v>1115</v>
      </c>
      <c r="AO71" t="s">
        <v>1115</v>
      </c>
      <c r="AP71" t="s">
        <v>1115</v>
      </c>
      <c r="AQ71" t="s">
        <v>1115</v>
      </c>
      <c r="AR71" t="s">
        <v>1115</v>
      </c>
      <c r="AS71" t="s">
        <v>1115</v>
      </c>
      <c r="AT71" t="s">
        <v>1115</v>
      </c>
      <c r="AU71" t="s">
        <v>1115</v>
      </c>
      <c r="AV71" t="s">
        <v>1115</v>
      </c>
      <c r="AW71" t="s">
        <v>1115</v>
      </c>
      <c r="AX71" t="s">
        <v>1115</v>
      </c>
      <c r="AY71" t="s">
        <v>1115</v>
      </c>
      <c r="AZ71" t="s">
        <v>1115</v>
      </c>
      <c r="BA71" t="s">
        <v>1115</v>
      </c>
      <c r="BB71" t="s">
        <v>1115</v>
      </c>
      <c r="BC71" t="s">
        <v>1115</v>
      </c>
      <c r="BD71" t="s">
        <v>1115</v>
      </c>
      <c r="BH71" t="s">
        <v>1115</v>
      </c>
      <c r="BJ71">
        <v>1</v>
      </c>
      <c r="BK71" t="s">
        <v>1041</v>
      </c>
      <c r="BU71" t="s">
        <v>1116</v>
      </c>
      <c r="BV71" t="s">
        <v>1042</v>
      </c>
    </row>
    <row r="72" spans="1:74" x14ac:dyDescent="0.2">
      <c r="A72" t="s">
        <v>1327</v>
      </c>
      <c r="B72" t="s">
        <v>1429</v>
      </c>
      <c r="C72" t="s">
        <v>948</v>
      </c>
      <c r="D72" t="s">
        <v>1106</v>
      </c>
      <c r="E72" t="s">
        <v>1107</v>
      </c>
      <c r="F72" t="s">
        <v>1123</v>
      </c>
      <c r="G72" t="s">
        <v>1430</v>
      </c>
      <c r="H72" t="s">
        <v>1431</v>
      </c>
      <c r="I72" t="s">
        <v>1432</v>
      </c>
      <c r="J72" t="s">
        <v>1066</v>
      </c>
      <c r="N72" t="s">
        <v>1203</v>
      </c>
      <c r="O72" t="s">
        <v>253</v>
      </c>
      <c r="P72" t="s">
        <v>1204</v>
      </c>
      <c r="Q72" t="s">
        <v>1088</v>
      </c>
      <c r="R72">
        <v>93</v>
      </c>
      <c r="S72">
        <v>93</v>
      </c>
      <c r="T72">
        <v>93</v>
      </c>
      <c r="U72">
        <v>93</v>
      </c>
      <c r="V72">
        <v>93</v>
      </c>
      <c r="W72" t="s">
        <v>1433</v>
      </c>
      <c r="BV72" t="s">
        <v>1042</v>
      </c>
    </row>
    <row r="73" spans="1:74" x14ac:dyDescent="0.2">
      <c r="A73" t="s">
        <v>1327</v>
      </c>
      <c r="B73" t="s">
        <v>1434</v>
      </c>
      <c r="C73" t="s">
        <v>948</v>
      </c>
      <c r="D73" t="s">
        <v>1106</v>
      </c>
      <c r="E73" t="s">
        <v>1107</v>
      </c>
      <c r="F73" t="s">
        <v>1123</v>
      </c>
      <c r="G73" t="s">
        <v>1435</v>
      </c>
      <c r="H73" t="s">
        <v>1436</v>
      </c>
      <c r="I73" t="s">
        <v>1437</v>
      </c>
      <c r="J73" t="s">
        <v>1066</v>
      </c>
      <c r="N73" t="s">
        <v>1121</v>
      </c>
      <c r="O73" t="s">
        <v>253</v>
      </c>
      <c r="P73" t="s">
        <v>1204</v>
      </c>
      <c r="Q73" t="s">
        <v>1088</v>
      </c>
      <c r="R73">
        <v>70</v>
      </c>
      <c r="S73">
        <v>71</v>
      </c>
      <c r="T73">
        <v>71</v>
      </c>
      <c r="U73">
        <v>72</v>
      </c>
      <c r="V73">
        <v>72</v>
      </c>
      <c r="W73">
        <v>72</v>
      </c>
      <c r="BV73" t="s">
        <v>1042</v>
      </c>
    </row>
    <row r="74" spans="1:74" x14ac:dyDescent="0.2">
      <c r="A74" t="s">
        <v>1327</v>
      </c>
      <c r="B74" t="s">
        <v>1438</v>
      </c>
      <c r="C74" t="s">
        <v>948</v>
      </c>
      <c r="D74" t="s">
        <v>1106</v>
      </c>
      <c r="E74" t="s">
        <v>1107</v>
      </c>
      <c r="F74" t="s">
        <v>1439</v>
      </c>
      <c r="G74" t="s">
        <v>1440</v>
      </c>
      <c r="H74" t="s">
        <v>1441</v>
      </c>
      <c r="I74" t="s">
        <v>1442</v>
      </c>
      <c r="J74" t="s">
        <v>1066</v>
      </c>
      <c r="N74" t="s">
        <v>1203</v>
      </c>
      <c r="O74" t="s">
        <v>253</v>
      </c>
      <c r="P74" t="s">
        <v>1204</v>
      </c>
      <c r="Q74">
        <v>1</v>
      </c>
      <c r="R74">
        <v>96.2</v>
      </c>
      <c r="S74">
        <v>96.3</v>
      </c>
      <c r="T74">
        <v>96.4</v>
      </c>
      <c r="U74">
        <v>96.5</v>
      </c>
      <c r="V74" t="s">
        <v>1443</v>
      </c>
      <c r="W74" t="s">
        <v>1443</v>
      </c>
      <c r="BV74" t="s">
        <v>1042</v>
      </c>
    </row>
    <row r="75" spans="1:74" x14ac:dyDescent="0.2">
      <c r="A75" t="s">
        <v>1327</v>
      </c>
      <c r="B75" t="s">
        <v>1444</v>
      </c>
      <c r="C75" t="s">
        <v>948</v>
      </c>
      <c r="D75" t="s">
        <v>1106</v>
      </c>
      <c r="E75" t="s">
        <v>1107</v>
      </c>
      <c r="F75" t="s">
        <v>1445</v>
      </c>
      <c r="G75" t="s">
        <v>1446</v>
      </c>
      <c r="H75" t="s">
        <v>1447</v>
      </c>
      <c r="I75" t="s">
        <v>1448</v>
      </c>
      <c r="J75" t="s">
        <v>1066</v>
      </c>
      <c r="N75" t="s">
        <v>1121</v>
      </c>
      <c r="O75" t="s">
        <v>1039</v>
      </c>
      <c r="P75" t="s">
        <v>1375</v>
      </c>
      <c r="Q75" t="s">
        <v>1088</v>
      </c>
      <c r="R75">
        <v>2570</v>
      </c>
      <c r="S75">
        <v>2480</v>
      </c>
      <c r="T75">
        <v>2395</v>
      </c>
      <c r="U75">
        <v>2315</v>
      </c>
      <c r="V75">
        <v>2240</v>
      </c>
      <c r="W75">
        <v>2170</v>
      </c>
      <c r="BV75" t="s">
        <v>1042</v>
      </c>
    </row>
    <row r="76" spans="1:74" x14ac:dyDescent="0.2">
      <c r="A76" t="s">
        <v>1449</v>
      </c>
      <c r="B76" t="s">
        <v>1450</v>
      </c>
      <c r="C76" t="s">
        <v>948</v>
      </c>
      <c r="D76" t="s">
        <v>281</v>
      </c>
      <c r="E76" t="s">
        <v>1031</v>
      </c>
      <c r="F76" t="s">
        <v>1451</v>
      </c>
      <c r="G76" t="s">
        <v>1330</v>
      </c>
      <c r="H76" t="s">
        <v>1452</v>
      </c>
      <c r="I76" t="s">
        <v>1453</v>
      </c>
      <c r="J76" t="s">
        <v>1036</v>
      </c>
      <c r="K76" t="s">
        <v>1037</v>
      </c>
      <c r="N76" t="s">
        <v>1008</v>
      </c>
      <c r="O76" t="s">
        <v>1039</v>
      </c>
      <c r="P76" t="s">
        <v>1080</v>
      </c>
      <c r="Q76">
        <v>2</v>
      </c>
      <c r="R76">
        <v>3.69</v>
      </c>
      <c r="S76">
        <v>2.8</v>
      </c>
      <c r="T76">
        <v>1.9</v>
      </c>
      <c r="U76">
        <v>1.01</v>
      </c>
      <c r="V76">
        <v>1.01</v>
      </c>
      <c r="W76">
        <v>1.01</v>
      </c>
      <c r="Y76" t="s">
        <v>548</v>
      </c>
      <c r="AE76" t="s">
        <v>548</v>
      </c>
      <c r="AF76" t="s">
        <v>548</v>
      </c>
      <c r="AG76" t="s">
        <v>548</v>
      </c>
      <c r="AH76" t="s">
        <v>548</v>
      </c>
      <c r="AI76" t="s">
        <v>548</v>
      </c>
      <c r="AJ76">
        <v>4.9400000000000004</v>
      </c>
      <c r="AK76">
        <v>4.9400000000000004</v>
      </c>
      <c r="AL76">
        <v>4.9400000000000004</v>
      </c>
      <c r="AM76">
        <v>4.9400000000000004</v>
      </c>
      <c r="AN76">
        <v>4.9400000000000004</v>
      </c>
      <c r="AO76">
        <v>3.69</v>
      </c>
      <c r="AP76">
        <v>3.69</v>
      </c>
      <c r="AQ76">
        <v>1.01</v>
      </c>
      <c r="AR76">
        <v>1.01</v>
      </c>
      <c r="AS76">
        <v>1.01</v>
      </c>
      <c r="AT76">
        <v>1.01</v>
      </c>
      <c r="AU76">
        <v>1.01</v>
      </c>
      <c r="AV76">
        <v>1.01</v>
      </c>
      <c r="AW76">
        <v>1.01</v>
      </c>
      <c r="AX76">
        <v>1.01</v>
      </c>
      <c r="AY76">
        <v>0</v>
      </c>
      <c r="AZ76">
        <v>0</v>
      </c>
      <c r="BA76">
        <v>0</v>
      </c>
      <c r="BB76">
        <v>0</v>
      </c>
      <c r="BC76">
        <v>0</v>
      </c>
      <c r="BD76">
        <v>3.0585999999999999E-2</v>
      </c>
      <c r="BH76">
        <v>2.4934000000000001E-2</v>
      </c>
      <c r="BJ76">
        <v>1</v>
      </c>
      <c r="BK76" t="s">
        <v>1041</v>
      </c>
      <c r="BV76" t="s">
        <v>1008</v>
      </c>
    </row>
    <row r="77" spans="1:74" x14ac:dyDescent="0.2">
      <c r="A77" t="s">
        <v>1449</v>
      </c>
      <c r="B77" t="s">
        <v>1454</v>
      </c>
      <c r="C77" t="s">
        <v>948</v>
      </c>
      <c r="D77" t="s">
        <v>281</v>
      </c>
      <c r="E77" t="s">
        <v>1031</v>
      </c>
      <c r="F77" t="s">
        <v>1451</v>
      </c>
      <c r="G77" t="s">
        <v>1335</v>
      </c>
      <c r="H77" t="s">
        <v>1455</v>
      </c>
      <c r="I77" t="s">
        <v>1456</v>
      </c>
      <c r="J77" t="s">
        <v>1047</v>
      </c>
      <c r="K77" t="s">
        <v>1037</v>
      </c>
      <c r="N77" t="s">
        <v>1073</v>
      </c>
      <c r="O77" t="s">
        <v>253</v>
      </c>
      <c r="P77" t="s">
        <v>1074</v>
      </c>
      <c r="Q77">
        <v>2</v>
      </c>
      <c r="R77">
        <v>99.96</v>
      </c>
      <c r="S77">
        <v>100</v>
      </c>
      <c r="T77">
        <v>100</v>
      </c>
      <c r="U77">
        <v>100</v>
      </c>
      <c r="V77">
        <v>100</v>
      </c>
      <c r="W77">
        <v>100</v>
      </c>
      <c r="X77" t="s">
        <v>548</v>
      </c>
      <c r="AE77" t="s">
        <v>548</v>
      </c>
      <c r="AF77" t="s">
        <v>548</v>
      </c>
      <c r="AG77" t="s">
        <v>548</v>
      </c>
      <c r="AH77" t="s">
        <v>548</v>
      </c>
      <c r="AI77" t="s">
        <v>548</v>
      </c>
      <c r="AJ77">
        <v>99.92</v>
      </c>
      <c r="AK77">
        <v>99.92</v>
      </c>
      <c r="AL77">
        <v>99.94</v>
      </c>
      <c r="AM77">
        <v>99.94</v>
      </c>
      <c r="AN77">
        <v>99.94</v>
      </c>
      <c r="AO77">
        <v>99.93</v>
      </c>
      <c r="AP77">
        <v>99.93</v>
      </c>
      <c r="AQ77">
        <v>99.95</v>
      </c>
      <c r="AR77">
        <v>99.95</v>
      </c>
      <c r="AS77">
        <v>99.95</v>
      </c>
      <c r="BD77">
        <v>4.7399999999999998E-2</v>
      </c>
      <c r="BJ77">
        <v>1</v>
      </c>
      <c r="BK77" t="s">
        <v>1041</v>
      </c>
      <c r="BV77" t="s">
        <v>1007</v>
      </c>
    </row>
    <row r="78" spans="1:74" x14ac:dyDescent="0.2">
      <c r="A78" t="s">
        <v>1449</v>
      </c>
      <c r="B78" t="s">
        <v>1457</v>
      </c>
      <c r="C78" t="s">
        <v>948</v>
      </c>
      <c r="D78" t="s">
        <v>281</v>
      </c>
      <c r="E78" t="s">
        <v>1031</v>
      </c>
      <c r="F78" t="s">
        <v>1451</v>
      </c>
      <c r="G78" t="s">
        <v>1343</v>
      </c>
      <c r="H78" t="s">
        <v>1458</v>
      </c>
      <c r="I78" t="s">
        <v>1459</v>
      </c>
      <c r="J78" t="s">
        <v>1047</v>
      </c>
      <c r="K78" t="s">
        <v>1338</v>
      </c>
      <c r="M78" t="s">
        <v>543</v>
      </c>
      <c r="N78" t="s">
        <v>1073</v>
      </c>
      <c r="O78" t="s">
        <v>1295</v>
      </c>
      <c r="P78" t="s">
        <v>1460</v>
      </c>
      <c r="Q78" t="s">
        <v>1041</v>
      </c>
      <c r="U78" t="s">
        <v>1461</v>
      </c>
      <c r="AC78" t="s">
        <v>548</v>
      </c>
      <c r="AG78" t="s">
        <v>548</v>
      </c>
      <c r="AH78" t="s">
        <v>548</v>
      </c>
      <c r="AI78" t="s">
        <v>548</v>
      </c>
      <c r="BD78">
        <v>0.51</v>
      </c>
      <c r="BE78">
        <v>19</v>
      </c>
      <c r="BJ78">
        <v>1</v>
      </c>
      <c r="BK78" t="s">
        <v>1041</v>
      </c>
      <c r="BU78" t="s">
        <v>1462</v>
      </c>
      <c r="BV78" t="s">
        <v>1042</v>
      </c>
    </row>
    <row r="79" spans="1:74" x14ac:dyDescent="0.2">
      <c r="A79" t="s">
        <v>1449</v>
      </c>
      <c r="B79" t="s">
        <v>1463</v>
      </c>
      <c r="C79" t="s">
        <v>948</v>
      </c>
      <c r="D79" t="s">
        <v>281</v>
      </c>
      <c r="E79" t="s">
        <v>1031</v>
      </c>
      <c r="F79" t="s">
        <v>1451</v>
      </c>
      <c r="G79" t="s">
        <v>1464</v>
      </c>
      <c r="H79" t="s">
        <v>1465</v>
      </c>
      <c r="I79" t="s">
        <v>1466</v>
      </c>
      <c r="J79" t="s">
        <v>1047</v>
      </c>
      <c r="K79" t="s">
        <v>1338</v>
      </c>
      <c r="M79" t="s">
        <v>543</v>
      </c>
      <c r="N79" t="s">
        <v>1073</v>
      </c>
      <c r="O79" t="s">
        <v>1295</v>
      </c>
      <c r="P79" t="s">
        <v>1467</v>
      </c>
      <c r="Q79" t="s">
        <v>1041</v>
      </c>
      <c r="V79" t="s">
        <v>1468</v>
      </c>
      <c r="W79" t="s">
        <v>1469</v>
      </c>
      <c r="AC79" t="s">
        <v>548</v>
      </c>
      <c r="AH79" t="s">
        <v>548</v>
      </c>
      <c r="AI79" t="s">
        <v>548</v>
      </c>
      <c r="BD79">
        <v>1</v>
      </c>
      <c r="BE79">
        <v>1</v>
      </c>
      <c r="BF79">
        <v>5.5</v>
      </c>
      <c r="BG79">
        <v>1.5</v>
      </c>
      <c r="BJ79">
        <v>1</v>
      </c>
      <c r="BK79" t="s">
        <v>1041</v>
      </c>
      <c r="BU79" t="s">
        <v>1470</v>
      </c>
      <c r="BV79" t="s">
        <v>1042</v>
      </c>
    </row>
    <row r="80" spans="1:74" x14ac:dyDescent="0.2">
      <c r="A80" t="s">
        <v>1449</v>
      </c>
      <c r="B80" t="s">
        <v>1471</v>
      </c>
      <c r="C80" t="s">
        <v>948</v>
      </c>
      <c r="D80" t="s">
        <v>281</v>
      </c>
      <c r="E80" t="s">
        <v>1031</v>
      </c>
      <c r="F80" t="s">
        <v>1472</v>
      </c>
      <c r="G80" t="s">
        <v>1348</v>
      </c>
      <c r="H80" t="s">
        <v>1473</v>
      </c>
      <c r="I80" t="s">
        <v>1474</v>
      </c>
      <c r="J80" t="s">
        <v>1036</v>
      </c>
      <c r="K80" t="s">
        <v>1037</v>
      </c>
      <c r="N80" t="s">
        <v>1086</v>
      </c>
      <c r="O80" t="s">
        <v>1126</v>
      </c>
      <c r="P80" t="s">
        <v>1475</v>
      </c>
      <c r="Q80">
        <v>2</v>
      </c>
      <c r="R80">
        <v>0.33</v>
      </c>
      <c r="S80">
        <v>0.28999999999999998</v>
      </c>
      <c r="T80">
        <v>0.24</v>
      </c>
      <c r="U80">
        <v>0.2</v>
      </c>
      <c r="V80">
        <v>0.2</v>
      </c>
      <c r="W80">
        <v>0.2</v>
      </c>
      <c r="Z80" t="s">
        <v>548</v>
      </c>
      <c r="AE80" t="s">
        <v>548</v>
      </c>
      <c r="AF80" t="s">
        <v>548</v>
      </c>
      <c r="AG80" t="s">
        <v>548</v>
      </c>
      <c r="AH80" t="s">
        <v>548</v>
      </c>
      <c r="AI80" t="s">
        <v>548</v>
      </c>
      <c r="AJ80">
        <v>0.53</v>
      </c>
      <c r="AK80">
        <v>0.53</v>
      </c>
      <c r="AL80">
        <v>0.4</v>
      </c>
      <c r="AM80">
        <v>0.4</v>
      </c>
      <c r="AN80">
        <v>0.4</v>
      </c>
      <c r="AO80">
        <v>0.33</v>
      </c>
      <c r="AP80">
        <v>0.33</v>
      </c>
      <c r="AQ80">
        <v>0.2</v>
      </c>
      <c r="AR80">
        <v>0.2</v>
      </c>
      <c r="AS80">
        <v>0.2</v>
      </c>
      <c r="AT80">
        <v>0.2</v>
      </c>
      <c r="AU80">
        <v>0.2</v>
      </c>
      <c r="AV80">
        <v>0.2</v>
      </c>
      <c r="AW80">
        <v>0.2</v>
      </c>
      <c r="AX80">
        <v>0.2</v>
      </c>
      <c r="AY80">
        <v>0.1</v>
      </c>
      <c r="AZ80">
        <v>0.1</v>
      </c>
      <c r="BA80">
        <v>0.1</v>
      </c>
      <c r="BB80">
        <v>0.1</v>
      </c>
      <c r="BC80">
        <v>0.1</v>
      </c>
      <c r="BD80">
        <v>0.41783599999999999</v>
      </c>
      <c r="BH80">
        <v>0.208704</v>
      </c>
      <c r="BJ80">
        <v>100</v>
      </c>
      <c r="BK80" t="s">
        <v>1476</v>
      </c>
      <c r="BV80" t="s">
        <v>1009</v>
      </c>
    </row>
    <row r="81" spans="1:74" x14ac:dyDescent="0.2">
      <c r="A81" t="s">
        <v>1449</v>
      </c>
      <c r="B81" t="s">
        <v>1477</v>
      </c>
      <c r="C81" t="s">
        <v>948</v>
      </c>
      <c r="D81" t="s">
        <v>281</v>
      </c>
      <c r="E81" t="s">
        <v>1031</v>
      </c>
      <c r="F81" t="s">
        <v>1472</v>
      </c>
      <c r="G81" t="s">
        <v>1478</v>
      </c>
      <c r="H81" t="s">
        <v>1479</v>
      </c>
      <c r="I81" t="s">
        <v>1480</v>
      </c>
      <c r="J81" t="s">
        <v>1036</v>
      </c>
      <c r="K81" t="s">
        <v>1037</v>
      </c>
      <c r="N81" t="s">
        <v>1038</v>
      </c>
      <c r="O81" t="s">
        <v>1039</v>
      </c>
      <c r="P81" t="s">
        <v>1481</v>
      </c>
      <c r="Q81">
        <v>1</v>
      </c>
      <c r="R81">
        <v>90.8</v>
      </c>
      <c r="S81">
        <v>90.8</v>
      </c>
      <c r="T81">
        <v>90.8</v>
      </c>
      <c r="U81">
        <v>90.8</v>
      </c>
      <c r="V81">
        <v>90.8</v>
      </c>
      <c r="W81">
        <v>90.8</v>
      </c>
      <c r="AE81" t="s">
        <v>548</v>
      </c>
      <c r="AF81" t="s">
        <v>548</v>
      </c>
      <c r="AG81" t="s">
        <v>548</v>
      </c>
      <c r="AH81" t="s">
        <v>548</v>
      </c>
      <c r="AI81" t="s">
        <v>548</v>
      </c>
      <c r="AJ81">
        <v>121.6</v>
      </c>
      <c r="AK81">
        <v>121.6</v>
      </c>
      <c r="AL81">
        <v>121.6</v>
      </c>
      <c r="AM81">
        <v>121.6</v>
      </c>
      <c r="AN81">
        <v>121.6</v>
      </c>
      <c r="AO81">
        <v>90.8</v>
      </c>
      <c r="AP81">
        <v>90.8</v>
      </c>
      <c r="AQ81">
        <v>90.8</v>
      </c>
      <c r="AR81">
        <v>90.8</v>
      </c>
      <c r="AS81">
        <v>90.8</v>
      </c>
      <c r="AT81">
        <v>76.099999999999994</v>
      </c>
      <c r="AU81">
        <v>76.099999999999994</v>
      </c>
      <c r="AV81">
        <v>76.099999999999994</v>
      </c>
      <c r="AW81">
        <v>76.099999999999994</v>
      </c>
      <c r="AX81">
        <v>76.099999999999994</v>
      </c>
      <c r="AY81">
        <v>60</v>
      </c>
      <c r="AZ81">
        <v>60</v>
      </c>
      <c r="BA81">
        <v>60</v>
      </c>
      <c r="BB81">
        <v>60</v>
      </c>
      <c r="BC81">
        <v>60</v>
      </c>
      <c r="BD81">
        <v>5.1504300000000001E-3</v>
      </c>
      <c r="BH81">
        <v>1.9763799999999998E-3</v>
      </c>
      <c r="BJ81">
        <v>1</v>
      </c>
      <c r="BK81" t="s">
        <v>1041</v>
      </c>
      <c r="BV81" t="s">
        <v>1042</v>
      </c>
    </row>
    <row r="82" spans="1:74" x14ac:dyDescent="0.2">
      <c r="A82" t="s">
        <v>1449</v>
      </c>
      <c r="B82" t="s">
        <v>1482</v>
      </c>
      <c r="C82" t="s">
        <v>948</v>
      </c>
      <c r="D82" t="s">
        <v>281</v>
      </c>
      <c r="E82" t="s">
        <v>1031</v>
      </c>
      <c r="F82" t="s">
        <v>1472</v>
      </c>
      <c r="G82" t="s">
        <v>1483</v>
      </c>
      <c r="H82" t="s">
        <v>1484</v>
      </c>
      <c r="I82" t="s">
        <v>1485</v>
      </c>
      <c r="J82" t="s">
        <v>1066</v>
      </c>
      <c r="N82" t="s">
        <v>1055</v>
      </c>
      <c r="O82" t="s">
        <v>1113</v>
      </c>
      <c r="P82" t="s">
        <v>1157</v>
      </c>
      <c r="Q82" t="s">
        <v>1088</v>
      </c>
      <c r="R82">
        <v>100</v>
      </c>
      <c r="S82">
        <v>100</v>
      </c>
      <c r="T82">
        <v>100</v>
      </c>
      <c r="U82">
        <v>100</v>
      </c>
      <c r="V82">
        <v>100</v>
      </c>
      <c r="W82">
        <v>100</v>
      </c>
      <c r="BV82" t="s">
        <v>1042</v>
      </c>
    </row>
    <row r="83" spans="1:74" x14ac:dyDescent="0.2">
      <c r="A83" t="s">
        <v>1449</v>
      </c>
      <c r="B83" t="s">
        <v>1486</v>
      </c>
      <c r="C83" t="s">
        <v>948</v>
      </c>
      <c r="D83" t="s">
        <v>281</v>
      </c>
      <c r="E83" t="s">
        <v>1031</v>
      </c>
      <c r="F83" t="s">
        <v>1472</v>
      </c>
      <c r="G83" t="s">
        <v>1487</v>
      </c>
      <c r="H83" t="s">
        <v>1488</v>
      </c>
      <c r="I83" t="s">
        <v>1489</v>
      </c>
      <c r="J83" t="s">
        <v>1036</v>
      </c>
      <c r="K83" t="s">
        <v>1037</v>
      </c>
      <c r="N83" t="s">
        <v>1093</v>
      </c>
      <c r="O83" t="s">
        <v>1039</v>
      </c>
      <c r="P83" t="s">
        <v>1094</v>
      </c>
      <c r="Q83" t="s">
        <v>1088</v>
      </c>
      <c r="R83">
        <v>211</v>
      </c>
      <c r="S83">
        <v>246</v>
      </c>
      <c r="T83">
        <v>234</v>
      </c>
      <c r="U83">
        <v>222</v>
      </c>
      <c r="V83">
        <v>222</v>
      </c>
      <c r="W83">
        <v>222</v>
      </c>
      <c r="AE83" t="s">
        <v>548</v>
      </c>
      <c r="AF83" t="s">
        <v>548</v>
      </c>
      <c r="AG83" t="s">
        <v>548</v>
      </c>
      <c r="AH83" t="s">
        <v>548</v>
      </c>
      <c r="AI83" t="s">
        <v>548</v>
      </c>
      <c r="AJ83">
        <v>538</v>
      </c>
      <c r="AK83">
        <v>526</v>
      </c>
      <c r="AL83">
        <v>514</v>
      </c>
      <c r="AM83">
        <v>514</v>
      </c>
      <c r="AN83">
        <v>514</v>
      </c>
      <c r="AO83">
        <v>316</v>
      </c>
      <c r="AP83">
        <v>304</v>
      </c>
      <c r="AQ83">
        <v>292</v>
      </c>
      <c r="AR83">
        <v>292</v>
      </c>
      <c r="AS83">
        <v>292</v>
      </c>
      <c r="AT83">
        <v>176</v>
      </c>
      <c r="AU83">
        <v>164</v>
      </c>
      <c r="AV83">
        <v>152</v>
      </c>
      <c r="AW83">
        <v>152</v>
      </c>
      <c r="AX83">
        <v>152</v>
      </c>
      <c r="AY83">
        <v>154</v>
      </c>
      <c r="AZ83">
        <v>142</v>
      </c>
      <c r="BA83">
        <v>130</v>
      </c>
      <c r="BB83">
        <v>130</v>
      </c>
      <c r="BC83">
        <v>130</v>
      </c>
      <c r="BD83">
        <v>1.3013600000000001E-3</v>
      </c>
      <c r="BH83">
        <v>6.5068000000000005E-4</v>
      </c>
      <c r="BJ83">
        <v>1</v>
      </c>
      <c r="BK83" t="s">
        <v>1041</v>
      </c>
      <c r="BV83" t="s">
        <v>1042</v>
      </c>
    </row>
    <row r="84" spans="1:74" x14ac:dyDescent="0.2">
      <c r="A84" t="s">
        <v>1449</v>
      </c>
      <c r="B84" t="s">
        <v>1490</v>
      </c>
      <c r="C84" t="s">
        <v>948</v>
      </c>
      <c r="D84" t="s">
        <v>281</v>
      </c>
      <c r="E84" t="s">
        <v>1031</v>
      </c>
      <c r="F84" t="s">
        <v>1491</v>
      </c>
      <c r="G84" t="s">
        <v>1354</v>
      </c>
      <c r="H84" t="s">
        <v>1492</v>
      </c>
      <c r="I84" t="s">
        <v>1493</v>
      </c>
      <c r="J84" t="s">
        <v>1066</v>
      </c>
      <c r="N84" t="s">
        <v>1191</v>
      </c>
      <c r="O84" t="s">
        <v>1039</v>
      </c>
      <c r="P84" t="s">
        <v>1494</v>
      </c>
      <c r="Q84" t="s">
        <v>1088</v>
      </c>
      <c r="R84">
        <v>9889</v>
      </c>
      <c r="S84">
        <v>9783</v>
      </c>
      <c r="T84">
        <v>9762</v>
      </c>
      <c r="U84">
        <v>9752</v>
      </c>
      <c r="V84">
        <v>9740</v>
      </c>
      <c r="W84">
        <v>9727</v>
      </c>
      <c r="BV84" t="s">
        <v>1042</v>
      </c>
    </row>
    <row r="85" spans="1:74" x14ac:dyDescent="0.2">
      <c r="A85" t="s">
        <v>1449</v>
      </c>
      <c r="B85" t="s">
        <v>1495</v>
      </c>
      <c r="C85" t="s">
        <v>948</v>
      </c>
      <c r="D85" t="s">
        <v>281</v>
      </c>
      <c r="E85" t="s">
        <v>1031</v>
      </c>
      <c r="F85" t="s">
        <v>1496</v>
      </c>
      <c r="G85" t="s">
        <v>1365</v>
      </c>
      <c r="H85" t="s">
        <v>1497</v>
      </c>
      <c r="I85" t="s">
        <v>1498</v>
      </c>
      <c r="J85" t="s">
        <v>1066</v>
      </c>
      <c r="N85" t="s">
        <v>1203</v>
      </c>
      <c r="O85" t="s">
        <v>253</v>
      </c>
      <c r="P85" t="s">
        <v>1204</v>
      </c>
      <c r="Q85" t="s">
        <v>1041</v>
      </c>
      <c r="S85" t="s">
        <v>1499</v>
      </c>
      <c r="T85" t="s">
        <v>1205</v>
      </c>
      <c r="U85" t="s">
        <v>1205</v>
      </c>
      <c r="V85" t="s">
        <v>1205</v>
      </c>
      <c r="W85" t="s">
        <v>1205</v>
      </c>
      <c r="BV85" t="s">
        <v>1042</v>
      </c>
    </row>
    <row r="86" spans="1:74" x14ac:dyDescent="0.2">
      <c r="A86" t="s">
        <v>1449</v>
      </c>
      <c r="B86" t="s">
        <v>1500</v>
      </c>
      <c r="C86" t="s">
        <v>948</v>
      </c>
      <c r="D86" t="s">
        <v>1501</v>
      </c>
      <c r="E86" t="s">
        <v>1502</v>
      </c>
      <c r="F86" t="s">
        <v>1503</v>
      </c>
      <c r="G86" t="s">
        <v>1378</v>
      </c>
      <c r="H86" t="s">
        <v>1504</v>
      </c>
      <c r="I86" t="s">
        <v>1505</v>
      </c>
      <c r="J86" t="s">
        <v>1036</v>
      </c>
      <c r="K86" t="s">
        <v>1037</v>
      </c>
      <c r="M86" t="s">
        <v>543</v>
      </c>
      <c r="N86" t="s">
        <v>1112</v>
      </c>
      <c r="O86" t="s">
        <v>1113</v>
      </c>
      <c r="P86" t="s">
        <v>1114</v>
      </c>
      <c r="Q86">
        <v>1</v>
      </c>
      <c r="R86">
        <v>80</v>
      </c>
      <c r="S86">
        <v>80</v>
      </c>
      <c r="T86">
        <v>80</v>
      </c>
      <c r="U86">
        <v>80</v>
      </c>
      <c r="V86">
        <v>80</v>
      </c>
      <c r="W86">
        <v>80</v>
      </c>
      <c r="AE86" t="s">
        <v>548</v>
      </c>
      <c r="AF86" t="s">
        <v>548</v>
      </c>
      <c r="AG86" t="s">
        <v>548</v>
      </c>
      <c r="AH86" t="s">
        <v>548</v>
      </c>
      <c r="AI86" t="s">
        <v>548</v>
      </c>
      <c r="AJ86" t="s">
        <v>1115</v>
      </c>
      <c r="AK86" t="s">
        <v>1115</v>
      </c>
      <c r="AL86" t="s">
        <v>1115</v>
      </c>
      <c r="AM86" t="s">
        <v>1115</v>
      </c>
      <c r="AN86" t="s">
        <v>1115</v>
      </c>
      <c r="AO86" t="s">
        <v>1115</v>
      </c>
      <c r="AP86" t="s">
        <v>1115</v>
      </c>
      <c r="AQ86" t="s">
        <v>1115</v>
      </c>
      <c r="AR86" t="s">
        <v>1115</v>
      </c>
      <c r="AS86" t="s">
        <v>1115</v>
      </c>
      <c r="AT86" t="s">
        <v>1115</v>
      </c>
      <c r="AU86" t="s">
        <v>1115</v>
      </c>
      <c r="AV86" t="s">
        <v>1115</v>
      </c>
      <c r="AW86" t="s">
        <v>1115</v>
      </c>
      <c r="AX86" t="s">
        <v>1115</v>
      </c>
      <c r="AY86" t="s">
        <v>1115</v>
      </c>
      <c r="AZ86" t="s">
        <v>1115</v>
      </c>
      <c r="BA86" t="s">
        <v>1115</v>
      </c>
      <c r="BB86" t="s">
        <v>1115</v>
      </c>
      <c r="BC86" t="s">
        <v>1115</v>
      </c>
      <c r="BD86" t="s">
        <v>1115</v>
      </c>
      <c r="BH86" t="s">
        <v>1115</v>
      </c>
      <c r="BJ86">
        <v>1</v>
      </c>
      <c r="BK86" t="s">
        <v>1041</v>
      </c>
      <c r="BU86" t="s">
        <v>1116</v>
      </c>
      <c r="BV86" t="s">
        <v>1042</v>
      </c>
    </row>
    <row r="87" spans="1:74" x14ac:dyDescent="0.2">
      <c r="A87" t="s">
        <v>1449</v>
      </c>
      <c r="B87" t="s">
        <v>1506</v>
      </c>
      <c r="C87" t="s">
        <v>948</v>
      </c>
      <c r="D87" t="s">
        <v>1106</v>
      </c>
      <c r="E87" t="s">
        <v>1107</v>
      </c>
      <c r="F87" t="s">
        <v>1507</v>
      </c>
      <c r="G87" t="s">
        <v>1372</v>
      </c>
      <c r="H87" t="s">
        <v>1508</v>
      </c>
      <c r="I87" t="s">
        <v>1509</v>
      </c>
      <c r="J87" t="s">
        <v>1066</v>
      </c>
      <c r="N87" t="s">
        <v>1048</v>
      </c>
      <c r="O87" t="s">
        <v>1039</v>
      </c>
      <c r="P87" t="s">
        <v>1510</v>
      </c>
      <c r="Q87">
        <v>2</v>
      </c>
      <c r="R87">
        <v>132.38999999999999</v>
      </c>
      <c r="S87">
        <v>131.44</v>
      </c>
      <c r="T87">
        <v>130.44999999999999</v>
      </c>
      <c r="U87">
        <v>129.44</v>
      </c>
      <c r="V87">
        <v>128.37</v>
      </c>
      <c r="W87">
        <v>127.28</v>
      </c>
      <c r="BV87" t="s">
        <v>1042</v>
      </c>
    </row>
    <row r="88" spans="1:74" x14ac:dyDescent="0.2">
      <c r="A88" t="s">
        <v>1449</v>
      </c>
      <c r="B88" t="s">
        <v>1511</v>
      </c>
      <c r="C88" t="s">
        <v>948</v>
      </c>
      <c r="D88" t="s">
        <v>1106</v>
      </c>
      <c r="E88" t="s">
        <v>1107</v>
      </c>
      <c r="F88" t="s">
        <v>1507</v>
      </c>
      <c r="G88" t="s">
        <v>1512</v>
      </c>
      <c r="H88" t="s">
        <v>1513</v>
      </c>
      <c r="I88" t="s">
        <v>1514</v>
      </c>
      <c r="J88" t="s">
        <v>1036</v>
      </c>
      <c r="K88" t="s">
        <v>1037</v>
      </c>
      <c r="M88" t="s">
        <v>543</v>
      </c>
      <c r="N88" t="s">
        <v>1112</v>
      </c>
      <c r="O88" t="s">
        <v>1113</v>
      </c>
      <c r="P88" t="s">
        <v>1114</v>
      </c>
      <c r="Q88">
        <v>1</v>
      </c>
      <c r="R88">
        <v>80</v>
      </c>
      <c r="S88">
        <v>80</v>
      </c>
      <c r="T88">
        <v>80</v>
      </c>
      <c r="U88">
        <v>80</v>
      </c>
      <c r="V88">
        <v>80</v>
      </c>
      <c r="W88">
        <v>80</v>
      </c>
      <c r="AE88" t="s">
        <v>548</v>
      </c>
      <c r="AF88" t="s">
        <v>548</v>
      </c>
      <c r="AG88" t="s">
        <v>548</v>
      </c>
      <c r="AH88" t="s">
        <v>548</v>
      </c>
      <c r="AI88" t="s">
        <v>548</v>
      </c>
      <c r="AJ88" t="s">
        <v>1115</v>
      </c>
      <c r="AK88" t="s">
        <v>1115</v>
      </c>
      <c r="AL88" t="s">
        <v>1115</v>
      </c>
      <c r="AM88" t="s">
        <v>1115</v>
      </c>
      <c r="AN88" t="s">
        <v>1115</v>
      </c>
      <c r="AO88" t="s">
        <v>1115</v>
      </c>
      <c r="AP88" t="s">
        <v>1115</v>
      </c>
      <c r="AQ88" t="s">
        <v>1115</v>
      </c>
      <c r="AR88" t="s">
        <v>1115</v>
      </c>
      <c r="AS88" t="s">
        <v>1115</v>
      </c>
      <c r="AT88" t="s">
        <v>1115</v>
      </c>
      <c r="AU88" t="s">
        <v>1115</v>
      </c>
      <c r="AV88" t="s">
        <v>1115</v>
      </c>
      <c r="AW88" t="s">
        <v>1115</v>
      </c>
      <c r="AX88" t="s">
        <v>1115</v>
      </c>
      <c r="AY88" t="s">
        <v>1115</v>
      </c>
      <c r="AZ88" t="s">
        <v>1115</v>
      </c>
      <c r="BA88" t="s">
        <v>1115</v>
      </c>
      <c r="BB88" t="s">
        <v>1115</v>
      </c>
      <c r="BC88" t="s">
        <v>1115</v>
      </c>
      <c r="BD88" t="s">
        <v>1115</v>
      </c>
      <c r="BH88" t="s">
        <v>1115</v>
      </c>
      <c r="BJ88">
        <v>1</v>
      </c>
      <c r="BK88" t="s">
        <v>1041</v>
      </c>
      <c r="BU88" t="s">
        <v>1116</v>
      </c>
      <c r="BV88" t="s">
        <v>1042</v>
      </c>
    </row>
    <row r="89" spans="1:74" x14ac:dyDescent="0.2">
      <c r="A89" t="s">
        <v>923</v>
      </c>
      <c r="B89" t="s">
        <v>1515</v>
      </c>
      <c r="C89" t="s">
        <v>913</v>
      </c>
      <c r="D89" t="s">
        <v>281</v>
      </c>
      <c r="E89" t="s">
        <v>1031</v>
      </c>
      <c r="F89" t="s">
        <v>1516</v>
      </c>
      <c r="G89" t="s">
        <v>1033</v>
      </c>
      <c r="H89" t="s">
        <v>1517</v>
      </c>
      <c r="I89" t="s">
        <v>1518</v>
      </c>
      <c r="J89" t="s">
        <v>1066</v>
      </c>
      <c r="N89" t="s">
        <v>1093</v>
      </c>
      <c r="O89" t="s">
        <v>1519</v>
      </c>
      <c r="P89" t="s">
        <v>1520</v>
      </c>
      <c r="Q89" t="s">
        <v>1041</v>
      </c>
      <c r="R89" t="s">
        <v>1519</v>
      </c>
      <c r="S89" t="s">
        <v>1519</v>
      </c>
      <c r="T89" t="s">
        <v>1519</v>
      </c>
      <c r="U89" t="s">
        <v>1519</v>
      </c>
      <c r="V89" t="s">
        <v>1519</v>
      </c>
      <c r="W89" t="s">
        <v>1519</v>
      </c>
      <c r="BU89" t="s">
        <v>1521</v>
      </c>
      <c r="BV89" t="s">
        <v>1042</v>
      </c>
    </row>
    <row r="90" spans="1:74" x14ac:dyDescent="0.2">
      <c r="A90" t="s">
        <v>923</v>
      </c>
      <c r="B90" t="s">
        <v>1522</v>
      </c>
      <c r="C90" t="s">
        <v>913</v>
      </c>
      <c r="D90" t="s">
        <v>281</v>
      </c>
      <c r="E90" t="s">
        <v>1031</v>
      </c>
      <c r="F90" t="s">
        <v>1523</v>
      </c>
      <c r="G90" t="s">
        <v>1070</v>
      </c>
      <c r="H90" t="s">
        <v>1524</v>
      </c>
      <c r="I90" t="s">
        <v>1525</v>
      </c>
      <c r="J90" t="s">
        <v>1036</v>
      </c>
      <c r="K90" t="s">
        <v>1338</v>
      </c>
      <c r="N90" t="s">
        <v>1008</v>
      </c>
      <c r="O90" t="s">
        <v>1039</v>
      </c>
      <c r="P90" t="s">
        <v>1526</v>
      </c>
      <c r="Q90" t="s">
        <v>1088</v>
      </c>
      <c r="R90">
        <v>1402</v>
      </c>
      <c r="S90">
        <v>1236</v>
      </c>
      <c r="T90">
        <v>1069</v>
      </c>
      <c r="U90">
        <v>903</v>
      </c>
      <c r="V90">
        <v>903</v>
      </c>
      <c r="W90">
        <v>903</v>
      </c>
      <c r="Y90" t="s">
        <v>548</v>
      </c>
      <c r="AE90" t="s">
        <v>548</v>
      </c>
      <c r="AF90" t="s">
        <v>548</v>
      </c>
      <c r="AG90" t="s">
        <v>548</v>
      </c>
      <c r="AH90" t="s">
        <v>548</v>
      </c>
      <c r="AI90" t="s">
        <v>548</v>
      </c>
      <c r="AJ90" t="s">
        <v>1527</v>
      </c>
      <c r="AK90" t="s">
        <v>1527</v>
      </c>
      <c r="AL90" t="s">
        <v>1528</v>
      </c>
      <c r="AM90" t="s">
        <v>1528</v>
      </c>
      <c r="AN90" t="s">
        <v>1528</v>
      </c>
      <c r="AO90" t="s">
        <v>1529</v>
      </c>
      <c r="AP90" t="s">
        <v>1529</v>
      </c>
      <c r="AQ90" t="s">
        <v>1530</v>
      </c>
      <c r="AR90" t="s">
        <v>1530</v>
      </c>
      <c r="AS90" t="s">
        <v>1530</v>
      </c>
      <c r="AT90" t="s">
        <v>1531</v>
      </c>
      <c r="AU90" t="s">
        <v>1531</v>
      </c>
      <c r="AV90" t="s">
        <v>1531</v>
      </c>
      <c r="AW90" t="s">
        <v>1531</v>
      </c>
      <c r="AX90" t="s">
        <v>1531</v>
      </c>
      <c r="AY90" t="s">
        <v>1532</v>
      </c>
      <c r="AZ90" t="s">
        <v>1533</v>
      </c>
      <c r="BA90" t="s">
        <v>1532</v>
      </c>
      <c r="BB90" t="s">
        <v>1532</v>
      </c>
      <c r="BC90" t="s">
        <v>1532</v>
      </c>
      <c r="BD90">
        <v>2.3E-2</v>
      </c>
      <c r="BH90">
        <v>1.0999999999999999E-2</v>
      </c>
      <c r="BJ90">
        <v>1</v>
      </c>
      <c r="BK90" t="s">
        <v>1041</v>
      </c>
      <c r="BV90" t="s">
        <v>1008</v>
      </c>
    </row>
    <row r="91" spans="1:74" x14ac:dyDescent="0.2">
      <c r="A91" t="s">
        <v>923</v>
      </c>
      <c r="B91" t="s">
        <v>1534</v>
      </c>
      <c r="C91" t="s">
        <v>913</v>
      </c>
      <c r="D91" t="s">
        <v>281</v>
      </c>
      <c r="E91" t="s">
        <v>1031</v>
      </c>
      <c r="F91" t="s">
        <v>1523</v>
      </c>
      <c r="G91" t="s">
        <v>1077</v>
      </c>
      <c r="H91" t="s">
        <v>1535</v>
      </c>
      <c r="I91" t="s">
        <v>1536</v>
      </c>
      <c r="J91" t="s">
        <v>1047</v>
      </c>
      <c r="K91" t="s">
        <v>1338</v>
      </c>
      <c r="M91" t="s">
        <v>543</v>
      </c>
      <c r="N91" t="s">
        <v>1073</v>
      </c>
      <c r="O91" t="s">
        <v>253</v>
      </c>
      <c r="P91" t="s">
        <v>1074</v>
      </c>
      <c r="Q91">
        <v>2</v>
      </c>
      <c r="R91">
        <v>99.94</v>
      </c>
      <c r="S91" t="s">
        <v>1537</v>
      </c>
      <c r="T91" t="s">
        <v>1537</v>
      </c>
      <c r="U91">
        <v>100</v>
      </c>
      <c r="V91">
        <v>100</v>
      </c>
      <c r="W91">
        <v>100</v>
      </c>
      <c r="X91" t="s">
        <v>548</v>
      </c>
      <c r="AG91" t="s">
        <v>548</v>
      </c>
      <c r="AH91" t="s">
        <v>548</v>
      </c>
      <c r="AI91" t="s">
        <v>548</v>
      </c>
      <c r="AJ91" t="s">
        <v>1538</v>
      </c>
      <c r="AK91" t="s">
        <v>1538</v>
      </c>
      <c r="AL91" t="s">
        <v>1539</v>
      </c>
      <c r="AM91" t="s">
        <v>1540</v>
      </c>
      <c r="AN91" t="s">
        <v>1541</v>
      </c>
      <c r="AO91" t="s">
        <v>1542</v>
      </c>
      <c r="AP91" t="s">
        <v>1542</v>
      </c>
      <c r="AQ91" t="s">
        <v>1543</v>
      </c>
      <c r="AR91" t="s">
        <v>1544</v>
      </c>
      <c r="AS91" t="s">
        <v>1545</v>
      </c>
      <c r="BD91">
        <v>3.98475</v>
      </c>
      <c r="BE91">
        <v>3.98475</v>
      </c>
      <c r="BJ91">
        <v>1</v>
      </c>
      <c r="BK91" t="s">
        <v>1041</v>
      </c>
      <c r="BU91" t="s">
        <v>1546</v>
      </c>
      <c r="BV91" t="s">
        <v>1007</v>
      </c>
    </row>
    <row r="92" spans="1:74" x14ac:dyDescent="0.2">
      <c r="A92" t="s">
        <v>923</v>
      </c>
      <c r="B92" t="s">
        <v>1547</v>
      </c>
      <c r="C92" t="s">
        <v>913</v>
      </c>
      <c r="D92" t="s">
        <v>281</v>
      </c>
      <c r="E92" t="s">
        <v>1031</v>
      </c>
      <c r="F92" t="s">
        <v>1523</v>
      </c>
      <c r="G92" t="s">
        <v>1548</v>
      </c>
      <c r="H92" t="s">
        <v>1549</v>
      </c>
      <c r="I92" t="s">
        <v>1550</v>
      </c>
      <c r="J92" t="s">
        <v>1036</v>
      </c>
      <c r="K92" t="s">
        <v>1338</v>
      </c>
      <c r="M92" t="s">
        <v>543</v>
      </c>
      <c r="N92" t="s">
        <v>1008</v>
      </c>
      <c r="O92" t="s">
        <v>1039</v>
      </c>
      <c r="P92" t="s">
        <v>1526</v>
      </c>
      <c r="Q92" t="s">
        <v>1088</v>
      </c>
      <c r="R92">
        <v>4600</v>
      </c>
      <c r="S92">
        <v>4054</v>
      </c>
      <c r="T92">
        <v>3508</v>
      </c>
      <c r="U92">
        <v>2962</v>
      </c>
      <c r="V92">
        <v>2962</v>
      </c>
      <c r="W92">
        <v>2962</v>
      </c>
      <c r="Y92" t="s">
        <v>548</v>
      </c>
      <c r="AG92" t="s">
        <v>548</v>
      </c>
      <c r="AH92" t="s">
        <v>548</v>
      </c>
      <c r="AI92" t="s">
        <v>548</v>
      </c>
      <c r="AJ92" t="s">
        <v>1551</v>
      </c>
      <c r="AK92" t="s">
        <v>1551</v>
      </c>
      <c r="AL92" t="s">
        <v>1552</v>
      </c>
      <c r="AM92" t="s">
        <v>1553</v>
      </c>
      <c r="AN92" t="s">
        <v>1554</v>
      </c>
      <c r="AO92" t="s">
        <v>1555</v>
      </c>
      <c r="AP92" t="s">
        <v>1555</v>
      </c>
      <c r="AQ92" t="s">
        <v>1556</v>
      </c>
      <c r="AR92" t="s">
        <v>1557</v>
      </c>
      <c r="AS92" t="s">
        <v>1558</v>
      </c>
      <c r="AT92" t="s">
        <v>1559</v>
      </c>
      <c r="AU92" t="s">
        <v>1559</v>
      </c>
      <c r="AV92" t="s">
        <v>1559</v>
      </c>
      <c r="AW92" t="s">
        <v>1559</v>
      </c>
      <c r="AX92" t="s">
        <v>1559</v>
      </c>
      <c r="AY92" t="s">
        <v>1560</v>
      </c>
      <c r="AZ92" t="s">
        <v>1560</v>
      </c>
      <c r="BA92" t="s">
        <v>1560</v>
      </c>
      <c r="BB92" t="s">
        <v>1560</v>
      </c>
      <c r="BC92" t="s">
        <v>1560</v>
      </c>
      <c r="BD92">
        <v>3.98475</v>
      </c>
      <c r="BE92">
        <v>3.98475</v>
      </c>
      <c r="BH92">
        <v>2E-3</v>
      </c>
      <c r="BJ92">
        <v>1</v>
      </c>
      <c r="BK92" t="s">
        <v>1041</v>
      </c>
      <c r="BU92" t="s">
        <v>1546</v>
      </c>
      <c r="BV92" t="s">
        <v>1008</v>
      </c>
    </row>
    <row r="93" spans="1:74" x14ac:dyDescent="0.2">
      <c r="A93" t="s">
        <v>923</v>
      </c>
      <c r="B93" t="s">
        <v>1561</v>
      </c>
      <c r="C93" t="s">
        <v>913</v>
      </c>
      <c r="D93" t="s">
        <v>281</v>
      </c>
      <c r="E93" t="s">
        <v>1031</v>
      </c>
      <c r="F93" t="s">
        <v>1562</v>
      </c>
      <c r="G93" t="s">
        <v>1083</v>
      </c>
      <c r="H93" t="s">
        <v>1563</v>
      </c>
      <c r="I93" t="s">
        <v>1564</v>
      </c>
      <c r="J93" t="s">
        <v>1036</v>
      </c>
      <c r="K93" t="s">
        <v>1338</v>
      </c>
      <c r="M93" t="s">
        <v>543</v>
      </c>
      <c r="N93" t="s">
        <v>1086</v>
      </c>
      <c r="O93" t="s">
        <v>1126</v>
      </c>
      <c r="P93" t="s">
        <v>1565</v>
      </c>
      <c r="Q93" t="s">
        <v>1566</v>
      </c>
      <c r="R93">
        <v>0.3034722222222222</v>
      </c>
      <c r="S93">
        <v>0.28472222222222221</v>
      </c>
      <c r="T93">
        <v>0.26597222222222222</v>
      </c>
      <c r="U93">
        <v>0.24722222222222223</v>
      </c>
      <c r="V93">
        <v>0.22847222222222222</v>
      </c>
      <c r="W93">
        <v>0.20833333333333334</v>
      </c>
      <c r="Z93" t="s">
        <v>548</v>
      </c>
      <c r="AE93" t="s">
        <v>548</v>
      </c>
      <c r="AF93" t="s">
        <v>548</v>
      </c>
      <c r="AG93" t="s">
        <v>548</v>
      </c>
      <c r="AH93" t="s">
        <v>548</v>
      </c>
      <c r="AI93" t="s">
        <v>548</v>
      </c>
      <c r="AJ93" t="s">
        <v>1567</v>
      </c>
      <c r="AK93" t="s">
        <v>1568</v>
      </c>
      <c r="AL93" t="s">
        <v>1569</v>
      </c>
      <c r="AM93" t="s">
        <v>1570</v>
      </c>
      <c r="AN93" t="s">
        <v>1571</v>
      </c>
      <c r="AO93" t="s">
        <v>1572</v>
      </c>
      <c r="AP93" t="s">
        <v>1573</v>
      </c>
      <c r="AQ93" t="s">
        <v>1574</v>
      </c>
      <c r="AR93" t="s">
        <v>1575</v>
      </c>
      <c r="AS93" t="s">
        <v>1576</v>
      </c>
      <c r="AT93" t="s">
        <v>1577</v>
      </c>
      <c r="AU93" t="s">
        <v>1578</v>
      </c>
      <c r="AV93" t="s">
        <v>1579</v>
      </c>
      <c r="AW93" t="s">
        <v>1580</v>
      </c>
      <c r="AX93" t="s">
        <v>1581</v>
      </c>
      <c r="AY93" t="s">
        <v>1582</v>
      </c>
      <c r="AZ93" t="s">
        <v>1582</v>
      </c>
      <c r="BA93" t="s">
        <v>1582</v>
      </c>
      <c r="BB93" t="s">
        <v>1582</v>
      </c>
      <c r="BC93" t="s">
        <v>1582</v>
      </c>
      <c r="BD93">
        <v>0.15</v>
      </c>
      <c r="BH93">
        <v>1.7999999999999999E-2</v>
      </c>
      <c r="BJ93">
        <v>1</v>
      </c>
      <c r="BK93" t="s">
        <v>1041</v>
      </c>
      <c r="BV93" t="s">
        <v>1009</v>
      </c>
    </row>
    <row r="94" spans="1:74" x14ac:dyDescent="0.2">
      <c r="A94" t="s">
        <v>923</v>
      </c>
      <c r="B94" t="s">
        <v>1583</v>
      </c>
      <c r="C94" t="s">
        <v>913</v>
      </c>
      <c r="D94" t="s">
        <v>281</v>
      </c>
      <c r="E94" t="s">
        <v>1031</v>
      </c>
      <c r="F94" t="s">
        <v>1562</v>
      </c>
      <c r="G94" t="s">
        <v>1090</v>
      </c>
      <c r="H94" t="s">
        <v>1584</v>
      </c>
      <c r="I94" t="s">
        <v>1585</v>
      </c>
      <c r="J94" t="s">
        <v>1036</v>
      </c>
      <c r="K94" t="s">
        <v>1338</v>
      </c>
      <c r="M94" t="s">
        <v>543</v>
      </c>
      <c r="N94" t="s">
        <v>1131</v>
      </c>
      <c r="O94" t="s">
        <v>1039</v>
      </c>
      <c r="P94" t="s">
        <v>1087</v>
      </c>
      <c r="Q94" t="s">
        <v>1088</v>
      </c>
      <c r="R94">
        <v>257</v>
      </c>
      <c r="S94">
        <v>216</v>
      </c>
      <c r="T94">
        <v>216</v>
      </c>
      <c r="U94">
        <v>216</v>
      </c>
      <c r="V94">
        <v>216</v>
      </c>
      <c r="W94">
        <v>216</v>
      </c>
      <c r="AG94" t="s">
        <v>548</v>
      </c>
      <c r="AH94" t="s">
        <v>548</v>
      </c>
      <c r="AI94" t="s">
        <v>548</v>
      </c>
      <c r="AJ94" t="s">
        <v>1586</v>
      </c>
      <c r="AK94" t="s">
        <v>1586</v>
      </c>
      <c r="AL94" t="s">
        <v>1586</v>
      </c>
      <c r="AM94" t="s">
        <v>1586</v>
      </c>
      <c r="AN94" t="s">
        <v>1586</v>
      </c>
      <c r="AO94" t="s">
        <v>1587</v>
      </c>
      <c r="AP94" t="s">
        <v>1587</v>
      </c>
      <c r="AQ94" t="s">
        <v>1587</v>
      </c>
      <c r="AR94" t="s">
        <v>1587</v>
      </c>
      <c r="AS94" t="s">
        <v>1587</v>
      </c>
      <c r="AT94" t="s">
        <v>1588</v>
      </c>
      <c r="AU94" t="s">
        <v>1588</v>
      </c>
      <c r="AV94" t="s">
        <v>1588</v>
      </c>
      <c r="AW94" t="s">
        <v>1588</v>
      </c>
      <c r="AX94" t="s">
        <v>1588</v>
      </c>
      <c r="AY94">
        <v>0</v>
      </c>
      <c r="AZ94">
        <v>0</v>
      </c>
      <c r="BA94">
        <v>0</v>
      </c>
      <c r="BB94">
        <v>0</v>
      </c>
      <c r="BC94">
        <v>0</v>
      </c>
      <c r="BD94">
        <v>3.98475</v>
      </c>
      <c r="BE94">
        <v>3.98475</v>
      </c>
      <c r="BH94">
        <v>1E-3</v>
      </c>
      <c r="BJ94">
        <v>1</v>
      </c>
      <c r="BK94" t="s">
        <v>1041</v>
      </c>
      <c r="BU94" t="s">
        <v>1546</v>
      </c>
      <c r="BV94" t="s">
        <v>1042</v>
      </c>
    </row>
    <row r="95" spans="1:74" x14ac:dyDescent="0.2">
      <c r="A95" t="s">
        <v>923</v>
      </c>
      <c r="B95" t="s">
        <v>1589</v>
      </c>
      <c r="C95" t="s">
        <v>913</v>
      </c>
      <c r="D95" t="s">
        <v>281</v>
      </c>
      <c r="E95" t="s">
        <v>1031</v>
      </c>
      <c r="F95" t="s">
        <v>1562</v>
      </c>
      <c r="G95" t="s">
        <v>1096</v>
      </c>
      <c r="H95" t="s">
        <v>1590</v>
      </c>
      <c r="I95" t="s">
        <v>1591</v>
      </c>
      <c r="J95" t="s">
        <v>1047</v>
      </c>
      <c r="K95" t="s">
        <v>1338</v>
      </c>
      <c r="M95" t="s">
        <v>543</v>
      </c>
      <c r="N95" t="s">
        <v>1093</v>
      </c>
      <c r="O95" t="s">
        <v>1039</v>
      </c>
      <c r="P95" t="s">
        <v>1094</v>
      </c>
      <c r="Q95" t="s">
        <v>1088</v>
      </c>
      <c r="R95">
        <v>4586</v>
      </c>
      <c r="S95">
        <v>4586</v>
      </c>
      <c r="T95">
        <v>4586</v>
      </c>
      <c r="U95">
        <v>4586</v>
      </c>
      <c r="V95">
        <v>4586</v>
      </c>
      <c r="W95">
        <v>4586</v>
      </c>
      <c r="AG95" t="s">
        <v>548</v>
      </c>
      <c r="AH95" t="s">
        <v>548</v>
      </c>
      <c r="AI95" t="s">
        <v>548</v>
      </c>
      <c r="AJ95" t="s">
        <v>1592</v>
      </c>
      <c r="AK95" t="s">
        <v>1592</v>
      </c>
      <c r="AL95" t="s">
        <v>1592</v>
      </c>
      <c r="AM95" t="s">
        <v>1592</v>
      </c>
      <c r="AN95" t="s">
        <v>1592</v>
      </c>
      <c r="AO95" t="s">
        <v>1593</v>
      </c>
      <c r="AP95" t="s">
        <v>1593</v>
      </c>
      <c r="AQ95" t="s">
        <v>1593</v>
      </c>
      <c r="AR95" t="s">
        <v>1593</v>
      </c>
      <c r="AS95" t="s">
        <v>1593</v>
      </c>
      <c r="BD95">
        <v>3.98475</v>
      </c>
      <c r="BE95">
        <v>3.98475</v>
      </c>
      <c r="BJ95">
        <v>1</v>
      </c>
      <c r="BK95" t="s">
        <v>1041</v>
      </c>
      <c r="BU95" t="s">
        <v>1546</v>
      </c>
      <c r="BV95" t="s">
        <v>1042</v>
      </c>
    </row>
    <row r="96" spans="1:74" x14ac:dyDescent="0.2">
      <c r="A96" t="s">
        <v>923</v>
      </c>
      <c r="B96" t="s">
        <v>1594</v>
      </c>
      <c r="C96" t="s">
        <v>913</v>
      </c>
      <c r="D96" t="s">
        <v>281</v>
      </c>
      <c r="E96" t="s">
        <v>1031</v>
      </c>
      <c r="F96" t="s">
        <v>1562</v>
      </c>
      <c r="G96" t="s">
        <v>1102</v>
      </c>
      <c r="H96" t="s">
        <v>1595</v>
      </c>
      <c r="I96" t="s">
        <v>1596</v>
      </c>
      <c r="J96" t="s">
        <v>1036</v>
      </c>
      <c r="K96" t="s">
        <v>1338</v>
      </c>
      <c r="N96" t="s">
        <v>1038</v>
      </c>
      <c r="O96" t="s">
        <v>1039</v>
      </c>
      <c r="P96" t="s">
        <v>1040</v>
      </c>
      <c r="Q96" t="s">
        <v>1088</v>
      </c>
      <c r="R96">
        <v>141</v>
      </c>
      <c r="S96">
        <v>139</v>
      </c>
      <c r="T96">
        <v>137</v>
      </c>
      <c r="U96">
        <v>137</v>
      </c>
      <c r="V96">
        <v>137</v>
      </c>
      <c r="W96">
        <v>137</v>
      </c>
      <c r="AE96" t="s">
        <v>548</v>
      </c>
      <c r="AF96" t="s">
        <v>548</v>
      </c>
      <c r="AG96" t="s">
        <v>548</v>
      </c>
      <c r="AH96" t="s">
        <v>548</v>
      </c>
      <c r="AI96" t="s">
        <v>548</v>
      </c>
      <c r="AJ96" t="s">
        <v>1597</v>
      </c>
      <c r="AK96" t="s">
        <v>1598</v>
      </c>
      <c r="AL96" t="s">
        <v>1598</v>
      </c>
      <c r="AM96" t="s">
        <v>1598</v>
      </c>
      <c r="AN96" t="s">
        <v>1598</v>
      </c>
      <c r="AO96" t="s">
        <v>1599</v>
      </c>
      <c r="AP96" t="s">
        <v>1600</v>
      </c>
      <c r="AQ96" t="s">
        <v>1600</v>
      </c>
      <c r="AR96" t="s">
        <v>1600</v>
      </c>
      <c r="AS96" t="s">
        <v>1600</v>
      </c>
      <c r="AT96" t="s">
        <v>1601</v>
      </c>
      <c r="AU96" t="s">
        <v>1601</v>
      </c>
      <c r="AV96" t="s">
        <v>1601</v>
      </c>
      <c r="AW96" t="s">
        <v>1601</v>
      </c>
      <c r="AX96" t="s">
        <v>1601</v>
      </c>
      <c r="AY96" t="s">
        <v>1602</v>
      </c>
      <c r="AZ96" t="s">
        <v>1602</v>
      </c>
      <c r="BA96" t="s">
        <v>1602</v>
      </c>
      <c r="BB96" t="s">
        <v>1602</v>
      </c>
      <c r="BC96" t="s">
        <v>1602</v>
      </c>
      <c r="BD96">
        <v>0.115</v>
      </c>
      <c r="BH96">
        <v>0.115</v>
      </c>
      <c r="BJ96">
        <v>1</v>
      </c>
      <c r="BK96" t="s">
        <v>1041</v>
      </c>
      <c r="BV96" t="s">
        <v>1042</v>
      </c>
    </row>
    <row r="97" spans="1:74" x14ac:dyDescent="0.2">
      <c r="A97" t="s">
        <v>923</v>
      </c>
      <c r="B97" t="s">
        <v>1603</v>
      </c>
      <c r="C97" t="s">
        <v>913</v>
      </c>
      <c r="D97" t="s">
        <v>281</v>
      </c>
      <c r="E97" t="s">
        <v>1031</v>
      </c>
      <c r="F97" t="s">
        <v>1562</v>
      </c>
      <c r="G97" t="s">
        <v>1604</v>
      </c>
      <c r="H97" t="s">
        <v>1605</v>
      </c>
      <c r="I97" t="s">
        <v>1606</v>
      </c>
      <c r="J97" t="s">
        <v>1036</v>
      </c>
      <c r="K97" t="s">
        <v>1338</v>
      </c>
      <c r="N97" t="s">
        <v>1038</v>
      </c>
      <c r="O97" t="s">
        <v>1039</v>
      </c>
      <c r="P97" t="s">
        <v>1040</v>
      </c>
      <c r="Q97" t="s">
        <v>1088</v>
      </c>
      <c r="R97">
        <v>66</v>
      </c>
      <c r="S97">
        <v>66</v>
      </c>
      <c r="T97">
        <v>66</v>
      </c>
      <c r="U97">
        <v>66</v>
      </c>
      <c r="V97">
        <v>66</v>
      </c>
      <c r="W97">
        <v>66</v>
      </c>
      <c r="AE97" t="s">
        <v>548</v>
      </c>
      <c r="AF97" t="s">
        <v>548</v>
      </c>
      <c r="AG97" t="s">
        <v>548</v>
      </c>
      <c r="AH97" t="s">
        <v>548</v>
      </c>
      <c r="AI97" t="s">
        <v>548</v>
      </c>
      <c r="AJ97" t="s">
        <v>1607</v>
      </c>
      <c r="AK97" t="s">
        <v>1607</v>
      </c>
      <c r="AL97" t="s">
        <v>1607</v>
      </c>
      <c r="AM97" t="s">
        <v>1607</v>
      </c>
      <c r="AN97" t="s">
        <v>1607</v>
      </c>
      <c r="AO97" t="s">
        <v>1608</v>
      </c>
      <c r="AP97" t="s">
        <v>1608</v>
      </c>
      <c r="AQ97" t="s">
        <v>1608</v>
      </c>
      <c r="AR97" t="s">
        <v>1608</v>
      </c>
      <c r="AS97" t="s">
        <v>1608</v>
      </c>
      <c r="AT97" t="s">
        <v>1609</v>
      </c>
      <c r="AU97" t="s">
        <v>1609</v>
      </c>
      <c r="AV97" t="s">
        <v>1609</v>
      </c>
      <c r="AW97" t="s">
        <v>1609</v>
      </c>
      <c r="AX97" t="s">
        <v>1609</v>
      </c>
      <c r="AY97" t="s">
        <v>1610</v>
      </c>
      <c r="AZ97" t="s">
        <v>1610</v>
      </c>
      <c r="BA97" t="s">
        <v>1610</v>
      </c>
      <c r="BB97" t="s">
        <v>1610</v>
      </c>
      <c r="BC97" t="s">
        <v>1610</v>
      </c>
      <c r="BD97">
        <v>0.115</v>
      </c>
      <c r="BH97">
        <v>0.115</v>
      </c>
      <c r="BJ97">
        <v>1</v>
      </c>
      <c r="BK97" t="s">
        <v>1041</v>
      </c>
      <c r="BV97" t="s">
        <v>1042</v>
      </c>
    </row>
    <row r="98" spans="1:74" x14ac:dyDescent="0.2">
      <c r="A98" t="s">
        <v>923</v>
      </c>
      <c r="B98" t="s">
        <v>1611</v>
      </c>
      <c r="C98" t="s">
        <v>913</v>
      </c>
      <c r="D98" t="s">
        <v>281</v>
      </c>
      <c r="E98" t="s">
        <v>1031</v>
      </c>
      <c r="F98" t="s">
        <v>1612</v>
      </c>
      <c r="G98" t="s">
        <v>1154</v>
      </c>
      <c r="H98" t="s">
        <v>1613</v>
      </c>
      <c r="I98" t="s">
        <v>1614</v>
      </c>
      <c r="J98" t="s">
        <v>1066</v>
      </c>
      <c r="N98" t="s">
        <v>1203</v>
      </c>
      <c r="O98" t="s">
        <v>1113</v>
      </c>
      <c r="P98" t="s">
        <v>1615</v>
      </c>
      <c r="Q98">
        <v>1</v>
      </c>
      <c r="R98">
        <v>8.1999999999999993</v>
      </c>
      <c r="S98">
        <v>8.1999999999999993</v>
      </c>
      <c r="T98">
        <v>8.1999999999999993</v>
      </c>
      <c r="U98">
        <v>8.1999999999999993</v>
      </c>
      <c r="V98">
        <v>8.1999999999999993</v>
      </c>
      <c r="W98">
        <v>8.1999999999999993</v>
      </c>
      <c r="BV98" t="s">
        <v>1042</v>
      </c>
    </row>
    <row r="99" spans="1:74" x14ac:dyDescent="0.2">
      <c r="A99" t="s">
        <v>923</v>
      </c>
      <c r="B99" t="s">
        <v>1616</v>
      </c>
      <c r="C99" t="s">
        <v>913</v>
      </c>
      <c r="D99" t="s">
        <v>281</v>
      </c>
      <c r="E99" t="s">
        <v>1031</v>
      </c>
      <c r="F99" t="s">
        <v>1612</v>
      </c>
      <c r="G99" t="s">
        <v>1159</v>
      </c>
      <c r="H99" t="s">
        <v>1617</v>
      </c>
      <c r="I99" t="s">
        <v>1618</v>
      </c>
      <c r="J99" t="s">
        <v>1036</v>
      </c>
      <c r="K99" t="s">
        <v>1037</v>
      </c>
      <c r="M99" t="s">
        <v>543</v>
      </c>
      <c r="N99" t="s">
        <v>1112</v>
      </c>
      <c r="O99" t="s">
        <v>1113</v>
      </c>
      <c r="P99" t="s">
        <v>1114</v>
      </c>
      <c r="Q99">
        <v>1</v>
      </c>
      <c r="R99">
        <v>89.4</v>
      </c>
      <c r="S99">
        <v>90</v>
      </c>
      <c r="T99">
        <v>90</v>
      </c>
      <c r="U99">
        <v>90</v>
      </c>
      <c r="V99">
        <v>90</v>
      </c>
      <c r="W99">
        <v>90</v>
      </c>
      <c r="AE99" t="s">
        <v>548</v>
      </c>
      <c r="AF99" t="s">
        <v>548</v>
      </c>
      <c r="AG99" t="s">
        <v>548</v>
      </c>
      <c r="AH99" t="s">
        <v>548</v>
      </c>
      <c r="AI99" t="s">
        <v>548</v>
      </c>
      <c r="AJ99" t="s">
        <v>1115</v>
      </c>
      <c r="AK99" t="s">
        <v>1115</v>
      </c>
      <c r="AL99" t="s">
        <v>1115</v>
      </c>
      <c r="AM99" t="s">
        <v>1115</v>
      </c>
      <c r="AN99" t="s">
        <v>1115</v>
      </c>
      <c r="AO99" t="s">
        <v>1115</v>
      </c>
      <c r="AP99" t="s">
        <v>1115</v>
      </c>
      <c r="AQ99" t="s">
        <v>1115</v>
      </c>
      <c r="AR99" t="s">
        <v>1115</v>
      </c>
      <c r="AS99" t="s">
        <v>1115</v>
      </c>
      <c r="AT99" t="s">
        <v>1115</v>
      </c>
      <c r="AU99" t="s">
        <v>1115</v>
      </c>
      <c r="AV99" t="s">
        <v>1115</v>
      </c>
      <c r="AW99" t="s">
        <v>1115</v>
      </c>
      <c r="AX99" t="s">
        <v>1115</v>
      </c>
      <c r="AY99" t="s">
        <v>1115</v>
      </c>
      <c r="AZ99" t="s">
        <v>1115</v>
      </c>
      <c r="BA99" t="s">
        <v>1115</v>
      </c>
      <c r="BB99" t="s">
        <v>1115</v>
      </c>
      <c r="BC99" t="s">
        <v>1115</v>
      </c>
      <c r="BD99" t="s">
        <v>1115</v>
      </c>
      <c r="BH99" t="s">
        <v>1115</v>
      </c>
      <c r="BJ99">
        <v>1</v>
      </c>
      <c r="BK99" t="s">
        <v>1041</v>
      </c>
      <c r="BU99" t="s">
        <v>1116</v>
      </c>
      <c r="BV99" t="s">
        <v>1042</v>
      </c>
    </row>
    <row r="100" spans="1:74" x14ac:dyDescent="0.2">
      <c r="A100" t="s">
        <v>923</v>
      </c>
      <c r="B100" t="s">
        <v>1619</v>
      </c>
      <c r="C100" t="s">
        <v>913</v>
      </c>
      <c r="D100" t="s">
        <v>281</v>
      </c>
      <c r="E100" t="s">
        <v>1031</v>
      </c>
      <c r="F100" t="s">
        <v>1612</v>
      </c>
      <c r="G100" t="s">
        <v>1163</v>
      </c>
      <c r="H100" t="s">
        <v>1620</v>
      </c>
      <c r="I100" t="s">
        <v>1621</v>
      </c>
      <c r="J100" t="s">
        <v>1066</v>
      </c>
      <c r="N100" t="s">
        <v>1203</v>
      </c>
      <c r="O100" t="s">
        <v>253</v>
      </c>
      <c r="P100" t="s">
        <v>1204</v>
      </c>
      <c r="Q100" t="s">
        <v>1088</v>
      </c>
      <c r="R100">
        <v>32</v>
      </c>
      <c r="S100">
        <v>32</v>
      </c>
      <c r="T100">
        <v>32</v>
      </c>
      <c r="U100">
        <v>32</v>
      </c>
      <c r="V100">
        <v>32</v>
      </c>
      <c r="W100">
        <v>32</v>
      </c>
      <c r="BV100" t="s">
        <v>1042</v>
      </c>
    </row>
    <row r="101" spans="1:74" x14ac:dyDescent="0.2">
      <c r="A101" t="s">
        <v>923</v>
      </c>
      <c r="B101" t="s">
        <v>1622</v>
      </c>
      <c r="C101" t="s">
        <v>913</v>
      </c>
      <c r="D101" t="s">
        <v>281</v>
      </c>
      <c r="E101" t="s">
        <v>1031</v>
      </c>
      <c r="F101" t="s">
        <v>1623</v>
      </c>
      <c r="G101" t="s">
        <v>1174</v>
      </c>
      <c r="H101" t="s">
        <v>1624</v>
      </c>
      <c r="I101" t="s">
        <v>1625</v>
      </c>
      <c r="J101" t="s">
        <v>1066</v>
      </c>
      <c r="N101" t="s">
        <v>1203</v>
      </c>
      <c r="O101" t="s">
        <v>253</v>
      </c>
      <c r="P101" t="s">
        <v>1204</v>
      </c>
      <c r="Q101" t="s">
        <v>1067</v>
      </c>
      <c r="R101" t="s">
        <v>1626</v>
      </c>
      <c r="S101" t="s">
        <v>1067</v>
      </c>
      <c r="T101" t="s">
        <v>1067</v>
      </c>
      <c r="U101" t="s">
        <v>1067</v>
      </c>
      <c r="V101" t="s">
        <v>1067</v>
      </c>
      <c r="W101" t="s">
        <v>1067</v>
      </c>
      <c r="BV101" t="s">
        <v>1042</v>
      </c>
    </row>
    <row r="102" spans="1:74" x14ac:dyDescent="0.2">
      <c r="A102" t="s">
        <v>923</v>
      </c>
      <c r="B102" t="s">
        <v>1627</v>
      </c>
      <c r="C102" t="s">
        <v>913</v>
      </c>
      <c r="D102" t="s">
        <v>281</v>
      </c>
      <c r="E102" t="s">
        <v>1031</v>
      </c>
      <c r="F102" t="s">
        <v>1628</v>
      </c>
      <c r="G102" t="s">
        <v>1188</v>
      </c>
      <c r="H102" t="s">
        <v>1629</v>
      </c>
      <c r="I102" t="s">
        <v>1630</v>
      </c>
      <c r="J102" t="s">
        <v>1066</v>
      </c>
      <c r="N102" t="s">
        <v>1191</v>
      </c>
      <c r="O102" t="s">
        <v>1039</v>
      </c>
      <c r="P102" t="s">
        <v>1631</v>
      </c>
      <c r="Q102" t="s">
        <v>1088</v>
      </c>
      <c r="R102">
        <v>206</v>
      </c>
      <c r="S102">
        <v>194</v>
      </c>
      <c r="T102">
        <v>183</v>
      </c>
      <c r="U102">
        <v>172</v>
      </c>
      <c r="V102">
        <v>161</v>
      </c>
      <c r="W102">
        <v>150</v>
      </c>
      <c r="BV102" t="s">
        <v>1042</v>
      </c>
    </row>
    <row r="103" spans="1:74" x14ac:dyDescent="0.2">
      <c r="A103" t="s">
        <v>923</v>
      </c>
      <c r="B103" t="s">
        <v>1632</v>
      </c>
      <c r="C103" t="s">
        <v>913</v>
      </c>
      <c r="D103" t="s">
        <v>281</v>
      </c>
      <c r="E103" t="s">
        <v>1031</v>
      </c>
      <c r="F103" t="s">
        <v>1628</v>
      </c>
      <c r="G103" t="s">
        <v>1194</v>
      </c>
      <c r="H103" t="s">
        <v>1633</v>
      </c>
      <c r="I103" t="s">
        <v>1634</v>
      </c>
      <c r="J103" t="s">
        <v>1066</v>
      </c>
      <c r="N103" t="s">
        <v>1183</v>
      </c>
      <c r="O103" t="s">
        <v>1067</v>
      </c>
      <c r="P103" t="s">
        <v>1067</v>
      </c>
      <c r="Q103" t="s">
        <v>1067</v>
      </c>
      <c r="R103" t="s">
        <v>1626</v>
      </c>
      <c r="S103" t="s">
        <v>1067</v>
      </c>
      <c r="T103" t="s">
        <v>1067</v>
      </c>
      <c r="U103" t="s">
        <v>1067</v>
      </c>
      <c r="V103" t="s">
        <v>1067</v>
      </c>
      <c r="W103" t="s">
        <v>1067</v>
      </c>
      <c r="BV103" t="s">
        <v>1042</v>
      </c>
    </row>
    <row r="104" spans="1:74" x14ac:dyDescent="0.2">
      <c r="A104" t="s">
        <v>923</v>
      </c>
      <c r="B104" t="s">
        <v>1635</v>
      </c>
      <c r="C104" t="s">
        <v>913</v>
      </c>
      <c r="D104" t="s">
        <v>282</v>
      </c>
      <c r="E104" t="s">
        <v>1227</v>
      </c>
      <c r="F104" t="s">
        <v>1516</v>
      </c>
      <c r="G104" t="s">
        <v>1636</v>
      </c>
      <c r="H104" t="s">
        <v>1637</v>
      </c>
      <c r="I104" t="s">
        <v>1638</v>
      </c>
      <c r="J104" t="s">
        <v>1066</v>
      </c>
      <c r="N104" t="s">
        <v>1285</v>
      </c>
      <c r="O104" t="s">
        <v>1519</v>
      </c>
      <c r="P104" t="s">
        <v>1520</v>
      </c>
      <c r="Q104" t="s">
        <v>1041</v>
      </c>
      <c r="R104" t="s">
        <v>1519</v>
      </c>
      <c r="S104" t="s">
        <v>1519</v>
      </c>
      <c r="T104" t="s">
        <v>1519</v>
      </c>
      <c r="U104" t="s">
        <v>1519</v>
      </c>
      <c r="V104" t="s">
        <v>1519</v>
      </c>
      <c r="W104" t="s">
        <v>1519</v>
      </c>
      <c r="BU104" t="s">
        <v>1639</v>
      </c>
      <c r="BV104" t="s">
        <v>1042</v>
      </c>
    </row>
    <row r="105" spans="1:74" x14ac:dyDescent="0.2">
      <c r="A105" t="s">
        <v>923</v>
      </c>
      <c r="B105" t="s">
        <v>1640</v>
      </c>
      <c r="C105" t="s">
        <v>913</v>
      </c>
      <c r="D105" t="s">
        <v>282</v>
      </c>
      <c r="E105" t="s">
        <v>1227</v>
      </c>
      <c r="F105" t="s">
        <v>1641</v>
      </c>
      <c r="G105" t="s">
        <v>1245</v>
      </c>
      <c r="H105" t="s">
        <v>1642</v>
      </c>
      <c r="I105" t="s">
        <v>1643</v>
      </c>
      <c r="J105" t="s">
        <v>1036</v>
      </c>
      <c r="K105" t="s">
        <v>1338</v>
      </c>
      <c r="N105" t="s">
        <v>1231</v>
      </c>
      <c r="O105" t="s">
        <v>1039</v>
      </c>
      <c r="P105" t="s">
        <v>1644</v>
      </c>
      <c r="Q105" t="s">
        <v>1088</v>
      </c>
      <c r="R105">
        <v>1318</v>
      </c>
      <c r="S105">
        <v>1318</v>
      </c>
      <c r="T105">
        <v>1318</v>
      </c>
      <c r="U105">
        <v>1318</v>
      </c>
      <c r="V105">
        <v>1318</v>
      </c>
      <c r="W105">
        <v>1318</v>
      </c>
      <c r="AE105" t="s">
        <v>548</v>
      </c>
      <c r="AF105" t="s">
        <v>548</v>
      </c>
      <c r="AG105" t="s">
        <v>548</v>
      </c>
      <c r="AH105" t="s">
        <v>548</v>
      </c>
      <c r="AI105" t="s">
        <v>548</v>
      </c>
      <c r="AJ105" t="s">
        <v>1645</v>
      </c>
      <c r="AK105" t="s">
        <v>1645</v>
      </c>
      <c r="AL105" t="s">
        <v>1645</v>
      </c>
      <c r="AM105" t="s">
        <v>1645</v>
      </c>
      <c r="AN105" t="s">
        <v>1645</v>
      </c>
      <c r="AO105" t="s">
        <v>1646</v>
      </c>
      <c r="AP105" t="s">
        <v>1646</v>
      </c>
      <c r="AQ105" t="s">
        <v>1646</v>
      </c>
      <c r="AR105" t="s">
        <v>1646</v>
      </c>
      <c r="AS105" t="s">
        <v>1646</v>
      </c>
      <c r="AT105" t="s">
        <v>1647</v>
      </c>
      <c r="AU105" t="s">
        <v>1647</v>
      </c>
      <c r="AV105" t="s">
        <v>1647</v>
      </c>
      <c r="AW105" t="s">
        <v>1647</v>
      </c>
      <c r="AX105" t="s">
        <v>1647</v>
      </c>
      <c r="AY105" t="s">
        <v>1648</v>
      </c>
      <c r="AZ105" t="s">
        <v>1648</v>
      </c>
      <c r="BA105" t="s">
        <v>1648</v>
      </c>
      <c r="BB105" t="s">
        <v>1648</v>
      </c>
      <c r="BC105" t="s">
        <v>1648</v>
      </c>
      <c r="BD105">
        <v>3.0000000000000001E-3</v>
      </c>
      <c r="BH105">
        <v>2E-3</v>
      </c>
      <c r="BJ105">
        <v>1</v>
      </c>
      <c r="BK105" t="s">
        <v>1041</v>
      </c>
      <c r="BV105" t="s">
        <v>1042</v>
      </c>
    </row>
    <row r="106" spans="1:74" x14ac:dyDescent="0.2">
      <c r="A106" t="s">
        <v>923</v>
      </c>
      <c r="B106" t="s">
        <v>1649</v>
      </c>
      <c r="C106" t="s">
        <v>913</v>
      </c>
      <c r="D106" t="s">
        <v>282</v>
      </c>
      <c r="E106" t="s">
        <v>1227</v>
      </c>
      <c r="F106" t="s">
        <v>1641</v>
      </c>
      <c r="G106" t="s">
        <v>1650</v>
      </c>
      <c r="H106" t="s">
        <v>1651</v>
      </c>
      <c r="I106" t="s">
        <v>1652</v>
      </c>
      <c r="J106" t="s">
        <v>1036</v>
      </c>
      <c r="K106" t="s">
        <v>1338</v>
      </c>
      <c r="N106" t="s">
        <v>1231</v>
      </c>
      <c r="O106" t="s">
        <v>1039</v>
      </c>
      <c r="P106" t="s">
        <v>1653</v>
      </c>
      <c r="Q106" t="s">
        <v>1088</v>
      </c>
      <c r="R106">
        <v>300</v>
      </c>
      <c r="S106">
        <v>262</v>
      </c>
      <c r="T106">
        <v>224</v>
      </c>
      <c r="U106">
        <v>186</v>
      </c>
      <c r="V106">
        <v>186</v>
      </c>
      <c r="W106">
        <v>186</v>
      </c>
      <c r="AB106" t="s">
        <v>548</v>
      </c>
      <c r="AE106" t="s">
        <v>548</v>
      </c>
      <c r="AF106" t="s">
        <v>548</v>
      </c>
      <c r="AG106" t="s">
        <v>548</v>
      </c>
      <c r="AH106" t="s">
        <v>548</v>
      </c>
      <c r="AI106" t="s">
        <v>548</v>
      </c>
      <c r="AJ106">
        <v>383</v>
      </c>
      <c r="AK106">
        <v>383</v>
      </c>
      <c r="AL106">
        <v>269</v>
      </c>
      <c r="AM106">
        <v>269</v>
      </c>
      <c r="AN106">
        <v>269</v>
      </c>
      <c r="AO106">
        <v>300</v>
      </c>
      <c r="AP106">
        <v>300</v>
      </c>
      <c r="AQ106">
        <v>186</v>
      </c>
      <c r="AR106">
        <v>186</v>
      </c>
      <c r="AS106">
        <v>186</v>
      </c>
      <c r="AT106">
        <v>186</v>
      </c>
      <c r="AU106">
        <v>186</v>
      </c>
      <c r="AV106">
        <v>186</v>
      </c>
      <c r="AW106">
        <v>186</v>
      </c>
      <c r="AX106">
        <v>186</v>
      </c>
      <c r="AY106">
        <v>89</v>
      </c>
      <c r="AZ106">
        <v>89</v>
      </c>
      <c r="BA106">
        <v>89</v>
      </c>
      <c r="BB106">
        <v>89</v>
      </c>
      <c r="BC106">
        <v>89</v>
      </c>
      <c r="BD106">
        <v>1.7000000000000001E-2</v>
      </c>
      <c r="BH106">
        <v>1.2999999999999999E-2</v>
      </c>
      <c r="BJ106">
        <v>1</v>
      </c>
      <c r="BK106" t="s">
        <v>1041</v>
      </c>
      <c r="BV106" t="s">
        <v>1011</v>
      </c>
    </row>
    <row r="107" spans="1:74" x14ac:dyDescent="0.2">
      <c r="A107" t="s">
        <v>923</v>
      </c>
      <c r="B107" t="s">
        <v>1654</v>
      </c>
      <c r="C107" t="s">
        <v>913</v>
      </c>
      <c r="D107" t="s">
        <v>282</v>
      </c>
      <c r="E107" t="s">
        <v>1227</v>
      </c>
      <c r="F107" t="s">
        <v>1641</v>
      </c>
      <c r="G107" t="s">
        <v>1655</v>
      </c>
      <c r="H107" t="s">
        <v>1656</v>
      </c>
      <c r="I107" t="s">
        <v>1657</v>
      </c>
      <c r="J107" t="s">
        <v>1036</v>
      </c>
      <c r="K107" t="s">
        <v>1338</v>
      </c>
      <c r="M107" t="s">
        <v>543</v>
      </c>
      <c r="N107" t="s">
        <v>1231</v>
      </c>
      <c r="O107" t="s">
        <v>1039</v>
      </c>
      <c r="P107" t="s">
        <v>1644</v>
      </c>
      <c r="Q107" t="s">
        <v>1088</v>
      </c>
      <c r="R107">
        <v>496</v>
      </c>
      <c r="S107">
        <v>496</v>
      </c>
      <c r="T107">
        <v>496</v>
      </c>
      <c r="U107">
        <v>496</v>
      </c>
      <c r="V107">
        <v>496</v>
      </c>
      <c r="W107">
        <v>496</v>
      </c>
      <c r="AG107" t="s">
        <v>548</v>
      </c>
      <c r="AH107" t="s">
        <v>548</v>
      </c>
      <c r="AI107" t="s">
        <v>548</v>
      </c>
      <c r="AJ107" t="s">
        <v>1658</v>
      </c>
      <c r="AK107" t="s">
        <v>1658</v>
      </c>
      <c r="AL107" t="s">
        <v>1658</v>
      </c>
      <c r="AM107" t="s">
        <v>1658</v>
      </c>
      <c r="AN107" t="s">
        <v>1658</v>
      </c>
      <c r="AO107" t="s">
        <v>1659</v>
      </c>
      <c r="AP107" t="s">
        <v>1659</v>
      </c>
      <c r="AQ107" t="s">
        <v>1659</v>
      </c>
      <c r="AR107" t="s">
        <v>1659</v>
      </c>
      <c r="AS107" t="s">
        <v>1659</v>
      </c>
      <c r="AT107" t="s">
        <v>1660</v>
      </c>
      <c r="AU107" t="s">
        <v>1660</v>
      </c>
      <c r="AV107" t="s">
        <v>1660</v>
      </c>
      <c r="AW107" t="s">
        <v>1660</v>
      </c>
      <c r="AX107" t="s">
        <v>1660</v>
      </c>
      <c r="AY107" t="s">
        <v>1661</v>
      </c>
      <c r="AZ107" t="s">
        <v>1661</v>
      </c>
      <c r="BA107" t="s">
        <v>1661</v>
      </c>
      <c r="BB107" t="s">
        <v>1661</v>
      </c>
      <c r="BC107" t="s">
        <v>1661</v>
      </c>
      <c r="BD107">
        <v>2.2286250000000001</v>
      </c>
      <c r="BE107">
        <v>2.2286250000000001</v>
      </c>
      <c r="BH107">
        <v>1.2999999999999999E-2</v>
      </c>
      <c r="BJ107">
        <v>1</v>
      </c>
      <c r="BK107" t="s">
        <v>1041</v>
      </c>
      <c r="BU107" t="s">
        <v>1662</v>
      </c>
      <c r="BV107" t="s">
        <v>1042</v>
      </c>
    </row>
    <row r="108" spans="1:74" x14ac:dyDescent="0.2">
      <c r="A108" t="s">
        <v>923</v>
      </c>
      <c r="B108" t="s">
        <v>1663</v>
      </c>
      <c r="C108" t="s">
        <v>913</v>
      </c>
      <c r="D108" t="s">
        <v>282</v>
      </c>
      <c r="E108" t="s">
        <v>1227</v>
      </c>
      <c r="F108" t="s">
        <v>1641</v>
      </c>
      <c r="G108" t="s">
        <v>1664</v>
      </c>
      <c r="H108" t="s">
        <v>1665</v>
      </c>
      <c r="I108" t="s">
        <v>1666</v>
      </c>
      <c r="J108" t="s">
        <v>1047</v>
      </c>
      <c r="K108" t="s">
        <v>1338</v>
      </c>
      <c r="M108" t="s">
        <v>543</v>
      </c>
      <c r="N108" t="s">
        <v>1231</v>
      </c>
      <c r="O108" t="s">
        <v>1039</v>
      </c>
      <c r="P108" t="s">
        <v>1667</v>
      </c>
      <c r="Q108" t="s">
        <v>1088</v>
      </c>
      <c r="R108">
        <v>58</v>
      </c>
      <c r="S108">
        <v>58</v>
      </c>
      <c r="T108">
        <v>58</v>
      </c>
      <c r="U108">
        <v>58</v>
      </c>
      <c r="V108">
        <v>58</v>
      </c>
      <c r="W108">
        <v>58</v>
      </c>
      <c r="AG108" t="s">
        <v>548</v>
      </c>
      <c r="AH108" t="s">
        <v>548</v>
      </c>
      <c r="AI108" t="s">
        <v>548</v>
      </c>
      <c r="AJ108" t="s">
        <v>1668</v>
      </c>
      <c r="AK108" t="s">
        <v>1668</v>
      </c>
      <c r="AL108" t="s">
        <v>1668</v>
      </c>
      <c r="AM108" t="s">
        <v>1668</v>
      </c>
      <c r="AN108" t="s">
        <v>1668</v>
      </c>
      <c r="AO108" t="s">
        <v>1669</v>
      </c>
      <c r="AP108" t="s">
        <v>1669</v>
      </c>
      <c r="AQ108" t="s">
        <v>1669</v>
      </c>
      <c r="AR108" t="s">
        <v>1669</v>
      </c>
      <c r="AS108" t="s">
        <v>1669</v>
      </c>
      <c r="BD108">
        <v>2.2286250000000001</v>
      </c>
      <c r="BE108">
        <v>2.2286250000000001</v>
      </c>
      <c r="BJ108">
        <v>1</v>
      </c>
      <c r="BK108" t="s">
        <v>1041</v>
      </c>
      <c r="BU108" t="s">
        <v>1662</v>
      </c>
      <c r="BV108" t="s">
        <v>1042</v>
      </c>
    </row>
    <row r="109" spans="1:74" x14ac:dyDescent="0.2">
      <c r="A109" t="s">
        <v>923</v>
      </c>
      <c r="B109" t="s">
        <v>1670</v>
      </c>
      <c r="C109" t="s">
        <v>913</v>
      </c>
      <c r="D109" t="s">
        <v>282</v>
      </c>
      <c r="E109" t="s">
        <v>1227</v>
      </c>
      <c r="F109" t="s">
        <v>1641</v>
      </c>
      <c r="G109" t="s">
        <v>1671</v>
      </c>
      <c r="H109" t="s">
        <v>1672</v>
      </c>
      <c r="I109" t="s">
        <v>1673</v>
      </c>
      <c r="J109" t="s">
        <v>1036</v>
      </c>
      <c r="K109" t="s">
        <v>1338</v>
      </c>
      <c r="N109" t="s">
        <v>1231</v>
      </c>
      <c r="O109" t="s">
        <v>1039</v>
      </c>
      <c r="P109" t="s">
        <v>1644</v>
      </c>
      <c r="Q109" t="s">
        <v>1088</v>
      </c>
      <c r="R109">
        <v>228</v>
      </c>
      <c r="S109">
        <v>228</v>
      </c>
      <c r="T109">
        <v>228</v>
      </c>
      <c r="U109">
        <v>228</v>
      </c>
      <c r="V109">
        <v>228</v>
      </c>
      <c r="W109">
        <v>228</v>
      </c>
      <c r="AE109" t="s">
        <v>548</v>
      </c>
      <c r="AF109" t="s">
        <v>548</v>
      </c>
      <c r="AG109" t="s">
        <v>548</v>
      </c>
      <c r="AH109" t="s">
        <v>548</v>
      </c>
      <c r="AI109" t="s">
        <v>548</v>
      </c>
      <c r="AJ109" t="s">
        <v>1674</v>
      </c>
      <c r="AK109" t="s">
        <v>1674</v>
      </c>
      <c r="AL109" t="s">
        <v>1674</v>
      </c>
      <c r="AM109" t="s">
        <v>1674</v>
      </c>
      <c r="AN109" t="s">
        <v>1674</v>
      </c>
      <c r="AO109" t="s">
        <v>1675</v>
      </c>
      <c r="AP109" t="s">
        <v>1675</v>
      </c>
      <c r="AQ109" t="s">
        <v>1675</v>
      </c>
      <c r="AR109" t="s">
        <v>1675</v>
      </c>
      <c r="AS109" t="s">
        <v>1675</v>
      </c>
      <c r="AT109" t="s">
        <v>1676</v>
      </c>
      <c r="AU109" t="s">
        <v>1676</v>
      </c>
      <c r="AV109" t="s">
        <v>1676</v>
      </c>
      <c r="AW109" t="s">
        <v>1676</v>
      </c>
      <c r="AX109" t="s">
        <v>1676</v>
      </c>
      <c r="AY109" t="s">
        <v>1677</v>
      </c>
      <c r="AZ109" t="s">
        <v>1677</v>
      </c>
      <c r="BA109" t="s">
        <v>1677</v>
      </c>
      <c r="BB109" t="s">
        <v>1677</v>
      </c>
      <c r="BC109" t="s">
        <v>1677</v>
      </c>
      <c r="BD109">
        <v>1.7000000000000001E-2</v>
      </c>
      <c r="BH109">
        <v>1.2999999999999999E-2</v>
      </c>
      <c r="BJ109">
        <v>1</v>
      </c>
      <c r="BK109" t="s">
        <v>1041</v>
      </c>
      <c r="BV109" t="s">
        <v>1042</v>
      </c>
    </row>
    <row r="110" spans="1:74" x14ac:dyDescent="0.2">
      <c r="A110" t="s">
        <v>923</v>
      </c>
      <c r="B110" t="s">
        <v>1678</v>
      </c>
      <c r="C110" t="s">
        <v>913</v>
      </c>
      <c r="D110" t="s">
        <v>282</v>
      </c>
      <c r="E110" t="s">
        <v>1227</v>
      </c>
      <c r="F110" t="s">
        <v>1641</v>
      </c>
      <c r="G110" t="s">
        <v>1679</v>
      </c>
      <c r="H110" t="s">
        <v>1680</v>
      </c>
      <c r="I110" t="s">
        <v>1681</v>
      </c>
      <c r="J110" t="s">
        <v>1036</v>
      </c>
      <c r="K110" t="s">
        <v>1338</v>
      </c>
      <c r="N110" t="s">
        <v>1231</v>
      </c>
      <c r="O110" t="s">
        <v>1039</v>
      </c>
      <c r="P110" t="s">
        <v>1644</v>
      </c>
      <c r="Q110" t="s">
        <v>1088</v>
      </c>
      <c r="R110">
        <v>2931</v>
      </c>
      <c r="S110">
        <v>2931</v>
      </c>
      <c r="T110">
        <v>2931</v>
      </c>
      <c r="U110">
        <v>2931</v>
      </c>
      <c r="V110">
        <v>2931</v>
      </c>
      <c r="W110">
        <v>2931</v>
      </c>
      <c r="AE110" t="s">
        <v>548</v>
      </c>
      <c r="AF110" t="s">
        <v>548</v>
      </c>
      <c r="AG110" t="s">
        <v>548</v>
      </c>
      <c r="AH110" t="s">
        <v>548</v>
      </c>
      <c r="AI110" t="s">
        <v>548</v>
      </c>
      <c r="AJ110" t="s">
        <v>1682</v>
      </c>
      <c r="AK110" t="s">
        <v>1682</v>
      </c>
      <c r="AL110" t="s">
        <v>1682</v>
      </c>
      <c r="AM110" t="s">
        <v>1682</v>
      </c>
      <c r="AN110" t="s">
        <v>1682</v>
      </c>
      <c r="AO110" t="s">
        <v>1683</v>
      </c>
      <c r="AP110" t="s">
        <v>1683</v>
      </c>
      <c r="AQ110" t="s">
        <v>1683</v>
      </c>
      <c r="AR110" t="s">
        <v>1683</v>
      </c>
      <c r="AS110" t="s">
        <v>1683</v>
      </c>
      <c r="AT110" t="s">
        <v>1684</v>
      </c>
      <c r="AU110" t="s">
        <v>1684</v>
      </c>
      <c r="AV110" t="s">
        <v>1684</v>
      </c>
      <c r="AW110" t="s">
        <v>1684</v>
      </c>
      <c r="AX110" t="s">
        <v>1684</v>
      </c>
      <c r="AY110" t="s">
        <v>1685</v>
      </c>
      <c r="AZ110" t="s">
        <v>1685</v>
      </c>
      <c r="BA110" t="s">
        <v>1685</v>
      </c>
      <c r="BB110" t="s">
        <v>1685</v>
      </c>
      <c r="BC110" t="s">
        <v>1685</v>
      </c>
      <c r="BD110">
        <v>3.0000000000000001E-3</v>
      </c>
      <c r="BH110">
        <v>2E-3</v>
      </c>
      <c r="BJ110">
        <v>1</v>
      </c>
      <c r="BK110" t="s">
        <v>1041</v>
      </c>
      <c r="BV110" t="s">
        <v>1042</v>
      </c>
    </row>
    <row r="111" spans="1:74" x14ac:dyDescent="0.2">
      <c r="A111" t="s">
        <v>923</v>
      </c>
      <c r="B111" t="s">
        <v>1686</v>
      </c>
      <c r="C111" t="s">
        <v>913</v>
      </c>
      <c r="D111" t="s">
        <v>282</v>
      </c>
      <c r="E111" t="s">
        <v>1227</v>
      </c>
      <c r="F111" t="s">
        <v>1641</v>
      </c>
      <c r="G111" t="s">
        <v>1687</v>
      </c>
      <c r="H111" t="s">
        <v>1688</v>
      </c>
      <c r="I111" t="s">
        <v>1689</v>
      </c>
      <c r="J111" t="s">
        <v>1066</v>
      </c>
      <c r="N111" t="s">
        <v>1231</v>
      </c>
      <c r="O111" t="s">
        <v>1039</v>
      </c>
      <c r="P111" t="s">
        <v>1690</v>
      </c>
      <c r="Q111" t="s">
        <v>1088</v>
      </c>
      <c r="R111">
        <v>84</v>
      </c>
      <c r="S111">
        <v>84</v>
      </c>
      <c r="T111">
        <v>84</v>
      </c>
      <c r="U111">
        <v>84</v>
      </c>
      <c r="V111">
        <v>84</v>
      </c>
      <c r="W111">
        <v>84</v>
      </c>
      <c r="BV111" t="s">
        <v>1042</v>
      </c>
    </row>
    <row r="112" spans="1:74" x14ac:dyDescent="0.2">
      <c r="A112" t="s">
        <v>923</v>
      </c>
      <c r="B112" t="s">
        <v>1691</v>
      </c>
      <c r="C112" t="s">
        <v>913</v>
      </c>
      <c r="D112" t="s">
        <v>282</v>
      </c>
      <c r="E112" t="s">
        <v>1227</v>
      </c>
      <c r="F112" t="s">
        <v>1692</v>
      </c>
      <c r="G112" t="s">
        <v>1249</v>
      </c>
      <c r="H112" t="s">
        <v>1693</v>
      </c>
      <c r="I112" t="s">
        <v>1694</v>
      </c>
      <c r="J112" t="s">
        <v>1047</v>
      </c>
      <c r="K112" t="s">
        <v>1338</v>
      </c>
      <c r="M112" t="s">
        <v>543</v>
      </c>
      <c r="N112" t="s">
        <v>1183</v>
      </c>
      <c r="O112" t="s">
        <v>1039</v>
      </c>
      <c r="P112" t="s">
        <v>1695</v>
      </c>
      <c r="Q112" t="s">
        <v>1088</v>
      </c>
      <c r="R112">
        <v>0</v>
      </c>
      <c r="S112">
        <v>0</v>
      </c>
      <c r="T112">
        <v>0</v>
      </c>
      <c r="U112">
        <v>0</v>
      </c>
      <c r="V112">
        <v>0</v>
      </c>
      <c r="W112">
        <v>0</v>
      </c>
      <c r="AG112" t="s">
        <v>548</v>
      </c>
      <c r="AH112" t="s">
        <v>548</v>
      </c>
      <c r="AI112" t="s">
        <v>548</v>
      </c>
      <c r="AJ112" t="s">
        <v>1696</v>
      </c>
      <c r="AK112" t="s">
        <v>1696</v>
      </c>
      <c r="AL112" t="s">
        <v>1696</v>
      </c>
      <c r="AM112" t="s">
        <v>1696</v>
      </c>
      <c r="AN112" t="s">
        <v>1696</v>
      </c>
      <c r="AO112" t="s">
        <v>1697</v>
      </c>
      <c r="AP112" t="s">
        <v>1697</v>
      </c>
      <c r="AQ112" t="s">
        <v>1697</v>
      </c>
      <c r="AR112" t="s">
        <v>1697</v>
      </c>
      <c r="AS112" t="s">
        <v>1697</v>
      </c>
      <c r="BD112">
        <v>2.2286250000000001</v>
      </c>
      <c r="BE112">
        <v>2.2286250000000001</v>
      </c>
      <c r="BJ112">
        <v>1</v>
      </c>
      <c r="BK112" t="s">
        <v>1041</v>
      </c>
      <c r="BU112" t="s">
        <v>1662</v>
      </c>
      <c r="BV112" t="s">
        <v>1042</v>
      </c>
    </row>
    <row r="113" spans="1:74" x14ac:dyDescent="0.2">
      <c r="A113" t="s">
        <v>923</v>
      </c>
      <c r="B113" t="s">
        <v>1698</v>
      </c>
      <c r="C113" t="s">
        <v>913</v>
      </c>
      <c r="D113" t="s">
        <v>282</v>
      </c>
      <c r="E113" t="s">
        <v>1227</v>
      </c>
      <c r="F113" t="s">
        <v>1692</v>
      </c>
      <c r="G113" t="s">
        <v>1254</v>
      </c>
      <c r="H113" t="s">
        <v>1699</v>
      </c>
      <c r="I113" t="s">
        <v>1700</v>
      </c>
      <c r="J113" t="s">
        <v>1036</v>
      </c>
      <c r="K113" t="s">
        <v>1338</v>
      </c>
      <c r="M113" t="s">
        <v>543</v>
      </c>
      <c r="N113" t="s">
        <v>1261</v>
      </c>
      <c r="O113" t="s">
        <v>1039</v>
      </c>
      <c r="P113" t="s">
        <v>1262</v>
      </c>
      <c r="Q113" t="s">
        <v>1088</v>
      </c>
      <c r="R113">
        <v>115</v>
      </c>
      <c r="S113">
        <v>115</v>
      </c>
      <c r="T113">
        <v>115</v>
      </c>
      <c r="U113">
        <v>115</v>
      </c>
      <c r="V113">
        <v>115</v>
      </c>
      <c r="W113">
        <v>115</v>
      </c>
      <c r="AA113" t="s">
        <v>548</v>
      </c>
      <c r="AG113" t="s">
        <v>548</v>
      </c>
      <c r="AH113" t="s">
        <v>548</v>
      </c>
      <c r="AI113" t="s">
        <v>548</v>
      </c>
      <c r="AJ113" t="s">
        <v>1701</v>
      </c>
      <c r="AK113" t="s">
        <v>1701</v>
      </c>
      <c r="AL113" t="s">
        <v>1702</v>
      </c>
      <c r="AM113" t="s">
        <v>1703</v>
      </c>
      <c r="AN113" t="s">
        <v>1598</v>
      </c>
      <c r="AO113" t="s">
        <v>1704</v>
      </c>
      <c r="AP113" t="s">
        <v>1704</v>
      </c>
      <c r="AQ113" t="s">
        <v>1705</v>
      </c>
      <c r="AR113" t="s">
        <v>1706</v>
      </c>
      <c r="AS113" t="s">
        <v>1707</v>
      </c>
      <c r="AT113" t="s">
        <v>1708</v>
      </c>
      <c r="AU113" t="s">
        <v>1708</v>
      </c>
      <c r="AV113" t="s">
        <v>1708</v>
      </c>
      <c r="AW113" t="s">
        <v>1708</v>
      </c>
      <c r="AX113" t="s">
        <v>1708</v>
      </c>
      <c r="AY113" t="s">
        <v>1709</v>
      </c>
      <c r="AZ113" t="s">
        <v>1709</v>
      </c>
      <c r="BA113" t="s">
        <v>1709</v>
      </c>
      <c r="BB113" t="s">
        <v>1709</v>
      </c>
      <c r="BC113" t="s">
        <v>1709</v>
      </c>
      <c r="BD113">
        <v>2.2286250000000001</v>
      </c>
      <c r="BE113">
        <v>2.2286250000000001</v>
      </c>
      <c r="BH113">
        <v>1.6E-2</v>
      </c>
      <c r="BJ113">
        <v>1</v>
      </c>
      <c r="BK113" t="s">
        <v>1041</v>
      </c>
      <c r="BU113" t="s">
        <v>1662</v>
      </c>
      <c r="BV113" t="s">
        <v>1010</v>
      </c>
    </row>
    <row r="114" spans="1:74" x14ac:dyDescent="0.2">
      <c r="A114" t="s">
        <v>923</v>
      </c>
      <c r="B114" t="s">
        <v>1710</v>
      </c>
      <c r="C114" t="s">
        <v>913</v>
      </c>
      <c r="D114" t="s">
        <v>282</v>
      </c>
      <c r="E114" t="s">
        <v>1227</v>
      </c>
      <c r="F114" t="s">
        <v>1692</v>
      </c>
      <c r="G114" t="s">
        <v>1258</v>
      </c>
      <c r="H114" t="s">
        <v>1711</v>
      </c>
      <c r="I114" t="s">
        <v>1712</v>
      </c>
      <c r="J114" t="s">
        <v>1047</v>
      </c>
      <c r="K114" t="s">
        <v>1338</v>
      </c>
      <c r="N114" t="s">
        <v>1183</v>
      </c>
      <c r="O114" t="s">
        <v>1039</v>
      </c>
      <c r="P114" t="s">
        <v>1713</v>
      </c>
      <c r="Q114" t="s">
        <v>1088</v>
      </c>
      <c r="R114">
        <v>32</v>
      </c>
      <c r="S114">
        <v>32</v>
      </c>
      <c r="T114">
        <v>32</v>
      </c>
      <c r="U114">
        <v>32</v>
      </c>
      <c r="V114">
        <v>34</v>
      </c>
      <c r="W114">
        <v>34</v>
      </c>
      <c r="AE114" t="s">
        <v>548</v>
      </c>
      <c r="AF114" t="s">
        <v>548</v>
      </c>
      <c r="AG114" t="s">
        <v>548</v>
      </c>
      <c r="AH114" t="s">
        <v>548</v>
      </c>
      <c r="AI114" t="s">
        <v>548</v>
      </c>
      <c r="AJ114">
        <v>31</v>
      </c>
      <c r="AK114">
        <v>31</v>
      </c>
      <c r="AL114">
        <v>31</v>
      </c>
      <c r="AM114">
        <v>31</v>
      </c>
      <c r="AN114">
        <v>31</v>
      </c>
      <c r="AO114" t="s">
        <v>1714</v>
      </c>
      <c r="AP114" t="s">
        <v>1714</v>
      </c>
      <c r="AQ114" t="s">
        <v>1714</v>
      </c>
      <c r="AR114" t="s">
        <v>1715</v>
      </c>
      <c r="AS114" t="s">
        <v>1716</v>
      </c>
      <c r="BD114">
        <v>0.113</v>
      </c>
      <c r="BJ114">
        <v>1</v>
      </c>
      <c r="BK114" t="s">
        <v>1041</v>
      </c>
      <c r="BV114" t="s">
        <v>1042</v>
      </c>
    </row>
    <row r="115" spans="1:74" x14ac:dyDescent="0.2">
      <c r="A115" t="s">
        <v>923</v>
      </c>
      <c r="B115" t="s">
        <v>1717</v>
      </c>
      <c r="C115" t="s">
        <v>913</v>
      </c>
      <c r="D115" t="s">
        <v>282</v>
      </c>
      <c r="E115" t="s">
        <v>1227</v>
      </c>
      <c r="F115" t="s">
        <v>1692</v>
      </c>
      <c r="G115" t="s">
        <v>1264</v>
      </c>
      <c r="H115" t="s">
        <v>1718</v>
      </c>
      <c r="I115" t="s">
        <v>1719</v>
      </c>
      <c r="J115" t="s">
        <v>1047</v>
      </c>
      <c r="K115" t="s">
        <v>1338</v>
      </c>
      <c r="M115" t="s">
        <v>543</v>
      </c>
      <c r="N115" t="s">
        <v>1183</v>
      </c>
      <c r="O115" t="s">
        <v>1295</v>
      </c>
      <c r="P115" t="s">
        <v>1720</v>
      </c>
      <c r="Q115" t="s">
        <v>1041</v>
      </c>
      <c r="R115" t="s">
        <v>1721</v>
      </c>
      <c r="S115" t="s">
        <v>1721</v>
      </c>
      <c r="T115" t="s">
        <v>1721</v>
      </c>
      <c r="U115" t="s">
        <v>1722</v>
      </c>
      <c r="V115" t="s">
        <v>1722</v>
      </c>
      <c r="W115" t="s">
        <v>1722</v>
      </c>
      <c r="AC115" t="s">
        <v>548</v>
      </c>
      <c r="AH115" t="s">
        <v>548</v>
      </c>
      <c r="AI115" t="s">
        <v>548</v>
      </c>
      <c r="AJ115" t="s">
        <v>1721</v>
      </c>
      <c r="AK115" t="s">
        <v>1721</v>
      </c>
      <c r="AL115" t="s">
        <v>1721</v>
      </c>
      <c r="AM115" t="s">
        <v>1721</v>
      </c>
      <c r="AN115" t="s">
        <v>1721</v>
      </c>
      <c r="AO115" t="s">
        <v>1721</v>
      </c>
      <c r="AP115" t="s">
        <v>1721</v>
      </c>
      <c r="AQ115" t="s">
        <v>1721</v>
      </c>
      <c r="AR115" t="s">
        <v>1721</v>
      </c>
      <c r="AS115" t="s">
        <v>1721</v>
      </c>
      <c r="BD115">
        <v>0.2</v>
      </c>
      <c r="BE115">
        <v>4</v>
      </c>
      <c r="BJ115">
        <v>1</v>
      </c>
      <c r="BK115" t="s">
        <v>1041</v>
      </c>
      <c r="BU115" t="s">
        <v>1723</v>
      </c>
      <c r="BV115" t="s">
        <v>1042</v>
      </c>
    </row>
    <row r="116" spans="1:74" x14ac:dyDescent="0.2">
      <c r="A116" t="s">
        <v>923</v>
      </c>
      <c r="B116" t="s">
        <v>1724</v>
      </c>
      <c r="C116" t="s">
        <v>913</v>
      </c>
      <c r="D116" t="s">
        <v>282</v>
      </c>
      <c r="E116" t="s">
        <v>1227</v>
      </c>
      <c r="F116" t="s">
        <v>1612</v>
      </c>
      <c r="G116" t="s">
        <v>1268</v>
      </c>
      <c r="H116" t="s">
        <v>1725</v>
      </c>
      <c r="I116" t="s">
        <v>1726</v>
      </c>
      <c r="J116" t="s">
        <v>1066</v>
      </c>
      <c r="N116" t="s">
        <v>1203</v>
      </c>
      <c r="O116" t="s">
        <v>1113</v>
      </c>
      <c r="P116" t="s">
        <v>1727</v>
      </c>
      <c r="Q116">
        <v>1</v>
      </c>
      <c r="R116">
        <v>8.1999999999999993</v>
      </c>
      <c r="S116">
        <v>8.1999999999999993</v>
      </c>
      <c r="T116">
        <v>8.1999999999999993</v>
      </c>
      <c r="U116">
        <v>8.1999999999999993</v>
      </c>
      <c r="V116">
        <v>8.1999999999999993</v>
      </c>
      <c r="W116">
        <v>8.1999999999999993</v>
      </c>
      <c r="BV116" t="s">
        <v>1042</v>
      </c>
    </row>
    <row r="117" spans="1:74" x14ac:dyDescent="0.2">
      <c r="A117" t="s">
        <v>923</v>
      </c>
      <c r="B117" t="s">
        <v>1728</v>
      </c>
      <c r="C117" t="s">
        <v>913</v>
      </c>
      <c r="D117" t="s">
        <v>282</v>
      </c>
      <c r="E117" t="s">
        <v>1227</v>
      </c>
      <c r="F117" t="s">
        <v>1612</v>
      </c>
      <c r="G117" t="s">
        <v>1273</v>
      </c>
      <c r="H117" t="s">
        <v>1729</v>
      </c>
      <c r="I117" t="s">
        <v>1730</v>
      </c>
      <c r="J117" t="s">
        <v>1036</v>
      </c>
      <c r="K117" t="s">
        <v>1037</v>
      </c>
      <c r="M117" t="s">
        <v>543</v>
      </c>
      <c r="N117" t="s">
        <v>1112</v>
      </c>
      <c r="O117" t="s">
        <v>1113</v>
      </c>
      <c r="P117" t="s">
        <v>1114</v>
      </c>
      <c r="Q117">
        <v>1</v>
      </c>
      <c r="R117">
        <v>89.4</v>
      </c>
      <c r="S117">
        <v>90</v>
      </c>
      <c r="T117">
        <v>90</v>
      </c>
      <c r="U117">
        <v>90</v>
      </c>
      <c r="V117">
        <v>90</v>
      </c>
      <c r="W117">
        <v>90</v>
      </c>
      <c r="AE117" t="s">
        <v>548</v>
      </c>
      <c r="AF117" t="s">
        <v>548</v>
      </c>
      <c r="AG117" t="s">
        <v>548</v>
      </c>
      <c r="AH117" t="s">
        <v>548</v>
      </c>
      <c r="AI117" t="s">
        <v>548</v>
      </c>
      <c r="AJ117" t="s">
        <v>1115</v>
      </c>
      <c r="AK117" t="s">
        <v>1115</v>
      </c>
      <c r="AL117" t="s">
        <v>1115</v>
      </c>
      <c r="AM117" t="s">
        <v>1115</v>
      </c>
      <c r="AN117" t="s">
        <v>1115</v>
      </c>
      <c r="AO117" t="s">
        <v>1115</v>
      </c>
      <c r="AP117" t="s">
        <v>1115</v>
      </c>
      <c r="AQ117" t="s">
        <v>1115</v>
      </c>
      <c r="AR117" t="s">
        <v>1115</v>
      </c>
      <c r="AS117" t="s">
        <v>1115</v>
      </c>
      <c r="AT117" t="s">
        <v>1115</v>
      </c>
      <c r="AU117" t="s">
        <v>1115</v>
      </c>
      <c r="AV117" t="s">
        <v>1115</v>
      </c>
      <c r="AW117" t="s">
        <v>1115</v>
      </c>
      <c r="AX117" t="s">
        <v>1115</v>
      </c>
      <c r="AY117" t="s">
        <v>1115</v>
      </c>
      <c r="AZ117" t="s">
        <v>1115</v>
      </c>
      <c r="BA117" t="s">
        <v>1115</v>
      </c>
      <c r="BB117" t="s">
        <v>1115</v>
      </c>
      <c r="BC117" t="s">
        <v>1115</v>
      </c>
      <c r="BD117" t="s">
        <v>1115</v>
      </c>
      <c r="BH117" t="s">
        <v>1115</v>
      </c>
      <c r="BJ117">
        <v>1</v>
      </c>
      <c r="BK117" t="s">
        <v>1041</v>
      </c>
      <c r="BU117" t="s">
        <v>1116</v>
      </c>
      <c r="BV117" t="s">
        <v>1042</v>
      </c>
    </row>
    <row r="118" spans="1:74" x14ac:dyDescent="0.2">
      <c r="A118" t="s">
        <v>923</v>
      </c>
      <c r="B118" t="s">
        <v>1731</v>
      </c>
      <c r="C118" t="s">
        <v>913</v>
      </c>
      <c r="D118" t="s">
        <v>282</v>
      </c>
      <c r="E118" t="s">
        <v>1227</v>
      </c>
      <c r="F118" t="s">
        <v>1612</v>
      </c>
      <c r="G118" t="s">
        <v>1732</v>
      </c>
      <c r="H118" t="s">
        <v>1733</v>
      </c>
      <c r="I118" t="s">
        <v>1734</v>
      </c>
      <c r="J118" t="s">
        <v>1066</v>
      </c>
      <c r="N118" t="s">
        <v>1203</v>
      </c>
      <c r="O118" t="s">
        <v>253</v>
      </c>
      <c r="P118" t="s">
        <v>1204</v>
      </c>
      <c r="Q118" t="s">
        <v>1088</v>
      </c>
      <c r="R118">
        <v>32</v>
      </c>
      <c r="S118">
        <v>32</v>
      </c>
      <c r="T118">
        <v>32</v>
      </c>
      <c r="U118">
        <v>32</v>
      </c>
      <c r="V118">
        <v>32</v>
      </c>
      <c r="W118">
        <v>32</v>
      </c>
      <c r="BU118" t="s">
        <v>1735</v>
      </c>
      <c r="BV118" t="s">
        <v>1042</v>
      </c>
    </row>
    <row r="119" spans="1:74" x14ac:dyDescent="0.2">
      <c r="A119" t="s">
        <v>923</v>
      </c>
      <c r="B119" t="s">
        <v>1736</v>
      </c>
      <c r="C119" t="s">
        <v>913</v>
      </c>
      <c r="D119" t="s">
        <v>282</v>
      </c>
      <c r="E119" t="s">
        <v>1227</v>
      </c>
      <c r="F119" t="s">
        <v>1623</v>
      </c>
      <c r="G119" t="s">
        <v>1278</v>
      </c>
      <c r="H119" t="s">
        <v>1737</v>
      </c>
      <c r="I119" t="s">
        <v>1738</v>
      </c>
      <c r="J119" t="s">
        <v>1066</v>
      </c>
      <c r="N119" t="s">
        <v>1203</v>
      </c>
      <c r="O119" t="s">
        <v>253</v>
      </c>
      <c r="P119" t="s">
        <v>1204</v>
      </c>
      <c r="Q119" t="s">
        <v>1067</v>
      </c>
      <c r="R119" t="s">
        <v>1626</v>
      </c>
      <c r="S119" t="s">
        <v>1067</v>
      </c>
      <c r="T119" t="s">
        <v>1067</v>
      </c>
      <c r="U119" t="s">
        <v>1067</v>
      </c>
      <c r="V119" t="s">
        <v>1067</v>
      </c>
      <c r="W119" t="s">
        <v>1067</v>
      </c>
      <c r="BV119" t="s">
        <v>1042</v>
      </c>
    </row>
    <row r="120" spans="1:74" x14ac:dyDescent="0.2">
      <c r="A120" t="s">
        <v>923</v>
      </c>
      <c r="B120" t="s">
        <v>1739</v>
      </c>
      <c r="C120" t="s">
        <v>913</v>
      </c>
      <c r="D120" t="s">
        <v>282</v>
      </c>
      <c r="E120" t="s">
        <v>1227</v>
      </c>
      <c r="F120" t="s">
        <v>1740</v>
      </c>
      <c r="G120" t="s">
        <v>1282</v>
      </c>
      <c r="H120" t="s">
        <v>1741</v>
      </c>
      <c r="I120" t="s">
        <v>1742</v>
      </c>
      <c r="J120" t="s">
        <v>1066</v>
      </c>
      <c r="N120" t="s">
        <v>1191</v>
      </c>
      <c r="O120" t="s">
        <v>1039</v>
      </c>
      <c r="P120" t="s">
        <v>1631</v>
      </c>
      <c r="Q120" t="s">
        <v>1088</v>
      </c>
      <c r="R120">
        <v>206</v>
      </c>
      <c r="S120">
        <v>194</v>
      </c>
      <c r="T120">
        <v>183</v>
      </c>
      <c r="U120">
        <v>172</v>
      </c>
      <c r="V120">
        <v>161</v>
      </c>
      <c r="W120">
        <v>150</v>
      </c>
      <c r="BV120" t="s">
        <v>1042</v>
      </c>
    </row>
    <row r="121" spans="1:74" x14ac:dyDescent="0.2">
      <c r="A121" t="s">
        <v>923</v>
      </c>
      <c r="B121" t="s">
        <v>1743</v>
      </c>
      <c r="C121" t="s">
        <v>913</v>
      </c>
      <c r="D121" t="s">
        <v>282</v>
      </c>
      <c r="E121" t="s">
        <v>1227</v>
      </c>
      <c r="F121" t="s">
        <v>1740</v>
      </c>
      <c r="G121" t="s">
        <v>1288</v>
      </c>
      <c r="H121" t="s">
        <v>1744</v>
      </c>
      <c r="I121" t="s">
        <v>1745</v>
      </c>
      <c r="J121" t="s">
        <v>1066</v>
      </c>
      <c r="N121" t="s">
        <v>1183</v>
      </c>
      <c r="O121" t="s">
        <v>1067</v>
      </c>
      <c r="P121" t="s">
        <v>1746</v>
      </c>
      <c r="Q121" t="s">
        <v>1067</v>
      </c>
      <c r="R121" t="s">
        <v>1626</v>
      </c>
      <c r="S121" t="s">
        <v>1067</v>
      </c>
      <c r="T121" t="s">
        <v>1067</v>
      </c>
      <c r="U121" t="s">
        <v>1067</v>
      </c>
      <c r="V121" t="s">
        <v>1067</v>
      </c>
      <c r="W121" t="s">
        <v>1067</v>
      </c>
      <c r="BV121" t="s">
        <v>1042</v>
      </c>
    </row>
    <row r="122" spans="1:74" x14ac:dyDescent="0.2">
      <c r="A122" t="s">
        <v>923</v>
      </c>
      <c r="B122" t="s">
        <v>1747</v>
      </c>
      <c r="C122" t="s">
        <v>913</v>
      </c>
      <c r="D122" t="s">
        <v>1106</v>
      </c>
      <c r="E122" t="s">
        <v>1107</v>
      </c>
      <c r="F122" t="s">
        <v>1612</v>
      </c>
      <c r="G122" t="s">
        <v>1307</v>
      </c>
      <c r="H122" t="s">
        <v>1748</v>
      </c>
      <c r="I122" t="s">
        <v>1749</v>
      </c>
      <c r="J122" t="s">
        <v>1066</v>
      </c>
      <c r="N122" t="s">
        <v>1203</v>
      </c>
      <c r="O122" t="s">
        <v>1113</v>
      </c>
      <c r="P122" t="s">
        <v>1727</v>
      </c>
      <c r="Q122">
        <v>1</v>
      </c>
      <c r="R122">
        <v>8.1999999999999993</v>
      </c>
      <c r="S122">
        <v>8.1999999999999993</v>
      </c>
      <c r="T122">
        <v>8.1999999999999993</v>
      </c>
      <c r="U122">
        <v>8.1999999999999993</v>
      </c>
      <c r="V122">
        <v>8.1999999999999993</v>
      </c>
      <c r="W122">
        <v>8.1999999999999993</v>
      </c>
      <c r="BV122" t="s">
        <v>1042</v>
      </c>
    </row>
    <row r="123" spans="1:74" x14ac:dyDescent="0.2">
      <c r="A123" t="s">
        <v>923</v>
      </c>
      <c r="B123" t="s">
        <v>1750</v>
      </c>
      <c r="C123" t="s">
        <v>913</v>
      </c>
      <c r="D123" t="s">
        <v>1106</v>
      </c>
      <c r="E123" t="s">
        <v>1107</v>
      </c>
      <c r="F123" t="s">
        <v>1612</v>
      </c>
      <c r="G123" t="s">
        <v>1311</v>
      </c>
      <c r="H123" t="s">
        <v>1751</v>
      </c>
      <c r="I123" t="s">
        <v>1752</v>
      </c>
      <c r="J123" t="s">
        <v>1036</v>
      </c>
      <c r="K123" t="s">
        <v>1037</v>
      </c>
      <c r="M123" t="s">
        <v>543</v>
      </c>
      <c r="N123" t="s">
        <v>1112</v>
      </c>
      <c r="O123" t="s">
        <v>1113</v>
      </c>
      <c r="P123" t="s">
        <v>1114</v>
      </c>
      <c r="Q123">
        <v>1</v>
      </c>
      <c r="R123">
        <v>89.4</v>
      </c>
      <c r="S123">
        <v>90</v>
      </c>
      <c r="T123">
        <v>90</v>
      </c>
      <c r="U123">
        <v>90</v>
      </c>
      <c r="V123">
        <v>90</v>
      </c>
      <c r="W123">
        <v>90</v>
      </c>
      <c r="AE123" t="s">
        <v>548</v>
      </c>
      <c r="AF123" t="s">
        <v>548</v>
      </c>
      <c r="AG123" t="s">
        <v>548</v>
      </c>
      <c r="AH123" t="s">
        <v>548</v>
      </c>
      <c r="AI123" t="s">
        <v>548</v>
      </c>
      <c r="AJ123" t="s">
        <v>1115</v>
      </c>
      <c r="AK123" t="s">
        <v>1115</v>
      </c>
      <c r="AL123" t="s">
        <v>1115</v>
      </c>
      <c r="AM123" t="s">
        <v>1115</v>
      </c>
      <c r="AN123" t="s">
        <v>1115</v>
      </c>
      <c r="AO123" t="s">
        <v>1115</v>
      </c>
      <c r="AP123" t="s">
        <v>1115</v>
      </c>
      <c r="AQ123" t="s">
        <v>1115</v>
      </c>
      <c r="AR123" t="s">
        <v>1115</v>
      </c>
      <c r="AS123" t="s">
        <v>1115</v>
      </c>
      <c r="AT123" t="s">
        <v>1115</v>
      </c>
      <c r="AU123" t="s">
        <v>1115</v>
      </c>
      <c r="AV123" t="s">
        <v>1115</v>
      </c>
      <c r="AW123" t="s">
        <v>1115</v>
      </c>
      <c r="AX123" t="s">
        <v>1115</v>
      </c>
      <c r="AY123" t="s">
        <v>1115</v>
      </c>
      <c r="AZ123" t="s">
        <v>1115</v>
      </c>
      <c r="BA123" t="s">
        <v>1115</v>
      </c>
      <c r="BB123" t="s">
        <v>1115</v>
      </c>
      <c r="BC123" t="s">
        <v>1115</v>
      </c>
      <c r="BD123" t="s">
        <v>1115</v>
      </c>
      <c r="BH123" t="s">
        <v>1115</v>
      </c>
      <c r="BJ123">
        <v>1</v>
      </c>
      <c r="BK123" t="s">
        <v>1041</v>
      </c>
      <c r="BU123" t="s">
        <v>1116</v>
      </c>
      <c r="BV123" t="s">
        <v>1042</v>
      </c>
    </row>
    <row r="124" spans="1:74" x14ac:dyDescent="0.2">
      <c r="A124" t="s">
        <v>923</v>
      </c>
      <c r="B124" t="s">
        <v>1753</v>
      </c>
      <c r="C124" t="s">
        <v>913</v>
      </c>
      <c r="D124" t="s">
        <v>1106</v>
      </c>
      <c r="E124" t="s">
        <v>1107</v>
      </c>
      <c r="F124" t="s">
        <v>1612</v>
      </c>
      <c r="G124" t="s">
        <v>1754</v>
      </c>
      <c r="H124" t="s">
        <v>1755</v>
      </c>
      <c r="I124" t="s">
        <v>1756</v>
      </c>
      <c r="J124" t="s">
        <v>1066</v>
      </c>
      <c r="N124" t="s">
        <v>1203</v>
      </c>
      <c r="O124" t="s">
        <v>253</v>
      </c>
      <c r="P124" t="s">
        <v>1204</v>
      </c>
      <c r="Q124" t="s">
        <v>1088</v>
      </c>
      <c r="R124">
        <v>32</v>
      </c>
      <c r="S124">
        <v>32</v>
      </c>
      <c r="T124">
        <v>32</v>
      </c>
      <c r="U124">
        <v>32</v>
      </c>
      <c r="V124">
        <v>32</v>
      </c>
      <c r="W124">
        <v>32</v>
      </c>
      <c r="BV124" t="s">
        <v>1042</v>
      </c>
    </row>
    <row r="125" spans="1:74" x14ac:dyDescent="0.2">
      <c r="A125" t="s">
        <v>923</v>
      </c>
      <c r="B125" t="s">
        <v>1757</v>
      </c>
      <c r="C125" t="s">
        <v>913</v>
      </c>
      <c r="D125" t="s">
        <v>1106</v>
      </c>
      <c r="E125" t="s">
        <v>1107</v>
      </c>
      <c r="F125" t="s">
        <v>1758</v>
      </c>
      <c r="G125" t="s">
        <v>1315</v>
      </c>
      <c r="H125" t="s">
        <v>1759</v>
      </c>
      <c r="I125" t="s">
        <v>1760</v>
      </c>
      <c r="J125" t="s">
        <v>1066</v>
      </c>
      <c r="N125" t="s">
        <v>1121</v>
      </c>
      <c r="O125" t="s">
        <v>1113</v>
      </c>
      <c r="P125" t="s">
        <v>1727</v>
      </c>
      <c r="Q125">
        <v>1</v>
      </c>
      <c r="R125">
        <v>7.9</v>
      </c>
      <c r="S125">
        <v>7.9</v>
      </c>
      <c r="T125">
        <v>7.9</v>
      </c>
      <c r="U125">
        <v>7.9</v>
      </c>
      <c r="V125">
        <v>7.9</v>
      </c>
      <c r="W125">
        <v>7.9</v>
      </c>
      <c r="BV125" t="s">
        <v>1042</v>
      </c>
    </row>
    <row r="126" spans="1:74" x14ac:dyDescent="0.2">
      <c r="A126" t="s">
        <v>923</v>
      </c>
      <c r="B126" t="s">
        <v>1761</v>
      </c>
      <c r="C126" t="s">
        <v>913</v>
      </c>
      <c r="D126" t="s">
        <v>1106</v>
      </c>
      <c r="E126" t="s">
        <v>1107</v>
      </c>
      <c r="F126" t="s">
        <v>1758</v>
      </c>
      <c r="G126" t="s">
        <v>1319</v>
      </c>
      <c r="H126" t="s">
        <v>1762</v>
      </c>
      <c r="I126" t="s">
        <v>1763</v>
      </c>
      <c r="J126" t="s">
        <v>1066</v>
      </c>
      <c r="N126" t="s">
        <v>1121</v>
      </c>
      <c r="O126" t="s">
        <v>253</v>
      </c>
      <c r="P126" t="s">
        <v>1204</v>
      </c>
      <c r="Q126" t="s">
        <v>1088</v>
      </c>
      <c r="R126">
        <v>83</v>
      </c>
      <c r="S126">
        <v>83</v>
      </c>
      <c r="T126">
        <v>83</v>
      </c>
      <c r="U126">
        <v>83</v>
      </c>
      <c r="V126">
        <v>83</v>
      </c>
      <c r="W126">
        <v>83</v>
      </c>
      <c r="BV126" t="s">
        <v>1042</v>
      </c>
    </row>
    <row r="127" spans="1:74" x14ac:dyDescent="0.2">
      <c r="A127" t="s">
        <v>923</v>
      </c>
      <c r="B127" t="s">
        <v>1764</v>
      </c>
      <c r="C127" t="s">
        <v>913</v>
      </c>
      <c r="D127" t="s">
        <v>1106</v>
      </c>
      <c r="E127" t="s">
        <v>1107</v>
      </c>
      <c r="F127" t="s">
        <v>1758</v>
      </c>
      <c r="G127" t="s">
        <v>1765</v>
      </c>
      <c r="H127" t="s">
        <v>1766</v>
      </c>
      <c r="I127" t="s">
        <v>1767</v>
      </c>
      <c r="J127" t="s">
        <v>1066</v>
      </c>
      <c r="N127" t="s">
        <v>1121</v>
      </c>
      <c r="O127" t="s">
        <v>253</v>
      </c>
      <c r="P127" t="s">
        <v>1204</v>
      </c>
      <c r="Q127" t="s">
        <v>1088</v>
      </c>
      <c r="R127">
        <v>84</v>
      </c>
      <c r="S127">
        <v>84</v>
      </c>
      <c r="T127">
        <v>84</v>
      </c>
      <c r="U127">
        <v>84</v>
      </c>
      <c r="V127">
        <v>84</v>
      </c>
      <c r="W127">
        <v>84</v>
      </c>
      <c r="BV127" t="s">
        <v>1042</v>
      </c>
    </row>
    <row r="128" spans="1:74" x14ac:dyDescent="0.2">
      <c r="A128" t="s">
        <v>923</v>
      </c>
      <c r="B128" t="s">
        <v>1768</v>
      </c>
      <c r="C128" t="s">
        <v>913</v>
      </c>
      <c r="D128" t="s">
        <v>1106</v>
      </c>
      <c r="E128" t="s">
        <v>1107</v>
      </c>
      <c r="F128" t="s">
        <v>1758</v>
      </c>
      <c r="G128" t="s">
        <v>1769</v>
      </c>
      <c r="H128" t="s">
        <v>1770</v>
      </c>
      <c r="I128" t="s">
        <v>1771</v>
      </c>
      <c r="J128" t="s">
        <v>1066</v>
      </c>
      <c r="N128" t="s">
        <v>1121</v>
      </c>
      <c r="O128" t="s">
        <v>253</v>
      </c>
      <c r="P128" t="s">
        <v>1204</v>
      </c>
      <c r="Q128" t="s">
        <v>1088</v>
      </c>
      <c r="R128">
        <v>73</v>
      </c>
      <c r="S128">
        <v>73</v>
      </c>
      <c r="T128">
        <v>73</v>
      </c>
      <c r="U128">
        <v>73</v>
      </c>
      <c r="V128">
        <v>73</v>
      </c>
      <c r="W128">
        <v>73</v>
      </c>
      <c r="BV128" t="s">
        <v>1042</v>
      </c>
    </row>
    <row r="129" spans="1:74" x14ac:dyDescent="0.2">
      <c r="A129" t="s">
        <v>923</v>
      </c>
      <c r="B129" t="s">
        <v>1772</v>
      </c>
      <c r="C129" t="s">
        <v>913</v>
      </c>
      <c r="D129" t="s">
        <v>1106</v>
      </c>
      <c r="E129" t="s">
        <v>1107</v>
      </c>
      <c r="F129" t="s">
        <v>1623</v>
      </c>
      <c r="G129" t="s">
        <v>1323</v>
      </c>
      <c r="H129" t="s">
        <v>1773</v>
      </c>
      <c r="I129" t="s">
        <v>1774</v>
      </c>
      <c r="J129" t="s">
        <v>1066</v>
      </c>
      <c r="N129" t="s">
        <v>1203</v>
      </c>
      <c r="O129" t="s">
        <v>253</v>
      </c>
      <c r="P129" t="s">
        <v>1204</v>
      </c>
      <c r="Q129" t="s">
        <v>1067</v>
      </c>
      <c r="R129" t="s">
        <v>1626</v>
      </c>
      <c r="S129" t="s">
        <v>1067</v>
      </c>
      <c r="T129" t="s">
        <v>1067</v>
      </c>
      <c r="U129" t="s">
        <v>1067</v>
      </c>
      <c r="V129" t="s">
        <v>1067</v>
      </c>
      <c r="W129" t="s">
        <v>1067</v>
      </c>
      <c r="BV129" t="s">
        <v>1042</v>
      </c>
    </row>
    <row r="130" spans="1:74" x14ac:dyDescent="0.2">
      <c r="A130" t="s">
        <v>923</v>
      </c>
      <c r="B130" t="s">
        <v>1775</v>
      </c>
      <c r="C130" t="s">
        <v>913</v>
      </c>
      <c r="D130" t="s">
        <v>1106</v>
      </c>
      <c r="E130" t="s">
        <v>1107</v>
      </c>
      <c r="F130" t="s">
        <v>1740</v>
      </c>
      <c r="G130" t="s">
        <v>1776</v>
      </c>
      <c r="H130" t="s">
        <v>1777</v>
      </c>
      <c r="I130" t="s">
        <v>1778</v>
      </c>
      <c r="J130" t="s">
        <v>1066</v>
      </c>
      <c r="N130" t="s">
        <v>1191</v>
      </c>
      <c r="O130" t="s">
        <v>1039</v>
      </c>
      <c r="P130" t="s">
        <v>1631</v>
      </c>
      <c r="Q130" t="s">
        <v>1088</v>
      </c>
      <c r="R130">
        <v>206</v>
      </c>
      <c r="S130">
        <v>194</v>
      </c>
      <c r="T130">
        <v>183</v>
      </c>
      <c r="U130">
        <v>172</v>
      </c>
      <c r="V130">
        <v>161</v>
      </c>
      <c r="W130">
        <v>150</v>
      </c>
      <c r="BV130" t="s">
        <v>1042</v>
      </c>
    </row>
    <row r="131" spans="1:74" x14ac:dyDescent="0.2">
      <c r="A131" t="s">
        <v>923</v>
      </c>
      <c r="B131" t="s">
        <v>1779</v>
      </c>
      <c r="C131" t="s">
        <v>913</v>
      </c>
      <c r="D131" t="s">
        <v>1106</v>
      </c>
      <c r="E131" t="s">
        <v>1107</v>
      </c>
      <c r="F131" t="s">
        <v>1740</v>
      </c>
      <c r="G131" t="s">
        <v>1780</v>
      </c>
      <c r="H131" t="s">
        <v>1781</v>
      </c>
      <c r="I131" t="s">
        <v>1782</v>
      </c>
      <c r="J131" t="s">
        <v>1066</v>
      </c>
      <c r="N131" t="s">
        <v>1183</v>
      </c>
      <c r="O131" t="s">
        <v>1067</v>
      </c>
      <c r="P131" t="s">
        <v>1783</v>
      </c>
      <c r="Q131" t="s">
        <v>1067</v>
      </c>
      <c r="R131" t="s">
        <v>1626</v>
      </c>
      <c r="S131" t="s">
        <v>1067</v>
      </c>
      <c r="T131" t="s">
        <v>1067</v>
      </c>
      <c r="U131" t="s">
        <v>1067</v>
      </c>
      <c r="V131" t="s">
        <v>1067</v>
      </c>
      <c r="W131" t="s">
        <v>1067</v>
      </c>
      <c r="BV131" t="s">
        <v>1042</v>
      </c>
    </row>
    <row r="132" spans="1:74" x14ac:dyDescent="0.2">
      <c r="A132" t="s">
        <v>923</v>
      </c>
      <c r="B132" t="s">
        <v>1784</v>
      </c>
      <c r="C132" t="s">
        <v>913</v>
      </c>
      <c r="D132" t="s">
        <v>1106</v>
      </c>
      <c r="E132" t="s">
        <v>1107</v>
      </c>
      <c r="F132" t="s">
        <v>1785</v>
      </c>
      <c r="G132" t="s">
        <v>1786</v>
      </c>
      <c r="H132" t="s">
        <v>1787</v>
      </c>
      <c r="I132" t="s">
        <v>1788</v>
      </c>
      <c r="J132" t="s">
        <v>1047</v>
      </c>
      <c r="K132" t="s">
        <v>1037</v>
      </c>
      <c r="M132" t="s">
        <v>543</v>
      </c>
      <c r="N132" t="s">
        <v>1121</v>
      </c>
      <c r="O132" t="s">
        <v>76</v>
      </c>
      <c r="P132" t="s">
        <v>1789</v>
      </c>
      <c r="Q132">
        <v>3</v>
      </c>
      <c r="R132">
        <v>0</v>
      </c>
      <c r="S132" t="s">
        <v>1519</v>
      </c>
      <c r="T132" t="s">
        <v>1519</v>
      </c>
      <c r="U132" t="s">
        <v>1519</v>
      </c>
      <c r="V132" t="s">
        <v>1519</v>
      </c>
      <c r="W132">
        <v>5.4930000000000003</v>
      </c>
      <c r="AC132" t="s">
        <v>548</v>
      </c>
      <c r="AG132" t="s">
        <v>548</v>
      </c>
      <c r="AH132" t="s">
        <v>548</v>
      </c>
      <c r="AI132" t="s">
        <v>548</v>
      </c>
      <c r="AJ132" t="s">
        <v>1519</v>
      </c>
      <c r="AK132" t="s">
        <v>1519</v>
      </c>
      <c r="AL132" t="s">
        <v>1721</v>
      </c>
      <c r="AM132" t="s">
        <v>1721</v>
      </c>
      <c r="AN132" t="s">
        <v>1721</v>
      </c>
      <c r="AO132" t="s">
        <v>1519</v>
      </c>
      <c r="AP132" t="s">
        <v>1519</v>
      </c>
      <c r="AQ132" t="s">
        <v>1721</v>
      </c>
      <c r="AR132" t="s">
        <v>1721</v>
      </c>
      <c r="AS132" t="s">
        <v>1721</v>
      </c>
      <c r="BD132" t="s">
        <v>1790</v>
      </c>
      <c r="BE132">
        <v>1.25</v>
      </c>
      <c r="BJ132">
        <v>1</v>
      </c>
      <c r="BK132" t="s">
        <v>1041</v>
      </c>
      <c r="BU132" t="s">
        <v>1791</v>
      </c>
      <c r="BV132" t="s">
        <v>1042</v>
      </c>
    </row>
    <row r="133" spans="1:74" x14ac:dyDescent="0.2">
      <c r="A133" t="s">
        <v>1792</v>
      </c>
      <c r="B133" t="s">
        <v>1793</v>
      </c>
      <c r="C133" t="s">
        <v>948</v>
      </c>
      <c r="D133" t="s">
        <v>281</v>
      </c>
      <c r="E133" t="s">
        <v>1031</v>
      </c>
      <c r="F133" t="s">
        <v>1794</v>
      </c>
      <c r="G133" t="s">
        <v>1330</v>
      </c>
      <c r="H133" t="s">
        <v>1795</v>
      </c>
      <c r="I133" t="s">
        <v>1796</v>
      </c>
      <c r="J133" t="s">
        <v>1036</v>
      </c>
      <c r="K133" t="s">
        <v>1037</v>
      </c>
      <c r="N133" t="s">
        <v>1093</v>
      </c>
      <c r="O133" t="s">
        <v>1039</v>
      </c>
      <c r="P133" t="s">
        <v>1094</v>
      </c>
      <c r="Q133" t="s">
        <v>1088</v>
      </c>
      <c r="R133">
        <v>342</v>
      </c>
      <c r="S133">
        <v>342</v>
      </c>
      <c r="T133">
        <v>342</v>
      </c>
      <c r="U133">
        <v>342</v>
      </c>
      <c r="V133">
        <v>342</v>
      </c>
      <c r="W133">
        <v>342</v>
      </c>
      <c r="AI133" t="s">
        <v>548</v>
      </c>
      <c r="AJ133">
        <v>600</v>
      </c>
      <c r="AK133">
        <v>600</v>
      </c>
      <c r="AL133">
        <v>600</v>
      </c>
      <c r="AM133">
        <v>600</v>
      </c>
      <c r="AN133">
        <v>600</v>
      </c>
      <c r="AO133">
        <v>435</v>
      </c>
      <c r="AP133">
        <v>435</v>
      </c>
      <c r="AQ133">
        <v>435</v>
      </c>
      <c r="AR133">
        <v>435</v>
      </c>
      <c r="AS133">
        <v>435</v>
      </c>
      <c r="AT133">
        <v>250</v>
      </c>
      <c r="AU133">
        <v>250</v>
      </c>
      <c r="AV133">
        <v>250</v>
      </c>
      <c r="AW133">
        <v>250</v>
      </c>
      <c r="AX133">
        <v>250</v>
      </c>
      <c r="AY133">
        <v>100</v>
      </c>
      <c r="AZ133">
        <v>100</v>
      </c>
      <c r="BA133">
        <v>100</v>
      </c>
      <c r="BB133">
        <v>100</v>
      </c>
      <c r="BC133">
        <v>100</v>
      </c>
      <c r="BD133">
        <v>4.457E-3</v>
      </c>
      <c r="BH133">
        <v>1.642E-3</v>
      </c>
      <c r="BJ133">
        <v>1</v>
      </c>
      <c r="BK133" t="s">
        <v>1041</v>
      </c>
      <c r="BV133" t="s">
        <v>1042</v>
      </c>
    </row>
    <row r="134" spans="1:74" x14ac:dyDescent="0.2">
      <c r="A134" t="s">
        <v>1792</v>
      </c>
      <c r="B134" t="s">
        <v>1797</v>
      </c>
      <c r="C134" t="s">
        <v>948</v>
      </c>
      <c r="D134" t="s">
        <v>281</v>
      </c>
      <c r="E134" t="s">
        <v>1031</v>
      </c>
      <c r="F134" t="s">
        <v>1794</v>
      </c>
      <c r="G134" t="s">
        <v>1335</v>
      </c>
      <c r="H134" t="s">
        <v>1798</v>
      </c>
      <c r="I134" t="s">
        <v>1799</v>
      </c>
      <c r="J134" t="s">
        <v>1047</v>
      </c>
      <c r="K134" t="s">
        <v>1037</v>
      </c>
      <c r="N134" t="s">
        <v>1073</v>
      </c>
      <c r="O134" t="s">
        <v>253</v>
      </c>
      <c r="P134" t="s">
        <v>1074</v>
      </c>
      <c r="Q134">
        <v>2</v>
      </c>
      <c r="R134">
        <v>99.98</v>
      </c>
      <c r="S134">
        <v>99.98</v>
      </c>
      <c r="T134">
        <v>99.98</v>
      </c>
      <c r="U134">
        <v>100</v>
      </c>
      <c r="V134">
        <v>100</v>
      </c>
      <c r="W134">
        <v>100</v>
      </c>
      <c r="X134" t="s">
        <v>548</v>
      </c>
      <c r="AE134" t="s">
        <v>548</v>
      </c>
      <c r="AF134" t="s">
        <v>548</v>
      </c>
      <c r="AG134" t="s">
        <v>548</v>
      </c>
      <c r="AH134" t="s">
        <v>548</v>
      </c>
      <c r="AI134" t="s">
        <v>548</v>
      </c>
      <c r="AJ134">
        <v>0</v>
      </c>
      <c r="AK134">
        <v>0</v>
      </c>
      <c r="AL134">
        <v>0</v>
      </c>
      <c r="AM134">
        <v>0</v>
      </c>
      <c r="AN134">
        <v>0</v>
      </c>
      <c r="AO134">
        <v>99.95</v>
      </c>
      <c r="AP134">
        <v>99.95</v>
      </c>
      <c r="AQ134">
        <v>99.95</v>
      </c>
      <c r="AR134">
        <v>99.95</v>
      </c>
      <c r="AS134">
        <v>99.95</v>
      </c>
      <c r="BD134">
        <v>0.31941999999999998</v>
      </c>
      <c r="BJ134">
        <v>1</v>
      </c>
      <c r="BK134" t="s">
        <v>1041</v>
      </c>
      <c r="BV134" t="s">
        <v>1007</v>
      </c>
    </row>
    <row r="135" spans="1:74" x14ac:dyDescent="0.2">
      <c r="A135" t="s">
        <v>1792</v>
      </c>
      <c r="B135" t="s">
        <v>1800</v>
      </c>
      <c r="C135" t="s">
        <v>948</v>
      </c>
      <c r="D135" t="s">
        <v>281</v>
      </c>
      <c r="E135" t="s">
        <v>1031</v>
      </c>
      <c r="F135" t="s">
        <v>1794</v>
      </c>
      <c r="G135" t="s">
        <v>1343</v>
      </c>
      <c r="H135" t="s">
        <v>1801</v>
      </c>
      <c r="I135" t="s">
        <v>1802</v>
      </c>
      <c r="J135" t="s">
        <v>1036</v>
      </c>
      <c r="K135" t="s">
        <v>1037</v>
      </c>
      <c r="N135" t="s">
        <v>1008</v>
      </c>
      <c r="O135" t="s">
        <v>1039</v>
      </c>
      <c r="P135" t="s">
        <v>1803</v>
      </c>
      <c r="Q135">
        <v>3</v>
      </c>
      <c r="R135">
        <v>0.434</v>
      </c>
      <c r="S135">
        <v>0.42899999999999999</v>
      </c>
      <c r="T135">
        <v>0.42499999999999999</v>
      </c>
      <c r="U135">
        <v>0.42099999999999999</v>
      </c>
      <c r="V135">
        <v>0.41699999999999998</v>
      </c>
      <c r="W135">
        <v>0.41299999999999998</v>
      </c>
      <c r="Y135" t="s">
        <v>548</v>
      </c>
      <c r="AI135" t="s">
        <v>548</v>
      </c>
      <c r="AJ135">
        <v>0.505</v>
      </c>
      <c r="AK135">
        <v>0.505</v>
      </c>
      <c r="AL135">
        <v>0.505</v>
      </c>
      <c r="AM135">
        <v>0.505</v>
      </c>
      <c r="AN135">
        <v>0.505</v>
      </c>
      <c r="AO135">
        <v>0.42899999999999999</v>
      </c>
      <c r="AP135">
        <v>0.42499999999999999</v>
      </c>
      <c r="AQ135">
        <v>0.42099999999999999</v>
      </c>
      <c r="AR135">
        <v>0.41699999999999998</v>
      </c>
      <c r="AS135">
        <v>0.41299999999999998</v>
      </c>
      <c r="AT135">
        <v>0.42899999999999999</v>
      </c>
      <c r="AU135">
        <v>0.42499999999999999</v>
      </c>
      <c r="AV135">
        <v>0.42099999999999999</v>
      </c>
      <c r="AW135">
        <v>0.41699999999999998</v>
      </c>
      <c r="AX135">
        <v>0.41299999999999998</v>
      </c>
      <c r="AY135">
        <v>0.33700000000000002</v>
      </c>
      <c r="AZ135">
        <v>0.33700000000000002</v>
      </c>
      <c r="BA135">
        <v>0.33700000000000002</v>
      </c>
      <c r="BB135">
        <v>0.33700000000000002</v>
      </c>
      <c r="BC135">
        <v>0.33700000000000002</v>
      </c>
      <c r="BD135">
        <v>0.22655</v>
      </c>
      <c r="BH135">
        <v>5.8854999999999998E-2</v>
      </c>
      <c r="BJ135">
        <v>100</v>
      </c>
      <c r="BK135" t="s">
        <v>1804</v>
      </c>
      <c r="BV135" t="s">
        <v>1008</v>
      </c>
    </row>
    <row r="136" spans="1:74" x14ac:dyDescent="0.2">
      <c r="A136" t="s">
        <v>1792</v>
      </c>
      <c r="B136" t="s">
        <v>1805</v>
      </c>
      <c r="C136" t="s">
        <v>948</v>
      </c>
      <c r="D136" t="s">
        <v>281</v>
      </c>
      <c r="E136" t="s">
        <v>1031</v>
      </c>
      <c r="F136" t="s">
        <v>1794</v>
      </c>
      <c r="G136" t="s">
        <v>1464</v>
      </c>
      <c r="H136" t="s">
        <v>1806</v>
      </c>
      <c r="I136" t="s">
        <v>1807</v>
      </c>
      <c r="J136" t="s">
        <v>1066</v>
      </c>
      <c r="N136" t="s">
        <v>1150</v>
      </c>
      <c r="O136" t="s">
        <v>1039</v>
      </c>
      <c r="P136" t="s">
        <v>1808</v>
      </c>
      <c r="Q136" t="s">
        <v>1088</v>
      </c>
      <c r="R136">
        <v>0</v>
      </c>
      <c r="S136">
        <v>0</v>
      </c>
      <c r="T136">
        <v>0</v>
      </c>
      <c r="U136">
        <v>0</v>
      </c>
      <c r="V136">
        <v>0</v>
      </c>
      <c r="W136">
        <v>0</v>
      </c>
      <c r="BV136" t="s">
        <v>1042</v>
      </c>
    </row>
    <row r="137" spans="1:74" x14ac:dyDescent="0.2">
      <c r="A137" t="s">
        <v>1792</v>
      </c>
      <c r="B137" t="s">
        <v>1809</v>
      </c>
      <c r="C137" t="s">
        <v>948</v>
      </c>
      <c r="D137" t="s">
        <v>281</v>
      </c>
      <c r="E137" t="s">
        <v>1031</v>
      </c>
      <c r="F137" t="s">
        <v>1810</v>
      </c>
      <c r="G137" t="s">
        <v>1348</v>
      </c>
      <c r="H137" t="s">
        <v>1811</v>
      </c>
      <c r="I137" t="s">
        <v>1812</v>
      </c>
      <c r="J137" t="s">
        <v>1036</v>
      </c>
      <c r="K137" t="s">
        <v>1037</v>
      </c>
      <c r="N137" t="s">
        <v>1038</v>
      </c>
      <c r="O137" t="s">
        <v>1039</v>
      </c>
      <c r="P137" t="s">
        <v>1040</v>
      </c>
      <c r="Q137">
        <v>2</v>
      </c>
      <c r="R137">
        <v>30</v>
      </c>
      <c r="S137">
        <v>30</v>
      </c>
      <c r="T137">
        <v>29.95</v>
      </c>
      <c r="U137">
        <v>29.9</v>
      </c>
      <c r="V137">
        <v>29.85</v>
      </c>
      <c r="W137">
        <v>29.8</v>
      </c>
      <c r="AI137" t="s">
        <v>548</v>
      </c>
      <c r="AJ137">
        <v>33.299999999999997</v>
      </c>
      <c r="AK137">
        <v>33.25</v>
      </c>
      <c r="AL137">
        <v>33.200000000000003</v>
      </c>
      <c r="AM137">
        <v>33.15</v>
      </c>
      <c r="AN137">
        <v>33.1</v>
      </c>
      <c r="AO137">
        <v>30</v>
      </c>
      <c r="AP137">
        <v>29.95</v>
      </c>
      <c r="AQ137">
        <v>29.9</v>
      </c>
      <c r="AR137">
        <v>29.85</v>
      </c>
      <c r="AS137">
        <v>29.8</v>
      </c>
      <c r="AT137">
        <v>30</v>
      </c>
      <c r="AU137">
        <v>29.95</v>
      </c>
      <c r="AV137">
        <v>29.9</v>
      </c>
      <c r="AW137">
        <v>29.85</v>
      </c>
      <c r="AX137">
        <v>29.8</v>
      </c>
      <c r="AY137">
        <v>17</v>
      </c>
      <c r="AZ137">
        <v>17</v>
      </c>
      <c r="BA137">
        <v>17</v>
      </c>
      <c r="BB137">
        <v>17</v>
      </c>
      <c r="BC137">
        <v>17</v>
      </c>
      <c r="BD137">
        <v>0.87121000000000004</v>
      </c>
      <c r="BH137">
        <v>6.1060000000000003E-2</v>
      </c>
      <c r="BJ137">
        <v>1</v>
      </c>
      <c r="BK137" t="s">
        <v>1041</v>
      </c>
      <c r="BV137" t="s">
        <v>1042</v>
      </c>
    </row>
    <row r="138" spans="1:74" x14ac:dyDescent="0.2">
      <c r="A138" t="s">
        <v>1792</v>
      </c>
      <c r="B138" t="s">
        <v>1813</v>
      </c>
      <c r="C138" t="s">
        <v>948</v>
      </c>
      <c r="D138" t="s">
        <v>281</v>
      </c>
      <c r="E138" t="s">
        <v>1031</v>
      </c>
      <c r="F138" t="s">
        <v>1814</v>
      </c>
      <c r="G138" t="s">
        <v>1354</v>
      </c>
      <c r="H138" t="s">
        <v>1815</v>
      </c>
      <c r="I138" t="s">
        <v>1816</v>
      </c>
      <c r="J138" t="s">
        <v>1036</v>
      </c>
      <c r="K138" t="s">
        <v>1037</v>
      </c>
      <c r="M138" t="s">
        <v>543</v>
      </c>
      <c r="N138" t="s">
        <v>1086</v>
      </c>
      <c r="O138" t="s">
        <v>1126</v>
      </c>
      <c r="P138" t="s">
        <v>1565</v>
      </c>
      <c r="Q138" t="s">
        <v>1566</v>
      </c>
      <c r="R138">
        <v>0.20833333333333334</v>
      </c>
      <c r="S138">
        <v>0.20833333333333334</v>
      </c>
      <c r="T138">
        <v>0.20833333333333334</v>
      </c>
      <c r="U138">
        <v>0.20833333333333334</v>
      </c>
      <c r="V138">
        <v>0.20833333333333334</v>
      </c>
      <c r="W138">
        <v>0.20833333333333334</v>
      </c>
      <c r="Z138" t="s">
        <v>548</v>
      </c>
      <c r="AI138" t="s">
        <v>548</v>
      </c>
      <c r="AJ138">
        <v>0.33333333333333331</v>
      </c>
      <c r="AK138">
        <v>0.33333333333333331</v>
      </c>
      <c r="AL138">
        <v>0.33333333333333331</v>
      </c>
      <c r="AM138">
        <v>0.33333333333333331</v>
      </c>
      <c r="AN138">
        <v>0.33333333333333331</v>
      </c>
      <c r="AO138">
        <v>0.25</v>
      </c>
      <c r="AP138">
        <v>0.25</v>
      </c>
      <c r="AQ138">
        <v>0.25</v>
      </c>
      <c r="AR138">
        <v>0.25</v>
      </c>
      <c r="AS138">
        <v>0.25</v>
      </c>
      <c r="AT138">
        <v>0.20833333333333334</v>
      </c>
      <c r="AU138">
        <v>0.20833333333333334</v>
      </c>
      <c r="AV138">
        <v>0.20833333333333334</v>
      </c>
      <c r="AW138">
        <v>0.20833333333333334</v>
      </c>
      <c r="AX138">
        <v>0.20833333333333334</v>
      </c>
      <c r="AY138">
        <v>0</v>
      </c>
      <c r="AZ138">
        <v>0</v>
      </c>
      <c r="BA138">
        <v>0</v>
      </c>
      <c r="BB138">
        <v>0</v>
      </c>
      <c r="BC138">
        <v>0</v>
      </c>
      <c r="BD138">
        <v>0.41865999999999998</v>
      </c>
      <c r="BH138">
        <v>6.0435000000000003E-2</v>
      </c>
      <c r="BJ138">
        <v>1</v>
      </c>
      <c r="BK138" t="s">
        <v>1041</v>
      </c>
      <c r="BV138" t="s">
        <v>1009</v>
      </c>
    </row>
    <row r="139" spans="1:74" x14ac:dyDescent="0.2">
      <c r="A139" t="s">
        <v>1792</v>
      </c>
      <c r="B139" t="s">
        <v>1817</v>
      </c>
      <c r="C139" t="s">
        <v>948</v>
      </c>
      <c r="D139" t="s">
        <v>281</v>
      </c>
      <c r="E139" t="s">
        <v>1031</v>
      </c>
      <c r="F139" t="s">
        <v>1818</v>
      </c>
      <c r="G139" t="s">
        <v>1365</v>
      </c>
      <c r="H139" t="s">
        <v>1819</v>
      </c>
      <c r="I139" t="s">
        <v>1820</v>
      </c>
      <c r="J139" t="s">
        <v>1047</v>
      </c>
      <c r="K139" t="s">
        <v>1037</v>
      </c>
      <c r="N139" t="s">
        <v>1177</v>
      </c>
      <c r="O139" t="s">
        <v>253</v>
      </c>
      <c r="P139" t="s">
        <v>1821</v>
      </c>
      <c r="Q139" t="s">
        <v>1088</v>
      </c>
      <c r="R139" t="s">
        <v>1519</v>
      </c>
      <c r="S139">
        <v>0</v>
      </c>
      <c r="T139">
        <v>25</v>
      </c>
      <c r="U139">
        <v>50</v>
      </c>
      <c r="V139">
        <v>75</v>
      </c>
      <c r="W139">
        <v>90</v>
      </c>
      <c r="AI139" t="s">
        <v>548</v>
      </c>
      <c r="AN139">
        <v>0</v>
      </c>
      <c r="AS139">
        <v>90</v>
      </c>
      <c r="BD139">
        <v>4.4095000000000002E-2</v>
      </c>
      <c r="BJ139">
        <v>0.1</v>
      </c>
      <c r="BK139" t="s">
        <v>1822</v>
      </c>
      <c r="BU139" t="s">
        <v>1823</v>
      </c>
      <c r="BV139" t="s">
        <v>1042</v>
      </c>
    </row>
    <row r="140" spans="1:74" x14ac:dyDescent="0.2">
      <c r="A140" t="s">
        <v>1792</v>
      </c>
      <c r="B140" t="s">
        <v>1824</v>
      </c>
      <c r="C140" t="s">
        <v>948</v>
      </c>
      <c r="D140" t="s">
        <v>281</v>
      </c>
      <c r="E140" t="s">
        <v>1031</v>
      </c>
      <c r="F140" t="s">
        <v>1818</v>
      </c>
      <c r="G140" t="s">
        <v>1825</v>
      </c>
      <c r="H140" t="s">
        <v>1826</v>
      </c>
      <c r="I140" t="s">
        <v>1827</v>
      </c>
      <c r="J140" t="s">
        <v>1036</v>
      </c>
      <c r="K140" t="s">
        <v>1037</v>
      </c>
      <c r="M140" t="s">
        <v>543</v>
      </c>
      <c r="N140" t="s">
        <v>1183</v>
      </c>
      <c r="O140" t="s">
        <v>1295</v>
      </c>
      <c r="P140" t="s">
        <v>1828</v>
      </c>
      <c r="Q140" t="s">
        <v>1041</v>
      </c>
      <c r="U140" t="s">
        <v>1829</v>
      </c>
      <c r="AI140" t="s">
        <v>548</v>
      </c>
      <c r="AN140" t="s">
        <v>1830</v>
      </c>
      <c r="AY140" t="s">
        <v>1830</v>
      </c>
      <c r="BD140">
        <v>9.8379999999999995E-3</v>
      </c>
      <c r="BH140">
        <v>7.1520000000000004E-3</v>
      </c>
      <c r="BJ140">
        <v>1</v>
      </c>
      <c r="BK140" t="s">
        <v>1041</v>
      </c>
      <c r="BU140" t="s">
        <v>1831</v>
      </c>
      <c r="BV140" t="s">
        <v>1042</v>
      </c>
    </row>
    <row r="141" spans="1:74" x14ac:dyDescent="0.2">
      <c r="A141" t="s">
        <v>1792</v>
      </c>
      <c r="B141" t="s">
        <v>1832</v>
      </c>
      <c r="C141" t="s">
        <v>948</v>
      </c>
      <c r="D141" t="s">
        <v>281</v>
      </c>
      <c r="E141" t="s">
        <v>1031</v>
      </c>
      <c r="F141" t="s">
        <v>1818</v>
      </c>
      <c r="G141" t="s">
        <v>1833</v>
      </c>
      <c r="H141" t="s">
        <v>1834</v>
      </c>
      <c r="I141" t="s">
        <v>1835</v>
      </c>
      <c r="J141" t="s">
        <v>1066</v>
      </c>
      <c r="N141" t="s">
        <v>1191</v>
      </c>
      <c r="O141" t="s">
        <v>253</v>
      </c>
      <c r="P141" t="s">
        <v>1836</v>
      </c>
      <c r="Q141" t="s">
        <v>1088</v>
      </c>
      <c r="R141">
        <v>0</v>
      </c>
      <c r="S141">
        <v>2</v>
      </c>
      <c r="T141">
        <v>4</v>
      </c>
      <c r="U141">
        <v>6</v>
      </c>
      <c r="V141">
        <v>8</v>
      </c>
      <c r="W141">
        <v>10</v>
      </c>
      <c r="BV141" t="s">
        <v>1042</v>
      </c>
    </row>
    <row r="142" spans="1:74" x14ac:dyDescent="0.2">
      <c r="A142" t="s">
        <v>1792</v>
      </c>
      <c r="B142" t="s">
        <v>1837</v>
      </c>
      <c r="C142" t="s">
        <v>948</v>
      </c>
      <c r="D142" t="s">
        <v>281</v>
      </c>
      <c r="E142" t="s">
        <v>1031</v>
      </c>
      <c r="F142" t="s">
        <v>1838</v>
      </c>
      <c r="G142" t="s">
        <v>1372</v>
      </c>
      <c r="H142" t="s">
        <v>1839</v>
      </c>
      <c r="I142" t="s">
        <v>1840</v>
      </c>
      <c r="J142" t="s">
        <v>1066</v>
      </c>
      <c r="N142" t="s">
        <v>1841</v>
      </c>
      <c r="O142" t="s">
        <v>1295</v>
      </c>
      <c r="P142" t="s">
        <v>1842</v>
      </c>
      <c r="Q142" t="s">
        <v>1041</v>
      </c>
      <c r="R142" t="s">
        <v>1843</v>
      </c>
      <c r="S142" t="s">
        <v>1843</v>
      </c>
      <c r="T142" t="s">
        <v>1843</v>
      </c>
      <c r="U142" t="s">
        <v>1843</v>
      </c>
      <c r="V142" t="s">
        <v>1843</v>
      </c>
      <c r="W142" t="s">
        <v>1843</v>
      </c>
      <c r="BV142" t="s">
        <v>1042</v>
      </c>
    </row>
    <row r="143" spans="1:74" x14ac:dyDescent="0.2">
      <c r="A143" t="s">
        <v>1792</v>
      </c>
      <c r="B143" t="s">
        <v>1844</v>
      </c>
      <c r="C143" t="s">
        <v>948</v>
      </c>
      <c r="D143" t="s">
        <v>1106</v>
      </c>
      <c r="E143" t="s">
        <v>1107</v>
      </c>
      <c r="F143" t="s">
        <v>1814</v>
      </c>
      <c r="G143" t="s">
        <v>1330</v>
      </c>
      <c r="H143" t="s">
        <v>1845</v>
      </c>
      <c r="I143" t="s">
        <v>1846</v>
      </c>
      <c r="J143" t="s">
        <v>1036</v>
      </c>
      <c r="K143" t="s">
        <v>1037</v>
      </c>
      <c r="M143" t="s">
        <v>543</v>
      </c>
      <c r="N143" t="s">
        <v>1112</v>
      </c>
      <c r="O143" t="s">
        <v>1295</v>
      </c>
      <c r="P143" t="s">
        <v>1427</v>
      </c>
      <c r="Q143" t="s">
        <v>1041</v>
      </c>
      <c r="R143" t="s">
        <v>1847</v>
      </c>
      <c r="S143" t="s">
        <v>1847</v>
      </c>
      <c r="T143" t="s">
        <v>1847</v>
      </c>
      <c r="U143" t="s">
        <v>1847</v>
      </c>
      <c r="V143" t="s">
        <v>1847</v>
      </c>
      <c r="W143" t="s">
        <v>1847</v>
      </c>
      <c r="AE143" t="s">
        <v>548</v>
      </c>
      <c r="AF143" t="s">
        <v>548</v>
      </c>
      <c r="AG143" t="s">
        <v>548</v>
      </c>
      <c r="AH143" t="s">
        <v>548</v>
      </c>
      <c r="AI143" t="s">
        <v>548</v>
      </c>
      <c r="AJ143" t="s">
        <v>1115</v>
      </c>
      <c r="AK143" t="s">
        <v>1115</v>
      </c>
      <c r="AL143" t="s">
        <v>1115</v>
      </c>
      <c r="AM143" t="s">
        <v>1115</v>
      </c>
      <c r="AN143" t="s">
        <v>1115</v>
      </c>
      <c r="AO143" t="s">
        <v>1115</v>
      </c>
      <c r="AP143" t="s">
        <v>1115</v>
      </c>
      <c r="AQ143" t="s">
        <v>1115</v>
      </c>
      <c r="AR143" t="s">
        <v>1115</v>
      </c>
      <c r="AS143" t="s">
        <v>1115</v>
      </c>
      <c r="AT143" t="s">
        <v>1115</v>
      </c>
      <c r="AU143" t="s">
        <v>1115</v>
      </c>
      <c r="AV143" t="s">
        <v>1115</v>
      </c>
      <c r="AW143" t="s">
        <v>1115</v>
      </c>
      <c r="AX143" t="s">
        <v>1115</v>
      </c>
      <c r="AY143" t="s">
        <v>1115</v>
      </c>
      <c r="AZ143" t="s">
        <v>1115</v>
      </c>
      <c r="BA143" t="s">
        <v>1115</v>
      </c>
      <c r="BB143" t="s">
        <v>1115</v>
      </c>
      <c r="BC143" t="s">
        <v>1115</v>
      </c>
      <c r="BD143" t="s">
        <v>1115</v>
      </c>
      <c r="BH143" t="s">
        <v>1115</v>
      </c>
      <c r="BJ143">
        <v>1</v>
      </c>
      <c r="BK143" t="s">
        <v>1041</v>
      </c>
      <c r="BU143" t="s">
        <v>1116</v>
      </c>
      <c r="BV143" t="s">
        <v>1042</v>
      </c>
    </row>
    <row r="144" spans="1:74" x14ac:dyDescent="0.2">
      <c r="A144" t="s">
        <v>1792</v>
      </c>
      <c r="B144" t="s">
        <v>1848</v>
      </c>
      <c r="C144" t="s">
        <v>948</v>
      </c>
      <c r="D144" t="s">
        <v>1106</v>
      </c>
      <c r="E144" t="s">
        <v>1107</v>
      </c>
      <c r="F144" t="s">
        <v>1818</v>
      </c>
      <c r="G144" t="s">
        <v>1348</v>
      </c>
      <c r="H144" t="s">
        <v>1849</v>
      </c>
      <c r="I144" t="s">
        <v>1850</v>
      </c>
      <c r="J144" t="s">
        <v>1047</v>
      </c>
      <c r="K144" t="s">
        <v>1037</v>
      </c>
      <c r="N144" t="s">
        <v>1048</v>
      </c>
      <c r="O144" t="s">
        <v>1039</v>
      </c>
      <c r="P144" t="s">
        <v>1416</v>
      </c>
      <c r="Q144">
        <v>2</v>
      </c>
      <c r="R144">
        <v>147.29</v>
      </c>
      <c r="S144">
        <v>146.63</v>
      </c>
      <c r="T144">
        <v>145.96</v>
      </c>
      <c r="U144">
        <v>145.29</v>
      </c>
      <c r="V144">
        <v>144.61000000000001</v>
      </c>
      <c r="W144">
        <v>143.93</v>
      </c>
      <c r="AI144" t="s">
        <v>548</v>
      </c>
      <c r="AN144">
        <v>148</v>
      </c>
      <c r="AS144">
        <v>143.93</v>
      </c>
      <c r="BD144">
        <v>8.1243999999999997E-2</v>
      </c>
      <c r="BJ144">
        <v>100</v>
      </c>
      <c r="BK144" t="s">
        <v>1368</v>
      </c>
      <c r="BV144" t="s">
        <v>1042</v>
      </c>
    </row>
    <row r="145" spans="1:74" x14ac:dyDescent="0.2">
      <c r="A145" t="s">
        <v>1792</v>
      </c>
      <c r="B145" t="s">
        <v>1851</v>
      </c>
      <c r="C145" t="s">
        <v>948</v>
      </c>
      <c r="D145" t="s">
        <v>1106</v>
      </c>
      <c r="E145" t="s">
        <v>1107</v>
      </c>
      <c r="F145" t="s">
        <v>1852</v>
      </c>
      <c r="G145" t="s">
        <v>1354</v>
      </c>
      <c r="H145" t="s">
        <v>1853</v>
      </c>
      <c r="I145" t="s">
        <v>1854</v>
      </c>
      <c r="J145" t="s">
        <v>1066</v>
      </c>
      <c r="N145" t="s">
        <v>1203</v>
      </c>
      <c r="O145" t="s">
        <v>253</v>
      </c>
      <c r="P145" t="s">
        <v>1855</v>
      </c>
      <c r="Q145" t="s">
        <v>1088</v>
      </c>
      <c r="R145" t="s">
        <v>1519</v>
      </c>
      <c r="S145">
        <v>70</v>
      </c>
      <c r="T145">
        <v>70</v>
      </c>
      <c r="U145">
        <v>70</v>
      </c>
      <c r="V145">
        <v>70</v>
      </c>
      <c r="W145">
        <v>70</v>
      </c>
      <c r="BV145" t="s">
        <v>1042</v>
      </c>
    </row>
    <row r="146" spans="1:74" x14ac:dyDescent="0.2">
      <c r="A146" t="s">
        <v>1856</v>
      </c>
      <c r="B146" t="s">
        <v>1857</v>
      </c>
      <c r="C146" t="s">
        <v>948</v>
      </c>
      <c r="D146" t="s">
        <v>281</v>
      </c>
      <c r="E146" t="s">
        <v>1031</v>
      </c>
      <c r="F146" t="s">
        <v>1858</v>
      </c>
      <c r="G146" t="s">
        <v>1330</v>
      </c>
      <c r="H146" t="s">
        <v>1859</v>
      </c>
      <c r="I146" t="s">
        <v>1860</v>
      </c>
      <c r="J146" t="s">
        <v>1047</v>
      </c>
      <c r="K146" t="s">
        <v>1037</v>
      </c>
      <c r="N146" t="s">
        <v>1008</v>
      </c>
      <c r="O146" t="s">
        <v>1039</v>
      </c>
      <c r="P146" t="s">
        <v>1080</v>
      </c>
      <c r="Q146">
        <v>2</v>
      </c>
      <c r="R146">
        <v>1.25</v>
      </c>
      <c r="S146">
        <v>1.25</v>
      </c>
      <c r="T146">
        <v>1.24</v>
      </c>
      <c r="U146">
        <v>1.23</v>
      </c>
      <c r="V146">
        <v>1.23</v>
      </c>
      <c r="W146">
        <v>1.23</v>
      </c>
      <c r="Y146" t="s">
        <v>548</v>
      </c>
      <c r="AE146" t="s">
        <v>548</v>
      </c>
      <c r="AF146" t="s">
        <v>548</v>
      </c>
      <c r="AG146" t="s">
        <v>548</v>
      </c>
      <c r="AH146" t="s">
        <v>548</v>
      </c>
      <c r="AI146" t="s">
        <v>548</v>
      </c>
      <c r="AJ146">
        <v>2.56</v>
      </c>
      <c r="AK146">
        <v>2.5499999999999998</v>
      </c>
      <c r="AL146">
        <v>2.54</v>
      </c>
      <c r="AM146">
        <v>2.54</v>
      </c>
      <c r="AN146">
        <v>2.54</v>
      </c>
      <c r="AO146">
        <v>1.31</v>
      </c>
      <c r="AP146">
        <v>1.3</v>
      </c>
      <c r="AQ146">
        <v>1.29</v>
      </c>
      <c r="AR146">
        <v>1.29</v>
      </c>
      <c r="AS146">
        <v>1.29</v>
      </c>
      <c r="BD146">
        <v>0.04</v>
      </c>
      <c r="BJ146">
        <v>1</v>
      </c>
      <c r="BK146" t="s">
        <v>1041</v>
      </c>
      <c r="BV146" t="s">
        <v>1008</v>
      </c>
    </row>
    <row r="147" spans="1:74" x14ac:dyDescent="0.2">
      <c r="A147" t="s">
        <v>1856</v>
      </c>
      <c r="B147" t="s">
        <v>1861</v>
      </c>
      <c r="C147" t="s">
        <v>948</v>
      </c>
      <c r="D147" t="s">
        <v>281</v>
      </c>
      <c r="E147" t="s">
        <v>1031</v>
      </c>
      <c r="F147" t="s">
        <v>1858</v>
      </c>
      <c r="G147" t="s">
        <v>1335</v>
      </c>
      <c r="H147" t="s">
        <v>1862</v>
      </c>
      <c r="I147" t="s">
        <v>1863</v>
      </c>
      <c r="J147" t="s">
        <v>1047</v>
      </c>
      <c r="K147" t="s">
        <v>1037</v>
      </c>
      <c r="N147" t="s">
        <v>1073</v>
      </c>
      <c r="O147" t="s">
        <v>253</v>
      </c>
      <c r="P147" t="s">
        <v>1074</v>
      </c>
      <c r="Q147">
        <v>2</v>
      </c>
      <c r="R147">
        <v>99.95</v>
      </c>
      <c r="S147">
        <v>99.97</v>
      </c>
      <c r="T147">
        <v>99.97</v>
      </c>
      <c r="U147">
        <v>100</v>
      </c>
      <c r="V147">
        <v>100</v>
      </c>
      <c r="W147">
        <v>100</v>
      </c>
      <c r="X147" t="s">
        <v>548</v>
      </c>
      <c r="AE147" t="s">
        <v>548</v>
      </c>
      <c r="AF147" t="s">
        <v>548</v>
      </c>
      <c r="AG147" t="s">
        <v>548</v>
      </c>
      <c r="AH147" t="s">
        <v>548</v>
      </c>
      <c r="AI147" t="s">
        <v>548</v>
      </c>
      <c r="AJ147">
        <v>99.94</v>
      </c>
      <c r="AK147">
        <v>99.94</v>
      </c>
      <c r="AL147">
        <v>99.94</v>
      </c>
      <c r="AM147">
        <v>99.94</v>
      </c>
      <c r="AN147">
        <v>99.94</v>
      </c>
      <c r="AO147">
        <v>99.95</v>
      </c>
      <c r="AP147">
        <v>99.95</v>
      </c>
      <c r="AQ147">
        <v>99.95</v>
      </c>
      <c r="AR147">
        <v>99.95</v>
      </c>
      <c r="AS147">
        <v>99.95</v>
      </c>
      <c r="BD147">
        <v>0.28399999999999997</v>
      </c>
      <c r="BJ147">
        <v>100</v>
      </c>
      <c r="BK147" t="s">
        <v>1368</v>
      </c>
      <c r="BV147" t="s">
        <v>1007</v>
      </c>
    </row>
    <row r="148" spans="1:74" x14ac:dyDescent="0.2">
      <c r="A148" t="s">
        <v>1856</v>
      </c>
      <c r="B148" t="s">
        <v>1864</v>
      </c>
      <c r="C148" t="s">
        <v>948</v>
      </c>
      <c r="D148" t="s">
        <v>281</v>
      </c>
      <c r="E148" t="s">
        <v>1031</v>
      </c>
      <c r="F148" t="s">
        <v>1865</v>
      </c>
      <c r="G148" t="s">
        <v>1348</v>
      </c>
      <c r="H148" t="s">
        <v>1866</v>
      </c>
      <c r="I148" t="s">
        <v>1867</v>
      </c>
      <c r="J148" t="s">
        <v>1036</v>
      </c>
      <c r="K148" t="s">
        <v>1037</v>
      </c>
      <c r="N148" t="s">
        <v>1038</v>
      </c>
      <c r="O148" t="s">
        <v>1039</v>
      </c>
      <c r="P148" t="s">
        <v>1040</v>
      </c>
      <c r="Q148">
        <v>2</v>
      </c>
      <c r="R148">
        <v>21.47</v>
      </c>
      <c r="W148">
        <v>20</v>
      </c>
      <c r="AI148" t="s">
        <v>548</v>
      </c>
      <c r="AN148">
        <v>22</v>
      </c>
      <c r="AS148">
        <v>20.100000000000001</v>
      </c>
      <c r="AX148">
        <v>19.899999999999999</v>
      </c>
      <c r="BC148">
        <v>17</v>
      </c>
      <c r="BD148">
        <v>0.1152</v>
      </c>
      <c r="BH148">
        <v>3.8800000000000001E-2</v>
      </c>
      <c r="BJ148">
        <v>10</v>
      </c>
      <c r="BK148" t="s">
        <v>1868</v>
      </c>
      <c r="BV148" t="s">
        <v>1042</v>
      </c>
    </row>
    <row r="149" spans="1:74" x14ac:dyDescent="0.2">
      <c r="A149" t="s">
        <v>1856</v>
      </c>
      <c r="B149" t="s">
        <v>1869</v>
      </c>
      <c r="C149" t="s">
        <v>948</v>
      </c>
      <c r="D149" t="s">
        <v>281</v>
      </c>
      <c r="E149" t="s">
        <v>1031</v>
      </c>
      <c r="F149" t="s">
        <v>1865</v>
      </c>
      <c r="G149" t="s">
        <v>1478</v>
      </c>
      <c r="H149" t="s">
        <v>1870</v>
      </c>
      <c r="I149" t="s">
        <v>1871</v>
      </c>
      <c r="J149" t="s">
        <v>1036</v>
      </c>
      <c r="K149" t="s">
        <v>1037</v>
      </c>
      <c r="N149" t="s">
        <v>1086</v>
      </c>
      <c r="O149" t="s">
        <v>1039</v>
      </c>
      <c r="P149" t="s">
        <v>1872</v>
      </c>
      <c r="Q149">
        <v>1</v>
      </c>
      <c r="W149">
        <v>12</v>
      </c>
      <c r="AI149" t="s">
        <v>548</v>
      </c>
      <c r="AN149">
        <v>0</v>
      </c>
      <c r="AS149">
        <v>11.5</v>
      </c>
      <c r="AX149">
        <v>12.5</v>
      </c>
      <c r="BC149">
        <v>18</v>
      </c>
      <c r="BD149">
        <v>8.1799999999999998E-2</v>
      </c>
      <c r="BH149">
        <v>0.18529999999999999</v>
      </c>
      <c r="BJ149">
        <v>1</v>
      </c>
      <c r="BK149" t="s">
        <v>1041</v>
      </c>
      <c r="BV149" t="s">
        <v>1042</v>
      </c>
    </row>
    <row r="150" spans="1:74" x14ac:dyDescent="0.2">
      <c r="A150" t="s">
        <v>1856</v>
      </c>
      <c r="B150" t="s">
        <v>1873</v>
      </c>
      <c r="C150" t="s">
        <v>948</v>
      </c>
      <c r="D150" t="s">
        <v>281</v>
      </c>
      <c r="E150" t="s">
        <v>1031</v>
      </c>
      <c r="F150" t="s">
        <v>1865</v>
      </c>
      <c r="G150" t="s">
        <v>1483</v>
      </c>
      <c r="H150" t="s">
        <v>1874</v>
      </c>
      <c r="I150" t="s">
        <v>1875</v>
      </c>
      <c r="J150" t="s">
        <v>1047</v>
      </c>
      <c r="K150" t="s">
        <v>1037</v>
      </c>
      <c r="N150" t="s">
        <v>1086</v>
      </c>
      <c r="O150" t="s">
        <v>1126</v>
      </c>
      <c r="P150" t="s">
        <v>1127</v>
      </c>
      <c r="Q150">
        <v>1</v>
      </c>
      <c r="R150">
        <v>4.4000000000000004</v>
      </c>
      <c r="S150">
        <v>4.4000000000000004</v>
      </c>
      <c r="T150">
        <v>4.4000000000000004</v>
      </c>
      <c r="U150">
        <v>4.4000000000000004</v>
      </c>
      <c r="V150">
        <v>4.4000000000000004</v>
      </c>
      <c r="W150">
        <v>4.4000000000000004</v>
      </c>
      <c r="Z150" t="s">
        <v>548</v>
      </c>
      <c r="AE150" t="s">
        <v>548</v>
      </c>
      <c r="AF150" t="s">
        <v>548</v>
      </c>
      <c r="AG150" t="s">
        <v>548</v>
      </c>
      <c r="AH150" t="s">
        <v>548</v>
      </c>
      <c r="AI150" t="s">
        <v>548</v>
      </c>
      <c r="AJ150">
        <v>10.3</v>
      </c>
      <c r="AK150">
        <v>10.3</v>
      </c>
      <c r="AL150">
        <v>10.3</v>
      </c>
      <c r="AM150">
        <v>10.3</v>
      </c>
      <c r="AN150">
        <v>10.3</v>
      </c>
      <c r="AO150">
        <v>6.4</v>
      </c>
      <c r="AP150">
        <v>6.4</v>
      </c>
      <c r="AQ150">
        <v>6.4</v>
      </c>
      <c r="AR150">
        <v>6.4</v>
      </c>
      <c r="AS150">
        <v>6.4</v>
      </c>
      <c r="BD150">
        <v>7.4999999999999997E-2</v>
      </c>
      <c r="BJ150">
        <v>1</v>
      </c>
      <c r="BK150" t="s">
        <v>1041</v>
      </c>
      <c r="BV150" t="s">
        <v>1009</v>
      </c>
    </row>
    <row r="151" spans="1:74" x14ac:dyDescent="0.2">
      <c r="A151" t="s">
        <v>1856</v>
      </c>
      <c r="B151" t="s">
        <v>1876</v>
      </c>
      <c r="C151" t="s">
        <v>948</v>
      </c>
      <c r="D151" t="s">
        <v>281</v>
      </c>
      <c r="E151" t="s">
        <v>1031</v>
      </c>
      <c r="F151" t="s">
        <v>1865</v>
      </c>
      <c r="G151" t="s">
        <v>1487</v>
      </c>
      <c r="H151" t="s">
        <v>1877</v>
      </c>
      <c r="I151" t="s">
        <v>1878</v>
      </c>
      <c r="J151" t="s">
        <v>1047</v>
      </c>
      <c r="K151" t="s">
        <v>1037</v>
      </c>
      <c r="M151" t="s">
        <v>543</v>
      </c>
      <c r="N151" t="s">
        <v>1093</v>
      </c>
      <c r="O151" t="s">
        <v>1211</v>
      </c>
      <c r="P151" t="s">
        <v>1339</v>
      </c>
      <c r="Q151" t="s">
        <v>1041</v>
      </c>
      <c r="R151" t="s">
        <v>1213</v>
      </c>
      <c r="S151" t="s">
        <v>1213</v>
      </c>
      <c r="T151" t="s">
        <v>1213</v>
      </c>
      <c r="U151" t="s">
        <v>1213</v>
      </c>
      <c r="V151" t="s">
        <v>1213</v>
      </c>
      <c r="W151" t="s">
        <v>1213</v>
      </c>
      <c r="AE151" t="s">
        <v>548</v>
      </c>
      <c r="AF151" t="s">
        <v>548</v>
      </c>
      <c r="AG151" t="s">
        <v>548</v>
      </c>
      <c r="AH151" t="s">
        <v>548</v>
      </c>
      <c r="AI151" t="s">
        <v>548</v>
      </c>
      <c r="AJ151" t="s">
        <v>1340</v>
      </c>
      <c r="AK151" t="s">
        <v>1340</v>
      </c>
      <c r="AL151" t="s">
        <v>1340</v>
      </c>
      <c r="AM151" t="s">
        <v>1340</v>
      </c>
      <c r="AN151" t="s">
        <v>1340</v>
      </c>
      <c r="AO151" t="s">
        <v>1341</v>
      </c>
      <c r="AP151" t="s">
        <v>1341</v>
      </c>
      <c r="AQ151" t="s">
        <v>1341</v>
      </c>
      <c r="AR151" t="s">
        <v>1341</v>
      </c>
      <c r="AS151" t="s">
        <v>1341</v>
      </c>
      <c r="BD151">
        <v>0.22500000000000001</v>
      </c>
      <c r="BJ151">
        <v>1</v>
      </c>
      <c r="BK151" t="s">
        <v>1041</v>
      </c>
      <c r="BV151" t="s">
        <v>1042</v>
      </c>
    </row>
    <row r="152" spans="1:74" x14ac:dyDescent="0.2">
      <c r="A152" t="s">
        <v>1856</v>
      </c>
      <c r="B152" t="s">
        <v>1879</v>
      </c>
      <c r="C152" t="s">
        <v>948</v>
      </c>
      <c r="D152" t="s">
        <v>281</v>
      </c>
      <c r="E152" t="s">
        <v>1031</v>
      </c>
      <c r="F152" t="s">
        <v>1865</v>
      </c>
      <c r="G152" t="s">
        <v>1880</v>
      </c>
      <c r="H152" t="s">
        <v>1881</v>
      </c>
      <c r="I152" t="s">
        <v>1882</v>
      </c>
      <c r="J152" t="s">
        <v>1047</v>
      </c>
      <c r="K152" t="s">
        <v>1037</v>
      </c>
      <c r="N152" t="s">
        <v>1386</v>
      </c>
      <c r="O152" t="s">
        <v>1039</v>
      </c>
      <c r="P152" t="s">
        <v>1883</v>
      </c>
      <c r="Q152" t="s">
        <v>1088</v>
      </c>
      <c r="W152">
        <v>9300</v>
      </c>
      <c r="AI152" t="s">
        <v>548</v>
      </c>
      <c r="AN152">
        <v>0</v>
      </c>
      <c r="AS152">
        <v>9200</v>
      </c>
      <c r="BD152">
        <v>2.6599999999999999E-5</v>
      </c>
      <c r="BJ152">
        <v>1</v>
      </c>
      <c r="BK152" t="s">
        <v>1041</v>
      </c>
      <c r="BV152" t="s">
        <v>1042</v>
      </c>
    </row>
    <row r="153" spans="1:74" x14ac:dyDescent="0.2">
      <c r="A153" t="s">
        <v>1856</v>
      </c>
      <c r="B153" t="s">
        <v>1884</v>
      </c>
      <c r="C153" t="s">
        <v>948</v>
      </c>
      <c r="D153" t="s">
        <v>281</v>
      </c>
      <c r="E153" t="s">
        <v>1031</v>
      </c>
      <c r="F153" t="s">
        <v>1865</v>
      </c>
      <c r="G153" t="s">
        <v>1885</v>
      </c>
      <c r="H153" t="s">
        <v>1886</v>
      </c>
      <c r="I153" t="s">
        <v>1887</v>
      </c>
      <c r="J153" t="s">
        <v>1066</v>
      </c>
      <c r="N153" t="s">
        <v>1048</v>
      </c>
      <c r="O153" t="s">
        <v>1039</v>
      </c>
      <c r="P153" t="s">
        <v>1416</v>
      </c>
      <c r="Q153">
        <v>1</v>
      </c>
      <c r="R153">
        <v>142</v>
      </c>
      <c r="S153">
        <v>142</v>
      </c>
      <c r="W153">
        <v>140</v>
      </c>
      <c r="BV153" t="s">
        <v>1042</v>
      </c>
    </row>
    <row r="154" spans="1:74" x14ac:dyDescent="0.2">
      <c r="A154" t="s">
        <v>1856</v>
      </c>
      <c r="B154" t="s">
        <v>1888</v>
      </c>
      <c r="C154" t="s">
        <v>948</v>
      </c>
      <c r="D154" t="s">
        <v>281</v>
      </c>
      <c r="E154" t="s">
        <v>1031</v>
      </c>
      <c r="F154" t="s">
        <v>1889</v>
      </c>
      <c r="G154" t="s">
        <v>1354</v>
      </c>
      <c r="H154" t="s">
        <v>1890</v>
      </c>
      <c r="I154" t="s">
        <v>1891</v>
      </c>
      <c r="J154" t="s">
        <v>1047</v>
      </c>
      <c r="K154" t="s">
        <v>1037</v>
      </c>
      <c r="N154" t="s">
        <v>1038</v>
      </c>
      <c r="O154" t="s">
        <v>253</v>
      </c>
      <c r="P154" t="s">
        <v>1892</v>
      </c>
      <c r="Q154">
        <v>1</v>
      </c>
      <c r="R154">
        <v>77</v>
      </c>
      <c r="W154">
        <v>85</v>
      </c>
      <c r="AI154" t="s">
        <v>548</v>
      </c>
      <c r="AN154">
        <v>77</v>
      </c>
      <c r="AS154">
        <v>84.5</v>
      </c>
      <c r="BD154">
        <v>1E-3</v>
      </c>
      <c r="BJ154">
        <v>1</v>
      </c>
      <c r="BK154" t="s">
        <v>1041</v>
      </c>
      <c r="BV154" t="s">
        <v>1042</v>
      </c>
    </row>
    <row r="155" spans="1:74" x14ac:dyDescent="0.2">
      <c r="A155" t="s">
        <v>1856</v>
      </c>
      <c r="B155" t="s">
        <v>1893</v>
      </c>
      <c r="C155" t="s">
        <v>948</v>
      </c>
      <c r="D155" t="s">
        <v>281</v>
      </c>
      <c r="E155" t="s">
        <v>1031</v>
      </c>
      <c r="F155" t="s">
        <v>1894</v>
      </c>
      <c r="G155" t="s">
        <v>1365</v>
      </c>
      <c r="H155" t="s">
        <v>1895</v>
      </c>
      <c r="I155" t="s">
        <v>1896</v>
      </c>
      <c r="J155" t="s">
        <v>1066</v>
      </c>
      <c r="N155" t="s">
        <v>1191</v>
      </c>
      <c r="O155" t="s">
        <v>1039</v>
      </c>
      <c r="P155" t="s">
        <v>1897</v>
      </c>
      <c r="Q155" t="s">
        <v>1088</v>
      </c>
      <c r="R155">
        <v>580</v>
      </c>
      <c r="W155">
        <v>530</v>
      </c>
      <c r="BV155" t="s">
        <v>1042</v>
      </c>
    </row>
    <row r="156" spans="1:74" x14ac:dyDescent="0.2">
      <c r="A156" t="s">
        <v>1856</v>
      </c>
      <c r="B156" t="s">
        <v>1898</v>
      </c>
      <c r="C156" t="s">
        <v>948</v>
      </c>
      <c r="D156" t="s">
        <v>281</v>
      </c>
      <c r="E156" t="s">
        <v>1031</v>
      </c>
      <c r="F156" t="s">
        <v>1894</v>
      </c>
      <c r="G156" t="s">
        <v>1825</v>
      </c>
      <c r="H156" t="s">
        <v>1899</v>
      </c>
      <c r="I156" t="s">
        <v>1900</v>
      </c>
      <c r="J156" t="s">
        <v>1066</v>
      </c>
      <c r="N156" t="s">
        <v>1183</v>
      </c>
      <c r="O156" t="s">
        <v>1295</v>
      </c>
      <c r="P156" t="s">
        <v>1901</v>
      </c>
      <c r="Q156" t="s">
        <v>1041</v>
      </c>
      <c r="R156" t="s">
        <v>1902</v>
      </c>
      <c r="S156" t="s">
        <v>1903</v>
      </c>
      <c r="T156" t="s">
        <v>1903</v>
      </c>
      <c r="U156" t="s">
        <v>1903</v>
      </c>
      <c r="V156" t="s">
        <v>1903</v>
      </c>
      <c r="W156" t="s">
        <v>1903</v>
      </c>
      <c r="BV156" t="s">
        <v>1042</v>
      </c>
    </row>
    <row r="157" spans="1:74" x14ac:dyDescent="0.2">
      <c r="A157" t="s">
        <v>1856</v>
      </c>
      <c r="B157" t="s">
        <v>1904</v>
      </c>
      <c r="C157" t="s">
        <v>948</v>
      </c>
      <c r="D157" t="s">
        <v>281</v>
      </c>
      <c r="E157" t="s">
        <v>1031</v>
      </c>
      <c r="F157" t="s">
        <v>1905</v>
      </c>
      <c r="G157" t="s">
        <v>1372</v>
      </c>
      <c r="H157" t="s">
        <v>1906</v>
      </c>
      <c r="I157" t="s">
        <v>1907</v>
      </c>
      <c r="J157" t="s">
        <v>1066</v>
      </c>
      <c r="N157" t="s">
        <v>1908</v>
      </c>
      <c r="O157" t="s">
        <v>1039</v>
      </c>
      <c r="P157" t="s">
        <v>1909</v>
      </c>
      <c r="Q157" t="s">
        <v>1088</v>
      </c>
      <c r="R157">
        <v>84</v>
      </c>
      <c r="W157">
        <v>175</v>
      </c>
      <c r="BV157" t="s">
        <v>1042</v>
      </c>
    </row>
    <row r="158" spans="1:74" x14ac:dyDescent="0.2">
      <c r="A158" t="s">
        <v>1856</v>
      </c>
      <c r="B158" t="s">
        <v>1910</v>
      </c>
      <c r="C158" t="s">
        <v>948</v>
      </c>
      <c r="D158" t="s">
        <v>1106</v>
      </c>
      <c r="E158" t="s">
        <v>1107</v>
      </c>
      <c r="F158" t="s">
        <v>1889</v>
      </c>
      <c r="G158" t="s">
        <v>1330</v>
      </c>
      <c r="H158" t="s">
        <v>1911</v>
      </c>
      <c r="I158" t="s">
        <v>1846</v>
      </c>
      <c r="J158" t="s">
        <v>1036</v>
      </c>
      <c r="K158" t="s">
        <v>1037</v>
      </c>
      <c r="M158" t="s">
        <v>543</v>
      </c>
      <c r="N158" t="s">
        <v>1112</v>
      </c>
      <c r="O158" t="s">
        <v>1113</v>
      </c>
      <c r="P158" t="s">
        <v>1912</v>
      </c>
      <c r="Q158">
        <v>1</v>
      </c>
      <c r="R158">
        <v>87</v>
      </c>
      <c r="W158">
        <v>89</v>
      </c>
      <c r="AI158" t="s">
        <v>548</v>
      </c>
      <c r="AJ158" t="s">
        <v>1115</v>
      </c>
      <c r="AK158" t="s">
        <v>1115</v>
      </c>
      <c r="AL158" t="s">
        <v>1115</v>
      </c>
      <c r="AM158" t="s">
        <v>1115</v>
      </c>
      <c r="AN158" t="s">
        <v>1115</v>
      </c>
      <c r="AO158" t="s">
        <v>1115</v>
      </c>
      <c r="AP158" t="s">
        <v>1115</v>
      </c>
      <c r="AQ158" t="s">
        <v>1115</v>
      </c>
      <c r="AR158" t="s">
        <v>1115</v>
      </c>
      <c r="AS158" t="s">
        <v>1115</v>
      </c>
      <c r="AT158" t="s">
        <v>1115</v>
      </c>
      <c r="AU158" t="s">
        <v>1115</v>
      </c>
      <c r="AV158" t="s">
        <v>1115</v>
      </c>
      <c r="AW158" t="s">
        <v>1115</v>
      </c>
      <c r="AX158" t="s">
        <v>1115</v>
      </c>
      <c r="AY158" t="s">
        <v>1115</v>
      </c>
      <c r="AZ158" t="s">
        <v>1115</v>
      </c>
      <c r="BA158" t="s">
        <v>1115</v>
      </c>
      <c r="BB158" t="s">
        <v>1115</v>
      </c>
      <c r="BC158" t="s">
        <v>1115</v>
      </c>
      <c r="BD158" t="s">
        <v>1115</v>
      </c>
      <c r="BH158" t="s">
        <v>1115</v>
      </c>
      <c r="BJ158">
        <v>1</v>
      </c>
      <c r="BK158" t="s">
        <v>1041</v>
      </c>
      <c r="BU158" t="s">
        <v>1116</v>
      </c>
      <c r="BV158" t="s">
        <v>1042</v>
      </c>
    </row>
    <row r="159" spans="1:74" x14ac:dyDescent="0.2">
      <c r="A159" t="s">
        <v>1856</v>
      </c>
      <c r="B159" t="s">
        <v>1913</v>
      </c>
      <c r="C159" t="s">
        <v>948</v>
      </c>
      <c r="D159" t="s">
        <v>1106</v>
      </c>
      <c r="E159" t="s">
        <v>1107</v>
      </c>
      <c r="F159" t="s">
        <v>1889</v>
      </c>
      <c r="G159" t="s">
        <v>1335</v>
      </c>
      <c r="H159" t="s">
        <v>1914</v>
      </c>
      <c r="I159" t="s">
        <v>1915</v>
      </c>
      <c r="J159" t="s">
        <v>1047</v>
      </c>
      <c r="K159" t="s">
        <v>1037</v>
      </c>
      <c r="M159" t="s">
        <v>543</v>
      </c>
      <c r="N159" t="s">
        <v>1121</v>
      </c>
      <c r="O159" t="s">
        <v>76</v>
      </c>
      <c r="P159" t="s">
        <v>1789</v>
      </c>
      <c r="Q159">
        <v>2</v>
      </c>
      <c r="R159">
        <v>0</v>
      </c>
      <c r="S159" t="s">
        <v>1519</v>
      </c>
      <c r="T159" t="s">
        <v>1519</v>
      </c>
      <c r="U159" t="s">
        <v>1519</v>
      </c>
      <c r="V159" t="s">
        <v>1519</v>
      </c>
      <c r="W159">
        <v>1.18</v>
      </c>
      <c r="AC159" t="s">
        <v>548</v>
      </c>
      <c r="AE159" t="s">
        <v>548</v>
      </c>
      <c r="AF159" t="s">
        <v>548</v>
      </c>
      <c r="AG159" t="s">
        <v>548</v>
      </c>
      <c r="AH159" t="s">
        <v>548</v>
      </c>
      <c r="AI159" t="s">
        <v>548</v>
      </c>
      <c r="AJ159" t="s">
        <v>1519</v>
      </c>
      <c r="AK159" t="s">
        <v>1519</v>
      </c>
      <c r="AL159" t="s">
        <v>1519</v>
      </c>
      <c r="AM159" t="s">
        <v>1519</v>
      </c>
      <c r="AN159">
        <v>0</v>
      </c>
      <c r="AO159" t="s">
        <v>1519</v>
      </c>
      <c r="AP159" t="s">
        <v>1519</v>
      </c>
      <c r="AQ159" t="s">
        <v>1519</v>
      </c>
      <c r="AR159" t="s">
        <v>1519</v>
      </c>
      <c r="AS159">
        <v>1.1000000000000001</v>
      </c>
      <c r="BD159">
        <v>0.05</v>
      </c>
      <c r="BE159">
        <v>0.17</v>
      </c>
      <c r="BJ159">
        <v>1</v>
      </c>
      <c r="BK159" t="s">
        <v>1041</v>
      </c>
      <c r="BU159" t="s">
        <v>1916</v>
      </c>
      <c r="BV159" t="s">
        <v>1042</v>
      </c>
    </row>
    <row r="160" spans="1:74" x14ac:dyDescent="0.2">
      <c r="A160" t="s">
        <v>1856</v>
      </c>
      <c r="B160" t="s">
        <v>1917</v>
      </c>
      <c r="C160" t="s">
        <v>948</v>
      </c>
      <c r="D160" t="s">
        <v>1106</v>
      </c>
      <c r="E160" t="s">
        <v>1107</v>
      </c>
      <c r="F160" t="s">
        <v>1918</v>
      </c>
      <c r="G160" t="s">
        <v>1348</v>
      </c>
      <c r="H160" t="s">
        <v>1919</v>
      </c>
      <c r="I160" t="s">
        <v>1920</v>
      </c>
      <c r="J160" t="s">
        <v>1066</v>
      </c>
      <c r="N160" t="s">
        <v>1121</v>
      </c>
      <c r="O160" t="s">
        <v>253</v>
      </c>
      <c r="P160" t="s">
        <v>1921</v>
      </c>
      <c r="Q160">
        <v>2</v>
      </c>
      <c r="W160" t="s">
        <v>1922</v>
      </c>
      <c r="BV160" t="s">
        <v>1042</v>
      </c>
    </row>
    <row r="161" spans="1:74" x14ac:dyDescent="0.2">
      <c r="A161" t="s">
        <v>1923</v>
      </c>
      <c r="B161" t="s">
        <v>1924</v>
      </c>
      <c r="C161" t="s">
        <v>948</v>
      </c>
      <c r="D161" t="s">
        <v>281</v>
      </c>
      <c r="E161" t="s">
        <v>1031</v>
      </c>
      <c r="F161" t="s">
        <v>1925</v>
      </c>
      <c r="G161" t="s">
        <v>1330</v>
      </c>
      <c r="H161" t="s">
        <v>1926</v>
      </c>
      <c r="I161" t="s">
        <v>1927</v>
      </c>
      <c r="J161" t="s">
        <v>1047</v>
      </c>
      <c r="K161" t="s">
        <v>1037</v>
      </c>
      <c r="M161" t="s">
        <v>543</v>
      </c>
      <c r="N161" t="s">
        <v>1055</v>
      </c>
      <c r="O161" t="s">
        <v>1113</v>
      </c>
      <c r="P161" t="s">
        <v>1157</v>
      </c>
      <c r="Q161" t="s">
        <v>1088</v>
      </c>
      <c r="R161">
        <v>100</v>
      </c>
      <c r="S161">
        <v>100</v>
      </c>
      <c r="T161">
        <v>100</v>
      </c>
      <c r="U161">
        <v>100</v>
      </c>
      <c r="V161">
        <v>100</v>
      </c>
      <c r="W161">
        <v>100</v>
      </c>
      <c r="AE161" t="s">
        <v>548</v>
      </c>
      <c r="AF161" t="s">
        <v>548</v>
      </c>
      <c r="AG161" t="s">
        <v>548</v>
      </c>
      <c r="AH161" t="s">
        <v>548</v>
      </c>
      <c r="AI161" t="s">
        <v>548</v>
      </c>
      <c r="AJ161" t="s">
        <v>1928</v>
      </c>
      <c r="AK161" t="s">
        <v>1928</v>
      </c>
      <c r="AL161" t="s">
        <v>1928</v>
      </c>
      <c r="AM161" t="s">
        <v>1928</v>
      </c>
      <c r="AN161" t="s">
        <v>1928</v>
      </c>
      <c r="AO161">
        <v>98</v>
      </c>
      <c r="AP161">
        <v>98</v>
      </c>
      <c r="AQ161">
        <v>98</v>
      </c>
      <c r="AR161">
        <v>98</v>
      </c>
      <c r="AS161">
        <v>98</v>
      </c>
      <c r="BD161">
        <v>0.2</v>
      </c>
      <c r="BJ161">
        <v>1</v>
      </c>
      <c r="BK161" t="s">
        <v>1041</v>
      </c>
      <c r="BU161" t="s">
        <v>1929</v>
      </c>
      <c r="BV161" t="s">
        <v>1042</v>
      </c>
    </row>
    <row r="162" spans="1:74" x14ac:dyDescent="0.2">
      <c r="A162" t="s">
        <v>1923</v>
      </c>
      <c r="B162" t="s">
        <v>1930</v>
      </c>
      <c r="C162" t="s">
        <v>948</v>
      </c>
      <c r="D162" t="s">
        <v>281</v>
      </c>
      <c r="E162" t="s">
        <v>1031</v>
      </c>
      <c r="F162" t="s">
        <v>1925</v>
      </c>
      <c r="G162" t="s">
        <v>1335</v>
      </c>
      <c r="H162" t="s">
        <v>1931</v>
      </c>
      <c r="I162" t="s">
        <v>1932</v>
      </c>
      <c r="J162" t="s">
        <v>1066</v>
      </c>
      <c r="N162" t="s">
        <v>1055</v>
      </c>
      <c r="O162" t="s">
        <v>1113</v>
      </c>
      <c r="P162" t="s">
        <v>1157</v>
      </c>
      <c r="Q162" t="s">
        <v>1088</v>
      </c>
      <c r="R162">
        <v>100</v>
      </c>
      <c r="S162">
        <v>100</v>
      </c>
      <c r="T162">
        <v>100</v>
      </c>
      <c r="U162">
        <v>100</v>
      </c>
      <c r="V162">
        <v>100</v>
      </c>
      <c r="W162">
        <v>100</v>
      </c>
      <c r="BV162" t="s">
        <v>1042</v>
      </c>
    </row>
    <row r="163" spans="1:74" x14ac:dyDescent="0.2">
      <c r="A163" t="s">
        <v>1923</v>
      </c>
      <c r="B163" t="s">
        <v>1933</v>
      </c>
      <c r="C163" t="s">
        <v>948</v>
      </c>
      <c r="D163" t="s">
        <v>281</v>
      </c>
      <c r="E163" t="s">
        <v>1031</v>
      </c>
      <c r="F163" t="s">
        <v>1925</v>
      </c>
      <c r="G163" t="s">
        <v>1343</v>
      </c>
      <c r="H163" t="s">
        <v>1934</v>
      </c>
      <c r="I163" t="s">
        <v>1935</v>
      </c>
      <c r="J163" t="s">
        <v>1036</v>
      </c>
      <c r="K163" t="s">
        <v>1037</v>
      </c>
      <c r="N163" t="s">
        <v>1086</v>
      </c>
      <c r="O163" t="s">
        <v>1126</v>
      </c>
      <c r="P163" t="s">
        <v>1475</v>
      </c>
      <c r="Q163">
        <v>2</v>
      </c>
      <c r="R163">
        <v>0.28999999999999998</v>
      </c>
      <c r="S163">
        <v>0.26</v>
      </c>
      <c r="T163">
        <v>0.23</v>
      </c>
      <c r="U163">
        <v>0.2</v>
      </c>
      <c r="V163">
        <v>0.2</v>
      </c>
      <c r="W163">
        <v>0.2</v>
      </c>
      <c r="Z163" t="s">
        <v>548</v>
      </c>
      <c r="AE163" t="s">
        <v>548</v>
      </c>
      <c r="AF163" t="s">
        <v>548</v>
      </c>
      <c r="AG163" t="s">
        <v>548</v>
      </c>
      <c r="AH163" t="s">
        <v>548</v>
      </c>
      <c r="AI163" t="s">
        <v>548</v>
      </c>
      <c r="AJ163">
        <v>0.46</v>
      </c>
      <c r="AK163">
        <v>0.46</v>
      </c>
      <c r="AL163">
        <v>0.37</v>
      </c>
      <c r="AM163">
        <v>0.37</v>
      </c>
      <c r="AN163">
        <v>0.37</v>
      </c>
      <c r="AO163">
        <v>0.28999999999999998</v>
      </c>
      <c r="AP163">
        <v>0.28999999999999998</v>
      </c>
      <c r="AQ163">
        <v>0.2</v>
      </c>
      <c r="AR163">
        <v>0.2</v>
      </c>
      <c r="AS163">
        <v>0.2</v>
      </c>
      <c r="AT163">
        <v>0.2</v>
      </c>
      <c r="AU163">
        <v>0.2</v>
      </c>
      <c r="AV163">
        <v>0.2</v>
      </c>
      <c r="AW163">
        <v>0.2</v>
      </c>
      <c r="AX163">
        <v>0.2</v>
      </c>
      <c r="AY163">
        <v>0</v>
      </c>
      <c r="AZ163">
        <v>0</v>
      </c>
      <c r="BA163">
        <v>0</v>
      </c>
      <c r="BB163">
        <v>0</v>
      </c>
      <c r="BC163">
        <v>0</v>
      </c>
      <c r="BD163">
        <v>2</v>
      </c>
      <c r="BH163">
        <v>2</v>
      </c>
      <c r="BJ163">
        <v>1</v>
      </c>
      <c r="BK163" t="s">
        <v>1041</v>
      </c>
      <c r="BV163" t="s">
        <v>1009</v>
      </c>
    </row>
    <row r="164" spans="1:74" x14ac:dyDescent="0.2">
      <c r="A164" t="s">
        <v>1923</v>
      </c>
      <c r="B164" t="s">
        <v>1936</v>
      </c>
      <c r="C164" t="s">
        <v>948</v>
      </c>
      <c r="D164" t="s">
        <v>281</v>
      </c>
      <c r="E164" t="s">
        <v>1031</v>
      </c>
      <c r="F164" t="s">
        <v>1925</v>
      </c>
      <c r="G164" t="s">
        <v>1464</v>
      </c>
      <c r="H164" t="s">
        <v>1937</v>
      </c>
      <c r="I164" t="s">
        <v>1938</v>
      </c>
      <c r="J164" t="s">
        <v>1047</v>
      </c>
      <c r="K164" t="s">
        <v>1037</v>
      </c>
      <c r="N164" t="s">
        <v>1093</v>
      </c>
      <c r="O164" t="s">
        <v>1039</v>
      </c>
      <c r="P164" t="s">
        <v>1094</v>
      </c>
      <c r="Q164" t="s">
        <v>1088</v>
      </c>
      <c r="R164">
        <v>227</v>
      </c>
      <c r="S164">
        <v>290</v>
      </c>
      <c r="T164">
        <v>290</v>
      </c>
      <c r="U164">
        <v>290</v>
      </c>
      <c r="V164">
        <v>290</v>
      </c>
      <c r="W164">
        <v>290</v>
      </c>
      <c r="AE164" t="s">
        <v>548</v>
      </c>
      <c r="AF164" t="s">
        <v>548</v>
      </c>
      <c r="AG164" t="s">
        <v>548</v>
      </c>
      <c r="AH164" t="s">
        <v>548</v>
      </c>
      <c r="AI164" t="s">
        <v>548</v>
      </c>
      <c r="AJ164">
        <v>470</v>
      </c>
      <c r="AK164">
        <v>470</v>
      </c>
      <c r="AL164">
        <v>470</v>
      </c>
      <c r="AM164">
        <v>470</v>
      </c>
      <c r="AN164">
        <v>470</v>
      </c>
      <c r="AO164">
        <v>345</v>
      </c>
      <c r="AP164">
        <v>345</v>
      </c>
      <c r="AQ164">
        <v>345</v>
      </c>
      <c r="AR164">
        <v>345</v>
      </c>
      <c r="AS164">
        <v>345</v>
      </c>
      <c r="BD164">
        <v>3.0000000000000001E-3</v>
      </c>
      <c r="BJ164">
        <v>1</v>
      </c>
      <c r="BK164" t="s">
        <v>1041</v>
      </c>
      <c r="BV164" t="s">
        <v>1042</v>
      </c>
    </row>
    <row r="165" spans="1:74" x14ac:dyDescent="0.2">
      <c r="A165" t="s">
        <v>1923</v>
      </c>
      <c r="B165" t="s">
        <v>1939</v>
      </c>
      <c r="C165" t="s">
        <v>948</v>
      </c>
      <c r="D165" t="s">
        <v>281</v>
      </c>
      <c r="E165" t="s">
        <v>1031</v>
      </c>
      <c r="F165" t="s">
        <v>1925</v>
      </c>
      <c r="G165" t="s">
        <v>1940</v>
      </c>
      <c r="H165" t="s">
        <v>1941</v>
      </c>
      <c r="I165" t="s">
        <v>1942</v>
      </c>
      <c r="J165" t="s">
        <v>1047</v>
      </c>
      <c r="K165" t="s">
        <v>1037</v>
      </c>
      <c r="N165" t="s">
        <v>1073</v>
      </c>
      <c r="O165" t="s">
        <v>253</v>
      </c>
      <c r="P165" t="s">
        <v>1074</v>
      </c>
      <c r="Q165">
        <v>2</v>
      </c>
      <c r="R165">
        <v>100</v>
      </c>
      <c r="S165">
        <v>100</v>
      </c>
      <c r="T165">
        <v>100</v>
      </c>
      <c r="U165">
        <v>100</v>
      </c>
      <c r="V165">
        <v>100</v>
      </c>
      <c r="W165">
        <v>100</v>
      </c>
      <c r="X165" t="s">
        <v>548</v>
      </c>
      <c r="AE165" t="s">
        <v>548</v>
      </c>
      <c r="AF165" t="s">
        <v>548</v>
      </c>
      <c r="AG165" t="s">
        <v>548</v>
      </c>
      <c r="AH165" t="s">
        <v>548</v>
      </c>
      <c r="AI165" t="s">
        <v>548</v>
      </c>
      <c r="AJ165">
        <v>99.93</v>
      </c>
      <c r="AK165">
        <v>99.93</v>
      </c>
      <c r="AL165">
        <v>99.94</v>
      </c>
      <c r="AM165">
        <v>99.94</v>
      </c>
      <c r="AN165">
        <v>99.94</v>
      </c>
      <c r="AO165">
        <v>99.94</v>
      </c>
      <c r="AP165">
        <v>99.94</v>
      </c>
      <c r="AQ165">
        <v>99.95</v>
      </c>
      <c r="AR165">
        <v>99.95</v>
      </c>
      <c r="AS165">
        <v>99.95</v>
      </c>
      <c r="BD165">
        <v>0.14000000000000001</v>
      </c>
      <c r="BJ165">
        <v>100</v>
      </c>
      <c r="BK165" t="s">
        <v>1368</v>
      </c>
      <c r="BV165" t="s">
        <v>1007</v>
      </c>
    </row>
    <row r="166" spans="1:74" x14ac:dyDescent="0.2">
      <c r="A166" t="s">
        <v>1923</v>
      </c>
      <c r="B166" t="s">
        <v>1943</v>
      </c>
      <c r="C166" t="s">
        <v>948</v>
      </c>
      <c r="D166" t="s">
        <v>281</v>
      </c>
      <c r="E166" t="s">
        <v>1031</v>
      </c>
      <c r="F166" t="s">
        <v>1925</v>
      </c>
      <c r="G166" t="s">
        <v>1944</v>
      </c>
      <c r="H166" t="s">
        <v>1945</v>
      </c>
      <c r="I166" t="s">
        <v>1946</v>
      </c>
      <c r="J166" t="s">
        <v>1036</v>
      </c>
      <c r="K166" t="s">
        <v>1037</v>
      </c>
      <c r="N166" t="s">
        <v>1008</v>
      </c>
      <c r="O166" t="s">
        <v>1039</v>
      </c>
      <c r="P166" t="s">
        <v>1375</v>
      </c>
      <c r="Q166" t="s">
        <v>1088</v>
      </c>
      <c r="R166">
        <v>350</v>
      </c>
      <c r="S166">
        <v>350</v>
      </c>
      <c r="T166">
        <v>350</v>
      </c>
      <c r="U166">
        <v>350</v>
      </c>
      <c r="V166">
        <v>350</v>
      </c>
      <c r="W166">
        <v>350</v>
      </c>
      <c r="Y166" t="s">
        <v>548</v>
      </c>
      <c r="AE166" t="s">
        <v>548</v>
      </c>
      <c r="AF166" t="s">
        <v>548</v>
      </c>
      <c r="AG166" t="s">
        <v>548</v>
      </c>
      <c r="AH166" t="s">
        <v>548</v>
      </c>
      <c r="AI166" t="s">
        <v>548</v>
      </c>
      <c r="AJ166">
        <v>500</v>
      </c>
      <c r="AK166">
        <v>500</v>
      </c>
      <c r="AL166">
        <v>500</v>
      </c>
      <c r="AM166">
        <v>500</v>
      </c>
      <c r="AN166">
        <v>500</v>
      </c>
      <c r="AO166">
        <v>375</v>
      </c>
      <c r="AP166">
        <v>375</v>
      </c>
      <c r="AQ166">
        <v>375</v>
      </c>
      <c r="AR166">
        <v>375</v>
      </c>
      <c r="AS166">
        <v>375</v>
      </c>
      <c r="AT166">
        <v>325</v>
      </c>
      <c r="AU166">
        <v>325</v>
      </c>
      <c r="AV166">
        <v>325</v>
      </c>
      <c r="AW166">
        <v>325</v>
      </c>
      <c r="AX166">
        <v>325</v>
      </c>
      <c r="AY166">
        <v>200</v>
      </c>
      <c r="AZ166">
        <v>200</v>
      </c>
      <c r="BA166">
        <v>200</v>
      </c>
      <c r="BB166">
        <v>200</v>
      </c>
      <c r="BC166">
        <v>200</v>
      </c>
      <c r="BD166">
        <v>1E-3</v>
      </c>
      <c r="BH166">
        <v>4.95E-4</v>
      </c>
      <c r="BJ166">
        <v>1</v>
      </c>
      <c r="BK166" t="s">
        <v>1041</v>
      </c>
      <c r="BV166" t="s">
        <v>1008</v>
      </c>
    </row>
    <row r="167" spans="1:74" x14ac:dyDescent="0.2">
      <c r="A167" t="s">
        <v>1923</v>
      </c>
      <c r="B167" t="s">
        <v>1947</v>
      </c>
      <c r="C167" t="s">
        <v>948</v>
      </c>
      <c r="D167" t="s">
        <v>281</v>
      </c>
      <c r="E167" t="s">
        <v>1031</v>
      </c>
      <c r="F167" t="s">
        <v>1925</v>
      </c>
      <c r="G167" t="s">
        <v>1948</v>
      </c>
      <c r="H167" t="s">
        <v>1949</v>
      </c>
      <c r="I167" t="s">
        <v>1950</v>
      </c>
      <c r="J167" t="s">
        <v>1047</v>
      </c>
      <c r="K167" t="s">
        <v>1037</v>
      </c>
      <c r="M167" t="s">
        <v>543</v>
      </c>
      <c r="N167" t="s">
        <v>1073</v>
      </c>
      <c r="O167" t="s">
        <v>1295</v>
      </c>
      <c r="P167" t="s">
        <v>1951</v>
      </c>
      <c r="Q167" t="s">
        <v>1041</v>
      </c>
      <c r="R167" t="s">
        <v>1722</v>
      </c>
      <c r="S167" t="s">
        <v>1722</v>
      </c>
      <c r="T167" t="s">
        <v>1722</v>
      </c>
      <c r="U167" t="s">
        <v>1722</v>
      </c>
      <c r="V167" t="s">
        <v>1722</v>
      </c>
      <c r="W167" t="s">
        <v>1722</v>
      </c>
      <c r="AC167" t="s">
        <v>548</v>
      </c>
      <c r="AE167" t="s">
        <v>548</v>
      </c>
      <c r="AF167" t="s">
        <v>548</v>
      </c>
      <c r="AG167" t="s">
        <v>548</v>
      </c>
      <c r="AH167" t="s">
        <v>548</v>
      </c>
      <c r="AI167" t="s">
        <v>548</v>
      </c>
      <c r="AO167" t="s">
        <v>1721</v>
      </c>
      <c r="AP167" t="s">
        <v>1721</v>
      </c>
      <c r="AQ167" t="s">
        <v>1721</v>
      </c>
      <c r="AR167" t="s">
        <v>1721</v>
      </c>
      <c r="AS167" t="s">
        <v>1721</v>
      </c>
      <c r="BD167">
        <v>3</v>
      </c>
      <c r="BJ167">
        <v>1</v>
      </c>
      <c r="BK167" t="s">
        <v>1041</v>
      </c>
      <c r="BU167" t="s">
        <v>1952</v>
      </c>
      <c r="BV167" t="s">
        <v>1042</v>
      </c>
    </row>
    <row r="168" spans="1:74" x14ac:dyDescent="0.2">
      <c r="A168" t="s">
        <v>1923</v>
      </c>
      <c r="B168" t="s">
        <v>1953</v>
      </c>
      <c r="C168" t="s">
        <v>948</v>
      </c>
      <c r="D168" t="s">
        <v>281</v>
      </c>
      <c r="E168" t="s">
        <v>1031</v>
      </c>
      <c r="F168" t="s">
        <v>1954</v>
      </c>
      <c r="G168" t="s">
        <v>1354</v>
      </c>
      <c r="H168" t="s">
        <v>1955</v>
      </c>
      <c r="I168" t="s">
        <v>1956</v>
      </c>
      <c r="J168" t="s">
        <v>1066</v>
      </c>
      <c r="N168" t="s">
        <v>1150</v>
      </c>
      <c r="O168" t="s">
        <v>1039</v>
      </c>
      <c r="P168" t="s">
        <v>1957</v>
      </c>
      <c r="Q168" t="s">
        <v>1088</v>
      </c>
      <c r="R168">
        <v>1</v>
      </c>
      <c r="S168">
        <v>1</v>
      </c>
      <c r="T168">
        <v>1</v>
      </c>
      <c r="U168">
        <v>1</v>
      </c>
      <c r="V168">
        <v>1</v>
      </c>
      <c r="W168">
        <v>1</v>
      </c>
      <c r="BV168" t="s">
        <v>1042</v>
      </c>
    </row>
    <row r="169" spans="1:74" x14ac:dyDescent="0.2">
      <c r="A169" t="s">
        <v>1923</v>
      </c>
      <c r="B169" t="s">
        <v>1958</v>
      </c>
      <c r="C169" t="s">
        <v>948</v>
      </c>
      <c r="D169" t="s">
        <v>281</v>
      </c>
      <c r="E169" t="s">
        <v>1031</v>
      </c>
      <c r="F169" t="s">
        <v>1954</v>
      </c>
      <c r="G169" t="s">
        <v>1358</v>
      </c>
      <c r="H169" t="s">
        <v>1959</v>
      </c>
      <c r="I169" t="s">
        <v>1960</v>
      </c>
      <c r="J169" t="s">
        <v>1036</v>
      </c>
      <c r="K169" t="s">
        <v>1037</v>
      </c>
      <c r="N169" t="s">
        <v>1144</v>
      </c>
      <c r="O169" t="s">
        <v>253</v>
      </c>
      <c r="P169" t="s">
        <v>1961</v>
      </c>
      <c r="Q169" t="s">
        <v>1088</v>
      </c>
      <c r="R169">
        <v>36</v>
      </c>
      <c r="S169">
        <v>36</v>
      </c>
      <c r="T169">
        <v>36</v>
      </c>
      <c r="U169">
        <v>36</v>
      </c>
      <c r="V169">
        <v>56</v>
      </c>
      <c r="W169">
        <v>56</v>
      </c>
      <c r="AH169" t="s">
        <v>548</v>
      </c>
      <c r="AI169" t="s">
        <v>548</v>
      </c>
      <c r="AM169">
        <v>51</v>
      </c>
      <c r="AN169">
        <v>51</v>
      </c>
      <c r="AR169">
        <v>56</v>
      </c>
      <c r="AS169">
        <v>56</v>
      </c>
      <c r="AW169">
        <v>56</v>
      </c>
      <c r="AX169">
        <v>56</v>
      </c>
      <c r="BB169">
        <v>66</v>
      </c>
      <c r="BC169">
        <v>66</v>
      </c>
      <c r="BD169">
        <v>1.485E-2</v>
      </c>
      <c r="BH169">
        <v>5.1999999999999998E-3</v>
      </c>
      <c r="BJ169">
        <v>1</v>
      </c>
      <c r="BK169" t="s">
        <v>1041</v>
      </c>
      <c r="BV169" t="s">
        <v>1042</v>
      </c>
    </row>
    <row r="170" spans="1:74" x14ac:dyDescent="0.2">
      <c r="A170" t="s">
        <v>1923</v>
      </c>
      <c r="B170" t="s">
        <v>1962</v>
      </c>
      <c r="C170" t="s">
        <v>948</v>
      </c>
      <c r="D170" t="s">
        <v>281</v>
      </c>
      <c r="E170" t="s">
        <v>1031</v>
      </c>
      <c r="F170" t="s">
        <v>1963</v>
      </c>
      <c r="G170" t="s">
        <v>1372</v>
      </c>
      <c r="H170" t="s">
        <v>1964</v>
      </c>
      <c r="I170" t="s">
        <v>1965</v>
      </c>
      <c r="J170" t="s">
        <v>1036</v>
      </c>
      <c r="K170" t="s">
        <v>1037</v>
      </c>
      <c r="N170" t="s">
        <v>1038</v>
      </c>
      <c r="O170" t="s">
        <v>1039</v>
      </c>
      <c r="P170" t="s">
        <v>1040</v>
      </c>
      <c r="Q170">
        <v>1</v>
      </c>
      <c r="R170">
        <v>24.5</v>
      </c>
      <c r="S170">
        <v>24.4</v>
      </c>
      <c r="T170">
        <v>24.3</v>
      </c>
      <c r="U170">
        <v>24.2</v>
      </c>
      <c r="V170">
        <v>24.1</v>
      </c>
      <c r="W170">
        <v>24</v>
      </c>
      <c r="AE170" t="s">
        <v>548</v>
      </c>
      <c r="AF170" t="s">
        <v>548</v>
      </c>
      <c r="AG170" t="s">
        <v>548</v>
      </c>
      <c r="AH170" t="s">
        <v>548</v>
      </c>
      <c r="AI170" t="s">
        <v>548</v>
      </c>
      <c r="AJ170">
        <v>27</v>
      </c>
      <c r="AK170">
        <v>27</v>
      </c>
      <c r="AL170">
        <v>27</v>
      </c>
      <c r="AM170">
        <v>27</v>
      </c>
      <c r="AN170">
        <v>27</v>
      </c>
      <c r="AO170">
        <v>24.9</v>
      </c>
      <c r="AP170">
        <v>24.8</v>
      </c>
      <c r="AQ170">
        <v>24.7</v>
      </c>
      <c r="AR170">
        <v>24.6</v>
      </c>
      <c r="AS170">
        <v>24.5</v>
      </c>
      <c r="AT170">
        <v>23.9</v>
      </c>
      <c r="AU170">
        <v>23.8</v>
      </c>
      <c r="AV170">
        <v>23.7</v>
      </c>
      <c r="AW170">
        <v>23.6</v>
      </c>
      <c r="AX170">
        <v>23.5</v>
      </c>
      <c r="AY170">
        <v>23.4</v>
      </c>
      <c r="AZ170">
        <v>23.3</v>
      </c>
      <c r="BA170">
        <v>23.2</v>
      </c>
      <c r="BB170">
        <v>23.1</v>
      </c>
      <c r="BC170">
        <v>23</v>
      </c>
      <c r="BD170">
        <v>0.2</v>
      </c>
      <c r="BH170">
        <v>5.9400000000000001E-2</v>
      </c>
      <c r="BJ170">
        <v>1</v>
      </c>
      <c r="BK170" t="s">
        <v>1041</v>
      </c>
      <c r="BV170" t="s">
        <v>1042</v>
      </c>
    </row>
    <row r="171" spans="1:74" x14ac:dyDescent="0.2">
      <c r="A171" t="s">
        <v>1923</v>
      </c>
      <c r="B171" t="s">
        <v>1966</v>
      </c>
      <c r="C171" t="s">
        <v>948</v>
      </c>
      <c r="D171" t="s">
        <v>281</v>
      </c>
      <c r="E171" t="s">
        <v>1031</v>
      </c>
      <c r="F171" t="s">
        <v>1963</v>
      </c>
      <c r="G171" t="s">
        <v>1512</v>
      </c>
      <c r="H171" t="s">
        <v>1967</v>
      </c>
      <c r="I171" t="s">
        <v>1968</v>
      </c>
      <c r="J171" t="s">
        <v>1047</v>
      </c>
      <c r="K171" t="s">
        <v>1037</v>
      </c>
      <c r="N171" t="s">
        <v>1048</v>
      </c>
      <c r="O171" t="s">
        <v>1039</v>
      </c>
      <c r="P171" t="s">
        <v>1416</v>
      </c>
      <c r="Q171">
        <v>1</v>
      </c>
      <c r="R171">
        <v>162.80000000000001</v>
      </c>
      <c r="S171">
        <v>161.19999999999999</v>
      </c>
      <c r="T171">
        <v>160</v>
      </c>
      <c r="U171">
        <v>158.80000000000001</v>
      </c>
      <c r="V171">
        <v>157.69999999999999</v>
      </c>
      <c r="W171">
        <v>156.9</v>
      </c>
      <c r="AE171" t="s">
        <v>548</v>
      </c>
      <c r="AF171" t="s">
        <v>548</v>
      </c>
      <c r="AG171" t="s">
        <v>548</v>
      </c>
      <c r="AH171" t="s">
        <v>548</v>
      </c>
      <c r="AI171" t="s">
        <v>548</v>
      </c>
      <c r="AJ171">
        <v>164.3</v>
      </c>
      <c r="AK171">
        <v>163.1</v>
      </c>
      <c r="AL171">
        <v>161.80000000000001</v>
      </c>
      <c r="AM171">
        <v>160.69999999999999</v>
      </c>
      <c r="AN171">
        <v>159.9</v>
      </c>
      <c r="AO171">
        <v>161.4</v>
      </c>
      <c r="AP171">
        <v>160.19999999999999</v>
      </c>
      <c r="AQ171">
        <v>159</v>
      </c>
      <c r="AR171">
        <v>157.9</v>
      </c>
      <c r="AS171">
        <v>157.1</v>
      </c>
      <c r="BD171">
        <v>7.0699999999999999E-2</v>
      </c>
      <c r="BJ171">
        <v>1</v>
      </c>
      <c r="BK171" t="s">
        <v>1041</v>
      </c>
      <c r="BV171" t="s">
        <v>1042</v>
      </c>
    </row>
    <row r="172" spans="1:74" x14ac:dyDescent="0.2">
      <c r="A172" t="s">
        <v>1923</v>
      </c>
      <c r="B172" t="s">
        <v>1969</v>
      </c>
      <c r="C172" t="s">
        <v>948</v>
      </c>
      <c r="D172" t="s">
        <v>281</v>
      </c>
      <c r="E172" t="s">
        <v>1031</v>
      </c>
      <c r="F172" t="s">
        <v>1963</v>
      </c>
      <c r="G172" t="s">
        <v>1970</v>
      </c>
      <c r="H172" t="s">
        <v>1971</v>
      </c>
      <c r="I172" t="s">
        <v>1972</v>
      </c>
      <c r="J172" t="s">
        <v>1066</v>
      </c>
      <c r="N172" t="s">
        <v>1973</v>
      </c>
      <c r="O172" t="s">
        <v>1039</v>
      </c>
      <c r="P172" t="s">
        <v>1974</v>
      </c>
      <c r="Q172" t="s">
        <v>1088</v>
      </c>
      <c r="R172">
        <v>6221</v>
      </c>
      <c r="S172">
        <v>8000</v>
      </c>
      <c r="T172">
        <v>8500</v>
      </c>
      <c r="U172">
        <v>9000</v>
      </c>
      <c r="V172">
        <v>9500</v>
      </c>
      <c r="W172" t="s">
        <v>1975</v>
      </c>
      <c r="BV172" t="s">
        <v>1042</v>
      </c>
    </row>
    <row r="173" spans="1:74" x14ac:dyDescent="0.2">
      <c r="A173" t="s">
        <v>1923</v>
      </c>
      <c r="B173" t="s">
        <v>1976</v>
      </c>
      <c r="C173" t="s">
        <v>948</v>
      </c>
      <c r="D173" t="s">
        <v>281</v>
      </c>
      <c r="E173" t="s">
        <v>1031</v>
      </c>
      <c r="F173" t="s">
        <v>1963</v>
      </c>
      <c r="G173" t="s">
        <v>1977</v>
      </c>
      <c r="H173" t="s">
        <v>1978</v>
      </c>
      <c r="I173" t="s">
        <v>1979</v>
      </c>
      <c r="J173" t="s">
        <v>1066</v>
      </c>
      <c r="N173" t="s">
        <v>1191</v>
      </c>
      <c r="O173" t="s">
        <v>1039</v>
      </c>
      <c r="P173" t="s">
        <v>1980</v>
      </c>
      <c r="Q173" t="s">
        <v>1088</v>
      </c>
      <c r="R173">
        <v>529</v>
      </c>
      <c r="S173">
        <v>525</v>
      </c>
      <c r="T173">
        <v>525</v>
      </c>
      <c r="U173">
        <v>525</v>
      </c>
      <c r="V173">
        <v>525</v>
      </c>
      <c r="W173">
        <v>525</v>
      </c>
      <c r="BV173" t="s">
        <v>1042</v>
      </c>
    </row>
    <row r="174" spans="1:74" x14ac:dyDescent="0.2">
      <c r="A174" t="s">
        <v>1923</v>
      </c>
      <c r="B174" t="s">
        <v>1981</v>
      </c>
      <c r="C174" t="s">
        <v>948</v>
      </c>
      <c r="D174" t="s">
        <v>281</v>
      </c>
      <c r="E174" t="s">
        <v>1031</v>
      </c>
      <c r="F174" t="s">
        <v>1963</v>
      </c>
      <c r="G174" t="s">
        <v>1982</v>
      </c>
      <c r="H174" t="s">
        <v>1983</v>
      </c>
      <c r="I174" t="s">
        <v>1984</v>
      </c>
      <c r="J174" t="s">
        <v>1066</v>
      </c>
      <c r="N174" t="s">
        <v>1261</v>
      </c>
      <c r="O174" t="s">
        <v>1039</v>
      </c>
      <c r="P174" t="s">
        <v>1985</v>
      </c>
      <c r="Q174">
        <v>1</v>
      </c>
      <c r="R174">
        <v>0.3</v>
      </c>
      <c r="S174">
        <v>0</v>
      </c>
      <c r="T174">
        <v>0</v>
      </c>
      <c r="U174">
        <v>0</v>
      </c>
      <c r="V174">
        <v>0</v>
      </c>
      <c r="W174">
        <v>0</v>
      </c>
      <c r="BV174" t="s">
        <v>1042</v>
      </c>
    </row>
    <row r="175" spans="1:74" x14ac:dyDescent="0.2">
      <c r="A175" t="s">
        <v>1923</v>
      </c>
      <c r="B175" t="s">
        <v>1986</v>
      </c>
      <c r="C175" t="s">
        <v>948</v>
      </c>
      <c r="D175" t="s">
        <v>281</v>
      </c>
      <c r="E175" t="s">
        <v>1031</v>
      </c>
      <c r="F175" t="s">
        <v>1963</v>
      </c>
      <c r="G175" t="s">
        <v>1987</v>
      </c>
      <c r="H175" t="s">
        <v>1988</v>
      </c>
      <c r="I175" t="s">
        <v>1989</v>
      </c>
      <c r="J175" t="s">
        <v>1066</v>
      </c>
      <c r="N175" t="s">
        <v>1183</v>
      </c>
      <c r="O175" t="s">
        <v>1039</v>
      </c>
      <c r="P175" t="s">
        <v>1990</v>
      </c>
      <c r="Q175" t="s">
        <v>1088</v>
      </c>
      <c r="R175">
        <v>0</v>
      </c>
      <c r="S175">
        <v>0</v>
      </c>
      <c r="T175">
        <v>0</v>
      </c>
      <c r="U175">
        <v>0</v>
      </c>
      <c r="V175">
        <v>0</v>
      </c>
      <c r="W175">
        <v>14</v>
      </c>
      <c r="BV175" t="s">
        <v>1042</v>
      </c>
    </row>
    <row r="176" spans="1:74" x14ac:dyDescent="0.2">
      <c r="A176" t="s">
        <v>1923</v>
      </c>
      <c r="B176" t="s">
        <v>1991</v>
      </c>
      <c r="C176" t="s">
        <v>948</v>
      </c>
      <c r="D176" t="s">
        <v>1106</v>
      </c>
      <c r="E176" t="s">
        <v>1107</v>
      </c>
      <c r="F176" t="s">
        <v>1992</v>
      </c>
      <c r="G176" t="s">
        <v>1348</v>
      </c>
      <c r="H176" t="s">
        <v>1993</v>
      </c>
      <c r="I176" t="s">
        <v>1994</v>
      </c>
      <c r="J176" t="s">
        <v>1066</v>
      </c>
      <c r="N176" t="s">
        <v>1121</v>
      </c>
      <c r="O176" t="s">
        <v>1039</v>
      </c>
      <c r="P176" t="s">
        <v>1995</v>
      </c>
      <c r="Q176" t="s">
        <v>1088</v>
      </c>
      <c r="R176">
        <v>2000</v>
      </c>
      <c r="S176">
        <v>5000</v>
      </c>
      <c r="T176">
        <v>5000</v>
      </c>
      <c r="U176">
        <v>5000</v>
      </c>
      <c r="V176">
        <v>5000</v>
      </c>
      <c r="W176">
        <v>5000</v>
      </c>
      <c r="BV176" t="s">
        <v>1042</v>
      </c>
    </row>
    <row r="177" spans="1:74" x14ac:dyDescent="0.2">
      <c r="A177" t="s">
        <v>1923</v>
      </c>
      <c r="B177" t="s">
        <v>1996</v>
      </c>
      <c r="C177" t="s">
        <v>948</v>
      </c>
      <c r="D177" t="s">
        <v>1106</v>
      </c>
      <c r="E177" t="s">
        <v>1107</v>
      </c>
      <c r="F177" t="s">
        <v>1992</v>
      </c>
      <c r="G177" t="s">
        <v>1478</v>
      </c>
      <c r="H177" t="s">
        <v>1997</v>
      </c>
      <c r="I177" t="s">
        <v>1998</v>
      </c>
      <c r="J177" t="s">
        <v>1066</v>
      </c>
      <c r="N177" t="s">
        <v>1121</v>
      </c>
      <c r="O177" t="s">
        <v>253</v>
      </c>
      <c r="P177" t="s">
        <v>1999</v>
      </c>
      <c r="Q177">
        <v>2</v>
      </c>
      <c r="R177">
        <v>0.83</v>
      </c>
      <c r="S177" t="s">
        <v>2000</v>
      </c>
      <c r="T177" t="s">
        <v>2000</v>
      </c>
      <c r="U177" t="s">
        <v>2000</v>
      </c>
      <c r="V177" t="s">
        <v>2000</v>
      </c>
      <c r="W177" t="s">
        <v>2000</v>
      </c>
      <c r="BV177" t="s">
        <v>1042</v>
      </c>
    </row>
    <row r="178" spans="1:74" x14ac:dyDescent="0.2">
      <c r="A178" t="s">
        <v>1923</v>
      </c>
      <c r="B178" t="s">
        <v>2001</v>
      </c>
      <c r="C178" t="s">
        <v>948</v>
      </c>
      <c r="D178" t="s">
        <v>1106</v>
      </c>
      <c r="E178" t="s">
        <v>1107</v>
      </c>
      <c r="F178" t="s">
        <v>1992</v>
      </c>
      <c r="G178" t="s">
        <v>1483</v>
      </c>
      <c r="H178" t="s">
        <v>2002</v>
      </c>
      <c r="I178" t="s">
        <v>2003</v>
      </c>
      <c r="J178" t="s">
        <v>1066</v>
      </c>
      <c r="N178" t="s">
        <v>1121</v>
      </c>
      <c r="O178" t="s">
        <v>253</v>
      </c>
      <c r="P178" t="s">
        <v>1204</v>
      </c>
      <c r="Q178" t="s">
        <v>1088</v>
      </c>
      <c r="R178">
        <v>17</v>
      </c>
      <c r="S178" t="s">
        <v>2004</v>
      </c>
      <c r="T178" t="s">
        <v>2004</v>
      </c>
      <c r="U178" t="s">
        <v>2004</v>
      </c>
      <c r="V178" t="s">
        <v>2004</v>
      </c>
      <c r="W178" t="s">
        <v>2004</v>
      </c>
      <c r="BU178" t="s">
        <v>2005</v>
      </c>
      <c r="BV178" t="s">
        <v>1042</v>
      </c>
    </row>
    <row r="179" spans="1:74" x14ac:dyDescent="0.2">
      <c r="A179" t="s">
        <v>1923</v>
      </c>
      <c r="B179" t="s">
        <v>2006</v>
      </c>
      <c r="C179" t="s">
        <v>948</v>
      </c>
      <c r="D179" t="s">
        <v>1106</v>
      </c>
      <c r="E179" t="s">
        <v>1107</v>
      </c>
      <c r="F179" t="s">
        <v>2007</v>
      </c>
      <c r="G179" t="s">
        <v>1365</v>
      </c>
      <c r="H179" t="s">
        <v>2008</v>
      </c>
      <c r="I179" t="s">
        <v>2009</v>
      </c>
      <c r="J179" t="s">
        <v>1066</v>
      </c>
      <c r="N179" t="s">
        <v>1203</v>
      </c>
      <c r="O179" t="s">
        <v>253</v>
      </c>
      <c r="P179" t="s">
        <v>1204</v>
      </c>
      <c r="Q179">
        <v>1</v>
      </c>
      <c r="R179">
        <v>88</v>
      </c>
      <c r="S179">
        <v>89</v>
      </c>
      <c r="T179">
        <v>89.5</v>
      </c>
      <c r="U179">
        <v>90</v>
      </c>
      <c r="V179">
        <v>90</v>
      </c>
      <c r="W179">
        <v>91</v>
      </c>
      <c r="BV179" t="s">
        <v>1042</v>
      </c>
    </row>
    <row r="180" spans="1:74" x14ac:dyDescent="0.2">
      <c r="A180" t="s">
        <v>1923</v>
      </c>
      <c r="B180" t="s">
        <v>2010</v>
      </c>
      <c r="C180" t="s">
        <v>948</v>
      </c>
      <c r="D180" t="s">
        <v>1106</v>
      </c>
      <c r="E180" t="s">
        <v>1107</v>
      </c>
      <c r="F180" t="s">
        <v>2007</v>
      </c>
      <c r="G180" t="s">
        <v>1825</v>
      </c>
      <c r="H180" t="s">
        <v>2011</v>
      </c>
      <c r="I180" t="s">
        <v>2012</v>
      </c>
      <c r="J180" t="s">
        <v>1036</v>
      </c>
      <c r="K180" t="s">
        <v>1037</v>
      </c>
      <c r="M180" t="s">
        <v>543</v>
      </c>
      <c r="N180" t="s">
        <v>1112</v>
      </c>
      <c r="O180" t="s">
        <v>1113</v>
      </c>
      <c r="P180" t="s">
        <v>1114</v>
      </c>
      <c r="Q180">
        <v>1</v>
      </c>
      <c r="R180">
        <v>85</v>
      </c>
      <c r="S180">
        <v>85.6</v>
      </c>
      <c r="T180">
        <v>86.2</v>
      </c>
      <c r="U180">
        <v>86.8</v>
      </c>
      <c r="V180">
        <v>87.4</v>
      </c>
      <c r="W180">
        <v>88</v>
      </c>
      <c r="AE180" t="s">
        <v>548</v>
      </c>
      <c r="AF180" t="s">
        <v>548</v>
      </c>
      <c r="AG180" t="s">
        <v>548</v>
      </c>
      <c r="AH180" t="s">
        <v>548</v>
      </c>
      <c r="AI180" t="s">
        <v>548</v>
      </c>
      <c r="AJ180" t="s">
        <v>1115</v>
      </c>
      <c r="AK180" t="s">
        <v>1115</v>
      </c>
      <c r="AL180" t="s">
        <v>1115</v>
      </c>
      <c r="AM180" t="s">
        <v>1115</v>
      </c>
      <c r="AN180" t="s">
        <v>1115</v>
      </c>
      <c r="AO180" t="s">
        <v>1115</v>
      </c>
      <c r="AP180" t="s">
        <v>1115</v>
      </c>
      <c r="AQ180" t="s">
        <v>1115</v>
      </c>
      <c r="AR180" t="s">
        <v>1115</v>
      </c>
      <c r="AS180" t="s">
        <v>1115</v>
      </c>
      <c r="AT180" t="s">
        <v>1115</v>
      </c>
      <c r="AU180" t="s">
        <v>1115</v>
      </c>
      <c r="AV180" t="s">
        <v>1115</v>
      </c>
      <c r="AW180" t="s">
        <v>1115</v>
      </c>
      <c r="AX180" t="s">
        <v>1115</v>
      </c>
      <c r="AY180" t="s">
        <v>1115</v>
      </c>
      <c r="AZ180" t="s">
        <v>1115</v>
      </c>
      <c r="BA180" t="s">
        <v>1115</v>
      </c>
      <c r="BB180" t="s">
        <v>1115</v>
      </c>
      <c r="BC180" t="s">
        <v>1115</v>
      </c>
      <c r="BD180" t="s">
        <v>1115</v>
      </c>
      <c r="BH180" t="s">
        <v>1115</v>
      </c>
      <c r="BJ180">
        <v>1</v>
      </c>
      <c r="BK180" t="s">
        <v>1041</v>
      </c>
      <c r="BU180" t="s">
        <v>1116</v>
      </c>
      <c r="BV180" t="s">
        <v>1042</v>
      </c>
    </row>
    <row r="181" spans="1:74" x14ac:dyDescent="0.2">
      <c r="A181" t="s">
        <v>1923</v>
      </c>
      <c r="B181" t="s">
        <v>2013</v>
      </c>
      <c r="C181" t="s">
        <v>948</v>
      </c>
      <c r="D181" t="s">
        <v>1106</v>
      </c>
      <c r="E181" t="s">
        <v>1107</v>
      </c>
      <c r="F181" t="s">
        <v>2007</v>
      </c>
      <c r="G181" t="s">
        <v>1833</v>
      </c>
      <c r="H181" t="s">
        <v>2014</v>
      </c>
      <c r="I181" t="s">
        <v>2015</v>
      </c>
      <c r="J181" t="s">
        <v>1066</v>
      </c>
      <c r="N181" t="s">
        <v>1203</v>
      </c>
      <c r="O181" t="s">
        <v>1039</v>
      </c>
      <c r="P181" t="s">
        <v>2016</v>
      </c>
      <c r="Q181">
        <v>1</v>
      </c>
      <c r="R181">
        <v>7.6</v>
      </c>
      <c r="S181">
        <v>7.4</v>
      </c>
      <c r="T181">
        <v>7.2</v>
      </c>
      <c r="U181">
        <v>7</v>
      </c>
      <c r="V181">
        <v>6.8</v>
      </c>
      <c r="W181">
        <v>6.6</v>
      </c>
      <c r="BV181" t="s">
        <v>1042</v>
      </c>
    </row>
    <row r="182" spans="1:74" x14ac:dyDescent="0.2">
      <c r="A182" t="s">
        <v>2017</v>
      </c>
      <c r="B182" t="s">
        <v>2018</v>
      </c>
      <c r="C182" t="s">
        <v>948</v>
      </c>
      <c r="D182" t="s">
        <v>281</v>
      </c>
      <c r="E182" t="s">
        <v>1031</v>
      </c>
      <c r="F182" t="s">
        <v>2019</v>
      </c>
      <c r="G182" t="s">
        <v>1330</v>
      </c>
      <c r="H182" t="s">
        <v>2020</v>
      </c>
      <c r="I182" t="s">
        <v>2021</v>
      </c>
      <c r="J182" t="s">
        <v>1036</v>
      </c>
      <c r="K182" t="s">
        <v>1037</v>
      </c>
      <c r="N182" t="s">
        <v>1203</v>
      </c>
      <c r="O182" t="s">
        <v>1113</v>
      </c>
      <c r="P182" t="s">
        <v>2022</v>
      </c>
      <c r="Q182">
        <v>1</v>
      </c>
      <c r="R182">
        <v>4.5999999999999996</v>
      </c>
      <c r="S182">
        <v>4.5999999999999996</v>
      </c>
      <c r="T182">
        <v>4.5999999999999996</v>
      </c>
      <c r="U182">
        <v>4.5999999999999996</v>
      </c>
      <c r="V182">
        <v>4.5999999999999996</v>
      </c>
      <c r="W182">
        <v>4.5999999999999996</v>
      </c>
      <c r="AF182" t="s">
        <v>548</v>
      </c>
      <c r="AG182" t="s">
        <v>548</v>
      </c>
      <c r="AH182" t="s">
        <v>548</v>
      </c>
      <c r="AI182" t="s">
        <v>548</v>
      </c>
      <c r="AK182">
        <v>3.6</v>
      </c>
      <c r="AL182">
        <v>3.6</v>
      </c>
      <c r="AM182">
        <v>3.6</v>
      </c>
      <c r="AN182">
        <v>3.6</v>
      </c>
      <c r="AP182">
        <v>4.5</v>
      </c>
      <c r="AQ182">
        <v>4.5</v>
      </c>
      <c r="AR182">
        <v>4.5</v>
      </c>
      <c r="AS182">
        <v>4.5</v>
      </c>
      <c r="AU182">
        <v>4.7</v>
      </c>
      <c r="AV182">
        <v>4.7</v>
      </c>
      <c r="AW182">
        <v>4.7</v>
      </c>
      <c r="AX182">
        <v>4.7</v>
      </c>
      <c r="AZ182">
        <v>5</v>
      </c>
      <c r="BA182">
        <v>5</v>
      </c>
      <c r="BB182">
        <v>5</v>
      </c>
      <c r="BC182">
        <v>5</v>
      </c>
      <c r="BD182">
        <v>1.6E-2</v>
      </c>
      <c r="BH182">
        <v>1.6E-2</v>
      </c>
      <c r="BJ182">
        <v>10</v>
      </c>
      <c r="BK182" t="s">
        <v>2023</v>
      </c>
      <c r="BV182" t="s">
        <v>1042</v>
      </c>
    </row>
    <row r="183" spans="1:74" x14ac:dyDescent="0.2">
      <c r="A183" t="s">
        <v>2017</v>
      </c>
      <c r="B183" t="s">
        <v>2024</v>
      </c>
      <c r="C183" t="s">
        <v>948</v>
      </c>
      <c r="D183" t="s">
        <v>281</v>
      </c>
      <c r="E183" t="s">
        <v>1031</v>
      </c>
      <c r="F183" t="s">
        <v>2025</v>
      </c>
      <c r="G183" t="s">
        <v>1348</v>
      </c>
      <c r="H183" t="s">
        <v>2026</v>
      </c>
      <c r="I183" t="s">
        <v>2027</v>
      </c>
      <c r="J183" t="s">
        <v>1036</v>
      </c>
      <c r="K183" t="s">
        <v>1037</v>
      </c>
      <c r="N183" t="s">
        <v>1203</v>
      </c>
      <c r="O183" t="s">
        <v>1113</v>
      </c>
      <c r="P183" t="s">
        <v>2022</v>
      </c>
      <c r="Q183">
        <v>1</v>
      </c>
      <c r="R183">
        <v>4.3</v>
      </c>
      <c r="S183">
        <v>4.3</v>
      </c>
      <c r="T183">
        <v>4.3</v>
      </c>
      <c r="U183">
        <v>4.3</v>
      </c>
      <c r="V183">
        <v>4.3</v>
      </c>
      <c r="W183">
        <v>4.3</v>
      </c>
      <c r="AF183" t="s">
        <v>548</v>
      </c>
      <c r="AG183" t="s">
        <v>548</v>
      </c>
      <c r="AH183" t="s">
        <v>548</v>
      </c>
      <c r="AI183" t="s">
        <v>548</v>
      </c>
      <c r="AK183">
        <v>3.3</v>
      </c>
      <c r="AL183">
        <v>3.3</v>
      </c>
      <c r="AM183">
        <v>3.3</v>
      </c>
      <c r="AN183">
        <v>3.3</v>
      </c>
      <c r="AP183">
        <v>4.2</v>
      </c>
      <c r="AQ183">
        <v>4.2</v>
      </c>
      <c r="AR183">
        <v>4.2</v>
      </c>
      <c r="AS183">
        <v>4.2</v>
      </c>
      <c r="AU183">
        <v>4.4000000000000004</v>
      </c>
      <c r="AV183">
        <v>4.4000000000000004</v>
      </c>
      <c r="AW183">
        <v>4.4000000000000004</v>
      </c>
      <c r="AX183">
        <v>4.4000000000000004</v>
      </c>
      <c r="AZ183">
        <v>5</v>
      </c>
      <c r="BA183">
        <v>5</v>
      </c>
      <c r="BB183">
        <v>5</v>
      </c>
      <c r="BC183">
        <v>5</v>
      </c>
      <c r="BD183">
        <v>3.1E-2</v>
      </c>
      <c r="BH183">
        <v>3.1E-2</v>
      </c>
      <c r="BJ183">
        <v>10</v>
      </c>
      <c r="BK183" t="s">
        <v>2023</v>
      </c>
      <c r="BV183" t="s">
        <v>1042</v>
      </c>
    </row>
    <row r="184" spans="1:74" x14ac:dyDescent="0.2">
      <c r="A184" t="s">
        <v>2017</v>
      </c>
      <c r="B184" t="s">
        <v>2028</v>
      </c>
      <c r="C184" t="s">
        <v>948</v>
      </c>
      <c r="D184" t="s">
        <v>281</v>
      </c>
      <c r="E184" t="s">
        <v>1031</v>
      </c>
      <c r="F184" t="s">
        <v>2029</v>
      </c>
      <c r="G184" t="s">
        <v>1354</v>
      </c>
      <c r="H184" t="s">
        <v>2030</v>
      </c>
      <c r="I184" t="s">
        <v>2031</v>
      </c>
      <c r="J184" t="s">
        <v>1036</v>
      </c>
      <c r="K184" t="s">
        <v>1037</v>
      </c>
      <c r="N184" t="s">
        <v>1203</v>
      </c>
      <c r="O184" t="s">
        <v>1113</v>
      </c>
      <c r="P184" t="s">
        <v>2022</v>
      </c>
      <c r="Q184">
        <v>1</v>
      </c>
      <c r="R184">
        <v>3.6</v>
      </c>
      <c r="S184">
        <v>4</v>
      </c>
      <c r="T184">
        <v>4</v>
      </c>
      <c r="U184">
        <v>4</v>
      </c>
      <c r="V184">
        <v>4</v>
      </c>
      <c r="W184">
        <v>4</v>
      </c>
      <c r="AF184" t="s">
        <v>548</v>
      </c>
      <c r="AG184" t="s">
        <v>548</v>
      </c>
      <c r="AH184" t="s">
        <v>548</v>
      </c>
      <c r="AI184" t="s">
        <v>548</v>
      </c>
      <c r="AK184">
        <v>3</v>
      </c>
      <c r="AL184">
        <v>3</v>
      </c>
      <c r="AM184">
        <v>3</v>
      </c>
      <c r="AN184">
        <v>3</v>
      </c>
      <c r="AP184">
        <v>3.9</v>
      </c>
      <c r="AQ184">
        <v>3.9</v>
      </c>
      <c r="AR184">
        <v>3.9</v>
      </c>
      <c r="AS184">
        <v>3.9</v>
      </c>
      <c r="AU184">
        <v>4.0999999999999996</v>
      </c>
      <c r="AV184">
        <v>4.0999999999999996</v>
      </c>
      <c r="AW184">
        <v>4.0999999999999996</v>
      </c>
      <c r="AX184">
        <v>4.0999999999999996</v>
      </c>
      <c r="AZ184">
        <v>5</v>
      </c>
      <c r="BA184">
        <v>5</v>
      </c>
      <c r="BB184">
        <v>5</v>
      </c>
      <c r="BC184">
        <v>5</v>
      </c>
      <c r="BD184">
        <v>3.6999999999999998E-2</v>
      </c>
      <c r="BH184">
        <v>3.6999999999999998E-2</v>
      </c>
      <c r="BJ184">
        <v>10</v>
      </c>
      <c r="BK184" t="s">
        <v>2023</v>
      </c>
      <c r="BV184" t="s">
        <v>1042</v>
      </c>
    </row>
    <row r="185" spans="1:74" x14ac:dyDescent="0.2">
      <c r="A185" t="s">
        <v>2017</v>
      </c>
      <c r="B185" t="s">
        <v>2032</v>
      </c>
      <c r="C185" t="s">
        <v>948</v>
      </c>
      <c r="D185" t="s">
        <v>281</v>
      </c>
      <c r="E185" t="s">
        <v>1031</v>
      </c>
      <c r="F185" t="s">
        <v>2029</v>
      </c>
      <c r="G185" t="s">
        <v>1358</v>
      </c>
      <c r="H185" t="s">
        <v>2033</v>
      </c>
      <c r="I185" t="s">
        <v>2034</v>
      </c>
      <c r="J185" t="s">
        <v>1036</v>
      </c>
      <c r="K185" t="s">
        <v>1037</v>
      </c>
      <c r="N185" t="s">
        <v>1038</v>
      </c>
      <c r="O185" t="s">
        <v>1039</v>
      </c>
      <c r="P185" t="s">
        <v>1040</v>
      </c>
      <c r="Q185">
        <v>1</v>
      </c>
      <c r="R185">
        <v>93</v>
      </c>
      <c r="S185">
        <v>91.8</v>
      </c>
      <c r="T185">
        <v>90.9</v>
      </c>
      <c r="U185">
        <v>90</v>
      </c>
      <c r="V185">
        <v>89.1</v>
      </c>
      <c r="W185">
        <v>88.1</v>
      </c>
      <c r="AE185" t="s">
        <v>548</v>
      </c>
      <c r="AF185" t="s">
        <v>548</v>
      </c>
      <c r="AG185" t="s">
        <v>548</v>
      </c>
      <c r="AH185" t="s">
        <v>548</v>
      </c>
      <c r="AI185" t="s">
        <v>548</v>
      </c>
      <c r="AJ185">
        <v>101</v>
      </c>
      <c r="AK185">
        <v>100</v>
      </c>
      <c r="AL185">
        <v>99</v>
      </c>
      <c r="AM185">
        <v>98</v>
      </c>
      <c r="AN185">
        <v>96.9</v>
      </c>
      <c r="AO185">
        <v>92.8</v>
      </c>
      <c r="AP185">
        <v>91.9</v>
      </c>
      <c r="AQ185">
        <v>91</v>
      </c>
      <c r="AR185">
        <v>90.1</v>
      </c>
      <c r="AS185">
        <v>89.1</v>
      </c>
      <c r="AT185">
        <v>90.8</v>
      </c>
      <c r="AU185">
        <v>89.9</v>
      </c>
      <c r="AV185">
        <v>89</v>
      </c>
      <c r="AW185">
        <v>88.1</v>
      </c>
      <c r="AX185">
        <v>87.1</v>
      </c>
      <c r="AY185">
        <v>85.8</v>
      </c>
      <c r="AZ185">
        <v>84.9</v>
      </c>
      <c r="BA185">
        <v>84</v>
      </c>
      <c r="BB185">
        <v>83.1</v>
      </c>
      <c r="BC185">
        <v>82.1</v>
      </c>
      <c r="BD185">
        <v>0.315</v>
      </c>
      <c r="BH185">
        <v>0.315</v>
      </c>
      <c r="BJ185">
        <v>1</v>
      </c>
      <c r="BK185" t="s">
        <v>1041</v>
      </c>
      <c r="BV185" t="s">
        <v>1042</v>
      </c>
    </row>
    <row r="186" spans="1:74" x14ac:dyDescent="0.2">
      <c r="A186" t="s">
        <v>2017</v>
      </c>
      <c r="B186" t="s">
        <v>2035</v>
      </c>
      <c r="C186" t="s">
        <v>948</v>
      </c>
      <c r="D186" t="s">
        <v>281</v>
      </c>
      <c r="E186" t="s">
        <v>1031</v>
      </c>
      <c r="F186" t="s">
        <v>2036</v>
      </c>
      <c r="G186" t="s">
        <v>1365</v>
      </c>
      <c r="H186" t="s">
        <v>2037</v>
      </c>
      <c r="I186" t="s">
        <v>2038</v>
      </c>
      <c r="J186" t="s">
        <v>1036</v>
      </c>
      <c r="K186" t="s">
        <v>1037</v>
      </c>
      <c r="N186" t="s">
        <v>1203</v>
      </c>
      <c r="O186" t="s">
        <v>1113</v>
      </c>
      <c r="P186" t="s">
        <v>2022</v>
      </c>
      <c r="Q186">
        <v>1</v>
      </c>
      <c r="R186">
        <v>4.5</v>
      </c>
      <c r="S186">
        <v>4.5</v>
      </c>
      <c r="T186">
        <v>4.5</v>
      </c>
      <c r="U186">
        <v>4.5</v>
      </c>
      <c r="V186">
        <v>4.5</v>
      </c>
      <c r="W186">
        <v>4.5</v>
      </c>
      <c r="AF186" t="s">
        <v>548</v>
      </c>
      <c r="AG186" t="s">
        <v>548</v>
      </c>
      <c r="AH186" t="s">
        <v>548</v>
      </c>
      <c r="AI186" t="s">
        <v>548</v>
      </c>
      <c r="AK186">
        <v>3.5</v>
      </c>
      <c r="AL186">
        <v>3.5</v>
      </c>
      <c r="AM186">
        <v>3.5</v>
      </c>
      <c r="AN186">
        <v>3.5</v>
      </c>
      <c r="AP186">
        <v>4.4000000000000004</v>
      </c>
      <c r="AQ186">
        <v>4.4000000000000004</v>
      </c>
      <c r="AR186">
        <v>4.4000000000000004</v>
      </c>
      <c r="AS186">
        <v>4.4000000000000004</v>
      </c>
      <c r="AU186">
        <v>4.5999999999999996</v>
      </c>
      <c r="AV186">
        <v>4.5999999999999996</v>
      </c>
      <c r="AW186">
        <v>4.5999999999999996</v>
      </c>
      <c r="AX186">
        <v>4.5999999999999996</v>
      </c>
      <c r="AZ186">
        <v>5</v>
      </c>
      <c r="BA186">
        <v>5</v>
      </c>
      <c r="BB186">
        <v>5</v>
      </c>
      <c r="BC186">
        <v>5</v>
      </c>
      <c r="BD186">
        <v>8.0000000000000002E-3</v>
      </c>
      <c r="BH186">
        <v>8.0000000000000002E-3</v>
      </c>
      <c r="BJ186">
        <v>10</v>
      </c>
      <c r="BK186" t="s">
        <v>2023</v>
      </c>
      <c r="BV186" t="s">
        <v>1042</v>
      </c>
    </row>
    <row r="187" spans="1:74" x14ac:dyDescent="0.2">
      <c r="A187" t="s">
        <v>2017</v>
      </c>
      <c r="B187" t="s">
        <v>2039</v>
      </c>
      <c r="C187" t="s">
        <v>948</v>
      </c>
      <c r="D187" t="s">
        <v>281</v>
      </c>
      <c r="E187" t="s">
        <v>1031</v>
      </c>
      <c r="F187" t="s">
        <v>2036</v>
      </c>
      <c r="G187" t="s">
        <v>1825</v>
      </c>
      <c r="H187" t="s">
        <v>2040</v>
      </c>
      <c r="I187" t="s">
        <v>2041</v>
      </c>
      <c r="J187" t="s">
        <v>1036</v>
      </c>
      <c r="K187" t="s">
        <v>1037</v>
      </c>
      <c r="M187" t="s">
        <v>543</v>
      </c>
      <c r="N187" t="s">
        <v>1112</v>
      </c>
      <c r="O187" t="s">
        <v>1113</v>
      </c>
      <c r="P187" t="s">
        <v>1114</v>
      </c>
      <c r="Q187">
        <v>1</v>
      </c>
      <c r="R187">
        <v>78</v>
      </c>
      <c r="W187" t="s">
        <v>1668</v>
      </c>
      <c r="AE187" t="s">
        <v>548</v>
      </c>
      <c r="AF187" t="s">
        <v>548</v>
      </c>
      <c r="AG187" t="s">
        <v>548</v>
      </c>
      <c r="AH187" t="s">
        <v>548</v>
      </c>
      <c r="AI187" t="s">
        <v>548</v>
      </c>
      <c r="AJ187" t="s">
        <v>1115</v>
      </c>
      <c r="AK187" t="s">
        <v>1115</v>
      </c>
      <c r="AL187" t="s">
        <v>1115</v>
      </c>
      <c r="AM187" t="s">
        <v>1115</v>
      </c>
      <c r="AN187" t="s">
        <v>1115</v>
      </c>
      <c r="AO187" t="s">
        <v>1115</v>
      </c>
      <c r="AP187" t="s">
        <v>1115</v>
      </c>
      <c r="AQ187" t="s">
        <v>1115</v>
      </c>
      <c r="AR187" t="s">
        <v>1115</v>
      </c>
      <c r="AS187" t="s">
        <v>1115</v>
      </c>
      <c r="AT187" t="s">
        <v>1115</v>
      </c>
      <c r="AU187" t="s">
        <v>1115</v>
      </c>
      <c r="AV187" t="s">
        <v>1115</v>
      </c>
      <c r="AW187" t="s">
        <v>1115</v>
      </c>
      <c r="AX187" t="s">
        <v>1115</v>
      </c>
      <c r="AY187" t="s">
        <v>1115</v>
      </c>
      <c r="AZ187" t="s">
        <v>1115</v>
      </c>
      <c r="BA187" t="s">
        <v>1115</v>
      </c>
      <c r="BB187" t="s">
        <v>1115</v>
      </c>
      <c r="BC187" t="s">
        <v>1115</v>
      </c>
      <c r="BD187" t="s">
        <v>1115</v>
      </c>
      <c r="BH187" t="s">
        <v>1115</v>
      </c>
      <c r="BJ187">
        <v>1</v>
      </c>
      <c r="BK187" t="s">
        <v>1041</v>
      </c>
      <c r="BU187" t="s">
        <v>1116</v>
      </c>
      <c r="BV187" t="s">
        <v>1042</v>
      </c>
    </row>
    <row r="188" spans="1:74" x14ac:dyDescent="0.2">
      <c r="A188" t="s">
        <v>2017</v>
      </c>
      <c r="B188" t="s">
        <v>2042</v>
      </c>
      <c r="C188" t="s">
        <v>948</v>
      </c>
      <c r="D188" t="s">
        <v>281</v>
      </c>
      <c r="E188" t="s">
        <v>1031</v>
      </c>
      <c r="F188" t="s">
        <v>2043</v>
      </c>
      <c r="G188" t="s">
        <v>1372</v>
      </c>
      <c r="H188" t="s">
        <v>2044</v>
      </c>
      <c r="I188" t="s">
        <v>2045</v>
      </c>
      <c r="J188" t="s">
        <v>1066</v>
      </c>
      <c r="N188" t="s">
        <v>1121</v>
      </c>
      <c r="O188" t="s">
        <v>253</v>
      </c>
      <c r="P188" t="s">
        <v>1204</v>
      </c>
      <c r="Q188" t="s">
        <v>1088</v>
      </c>
      <c r="R188">
        <v>72</v>
      </c>
      <c r="W188" t="s">
        <v>1668</v>
      </c>
      <c r="BV188" t="s">
        <v>1042</v>
      </c>
    </row>
    <row r="189" spans="1:74" x14ac:dyDescent="0.2">
      <c r="A189" t="s">
        <v>2017</v>
      </c>
      <c r="B189" t="s">
        <v>2046</v>
      </c>
      <c r="C189" t="s">
        <v>948</v>
      </c>
      <c r="D189" t="s">
        <v>281</v>
      </c>
      <c r="E189" t="s">
        <v>1031</v>
      </c>
      <c r="F189" t="s">
        <v>2047</v>
      </c>
      <c r="G189" t="s">
        <v>1378</v>
      </c>
      <c r="H189" t="s">
        <v>2048</v>
      </c>
      <c r="I189" t="s">
        <v>2049</v>
      </c>
      <c r="J189" t="s">
        <v>1036</v>
      </c>
      <c r="K189" t="s">
        <v>1037</v>
      </c>
      <c r="N189" t="s">
        <v>1203</v>
      </c>
      <c r="O189" t="s">
        <v>1113</v>
      </c>
      <c r="P189" t="s">
        <v>2022</v>
      </c>
      <c r="Q189">
        <v>1</v>
      </c>
      <c r="R189">
        <v>4.5</v>
      </c>
      <c r="S189">
        <v>4.5</v>
      </c>
      <c r="T189">
        <v>4.5</v>
      </c>
      <c r="U189">
        <v>4.5</v>
      </c>
      <c r="V189">
        <v>4.5</v>
      </c>
      <c r="W189">
        <v>4.5</v>
      </c>
      <c r="AF189" t="s">
        <v>548</v>
      </c>
      <c r="AG189" t="s">
        <v>548</v>
      </c>
      <c r="AH189" t="s">
        <v>548</v>
      </c>
      <c r="AI189" t="s">
        <v>548</v>
      </c>
      <c r="AK189">
        <v>3.5</v>
      </c>
      <c r="AL189">
        <v>3.5</v>
      </c>
      <c r="AM189">
        <v>3.5</v>
      </c>
      <c r="AN189">
        <v>3.5</v>
      </c>
      <c r="AP189">
        <v>4.4000000000000004</v>
      </c>
      <c r="AQ189">
        <v>4.4000000000000004</v>
      </c>
      <c r="AR189">
        <v>4.4000000000000004</v>
      </c>
      <c r="AS189">
        <v>4.4000000000000004</v>
      </c>
      <c r="AU189">
        <v>4.5999999999999996</v>
      </c>
      <c r="AV189">
        <v>4.5999999999999996</v>
      </c>
      <c r="AW189">
        <v>4.5999999999999996</v>
      </c>
      <c r="AX189">
        <v>4.5999999999999996</v>
      </c>
      <c r="AZ189">
        <v>5</v>
      </c>
      <c r="BA189">
        <v>5</v>
      </c>
      <c r="BB189">
        <v>5</v>
      </c>
      <c r="BC189">
        <v>5</v>
      </c>
      <c r="BD189">
        <v>2.7E-2</v>
      </c>
      <c r="BH189">
        <v>2.7E-2</v>
      </c>
      <c r="BJ189">
        <v>10</v>
      </c>
      <c r="BK189" t="s">
        <v>2023</v>
      </c>
      <c r="BV189" t="s">
        <v>1042</v>
      </c>
    </row>
    <row r="190" spans="1:74" x14ac:dyDescent="0.2">
      <c r="A190" t="s">
        <v>2017</v>
      </c>
      <c r="B190" t="s">
        <v>2050</v>
      </c>
      <c r="C190" t="s">
        <v>948</v>
      </c>
      <c r="D190" t="s">
        <v>281</v>
      </c>
      <c r="E190" t="s">
        <v>1031</v>
      </c>
      <c r="F190" t="s">
        <v>2047</v>
      </c>
      <c r="G190" t="s">
        <v>2051</v>
      </c>
      <c r="H190" t="s">
        <v>2052</v>
      </c>
      <c r="I190" t="s">
        <v>2053</v>
      </c>
      <c r="J190" t="s">
        <v>1036</v>
      </c>
      <c r="K190" t="s">
        <v>1338</v>
      </c>
      <c r="N190" t="s">
        <v>1131</v>
      </c>
      <c r="O190" t="s">
        <v>1039</v>
      </c>
      <c r="P190" t="s">
        <v>2054</v>
      </c>
      <c r="Q190">
        <v>0</v>
      </c>
      <c r="R190">
        <v>60</v>
      </c>
      <c r="S190">
        <v>60</v>
      </c>
      <c r="T190">
        <v>60</v>
      </c>
      <c r="U190">
        <v>60</v>
      </c>
      <c r="V190">
        <v>60</v>
      </c>
      <c r="W190">
        <v>60</v>
      </c>
      <c r="AE190" t="s">
        <v>548</v>
      </c>
      <c r="AF190" t="s">
        <v>548</v>
      </c>
      <c r="AG190" t="s">
        <v>548</v>
      </c>
      <c r="AH190" t="s">
        <v>548</v>
      </c>
      <c r="AI190" t="s">
        <v>548</v>
      </c>
      <c r="AJ190">
        <v>120</v>
      </c>
      <c r="AK190">
        <v>120</v>
      </c>
      <c r="AL190">
        <v>120</v>
      </c>
      <c r="AM190">
        <v>120</v>
      </c>
      <c r="AN190">
        <v>120</v>
      </c>
      <c r="AO190">
        <v>63</v>
      </c>
      <c r="AP190">
        <v>63</v>
      </c>
      <c r="AQ190">
        <v>63</v>
      </c>
      <c r="AR190">
        <v>63</v>
      </c>
      <c r="AS190">
        <v>63</v>
      </c>
      <c r="AT190">
        <v>57</v>
      </c>
      <c r="AU190">
        <v>57</v>
      </c>
      <c r="AV190">
        <v>57</v>
      </c>
      <c r="AW190">
        <v>57</v>
      </c>
      <c r="AX190">
        <v>57</v>
      </c>
      <c r="AY190">
        <v>0</v>
      </c>
      <c r="AZ190">
        <v>0</v>
      </c>
      <c r="BA190">
        <v>0</v>
      </c>
      <c r="BB190">
        <v>0</v>
      </c>
      <c r="BC190">
        <v>0</v>
      </c>
      <c r="BD190">
        <v>4.1599999999999997E-4</v>
      </c>
      <c r="BH190">
        <v>4.1599999999999997E-4</v>
      </c>
      <c r="BJ190">
        <v>10</v>
      </c>
      <c r="BK190" t="s">
        <v>2023</v>
      </c>
      <c r="BV190" t="s">
        <v>1042</v>
      </c>
    </row>
    <row r="191" spans="1:74" x14ac:dyDescent="0.2">
      <c r="A191" t="s">
        <v>2017</v>
      </c>
      <c r="B191" t="s">
        <v>2055</v>
      </c>
      <c r="C191" t="s">
        <v>948</v>
      </c>
      <c r="D191" t="s">
        <v>281</v>
      </c>
      <c r="E191" t="s">
        <v>1031</v>
      </c>
      <c r="F191" t="s">
        <v>2056</v>
      </c>
      <c r="G191" t="s">
        <v>1383</v>
      </c>
      <c r="H191" t="s">
        <v>2057</v>
      </c>
      <c r="I191" t="s">
        <v>2058</v>
      </c>
      <c r="J191" t="s">
        <v>1036</v>
      </c>
      <c r="K191" t="s">
        <v>1037</v>
      </c>
      <c r="N191" t="s">
        <v>1203</v>
      </c>
      <c r="O191" t="s">
        <v>1113</v>
      </c>
      <c r="P191" t="s">
        <v>2022</v>
      </c>
      <c r="Q191">
        <v>1</v>
      </c>
      <c r="R191">
        <v>4.7</v>
      </c>
      <c r="S191">
        <v>4.7</v>
      </c>
      <c r="T191">
        <v>4.7</v>
      </c>
      <c r="U191">
        <v>4.7</v>
      </c>
      <c r="V191">
        <v>4.7</v>
      </c>
      <c r="W191">
        <v>4.7</v>
      </c>
      <c r="AF191" t="s">
        <v>548</v>
      </c>
      <c r="AG191" t="s">
        <v>548</v>
      </c>
      <c r="AH191" t="s">
        <v>548</v>
      </c>
      <c r="AI191" t="s">
        <v>548</v>
      </c>
      <c r="AK191">
        <v>3.7</v>
      </c>
      <c r="AL191">
        <v>3.7</v>
      </c>
      <c r="AM191">
        <v>3.7</v>
      </c>
      <c r="AN191">
        <v>3.7</v>
      </c>
      <c r="AP191">
        <v>4.5999999999999996</v>
      </c>
      <c r="AQ191">
        <v>4.5999999999999996</v>
      </c>
      <c r="AR191">
        <v>4.5999999999999996</v>
      </c>
      <c r="AS191">
        <v>4.5999999999999996</v>
      </c>
      <c r="AU191">
        <v>4.8</v>
      </c>
      <c r="AV191">
        <v>4.8</v>
      </c>
      <c r="AW191">
        <v>4.8</v>
      </c>
      <c r="AX191">
        <v>4.8</v>
      </c>
      <c r="AZ191">
        <v>5</v>
      </c>
      <c r="BA191">
        <v>5</v>
      </c>
      <c r="BB191">
        <v>5</v>
      </c>
      <c r="BC191">
        <v>5</v>
      </c>
      <c r="BD191">
        <v>6.0000000000000001E-3</v>
      </c>
      <c r="BH191">
        <v>6.0000000000000001E-3</v>
      </c>
      <c r="BJ191">
        <v>10</v>
      </c>
      <c r="BK191" t="s">
        <v>2023</v>
      </c>
      <c r="BV191" t="s">
        <v>1042</v>
      </c>
    </row>
    <row r="192" spans="1:74" x14ac:dyDescent="0.2">
      <c r="A192" t="s">
        <v>2017</v>
      </c>
      <c r="B192" t="s">
        <v>2059</v>
      </c>
      <c r="C192" t="s">
        <v>948</v>
      </c>
      <c r="D192" t="s">
        <v>281</v>
      </c>
      <c r="E192" t="s">
        <v>1031</v>
      </c>
      <c r="F192" t="s">
        <v>2056</v>
      </c>
      <c r="G192" t="s">
        <v>1413</v>
      </c>
      <c r="H192" t="s">
        <v>2060</v>
      </c>
      <c r="I192" t="s">
        <v>2061</v>
      </c>
      <c r="J192" t="s">
        <v>1036</v>
      </c>
      <c r="K192" t="s">
        <v>1037</v>
      </c>
      <c r="N192" t="s">
        <v>1086</v>
      </c>
      <c r="O192" t="s">
        <v>1126</v>
      </c>
      <c r="P192" t="s">
        <v>1127</v>
      </c>
      <c r="Q192">
        <v>1</v>
      </c>
      <c r="R192">
        <v>13</v>
      </c>
      <c r="S192">
        <v>12.7</v>
      </c>
      <c r="T192">
        <v>12.3</v>
      </c>
      <c r="U192">
        <v>12</v>
      </c>
      <c r="V192">
        <v>12</v>
      </c>
      <c r="W192">
        <v>12</v>
      </c>
      <c r="Z192" t="s">
        <v>548</v>
      </c>
      <c r="AE192" t="s">
        <v>548</v>
      </c>
      <c r="AF192" t="s">
        <v>548</v>
      </c>
      <c r="AG192" t="s">
        <v>548</v>
      </c>
      <c r="AH192" t="s">
        <v>548</v>
      </c>
      <c r="AI192" t="s">
        <v>548</v>
      </c>
      <c r="AJ192">
        <v>20</v>
      </c>
      <c r="AK192">
        <v>20</v>
      </c>
      <c r="AL192">
        <v>22</v>
      </c>
      <c r="AM192">
        <v>22</v>
      </c>
      <c r="AN192">
        <v>22</v>
      </c>
      <c r="AO192">
        <v>13</v>
      </c>
      <c r="AP192">
        <v>13</v>
      </c>
      <c r="AQ192">
        <v>12</v>
      </c>
      <c r="AR192">
        <v>12</v>
      </c>
      <c r="AS192">
        <v>12</v>
      </c>
      <c r="AT192">
        <v>12</v>
      </c>
      <c r="AU192">
        <v>12</v>
      </c>
      <c r="AV192">
        <v>12</v>
      </c>
      <c r="AW192">
        <v>12</v>
      </c>
      <c r="AX192">
        <v>12</v>
      </c>
      <c r="AY192">
        <v>5</v>
      </c>
      <c r="AZ192">
        <v>5</v>
      </c>
      <c r="BA192">
        <v>5</v>
      </c>
      <c r="BB192">
        <v>5</v>
      </c>
      <c r="BC192">
        <v>5</v>
      </c>
      <c r="BD192">
        <v>0.13300000000000001</v>
      </c>
      <c r="BH192">
        <v>0.13300000000000001</v>
      </c>
      <c r="BJ192">
        <v>1</v>
      </c>
      <c r="BK192" t="s">
        <v>1041</v>
      </c>
      <c r="BV192" t="s">
        <v>1009</v>
      </c>
    </row>
    <row r="193" spans="1:74" x14ac:dyDescent="0.2">
      <c r="A193" t="s">
        <v>2017</v>
      </c>
      <c r="B193" t="s">
        <v>2062</v>
      </c>
      <c r="C193" t="s">
        <v>948</v>
      </c>
      <c r="D193" t="s">
        <v>281</v>
      </c>
      <c r="E193" t="s">
        <v>1031</v>
      </c>
      <c r="F193" t="s">
        <v>2063</v>
      </c>
      <c r="G193" t="s">
        <v>1390</v>
      </c>
      <c r="H193" t="s">
        <v>2064</v>
      </c>
      <c r="I193" t="s">
        <v>2065</v>
      </c>
      <c r="J193" t="s">
        <v>1036</v>
      </c>
      <c r="K193" t="s">
        <v>1037</v>
      </c>
      <c r="N193" t="s">
        <v>1203</v>
      </c>
      <c r="O193" t="s">
        <v>1113</v>
      </c>
      <c r="P193" t="s">
        <v>2022</v>
      </c>
      <c r="Q193">
        <v>1</v>
      </c>
      <c r="R193">
        <v>4.0999999999999996</v>
      </c>
      <c r="S193">
        <v>4.0999999999999996</v>
      </c>
      <c r="T193">
        <v>4.0999999999999996</v>
      </c>
      <c r="U193">
        <v>4.0999999999999996</v>
      </c>
      <c r="V193">
        <v>4.0999999999999996</v>
      </c>
      <c r="W193">
        <v>4.0999999999999996</v>
      </c>
      <c r="AF193" t="s">
        <v>548</v>
      </c>
      <c r="AG193" t="s">
        <v>548</v>
      </c>
      <c r="AH193" t="s">
        <v>548</v>
      </c>
      <c r="AI193" t="s">
        <v>548</v>
      </c>
      <c r="AK193">
        <v>3.1</v>
      </c>
      <c r="AL193">
        <v>3.1</v>
      </c>
      <c r="AM193">
        <v>3.1</v>
      </c>
      <c r="AN193">
        <v>3.1</v>
      </c>
      <c r="AP193">
        <v>4</v>
      </c>
      <c r="AQ193">
        <v>4</v>
      </c>
      <c r="AR193">
        <v>4</v>
      </c>
      <c r="AS193">
        <v>4</v>
      </c>
      <c r="AU193">
        <v>4.2</v>
      </c>
      <c r="AV193">
        <v>4.2</v>
      </c>
      <c r="AW193">
        <v>4.2</v>
      </c>
      <c r="AX193">
        <v>4.2</v>
      </c>
      <c r="AZ193">
        <v>5</v>
      </c>
      <c r="BA193">
        <v>5</v>
      </c>
      <c r="BB193">
        <v>5</v>
      </c>
      <c r="BC193">
        <v>5</v>
      </c>
      <c r="BD193">
        <v>2.4E-2</v>
      </c>
      <c r="BH193">
        <v>2.4E-2</v>
      </c>
      <c r="BJ193">
        <v>10</v>
      </c>
      <c r="BK193" t="s">
        <v>2023</v>
      </c>
      <c r="BV193" t="s">
        <v>1042</v>
      </c>
    </row>
    <row r="194" spans="1:74" x14ac:dyDescent="0.2">
      <c r="A194" t="s">
        <v>2017</v>
      </c>
      <c r="B194" t="s">
        <v>2066</v>
      </c>
      <c r="C194" t="s">
        <v>948</v>
      </c>
      <c r="D194" t="s">
        <v>281</v>
      </c>
      <c r="E194" t="s">
        <v>1031</v>
      </c>
      <c r="F194" t="s">
        <v>2063</v>
      </c>
      <c r="G194" t="s">
        <v>1395</v>
      </c>
      <c r="H194" t="s">
        <v>2067</v>
      </c>
      <c r="I194" t="s">
        <v>2068</v>
      </c>
      <c r="J194" t="s">
        <v>1047</v>
      </c>
      <c r="K194" t="s">
        <v>1037</v>
      </c>
      <c r="M194" t="s">
        <v>543</v>
      </c>
      <c r="N194" t="s">
        <v>1055</v>
      </c>
      <c r="O194" t="s">
        <v>1039</v>
      </c>
      <c r="P194" t="s">
        <v>1040</v>
      </c>
      <c r="Q194">
        <v>0</v>
      </c>
      <c r="R194">
        <v>0</v>
      </c>
      <c r="S194">
        <v>0</v>
      </c>
      <c r="T194">
        <v>0</v>
      </c>
      <c r="U194">
        <v>0</v>
      </c>
      <c r="V194">
        <v>0</v>
      </c>
      <c r="W194">
        <v>0</v>
      </c>
      <c r="AE194" t="s">
        <v>548</v>
      </c>
      <c r="AF194" t="s">
        <v>548</v>
      </c>
      <c r="AG194" t="s">
        <v>548</v>
      </c>
      <c r="AH194" t="s">
        <v>548</v>
      </c>
      <c r="AI194" t="s">
        <v>548</v>
      </c>
      <c r="AJ194" t="s">
        <v>2069</v>
      </c>
      <c r="AK194" t="s">
        <v>2069</v>
      </c>
      <c r="AL194" t="s">
        <v>2069</v>
      </c>
      <c r="AM194" t="s">
        <v>2069</v>
      </c>
      <c r="AN194" t="s">
        <v>2069</v>
      </c>
      <c r="AO194">
        <v>0</v>
      </c>
      <c r="AP194">
        <v>0</v>
      </c>
      <c r="AQ194">
        <v>0</v>
      </c>
      <c r="AR194">
        <v>0</v>
      </c>
      <c r="AS194">
        <v>0</v>
      </c>
      <c r="BD194">
        <v>0.504</v>
      </c>
      <c r="BJ194">
        <v>1</v>
      </c>
      <c r="BK194" t="s">
        <v>1041</v>
      </c>
      <c r="BU194" t="s">
        <v>2070</v>
      </c>
      <c r="BV194" t="s">
        <v>1042</v>
      </c>
    </row>
    <row r="195" spans="1:74" x14ac:dyDescent="0.2">
      <c r="A195" t="s">
        <v>2017</v>
      </c>
      <c r="B195" t="s">
        <v>2071</v>
      </c>
      <c r="C195" t="s">
        <v>948</v>
      </c>
      <c r="D195" t="s">
        <v>281</v>
      </c>
      <c r="E195" t="s">
        <v>1031</v>
      </c>
      <c r="F195" t="s">
        <v>2072</v>
      </c>
      <c r="G195" t="s">
        <v>1419</v>
      </c>
      <c r="H195" t="s">
        <v>2073</v>
      </c>
      <c r="I195" t="s">
        <v>2074</v>
      </c>
      <c r="J195" t="s">
        <v>1047</v>
      </c>
      <c r="K195" t="s">
        <v>1037</v>
      </c>
      <c r="N195" t="s">
        <v>1073</v>
      </c>
      <c r="O195" t="s">
        <v>253</v>
      </c>
      <c r="P195" t="s">
        <v>1074</v>
      </c>
      <c r="Q195">
        <v>2</v>
      </c>
      <c r="R195">
        <v>100</v>
      </c>
      <c r="S195">
        <v>100</v>
      </c>
      <c r="T195">
        <v>100</v>
      </c>
      <c r="U195">
        <v>100</v>
      </c>
      <c r="V195">
        <v>100</v>
      </c>
      <c r="W195">
        <v>100</v>
      </c>
      <c r="X195" t="s">
        <v>548</v>
      </c>
      <c r="AE195" t="s">
        <v>548</v>
      </c>
      <c r="AF195" t="s">
        <v>548</v>
      </c>
      <c r="AG195" t="s">
        <v>548</v>
      </c>
      <c r="AH195" t="s">
        <v>548</v>
      </c>
      <c r="AI195" t="s">
        <v>548</v>
      </c>
      <c r="AJ195">
        <v>99.94</v>
      </c>
      <c r="AK195">
        <v>99.94</v>
      </c>
      <c r="AL195">
        <v>99.94</v>
      </c>
      <c r="AM195">
        <v>99.94</v>
      </c>
      <c r="AN195">
        <v>99.94</v>
      </c>
      <c r="AO195">
        <v>99.95</v>
      </c>
      <c r="AP195">
        <v>99.95</v>
      </c>
      <c r="AQ195">
        <v>99.95</v>
      </c>
      <c r="AR195">
        <v>99.95</v>
      </c>
      <c r="AS195">
        <v>99.95</v>
      </c>
      <c r="BD195">
        <v>0.28399999999999997</v>
      </c>
      <c r="BJ195">
        <v>100</v>
      </c>
      <c r="BK195" t="s">
        <v>1368</v>
      </c>
      <c r="BV195" t="s">
        <v>1007</v>
      </c>
    </row>
    <row r="196" spans="1:74" x14ac:dyDescent="0.2">
      <c r="A196" t="s">
        <v>2017</v>
      </c>
      <c r="B196" t="s">
        <v>2075</v>
      </c>
      <c r="C196" t="s">
        <v>948</v>
      </c>
      <c r="D196" t="s">
        <v>281</v>
      </c>
      <c r="E196" t="s">
        <v>1031</v>
      </c>
      <c r="F196" t="s">
        <v>2076</v>
      </c>
      <c r="G196" t="s">
        <v>1424</v>
      </c>
      <c r="H196" t="s">
        <v>2077</v>
      </c>
      <c r="I196" t="s">
        <v>2078</v>
      </c>
      <c r="J196" t="s">
        <v>1066</v>
      </c>
      <c r="N196" t="s">
        <v>1183</v>
      </c>
      <c r="O196" t="s">
        <v>1039</v>
      </c>
      <c r="P196" t="s">
        <v>2079</v>
      </c>
      <c r="Q196">
        <v>0</v>
      </c>
      <c r="R196">
        <v>0</v>
      </c>
      <c r="S196">
        <v>0</v>
      </c>
      <c r="T196">
        <v>0</v>
      </c>
      <c r="U196">
        <v>0</v>
      </c>
      <c r="V196">
        <v>0</v>
      </c>
      <c r="W196">
        <v>0</v>
      </c>
      <c r="BV196" t="s">
        <v>1042</v>
      </c>
    </row>
    <row r="197" spans="1:74" x14ac:dyDescent="0.2">
      <c r="A197" t="s">
        <v>2017</v>
      </c>
      <c r="B197" t="s">
        <v>2080</v>
      </c>
      <c r="C197" t="s">
        <v>948</v>
      </c>
      <c r="D197" t="s">
        <v>281</v>
      </c>
      <c r="E197" t="s">
        <v>1031</v>
      </c>
      <c r="F197" t="s">
        <v>2076</v>
      </c>
      <c r="G197" t="s">
        <v>1430</v>
      </c>
      <c r="H197" t="s">
        <v>2081</v>
      </c>
      <c r="I197" t="s">
        <v>2082</v>
      </c>
      <c r="J197" t="s">
        <v>1066</v>
      </c>
      <c r="N197" t="s">
        <v>1183</v>
      </c>
      <c r="O197" t="s">
        <v>1039</v>
      </c>
      <c r="P197" t="s">
        <v>2083</v>
      </c>
      <c r="Q197">
        <v>0</v>
      </c>
      <c r="R197">
        <v>0</v>
      </c>
      <c r="S197">
        <v>0</v>
      </c>
      <c r="T197">
        <v>0</v>
      </c>
      <c r="U197">
        <v>0</v>
      </c>
      <c r="V197">
        <v>0</v>
      </c>
      <c r="W197">
        <v>0</v>
      </c>
      <c r="BV197" t="s">
        <v>1042</v>
      </c>
    </row>
    <row r="198" spans="1:74" x14ac:dyDescent="0.2">
      <c r="A198" t="s">
        <v>2017</v>
      </c>
      <c r="B198" t="s">
        <v>2084</v>
      </c>
      <c r="C198" t="s">
        <v>948</v>
      </c>
      <c r="D198" t="s">
        <v>281</v>
      </c>
      <c r="E198" t="s">
        <v>1031</v>
      </c>
      <c r="F198" t="s">
        <v>2085</v>
      </c>
      <c r="G198" t="s">
        <v>1440</v>
      </c>
      <c r="H198" t="s">
        <v>2086</v>
      </c>
      <c r="I198" t="s">
        <v>2087</v>
      </c>
      <c r="J198" t="s">
        <v>1066</v>
      </c>
      <c r="N198" t="s">
        <v>1841</v>
      </c>
      <c r="O198" t="s">
        <v>1039</v>
      </c>
      <c r="P198" t="s">
        <v>2088</v>
      </c>
      <c r="Q198">
        <v>0</v>
      </c>
      <c r="R198">
        <v>0</v>
      </c>
      <c r="S198">
        <v>0</v>
      </c>
      <c r="T198">
        <v>0</v>
      </c>
      <c r="U198">
        <v>0</v>
      </c>
      <c r="V198">
        <v>0</v>
      </c>
      <c r="W198">
        <v>0</v>
      </c>
      <c r="BV198" t="s">
        <v>1042</v>
      </c>
    </row>
    <row r="199" spans="1:74" x14ac:dyDescent="0.2">
      <c r="A199" t="s">
        <v>2017</v>
      </c>
      <c r="B199" t="s">
        <v>2089</v>
      </c>
      <c r="C199" t="s">
        <v>948</v>
      </c>
      <c r="D199" t="s">
        <v>281</v>
      </c>
      <c r="E199" t="s">
        <v>1031</v>
      </c>
      <c r="F199" t="s">
        <v>2090</v>
      </c>
      <c r="G199" t="s">
        <v>1446</v>
      </c>
      <c r="H199" t="s">
        <v>2091</v>
      </c>
      <c r="I199" t="s">
        <v>2092</v>
      </c>
      <c r="J199" t="s">
        <v>1066</v>
      </c>
      <c r="N199" t="s">
        <v>2093</v>
      </c>
      <c r="O199" t="s">
        <v>1039</v>
      </c>
      <c r="P199" t="s">
        <v>2094</v>
      </c>
      <c r="Q199">
        <v>0</v>
      </c>
      <c r="R199">
        <v>0</v>
      </c>
      <c r="S199">
        <v>0</v>
      </c>
      <c r="T199">
        <v>0</v>
      </c>
      <c r="U199">
        <v>0</v>
      </c>
      <c r="V199">
        <v>0</v>
      </c>
      <c r="W199">
        <v>0</v>
      </c>
      <c r="BV199" t="s">
        <v>1042</v>
      </c>
    </row>
    <row r="200" spans="1:74" x14ac:dyDescent="0.2">
      <c r="A200" t="s">
        <v>2017</v>
      </c>
      <c r="B200" t="s">
        <v>2095</v>
      </c>
      <c r="C200" t="s">
        <v>948</v>
      </c>
      <c r="D200" t="s">
        <v>281</v>
      </c>
      <c r="E200" t="s">
        <v>1031</v>
      </c>
      <c r="F200" t="s">
        <v>2096</v>
      </c>
      <c r="G200" t="s">
        <v>2097</v>
      </c>
      <c r="H200" t="s">
        <v>2098</v>
      </c>
      <c r="I200" t="s">
        <v>2099</v>
      </c>
      <c r="J200" t="s">
        <v>1066</v>
      </c>
      <c r="N200" t="s">
        <v>1183</v>
      </c>
      <c r="O200" t="s">
        <v>1039</v>
      </c>
      <c r="P200" t="s">
        <v>2100</v>
      </c>
      <c r="Q200" t="s">
        <v>1088</v>
      </c>
      <c r="R200">
        <v>0</v>
      </c>
      <c r="S200">
        <v>0</v>
      </c>
      <c r="T200">
        <v>0</v>
      </c>
      <c r="U200">
        <v>0</v>
      </c>
      <c r="V200">
        <v>0</v>
      </c>
      <c r="W200">
        <v>0</v>
      </c>
      <c r="BV200" t="s">
        <v>1042</v>
      </c>
    </row>
    <row r="201" spans="1:74" x14ac:dyDescent="0.2">
      <c r="A201" t="s">
        <v>2017</v>
      </c>
      <c r="B201" t="s">
        <v>2101</v>
      </c>
      <c r="C201" t="s">
        <v>948</v>
      </c>
      <c r="D201" t="s">
        <v>281</v>
      </c>
      <c r="E201" t="s">
        <v>1031</v>
      </c>
      <c r="F201" t="s">
        <v>2102</v>
      </c>
      <c r="G201" t="s">
        <v>2103</v>
      </c>
      <c r="H201" t="s">
        <v>2104</v>
      </c>
      <c r="I201" t="s">
        <v>2105</v>
      </c>
      <c r="J201" t="s">
        <v>1036</v>
      </c>
      <c r="K201" t="s">
        <v>1338</v>
      </c>
      <c r="N201" t="s">
        <v>1008</v>
      </c>
      <c r="O201" t="s">
        <v>1039</v>
      </c>
      <c r="P201" t="s">
        <v>1080</v>
      </c>
      <c r="Q201">
        <v>2</v>
      </c>
      <c r="R201">
        <v>1.17</v>
      </c>
      <c r="S201">
        <v>0.97</v>
      </c>
      <c r="T201">
        <v>0.78</v>
      </c>
      <c r="U201">
        <v>0.57999999999999996</v>
      </c>
      <c r="V201">
        <v>0.57999999999999996</v>
      </c>
      <c r="W201">
        <v>0.57999999999999996</v>
      </c>
      <c r="Y201" t="s">
        <v>548</v>
      </c>
      <c r="AE201" t="s">
        <v>548</v>
      </c>
      <c r="AF201" t="s">
        <v>548</v>
      </c>
      <c r="AG201" t="s">
        <v>548</v>
      </c>
      <c r="AH201" t="s">
        <v>548</v>
      </c>
      <c r="AI201" t="s">
        <v>548</v>
      </c>
      <c r="AJ201">
        <v>1.71</v>
      </c>
      <c r="AK201">
        <v>1.71</v>
      </c>
      <c r="AL201">
        <v>1.1200000000000001</v>
      </c>
      <c r="AM201">
        <v>1.1200000000000001</v>
      </c>
      <c r="AN201">
        <v>1.1200000000000001</v>
      </c>
      <c r="AO201">
        <v>1.17</v>
      </c>
      <c r="AP201">
        <v>1.17</v>
      </c>
      <c r="AQ201">
        <v>0.57999999999999996</v>
      </c>
      <c r="AR201">
        <v>0.57999999999999996</v>
      </c>
      <c r="AS201">
        <v>0.57999999999999996</v>
      </c>
      <c r="AT201">
        <v>0.57999999999999996</v>
      </c>
      <c r="AU201">
        <v>0.57999999999999996</v>
      </c>
      <c r="AV201">
        <v>0.57999999999999996</v>
      </c>
      <c r="AW201">
        <v>0.57999999999999996</v>
      </c>
      <c r="AX201">
        <v>0.57999999999999996</v>
      </c>
      <c r="AY201">
        <v>0.04</v>
      </c>
      <c r="AZ201">
        <v>0.04</v>
      </c>
      <c r="BA201">
        <v>0.04</v>
      </c>
      <c r="BB201">
        <v>0.04</v>
      </c>
      <c r="BC201">
        <v>0.04</v>
      </c>
      <c r="BD201">
        <v>1.4999999999999999E-2</v>
      </c>
      <c r="BH201">
        <v>1.4999999999999999E-2</v>
      </c>
      <c r="BJ201">
        <v>100</v>
      </c>
      <c r="BK201" t="s">
        <v>1804</v>
      </c>
      <c r="BV201" t="s">
        <v>1008</v>
      </c>
    </row>
    <row r="202" spans="1:74" x14ac:dyDescent="0.2">
      <c r="A202" t="s">
        <v>2017</v>
      </c>
      <c r="B202" t="s">
        <v>2106</v>
      </c>
      <c r="C202" t="s">
        <v>948</v>
      </c>
      <c r="D202" t="s">
        <v>281</v>
      </c>
      <c r="E202" t="s">
        <v>1031</v>
      </c>
      <c r="F202" t="s">
        <v>2102</v>
      </c>
      <c r="G202" t="s">
        <v>2107</v>
      </c>
      <c r="H202" t="s">
        <v>2108</v>
      </c>
      <c r="I202" t="s">
        <v>2109</v>
      </c>
      <c r="J202" t="s">
        <v>1047</v>
      </c>
      <c r="K202" t="s">
        <v>1338</v>
      </c>
      <c r="M202" t="s">
        <v>543</v>
      </c>
      <c r="N202" t="s">
        <v>1093</v>
      </c>
      <c r="O202" t="s">
        <v>1211</v>
      </c>
      <c r="P202" t="s">
        <v>1339</v>
      </c>
      <c r="Q202" t="s">
        <v>1041</v>
      </c>
      <c r="R202" t="s">
        <v>1213</v>
      </c>
      <c r="S202" t="s">
        <v>1213</v>
      </c>
      <c r="T202" t="s">
        <v>1213</v>
      </c>
      <c r="U202" t="s">
        <v>1213</v>
      </c>
      <c r="V202" t="s">
        <v>1213</v>
      </c>
      <c r="W202" t="s">
        <v>1213</v>
      </c>
      <c r="AE202" t="s">
        <v>548</v>
      </c>
      <c r="AF202" t="s">
        <v>548</v>
      </c>
      <c r="AG202" t="s">
        <v>548</v>
      </c>
      <c r="AH202" t="s">
        <v>548</v>
      </c>
      <c r="AI202" t="s">
        <v>548</v>
      </c>
      <c r="AJ202" t="s">
        <v>2110</v>
      </c>
      <c r="AK202" t="s">
        <v>2110</v>
      </c>
      <c r="AL202" t="s">
        <v>2110</v>
      </c>
      <c r="AM202" t="s">
        <v>2110</v>
      </c>
      <c r="AN202" t="s">
        <v>2110</v>
      </c>
      <c r="AO202" t="s">
        <v>2110</v>
      </c>
      <c r="AP202" t="s">
        <v>2110</v>
      </c>
      <c r="AQ202" t="s">
        <v>2110</v>
      </c>
      <c r="AR202" t="s">
        <v>2110</v>
      </c>
      <c r="AS202" t="s">
        <v>2110</v>
      </c>
      <c r="BD202">
        <v>4</v>
      </c>
      <c r="BJ202">
        <v>1</v>
      </c>
      <c r="BK202" t="s">
        <v>1041</v>
      </c>
      <c r="BU202" t="s">
        <v>2111</v>
      </c>
      <c r="BV202" t="s">
        <v>1042</v>
      </c>
    </row>
    <row r="203" spans="1:74" x14ac:dyDescent="0.2">
      <c r="A203" t="s">
        <v>2017</v>
      </c>
      <c r="B203" t="s">
        <v>2112</v>
      </c>
      <c r="C203" t="s">
        <v>948</v>
      </c>
      <c r="D203" t="s">
        <v>281</v>
      </c>
      <c r="E203" t="s">
        <v>1031</v>
      </c>
      <c r="F203" t="s">
        <v>2102</v>
      </c>
      <c r="G203" t="s">
        <v>2113</v>
      </c>
      <c r="H203" t="s">
        <v>2114</v>
      </c>
      <c r="I203" t="s">
        <v>2115</v>
      </c>
      <c r="J203" t="s">
        <v>1066</v>
      </c>
      <c r="N203" t="s">
        <v>1144</v>
      </c>
      <c r="O203" t="s">
        <v>1039</v>
      </c>
      <c r="P203" t="s">
        <v>2116</v>
      </c>
      <c r="Q203" t="s">
        <v>1088</v>
      </c>
      <c r="R203">
        <v>55</v>
      </c>
      <c r="W203">
        <v>0</v>
      </c>
      <c r="BV203" t="s">
        <v>1042</v>
      </c>
    </row>
    <row r="204" spans="1:74" x14ac:dyDescent="0.2">
      <c r="A204" t="s">
        <v>2017</v>
      </c>
      <c r="B204" t="s">
        <v>2117</v>
      </c>
      <c r="C204" t="s">
        <v>948</v>
      </c>
      <c r="D204" t="s">
        <v>281</v>
      </c>
      <c r="E204" t="s">
        <v>1031</v>
      </c>
      <c r="F204" t="s">
        <v>2102</v>
      </c>
      <c r="G204" t="s">
        <v>2118</v>
      </c>
      <c r="H204" t="s">
        <v>2119</v>
      </c>
      <c r="I204" t="s">
        <v>2120</v>
      </c>
      <c r="J204" t="s">
        <v>1047</v>
      </c>
      <c r="K204" t="s">
        <v>1338</v>
      </c>
      <c r="N204" t="s">
        <v>1093</v>
      </c>
      <c r="O204" t="s">
        <v>1039</v>
      </c>
      <c r="P204" t="s">
        <v>1094</v>
      </c>
      <c r="Q204" t="s">
        <v>1088</v>
      </c>
      <c r="R204">
        <v>2429</v>
      </c>
      <c r="S204">
        <v>2429</v>
      </c>
      <c r="T204">
        <v>2429</v>
      </c>
      <c r="U204">
        <v>2429</v>
      </c>
      <c r="V204">
        <v>2429</v>
      </c>
      <c r="W204">
        <v>2429</v>
      </c>
      <c r="AE204" t="s">
        <v>548</v>
      </c>
      <c r="AF204" t="s">
        <v>548</v>
      </c>
      <c r="AG204" t="s">
        <v>548</v>
      </c>
      <c r="AH204" t="s">
        <v>548</v>
      </c>
      <c r="AI204" t="s">
        <v>548</v>
      </c>
      <c r="AJ204">
        <v>4014</v>
      </c>
      <c r="AK204">
        <v>4014</v>
      </c>
      <c r="AL204">
        <v>4014</v>
      </c>
      <c r="AM204">
        <v>4014</v>
      </c>
      <c r="AN204">
        <v>4014</v>
      </c>
      <c r="AO204">
        <v>3048</v>
      </c>
      <c r="AP204">
        <v>3048</v>
      </c>
      <c r="AQ204">
        <v>3048</v>
      </c>
      <c r="AR204">
        <v>3048</v>
      </c>
      <c r="AS204">
        <v>3048</v>
      </c>
      <c r="BD204">
        <v>7.1199999999999996E-4</v>
      </c>
      <c r="BJ204">
        <v>1</v>
      </c>
      <c r="BK204" t="s">
        <v>1041</v>
      </c>
      <c r="BV204" t="s">
        <v>1042</v>
      </c>
    </row>
    <row r="205" spans="1:74" x14ac:dyDescent="0.2">
      <c r="A205" t="s">
        <v>2017</v>
      </c>
      <c r="B205" t="s">
        <v>2121</v>
      </c>
      <c r="C205" t="s">
        <v>948</v>
      </c>
      <c r="D205" t="s">
        <v>281</v>
      </c>
      <c r="E205" t="s">
        <v>1031</v>
      </c>
      <c r="F205" t="s">
        <v>2122</v>
      </c>
      <c r="G205" t="s">
        <v>2123</v>
      </c>
      <c r="H205" t="s">
        <v>2124</v>
      </c>
      <c r="I205" t="s">
        <v>2125</v>
      </c>
      <c r="J205" t="s">
        <v>1066</v>
      </c>
      <c r="N205" t="s">
        <v>1191</v>
      </c>
      <c r="O205" t="s">
        <v>1039</v>
      </c>
      <c r="P205" t="s">
        <v>2126</v>
      </c>
      <c r="Q205">
        <v>1</v>
      </c>
      <c r="R205">
        <v>39.4</v>
      </c>
      <c r="W205">
        <v>38.700000000000003</v>
      </c>
      <c r="BV205" t="s">
        <v>1042</v>
      </c>
    </row>
    <row r="206" spans="1:74" x14ac:dyDescent="0.2">
      <c r="A206" t="s">
        <v>2017</v>
      </c>
      <c r="B206" t="s">
        <v>2127</v>
      </c>
      <c r="C206" t="s">
        <v>948</v>
      </c>
      <c r="D206" t="s">
        <v>281</v>
      </c>
      <c r="E206" t="s">
        <v>1031</v>
      </c>
      <c r="F206" t="s">
        <v>2122</v>
      </c>
      <c r="G206" t="s">
        <v>2128</v>
      </c>
      <c r="H206" t="s">
        <v>2129</v>
      </c>
      <c r="I206" t="s">
        <v>2130</v>
      </c>
      <c r="J206" t="s">
        <v>1066</v>
      </c>
      <c r="N206" t="s">
        <v>1061</v>
      </c>
      <c r="O206" t="s">
        <v>1067</v>
      </c>
      <c r="P206" t="s">
        <v>2131</v>
      </c>
      <c r="Q206" t="s">
        <v>1067</v>
      </c>
      <c r="R206" t="s">
        <v>1067</v>
      </c>
      <c r="S206" t="s">
        <v>1067</v>
      </c>
      <c r="T206" t="s">
        <v>1067</v>
      </c>
      <c r="U206" t="s">
        <v>1067</v>
      </c>
      <c r="V206" t="s">
        <v>1067</v>
      </c>
      <c r="W206" t="s">
        <v>1067</v>
      </c>
      <c r="AD206" t="s">
        <v>548</v>
      </c>
      <c r="BV206" t="s">
        <v>1042</v>
      </c>
    </row>
    <row r="207" spans="1:74" x14ac:dyDescent="0.2">
      <c r="A207" t="s">
        <v>2017</v>
      </c>
      <c r="B207" t="s">
        <v>2132</v>
      </c>
      <c r="C207" t="s">
        <v>948</v>
      </c>
      <c r="D207" t="s">
        <v>1106</v>
      </c>
      <c r="E207" t="s">
        <v>1107</v>
      </c>
      <c r="F207" t="s">
        <v>2019</v>
      </c>
      <c r="G207" t="s">
        <v>1330</v>
      </c>
      <c r="H207" t="s">
        <v>2133</v>
      </c>
      <c r="I207" t="s">
        <v>2021</v>
      </c>
      <c r="J207" t="s">
        <v>1036</v>
      </c>
      <c r="K207" t="s">
        <v>1037</v>
      </c>
      <c r="N207" t="s">
        <v>1203</v>
      </c>
      <c r="O207" t="s">
        <v>1113</v>
      </c>
      <c r="P207" t="s">
        <v>2022</v>
      </c>
      <c r="Q207">
        <v>1</v>
      </c>
      <c r="R207">
        <v>4.5999999999999996</v>
      </c>
      <c r="S207">
        <v>4.5999999999999996</v>
      </c>
      <c r="T207">
        <v>4.5999999999999996</v>
      </c>
      <c r="U207">
        <v>4.5999999999999996</v>
      </c>
      <c r="V207">
        <v>4.5999999999999996</v>
      </c>
      <c r="W207">
        <v>4.5999999999999996</v>
      </c>
      <c r="AF207" t="s">
        <v>548</v>
      </c>
      <c r="AG207" t="s">
        <v>548</v>
      </c>
      <c r="AH207" t="s">
        <v>548</v>
      </c>
      <c r="AI207" t="s">
        <v>548</v>
      </c>
      <c r="AK207">
        <v>3.6</v>
      </c>
      <c r="AL207">
        <v>3.6</v>
      </c>
      <c r="AM207">
        <v>3.6</v>
      </c>
      <c r="AN207">
        <v>3.6</v>
      </c>
      <c r="AP207">
        <v>4.5</v>
      </c>
      <c r="AQ207">
        <v>4.5</v>
      </c>
      <c r="AR207">
        <v>4.5</v>
      </c>
      <c r="AS207">
        <v>4.5</v>
      </c>
      <c r="AU207">
        <v>4.7</v>
      </c>
      <c r="AV207">
        <v>4.7</v>
      </c>
      <c r="AW207">
        <v>4.7</v>
      </c>
      <c r="AX207">
        <v>4.7</v>
      </c>
      <c r="AZ207">
        <v>5</v>
      </c>
      <c r="BA207">
        <v>5</v>
      </c>
      <c r="BB207">
        <v>5</v>
      </c>
      <c r="BC207">
        <v>5</v>
      </c>
      <c r="BD207">
        <v>1.6E-2</v>
      </c>
      <c r="BH207">
        <v>1.6E-2</v>
      </c>
      <c r="BJ207">
        <v>10</v>
      </c>
      <c r="BK207" t="s">
        <v>2023</v>
      </c>
      <c r="BV207" t="s">
        <v>1042</v>
      </c>
    </row>
    <row r="208" spans="1:74" x14ac:dyDescent="0.2">
      <c r="A208" t="s">
        <v>2017</v>
      </c>
      <c r="B208" t="s">
        <v>2134</v>
      </c>
      <c r="C208" t="s">
        <v>948</v>
      </c>
      <c r="D208" t="s">
        <v>1106</v>
      </c>
      <c r="E208" t="s">
        <v>1107</v>
      </c>
      <c r="F208" t="s">
        <v>2025</v>
      </c>
      <c r="G208" t="s">
        <v>1348</v>
      </c>
      <c r="H208" t="s">
        <v>2135</v>
      </c>
      <c r="I208" t="s">
        <v>2027</v>
      </c>
      <c r="J208" t="s">
        <v>1036</v>
      </c>
      <c r="K208" t="s">
        <v>1037</v>
      </c>
      <c r="N208" t="s">
        <v>1203</v>
      </c>
      <c r="O208" t="s">
        <v>1113</v>
      </c>
      <c r="P208" t="s">
        <v>2022</v>
      </c>
      <c r="Q208">
        <v>1</v>
      </c>
      <c r="R208">
        <v>4.3</v>
      </c>
      <c r="S208">
        <v>4.3</v>
      </c>
      <c r="T208">
        <v>4.3</v>
      </c>
      <c r="U208">
        <v>4.3</v>
      </c>
      <c r="V208">
        <v>4.3</v>
      </c>
      <c r="W208">
        <v>4.3</v>
      </c>
      <c r="AF208" t="s">
        <v>548</v>
      </c>
      <c r="AG208" t="s">
        <v>548</v>
      </c>
      <c r="AH208" t="s">
        <v>548</v>
      </c>
      <c r="AI208" t="s">
        <v>548</v>
      </c>
      <c r="AK208">
        <v>3.3</v>
      </c>
      <c r="AL208">
        <v>3.3</v>
      </c>
      <c r="AM208">
        <v>3.3</v>
      </c>
      <c r="AN208">
        <v>3.3</v>
      </c>
      <c r="AP208">
        <v>4.2</v>
      </c>
      <c r="AQ208">
        <v>4.2</v>
      </c>
      <c r="AR208">
        <v>4.2</v>
      </c>
      <c r="AS208">
        <v>4.2</v>
      </c>
      <c r="AU208">
        <v>4.4000000000000004</v>
      </c>
      <c r="AV208">
        <v>4.4000000000000004</v>
      </c>
      <c r="AW208">
        <v>4.4000000000000004</v>
      </c>
      <c r="AX208">
        <v>4.4000000000000004</v>
      </c>
      <c r="AZ208">
        <v>5</v>
      </c>
      <c r="BA208">
        <v>5</v>
      </c>
      <c r="BB208">
        <v>5</v>
      </c>
      <c r="BC208">
        <v>5</v>
      </c>
      <c r="BD208">
        <v>3.1E-2</v>
      </c>
      <c r="BH208">
        <v>3.1E-2</v>
      </c>
      <c r="BJ208">
        <v>10</v>
      </c>
      <c r="BK208" t="s">
        <v>2023</v>
      </c>
      <c r="BV208" t="s">
        <v>1042</v>
      </c>
    </row>
    <row r="209" spans="1:74" x14ac:dyDescent="0.2">
      <c r="A209" t="s">
        <v>2017</v>
      </c>
      <c r="B209" t="s">
        <v>2136</v>
      </c>
      <c r="C209" t="s">
        <v>948</v>
      </c>
      <c r="D209" t="s">
        <v>1106</v>
      </c>
      <c r="E209" t="s">
        <v>1107</v>
      </c>
      <c r="F209" t="s">
        <v>2029</v>
      </c>
      <c r="G209" t="s">
        <v>1354</v>
      </c>
      <c r="H209" t="s">
        <v>2137</v>
      </c>
      <c r="I209" t="s">
        <v>2031</v>
      </c>
      <c r="J209" t="s">
        <v>1036</v>
      </c>
      <c r="K209" t="s">
        <v>1037</v>
      </c>
      <c r="N209" t="s">
        <v>1203</v>
      </c>
      <c r="O209" t="s">
        <v>1113</v>
      </c>
      <c r="P209" t="s">
        <v>2022</v>
      </c>
      <c r="Q209">
        <v>1</v>
      </c>
      <c r="R209">
        <v>3.6</v>
      </c>
      <c r="S209">
        <v>4</v>
      </c>
      <c r="T209">
        <v>4</v>
      </c>
      <c r="U209">
        <v>4</v>
      </c>
      <c r="V209">
        <v>4</v>
      </c>
      <c r="W209">
        <v>4</v>
      </c>
      <c r="AF209" t="s">
        <v>548</v>
      </c>
      <c r="AG209" t="s">
        <v>548</v>
      </c>
      <c r="AH209" t="s">
        <v>548</v>
      </c>
      <c r="AI209" t="s">
        <v>548</v>
      </c>
      <c r="AK209">
        <v>3</v>
      </c>
      <c r="AL209">
        <v>3</v>
      </c>
      <c r="AM209">
        <v>3</v>
      </c>
      <c r="AN209">
        <v>3</v>
      </c>
      <c r="AP209">
        <v>3.9</v>
      </c>
      <c r="AQ209">
        <v>3.9</v>
      </c>
      <c r="AR209">
        <v>3.9</v>
      </c>
      <c r="AS209">
        <v>3.9</v>
      </c>
      <c r="AU209">
        <v>4.0999999999999996</v>
      </c>
      <c r="AV209">
        <v>4.0999999999999996</v>
      </c>
      <c r="AW209">
        <v>4.0999999999999996</v>
      </c>
      <c r="AX209">
        <v>4.0999999999999996</v>
      </c>
      <c r="AZ209">
        <v>5</v>
      </c>
      <c r="BA209">
        <v>5</v>
      </c>
      <c r="BB209">
        <v>5</v>
      </c>
      <c r="BC209">
        <v>5</v>
      </c>
      <c r="BD209">
        <v>3.6999999999999998E-2</v>
      </c>
      <c r="BH209">
        <v>3.6999999999999998E-2</v>
      </c>
      <c r="BJ209">
        <v>10</v>
      </c>
      <c r="BK209" t="s">
        <v>2023</v>
      </c>
      <c r="BV209" t="s">
        <v>1042</v>
      </c>
    </row>
    <row r="210" spans="1:74" x14ac:dyDescent="0.2">
      <c r="A210" t="s">
        <v>2017</v>
      </c>
      <c r="B210" t="s">
        <v>2138</v>
      </c>
      <c r="C210" t="s">
        <v>948</v>
      </c>
      <c r="D210" t="s">
        <v>1106</v>
      </c>
      <c r="E210" t="s">
        <v>1107</v>
      </c>
      <c r="F210" t="s">
        <v>2036</v>
      </c>
      <c r="G210" t="s">
        <v>1365</v>
      </c>
      <c r="H210" t="s">
        <v>2139</v>
      </c>
      <c r="I210" t="s">
        <v>2038</v>
      </c>
      <c r="J210" t="s">
        <v>1036</v>
      </c>
      <c r="K210" t="s">
        <v>1037</v>
      </c>
      <c r="N210" t="s">
        <v>1203</v>
      </c>
      <c r="O210" t="s">
        <v>1113</v>
      </c>
      <c r="P210" t="s">
        <v>2022</v>
      </c>
      <c r="Q210">
        <v>1</v>
      </c>
      <c r="R210">
        <v>4.5</v>
      </c>
      <c r="S210">
        <v>4.5</v>
      </c>
      <c r="T210">
        <v>4.5</v>
      </c>
      <c r="U210">
        <v>4.5</v>
      </c>
      <c r="V210">
        <v>4.5</v>
      </c>
      <c r="W210">
        <v>4.5</v>
      </c>
      <c r="AF210" t="s">
        <v>548</v>
      </c>
      <c r="AG210" t="s">
        <v>548</v>
      </c>
      <c r="AH210" t="s">
        <v>548</v>
      </c>
      <c r="AI210" t="s">
        <v>548</v>
      </c>
      <c r="AK210">
        <v>3.5</v>
      </c>
      <c r="AL210">
        <v>3.5</v>
      </c>
      <c r="AM210">
        <v>3.5</v>
      </c>
      <c r="AN210">
        <v>3.5</v>
      </c>
      <c r="AP210">
        <v>4.4000000000000004</v>
      </c>
      <c r="AQ210">
        <v>4.4000000000000004</v>
      </c>
      <c r="AR210">
        <v>4.4000000000000004</v>
      </c>
      <c r="AS210">
        <v>4.4000000000000004</v>
      </c>
      <c r="AU210">
        <v>4.5999999999999996</v>
      </c>
      <c r="AV210">
        <v>4.5999999999999996</v>
      </c>
      <c r="AW210">
        <v>4.5999999999999996</v>
      </c>
      <c r="AX210">
        <v>4.5999999999999996</v>
      </c>
      <c r="AZ210">
        <v>5</v>
      </c>
      <c r="BA210">
        <v>5</v>
      </c>
      <c r="BB210">
        <v>5</v>
      </c>
      <c r="BC210">
        <v>5</v>
      </c>
      <c r="BD210">
        <v>8.0000000000000002E-3</v>
      </c>
      <c r="BH210">
        <v>8.0000000000000002E-3</v>
      </c>
      <c r="BJ210">
        <v>10</v>
      </c>
      <c r="BK210" t="s">
        <v>2023</v>
      </c>
      <c r="BV210" t="s">
        <v>1042</v>
      </c>
    </row>
    <row r="211" spans="1:74" x14ac:dyDescent="0.2">
      <c r="A211" t="s">
        <v>2017</v>
      </c>
      <c r="B211" t="s">
        <v>2140</v>
      </c>
      <c r="C211" t="s">
        <v>948</v>
      </c>
      <c r="D211" t="s">
        <v>1106</v>
      </c>
      <c r="E211" t="s">
        <v>1107</v>
      </c>
      <c r="F211" t="s">
        <v>2036</v>
      </c>
      <c r="G211" t="s">
        <v>1825</v>
      </c>
      <c r="H211" t="s">
        <v>2141</v>
      </c>
      <c r="I211" t="s">
        <v>2041</v>
      </c>
      <c r="J211" t="s">
        <v>1036</v>
      </c>
      <c r="K211" t="s">
        <v>1037</v>
      </c>
      <c r="M211" t="s">
        <v>543</v>
      </c>
      <c r="N211" t="s">
        <v>1112</v>
      </c>
      <c r="O211" t="s">
        <v>1113</v>
      </c>
      <c r="P211" t="s">
        <v>1114</v>
      </c>
      <c r="Q211">
        <v>1</v>
      </c>
      <c r="R211">
        <v>78</v>
      </c>
      <c r="W211" t="s">
        <v>1668</v>
      </c>
      <c r="AE211" t="s">
        <v>548</v>
      </c>
      <c r="AF211" t="s">
        <v>548</v>
      </c>
      <c r="AG211" t="s">
        <v>548</v>
      </c>
      <c r="AH211" t="s">
        <v>548</v>
      </c>
      <c r="AI211" t="s">
        <v>548</v>
      </c>
      <c r="AJ211" t="s">
        <v>1115</v>
      </c>
      <c r="AK211" t="s">
        <v>1115</v>
      </c>
      <c r="AL211" t="s">
        <v>1115</v>
      </c>
      <c r="AM211" t="s">
        <v>1115</v>
      </c>
      <c r="AN211" t="s">
        <v>1115</v>
      </c>
      <c r="AO211" t="s">
        <v>1115</v>
      </c>
      <c r="AP211" t="s">
        <v>1115</v>
      </c>
      <c r="AQ211" t="s">
        <v>1115</v>
      </c>
      <c r="AR211" t="s">
        <v>1115</v>
      </c>
      <c r="AS211" t="s">
        <v>1115</v>
      </c>
      <c r="AT211" t="s">
        <v>1115</v>
      </c>
      <c r="AU211" t="s">
        <v>1115</v>
      </c>
      <c r="AV211" t="s">
        <v>1115</v>
      </c>
      <c r="AW211" t="s">
        <v>1115</v>
      </c>
      <c r="AX211" t="s">
        <v>1115</v>
      </c>
      <c r="AY211" t="s">
        <v>1115</v>
      </c>
      <c r="AZ211" t="s">
        <v>1115</v>
      </c>
      <c r="BA211" t="s">
        <v>1115</v>
      </c>
      <c r="BB211" t="s">
        <v>1115</v>
      </c>
      <c r="BC211" t="s">
        <v>1115</v>
      </c>
      <c r="BD211" t="s">
        <v>1115</v>
      </c>
      <c r="BH211" t="s">
        <v>1115</v>
      </c>
      <c r="BJ211">
        <v>1</v>
      </c>
      <c r="BK211" t="s">
        <v>1041</v>
      </c>
      <c r="BU211" t="s">
        <v>1116</v>
      </c>
      <c r="BV211" t="s">
        <v>1042</v>
      </c>
    </row>
    <row r="212" spans="1:74" x14ac:dyDescent="0.2">
      <c r="A212" t="s">
        <v>2017</v>
      </c>
      <c r="B212" t="s">
        <v>2142</v>
      </c>
      <c r="C212" t="s">
        <v>948</v>
      </c>
      <c r="D212" t="s">
        <v>1106</v>
      </c>
      <c r="E212" t="s">
        <v>1107</v>
      </c>
      <c r="F212" t="s">
        <v>2043</v>
      </c>
      <c r="G212" t="s">
        <v>1372</v>
      </c>
      <c r="H212" t="s">
        <v>2143</v>
      </c>
      <c r="I212" t="s">
        <v>2045</v>
      </c>
      <c r="J212" t="s">
        <v>1066</v>
      </c>
      <c r="N212" t="s">
        <v>1121</v>
      </c>
      <c r="O212" t="s">
        <v>253</v>
      </c>
      <c r="P212" t="s">
        <v>1204</v>
      </c>
      <c r="Q212" t="s">
        <v>1088</v>
      </c>
      <c r="R212">
        <v>72</v>
      </c>
      <c r="W212" t="s">
        <v>1668</v>
      </c>
      <c r="BV212" t="s">
        <v>1042</v>
      </c>
    </row>
    <row r="213" spans="1:74" x14ac:dyDescent="0.2">
      <c r="A213" t="s">
        <v>2017</v>
      </c>
      <c r="B213" t="s">
        <v>2144</v>
      </c>
      <c r="C213" t="s">
        <v>948</v>
      </c>
      <c r="D213" t="s">
        <v>1106</v>
      </c>
      <c r="E213" t="s">
        <v>1107</v>
      </c>
      <c r="F213" t="s">
        <v>2047</v>
      </c>
      <c r="G213" t="s">
        <v>1378</v>
      </c>
      <c r="H213" t="s">
        <v>2145</v>
      </c>
      <c r="I213" t="s">
        <v>2049</v>
      </c>
      <c r="J213" t="s">
        <v>1036</v>
      </c>
      <c r="K213" t="s">
        <v>1037</v>
      </c>
      <c r="N213" t="s">
        <v>1203</v>
      </c>
      <c r="O213" t="s">
        <v>1113</v>
      </c>
      <c r="P213" t="s">
        <v>2022</v>
      </c>
      <c r="Q213">
        <v>1</v>
      </c>
      <c r="R213">
        <v>4.5</v>
      </c>
      <c r="S213">
        <v>4.5</v>
      </c>
      <c r="T213">
        <v>4.5</v>
      </c>
      <c r="U213">
        <v>4.5</v>
      </c>
      <c r="V213">
        <v>4.5</v>
      </c>
      <c r="W213">
        <v>4.5</v>
      </c>
      <c r="AF213" t="s">
        <v>548</v>
      </c>
      <c r="AG213" t="s">
        <v>548</v>
      </c>
      <c r="AH213" t="s">
        <v>548</v>
      </c>
      <c r="AI213" t="s">
        <v>548</v>
      </c>
      <c r="AK213">
        <v>3.5</v>
      </c>
      <c r="AL213">
        <v>3.5</v>
      </c>
      <c r="AM213">
        <v>3.5</v>
      </c>
      <c r="AN213">
        <v>3.5</v>
      </c>
      <c r="AP213">
        <v>4.4000000000000004</v>
      </c>
      <c r="AQ213">
        <v>4.4000000000000004</v>
      </c>
      <c r="AR213">
        <v>4.4000000000000004</v>
      </c>
      <c r="AS213">
        <v>4.4000000000000004</v>
      </c>
      <c r="AU213">
        <v>4.5999999999999996</v>
      </c>
      <c r="AV213">
        <v>4.5999999999999996</v>
      </c>
      <c r="AW213">
        <v>4.5999999999999996</v>
      </c>
      <c r="AX213">
        <v>4.5999999999999996</v>
      </c>
      <c r="AZ213">
        <v>5</v>
      </c>
      <c r="BA213">
        <v>5</v>
      </c>
      <c r="BB213">
        <v>5</v>
      </c>
      <c r="BC213">
        <v>5</v>
      </c>
      <c r="BD213">
        <v>2.7E-2</v>
      </c>
      <c r="BH213">
        <v>2.7E-2</v>
      </c>
      <c r="BJ213">
        <v>10</v>
      </c>
      <c r="BK213" t="s">
        <v>2023</v>
      </c>
      <c r="BV213" t="s">
        <v>1042</v>
      </c>
    </row>
    <row r="214" spans="1:74" x14ac:dyDescent="0.2">
      <c r="A214" t="s">
        <v>2017</v>
      </c>
      <c r="B214" t="s">
        <v>2146</v>
      </c>
      <c r="C214" t="s">
        <v>948</v>
      </c>
      <c r="D214" t="s">
        <v>1106</v>
      </c>
      <c r="E214" t="s">
        <v>1107</v>
      </c>
      <c r="F214" t="s">
        <v>2056</v>
      </c>
      <c r="G214" t="s">
        <v>1383</v>
      </c>
      <c r="H214" t="s">
        <v>2147</v>
      </c>
      <c r="I214" t="s">
        <v>2058</v>
      </c>
      <c r="J214" t="s">
        <v>1036</v>
      </c>
      <c r="K214" t="s">
        <v>1037</v>
      </c>
      <c r="N214" t="s">
        <v>1203</v>
      </c>
      <c r="O214" t="s">
        <v>1113</v>
      </c>
      <c r="P214" t="s">
        <v>2022</v>
      </c>
      <c r="Q214">
        <v>1</v>
      </c>
      <c r="R214">
        <v>4.7</v>
      </c>
      <c r="S214">
        <v>4.7</v>
      </c>
      <c r="T214">
        <v>4.7</v>
      </c>
      <c r="U214">
        <v>4.7</v>
      </c>
      <c r="V214">
        <v>4.7</v>
      </c>
      <c r="W214">
        <v>4.7</v>
      </c>
      <c r="AF214" t="s">
        <v>548</v>
      </c>
      <c r="AG214" t="s">
        <v>548</v>
      </c>
      <c r="AH214" t="s">
        <v>548</v>
      </c>
      <c r="AI214" t="s">
        <v>548</v>
      </c>
      <c r="AK214">
        <v>3.7</v>
      </c>
      <c r="AL214">
        <v>3.7</v>
      </c>
      <c r="AM214">
        <v>3.7</v>
      </c>
      <c r="AN214">
        <v>3.7</v>
      </c>
      <c r="AP214">
        <v>4.5999999999999996</v>
      </c>
      <c r="AQ214">
        <v>4.5999999999999996</v>
      </c>
      <c r="AR214">
        <v>4.5999999999999996</v>
      </c>
      <c r="AS214">
        <v>4.5999999999999996</v>
      </c>
      <c r="AU214">
        <v>4.8</v>
      </c>
      <c r="AV214">
        <v>4.8</v>
      </c>
      <c r="AW214">
        <v>4.8</v>
      </c>
      <c r="AX214">
        <v>4.8</v>
      </c>
      <c r="AZ214">
        <v>5</v>
      </c>
      <c r="BA214">
        <v>5</v>
      </c>
      <c r="BB214">
        <v>5</v>
      </c>
      <c r="BC214">
        <v>5</v>
      </c>
      <c r="BD214">
        <v>6.0000000000000001E-3</v>
      </c>
      <c r="BH214">
        <v>6.0000000000000001E-3</v>
      </c>
      <c r="BJ214">
        <v>10</v>
      </c>
      <c r="BK214" t="s">
        <v>2023</v>
      </c>
      <c r="BV214" t="s">
        <v>1042</v>
      </c>
    </row>
    <row r="215" spans="1:74" x14ac:dyDescent="0.2">
      <c r="A215" t="s">
        <v>2017</v>
      </c>
      <c r="B215" t="s">
        <v>2148</v>
      </c>
      <c r="C215" t="s">
        <v>948</v>
      </c>
      <c r="D215" t="s">
        <v>1106</v>
      </c>
      <c r="E215" t="s">
        <v>1107</v>
      </c>
      <c r="F215" t="s">
        <v>2063</v>
      </c>
      <c r="G215" t="s">
        <v>1390</v>
      </c>
      <c r="H215" t="s">
        <v>2149</v>
      </c>
      <c r="I215" t="s">
        <v>2065</v>
      </c>
      <c r="J215" t="s">
        <v>1036</v>
      </c>
      <c r="K215" t="s">
        <v>1037</v>
      </c>
      <c r="N215" t="s">
        <v>1203</v>
      </c>
      <c r="O215" t="s">
        <v>1113</v>
      </c>
      <c r="P215" t="s">
        <v>2022</v>
      </c>
      <c r="Q215">
        <v>1</v>
      </c>
      <c r="R215">
        <v>4.0999999999999996</v>
      </c>
      <c r="S215">
        <v>4.0999999999999996</v>
      </c>
      <c r="T215">
        <v>4.0999999999999996</v>
      </c>
      <c r="U215">
        <v>4.0999999999999996</v>
      </c>
      <c r="V215">
        <v>4.0999999999999996</v>
      </c>
      <c r="W215">
        <v>4.0999999999999996</v>
      </c>
      <c r="AF215" t="s">
        <v>548</v>
      </c>
      <c r="AG215" t="s">
        <v>548</v>
      </c>
      <c r="AH215" t="s">
        <v>548</v>
      </c>
      <c r="AI215" t="s">
        <v>548</v>
      </c>
      <c r="AK215">
        <v>3.1</v>
      </c>
      <c r="AL215">
        <v>3.1</v>
      </c>
      <c r="AM215">
        <v>3.1</v>
      </c>
      <c r="AN215">
        <v>3.1</v>
      </c>
      <c r="AP215">
        <v>4</v>
      </c>
      <c r="AQ215">
        <v>4</v>
      </c>
      <c r="AR215">
        <v>4</v>
      </c>
      <c r="AS215">
        <v>4</v>
      </c>
      <c r="AU215">
        <v>4.2</v>
      </c>
      <c r="AV215">
        <v>4.2</v>
      </c>
      <c r="AW215">
        <v>4.2</v>
      </c>
      <c r="AX215">
        <v>4.2</v>
      </c>
      <c r="AZ215">
        <v>5</v>
      </c>
      <c r="BA215">
        <v>5</v>
      </c>
      <c r="BB215">
        <v>5</v>
      </c>
      <c r="BC215">
        <v>5</v>
      </c>
      <c r="BD215">
        <v>2.4E-2</v>
      </c>
      <c r="BH215">
        <v>2.4E-2</v>
      </c>
      <c r="BJ215">
        <v>10</v>
      </c>
      <c r="BK215" t="s">
        <v>2023</v>
      </c>
      <c r="BV215" t="s">
        <v>1042</v>
      </c>
    </row>
    <row r="216" spans="1:74" x14ac:dyDescent="0.2">
      <c r="A216" t="s">
        <v>932</v>
      </c>
      <c r="B216" t="s">
        <v>2150</v>
      </c>
      <c r="C216" t="s">
        <v>913</v>
      </c>
      <c r="D216" t="s">
        <v>281</v>
      </c>
      <c r="E216" t="s">
        <v>1031</v>
      </c>
      <c r="F216" t="s">
        <v>2151</v>
      </c>
      <c r="G216">
        <v>1</v>
      </c>
      <c r="H216" t="s">
        <v>2152</v>
      </c>
      <c r="I216" t="s">
        <v>2153</v>
      </c>
      <c r="J216" t="s">
        <v>1047</v>
      </c>
      <c r="K216" t="s">
        <v>1338</v>
      </c>
      <c r="M216" t="s">
        <v>543</v>
      </c>
      <c r="N216" t="s">
        <v>1093</v>
      </c>
      <c r="O216" t="s">
        <v>1211</v>
      </c>
      <c r="P216" t="s">
        <v>1339</v>
      </c>
      <c r="Q216" t="s">
        <v>1041</v>
      </c>
      <c r="R216" t="s">
        <v>1519</v>
      </c>
      <c r="S216" t="s">
        <v>1213</v>
      </c>
      <c r="T216" t="s">
        <v>1213</v>
      </c>
      <c r="U216" t="s">
        <v>1213</v>
      </c>
      <c r="V216" t="s">
        <v>1213</v>
      </c>
      <c r="W216" t="s">
        <v>1213</v>
      </c>
      <c r="AE216" t="s">
        <v>548</v>
      </c>
      <c r="AF216" t="s">
        <v>548</v>
      </c>
      <c r="AG216" t="s">
        <v>548</v>
      </c>
      <c r="AH216" t="s">
        <v>548</v>
      </c>
      <c r="AI216" t="s">
        <v>548</v>
      </c>
      <c r="AJ216" t="s">
        <v>2110</v>
      </c>
      <c r="AK216" t="s">
        <v>2110</v>
      </c>
      <c r="AL216" t="s">
        <v>2110</v>
      </c>
      <c r="AM216" t="s">
        <v>2110</v>
      </c>
      <c r="AN216" t="s">
        <v>2110</v>
      </c>
      <c r="AO216" t="s">
        <v>2110</v>
      </c>
      <c r="AP216" t="s">
        <v>2110</v>
      </c>
      <c r="AQ216" t="s">
        <v>2110</v>
      </c>
      <c r="AR216" t="s">
        <v>2110</v>
      </c>
      <c r="AS216" t="s">
        <v>2110</v>
      </c>
      <c r="BD216" t="s">
        <v>2110</v>
      </c>
      <c r="BE216" t="s">
        <v>2110</v>
      </c>
      <c r="BF216" t="s">
        <v>2110</v>
      </c>
      <c r="BG216" t="s">
        <v>2110</v>
      </c>
      <c r="BJ216">
        <v>1</v>
      </c>
      <c r="BK216" t="s">
        <v>1041</v>
      </c>
      <c r="BU216" t="s">
        <v>2154</v>
      </c>
      <c r="BV216" t="s">
        <v>1042</v>
      </c>
    </row>
    <row r="217" spans="1:74" x14ac:dyDescent="0.2">
      <c r="A217" t="s">
        <v>932</v>
      </c>
      <c r="B217" t="s">
        <v>2155</v>
      </c>
      <c r="C217" t="s">
        <v>913</v>
      </c>
      <c r="D217" t="s">
        <v>281</v>
      </c>
      <c r="E217" t="s">
        <v>1031</v>
      </c>
      <c r="F217" t="s">
        <v>2151</v>
      </c>
      <c r="G217">
        <v>2</v>
      </c>
      <c r="H217" t="s">
        <v>2156</v>
      </c>
      <c r="I217" t="s">
        <v>2157</v>
      </c>
      <c r="J217" t="s">
        <v>1047</v>
      </c>
      <c r="K217" t="s">
        <v>1037</v>
      </c>
      <c r="N217" t="s">
        <v>1150</v>
      </c>
      <c r="O217" t="s">
        <v>1039</v>
      </c>
      <c r="P217" t="s">
        <v>2158</v>
      </c>
      <c r="Q217" t="s">
        <v>1088</v>
      </c>
      <c r="R217">
        <v>0</v>
      </c>
      <c r="S217">
        <v>0</v>
      </c>
      <c r="T217">
        <v>0</v>
      </c>
      <c r="U217">
        <v>0</v>
      </c>
      <c r="V217">
        <v>0</v>
      </c>
      <c r="W217">
        <v>0</v>
      </c>
      <c r="AE217" t="s">
        <v>548</v>
      </c>
      <c r="AF217" t="s">
        <v>548</v>
      </c>
      <c r="AG217" t="s">
        <v>548</v>
      </c>
      <c r="AH217" t="s">
        <v>548</v>
      </c>
      <c r="AI217" t="s">
        <v>548</v>
      </c>
      <c r="AJ217">
        <v>1095338</v>
      </c>
      <c r="AK217">
        <v>1095338</v>
      </c>
      <c r="AL217">
        <v>1095338</v>
      </c>
      <c r="AM217">
        <v>1095338</v>
      </c>
      <c r="AN217">
        <v>1095338</v>
      </c>
      <c r="AO217">
        <v>0</v>
      </c>
      <c r="AP217">
        <v>0</v>
      </c>
      <c r="AQ217">
        <v>0</v>
      </c>
      <c r="AR217">
        <v>0</v>
      </c>
      <c r="AS217">
        <v>0</v>
      </c>
      <c r="BD217">
        <v>1.484E-5</v>
      </c>
      <c r="BJ217">
        <v>1</v>
      </c>
      <c r="BK217" t="s">
        <v>1041</v>
      </c>
      <c r="BU217" t="s">
        <v>2159</v>
      </c>
      <c r="BV217" t="s">
        <v>1042</v>
      </c>
    </row>
    <row r="218" spans="1:74" x14ac:dyDescent="0.2">
      <c r="A218" t="s">
        <v>932</v>
      </c>
      <c r="B218" t="s">
        <v>2160</v>
      </c>
      <c r="C218" t="s">
        <v>913</v>
      </c>
      <c r="D218" t="s">
        <v>281</v>
      </c>
      <c r="E218" t="s">
        <v>1031</v>
      </c>
      <c r="F218" t="s">
        <v>2151</v>
      </c>
      <c r="G218">
        <v>3</v>
      </c>
      <c r="H218" t="s">
        <v>2161</v>
      </c>
      <c r="I218" t="s">
        <v>2162</v>
      </c>
      <c r="J218" t="s">
        <v>1036</v>
      </c>
      <c r="K218" t="s">
        <v>1037</v>
      </c>
      <c r="N218" t="s">
        <v>1038</v>
      </c>
      <c r="O218" t="s">
        <v>1039</v>
      </c>
      <c r="P218" t="s">
        <v>1040</v>
      </c>
      <c r="Q218">
        <v>1</v>
      </c>
      <c r="R218">
        <v>88</v>
      </c>
      <c r="W218">
        <v>87</v>
      </c>
      <c r="AI218" t="s">
        <v>548</v>
      </c>
      <c r="AN218">
        <v>96</v>
      </c>
      <c r="AS218">
        <v>87</v>
      </c>
      <c r="AX218">
        <v>85</v>
      </c>
      <c r="BC218">
        <v>83.6</v>
      </c>
      <c r="BD218">
        <v>0.13686799999999999</v>
      </c>
      <c r="BH218">
        <v>0.109496</v>
      </c>
      <c r="BJ218">
        <v>1</v>
      </c>
      <c r="BK218" t="s">
        <v>1041</v>
      </c>
      <c r="BV218" t="s">
        <v>1042</v>
      </c>
    </row>
    <row r="219" spans="1:74" x14ac:dyDescent="0.2">
      <c r="A219" t="s">
        <v>932</v>
      </c>
      <c r="B219" t="s">
        <v>2163</v>
      </c>
      <c r="C219" t="s">
        <v>913</v>
      </c>
      <c r="D219" t="s">
        <v>281</v>
      </c>
      <c r="E219" t="s">
        <v>1031</v>
      </c>
      <c r="F219" t="s">
        <v>2151</v>
      </c>
      <c r="G219">
        <v>4</v>
      </c>
      <c r="H219" t="s">
        <v>2164</v>
      </c>
      <c r="I219" t="s">
        <v>2165</v>
      </c>
      <c r="J219" t="s">
        <v>1047</v>
      </c>
      <c r="K219" t="s">
        <v>1037</v>
      </c>
      <c r="N219" t="s">
        <v>1086</v>
      </c>
      <c r="O219" t="s">
        <v>1126</v>
      </c>
      <c r="P219" t="s">
        <v>1127</v>
      </c>
      <c r="Q219" t="s">
        <v>1088</v>
      </c>
      <c r="R219">
        <v>9</v>
      </c>
      <c r="S219">
        <v>9</v>
      </c>
      <c r="T219">
        <v>9</v>
      </c>
      <c r="U219">
        <v>9</v>
      </c>
      <c r="V219">
        <v>9</v>
      </c>
      <c r="W219">
        <v>9</v>
      </c>
      <c r="Z219" t="s">
        <v>548</v>
      </c>
      <c r="AE219" t="s">
        <v>548</v>
      </c>
      <c r="AF219" t="s">
        <v>548</v>
      </c>
      <c r="AG219" t="s">
        <v>548</v>
      </c>
      <c r="AH219" t="s">
        <v>548</v>
      </c>
      <c r="AI219" t="s">
        <v>548</v>
      </c>
      <c r="AJ219">
        <v>22</v>
      </c>
      <c r="AK219">
        <v>22</v>
      </c>
      <c r="AL219">
        <v>22</v>
      </c>
      <c r="AM219">
        <v>22</v>
      </c>
      <c r="AN219">
        <v>22</v>
      </c>
      <c r="AO219">
        <v>12</v>
      </c>
      <c r="AP219">
        <v>12</v>
      </c>
      <c r="AQ219">
        <v>12</v>
      </c>
      <c r="AR219">
        <v>12</v>
      </c>
      <c r="AS219">
        <v>12</v>
      </c>
      <c r="BD219">
        <v>5.7403000000000003E-2</v>
      </c>
      <c r="BJ219">
        <v>1</v>
      </c>
      <c r="BK219" t="s">
        <v>1041</v>
      </c>
      <c r="BV219" t="s">
        <v>1009</v>
      </c>
    </row>
    <row r="220" spans="1:74" x14ac:dyDescent="0.2">
      <c r="A220" t="s">
        <v>932</v>
      </c>
      <c r="B220" t="s">
        <v>2166</v>
      </c>
      <c r="C220" t="s">
        <v>913</v>
      </c>
      <c r="D220" t="s">
        <v>281</v>
      </c>
      <c r="E220" t="s">
        <v>1031</v>
      </c>
      <c r="F220" t="s">
        <v>2151</v>
      </c>
      <c r="G220">
        <v>5</v>
      </c>
      <c r="H220" t="s">
        <v>2167</v>
      </c>
      <c r="I220" t="s">
        <v>2168</v>
      </c>
      <c r="J220" t="s">
        <v>1047</v>
      </c>
      <c r="K220" t="s">
        <v>1037</v>
      </c>
      <c r="N220" t="s">
        <v>1073</v>
      </c>
      <c r="O220" t="s">
        <v>253</v>
      </c>
      <c r="P220" t="s">
        <v>1074</v>
      </c>
      <c r="Q220">
        <v>2</v>
      </c>
      <c r="R220">
        <v>99.94</v>
      </c>
      <c r="S220">
        <v>99.95</v>
      </c>
      <c r="T220">
        <v>99.95</v>
      </c>
      <c r="U220">
        <v>100</v>
      </c>
      <c r="V220">
        <v>100</v>
      </c>
      <c r="W220">
        <v>100</v>
      </c>
      <c r="X220" t="s">
        <v>548</v>
      </c>
      <c r="AE220" t="s">
        <v>548</v>
      </c>
      <c r="AF220" t="s">
        <v>548</v>
      </c>
      <c r="AG220" t="s">
        <v>548</v>
      </c>
      <c r="AH220" t="s">
        <v>548</v>
      </c>
      <c r="AI220" t="s">
        <v>548</v>
      </c>
      <c r="AJ220">
        <v>99.91</v>
      </c>
      <c r="AK220">
        <v>99.91</v>
      </c>
      <c r="AL220">
        <v>99.93</v>
      </c>
      <c r="AM220">
        <v>99.93</v>
      </c>
      <c r="AN220">
        <v>99.93</v>
      </c>
      <c r="AO220">
        <v>99.93</v>
      </c>
      <c r="AP220">
        <v>99.93</v>
      </c>
      <c r="AQ220">
        <v>99.95</v>
      </c>
      <c r="AR220">
        <v>99.95</v>
      </c>
      <c r="AS220">
        <v>99.95</v>
      </c>
      <c r="BD220">
        <v>0.21937499999999999</v>
      </c>
      <c r="BJ220">
        <v>100</v>
      </c>
      <c r="BK220" t="s">
        <v>1368</v>
      </c>
      <c r="BV220" t="s">
        <v>1007</v>
      </c>
    </row>
    <row r="221" spans="1:74" x14ac:dyDescent="0.2">
      <c r="A221" t="s">
        <v>932</v>
      </c>
      <c r="B221" t="s">
        <v>2169</v>
      </c>
      <c r="C221" t="s">
        <v>913</v>
      </c>
      <c r="D221" t="s">
        <v>281</v>
      </c>
      <c r="E221" t="s">
        <v>1031</v>
      </c>
      <c r="F221" t="s">
        <v>2151</v>
      </c>
      <c r="G221" t="s">
        <v>2170</v>
      </c>
      <c r="H221" t="s">
        <v>2171</v>
      </c>
      <c r="I221" t="s">
        <v>2172</v>
      </c>
      <c r="J221" t="s">
        <v>1047</v>
      </c>
      <c r="K221" t="s">
        <v>1037</v>
      </c>
      <c r="N221" t="s">
        <v>1008</v>
      </c>
      <c r="O221" t="s">
        <v>1039</v>
      </c>
      <c r="P221" t="s">
        <v>1080</v>
      </c>
      <c r="Q221">
        <v>2</v>
      </c>
      <c r="R221">
        <v>0.9</v>
      </c>
      <c r="S221">
        <v>0.87</v>
      </c>
      <c r="T221">
        <v>0.85</v>
      </c>
      <c r="U221">
        <v>0.82</v>
      </c>
      <c r="V221">
        <v>0.82</v>
      </c>
      <c r="W221">
        <v>0.82</v>
      </c>
      <c r="Y221" t="s">
        <v>548</v>
      </c>
      <c r="AE221" t="s">
        <v>548</v>
      </c>
      <c r="AF221" t="s">
        <v>548</v>
      </c>
      <c r="AG221" t="s">
        <v>548</v>
      </c>
      <c r="AH221" t="s">
        <v>548</v>
      </c>
      <c r="AI221" t="s">
        <v>548</v>
      </c>
      <c r="AJ221">
        <v>1.21</v>
      </c>
      <c r="AK221">
        <v>1.21</v>
      </c>
      <c r="AL221">
        <v>1.17</v>
      </c>
      <c r="AM221">
        <v>1.17</v>
      </c>
      <c r="AN221">
        <v>1.17</v>
      </c>
      <c r="AO221">
        <v>0.9</v>
      </c>
      <c r="AP221">
        <v>0.9</v>
      </c>
      <c r="AQ221">
        <v>0.86</v>
      </c>
      <c r="AR221">
        <v>0.86</v>
      </c>
      <c r="AS221">
        <v>0.86</v>
      </c>
      <c r="BD221">
        <v>0.55700000000000005</v>
      </c>
      <c r="BJ221">
        <v>1</v>
      </c>
      <c r="BK221" t="s">
        <v>1041</v>
      </c>
      <c r="BV221" t="s">
        <v>1008</v>
      </c>
    </row>
    <row r="222" spans="1:74" x14ac:dyDescent="0.2">
      <c r="A222" t="s">
        <v>932</v>
      </c>
      <c r="B222" t="s">
        <v>2173</v>
      </c>
      <c r="C222" t="s">
        <v>913</v>
      </c>
      <c r="D222" t="s">
        <v>281</v>
      </c>
      <c r="E222" t="s">
        <v>1031</v>
      </c>
      <c r="F222" t="s">
        <v>2151</v>
      </c>
      <c r="G222">
        <v>6</v>
      </c>
      <c r="H222" t="s">
        <v>2174</v>
      </c>
      <c r="I222" t="s">
        <v>2175</v>
      </c>
      <c r="J222" t="s">
        <v>1047</v>
      </c>
      <c r="K222" t="s">
        <v>1037</v>
      </c>
      <c r="N222" t="s">
        <v>1131</v>
      </c>
      <c r="O222" t="s">
        <v>1039</v>
      </c>
      <c r="P222" t="s">
        <v>2054</v>
      </c>
      <c r="Q222" t="s">
        <v>1088</v>
      </c>
      <c r="R222">
        <v>257</v>
      </c>
      <c r="S222">
        <v>257</v>
      </c>
      <c r="T222">
        <v>257</v>
      </c>
      <c r="U222">
        <v>257</v>
      </c>
      <c r="V222">
        <v>257</v>
      </c>
      <c r="W222">
        <v>257</v>
      </c>
      <c r="AE222" t="s">
        <v>548</v>
      </c>
      <c r="AF222" t="s">
        <v>548</v>
      </c>
      <c r="AG222" t="s">
        <v>548</v>
      </c>
      <c r="AH222" t="s">
        <v>548</v>
      </c>
      <c r="AI222" t="s">
        <v>548</v>
      </c>
      <c r="AJ222">
        <v>336</v>
      </c>
      <c r="AK222">
        <v>336</v>
      </c>
      <c r="AL222">
        <v>336</v>
      </c>
      <c r="AM222">
        <v>336</v>
      </c>
      <c r="AN222">
        <v>336</v>
      </c>
      <c r="AO222">
        <v>296</v>
      </c>
      <c r="AP222">
        <v>296</v>
      </c>
      <c r="AQ222">
        <v>296</v>
      </c>
      <c r="AR222">
        <v>296</v>
      </c>
      <c r="AS222">
        <v>296</v>
      </c>
      <c r="BD222">
        <v>4.339E-3</v>
      </c>
      <c r="BJ222">
        <v>1</v>
      </c>
      <c r="BK222" t="s">
        <v>1041</v>
      </c>
      <c r="BV222" t="s">
        <v>1042</v>
      </c>
    </row>
    <row r="223" spans="1:74" x14ac:dyDescent="0.2">
      <c r="A223" t="s">
        <v>932</v>
      </c>
      <c r="B223" t="s">
        <v>2176</v>
      </c>
      <c r="C223" t="s">
        <v>913</v>
      </c>
      <c r="D223" t="s">
        <v>281</v>
      </c>
      <c r="E223" t="s">
        <v>1031</v>
      </c>
      <c r="F223" t="s">
        <v>2177</v>
      </c>
      <c r="G223">
        <v>7</v>
      </c>
      <c r="H223" t="s">
        <v>2178</v>
      </c>
      <c r="I223" t="s">
        <v>2179</v>
      </c>
      <c r="J223" t="s">
        <v>1066</v>
      </c>
      <c r="N223" t="s">
        <v>1061</v>
      </c>
      <c r="O223" t="s">
        <v>1039</v>
      </c>
      <c r="P223" t="s">
        <v>1040</v>
      </c>
      <c r="Q223">
        <v>2</v>
      </c>
      <c r="R223">
        <v>533.97</v>
      </c>
      <c r="S223">
        <v>525.48</v>
      </c>
      <c r="T223">
        <v>525.05999999999995</v>
      </c>
      <c r="U223">
        <v>525.77</v>
      </c>
      <c r="V223">
        <v>526.79</v>
      </c>
      <c r="W223">
        <v>526.39</v>
      </c>
      <c r="BV223" t="s">
        <v>1042</v>
      </c>
    </row>
    <row r="224" spans="1:74" x14ac:dyDescent="0.2">
      <c r="A224" t="s">
        <v>932</v>
      </c>
      <c r="B224" t="s">
        <v>2180</v>
      </c>
      <c r="C224" t="s">
        <v>913</v>
      </c>
      <c r="D224" t="s">
        <v>281</v>
      </c>
      <c r="E224" t="s">
        <v>1031</v>
      </c>
      <c r="F224" t="s">
        <v>2181</v>
      </c>
      <c r="G224">
        <v>8</v>
      </c>
      <c r="H224" t="s">
        <v>2182</v>
      </c>
      <c r="I224" t="s">
        <v>2183</v>
      </c>
      <c r="J224" t="s">
        <v>1036</v>
      </c>
      <c r="K224" t="s">
        <v>1037</v>
      </c>
      <c r="N224" t="s">
        <v>1048</v>
      </c>
      <c r="O224" t="s">
        <v>1039</v>
      </c>
      <c r="P224" t="s">
        <v>1416</v>
      </c>
      <c r="Q224">
        <v>1</v>
      </c>
      <c r="R224">
        <v>147.19999999999999</v>
      </c>
      <c r="W224">
        <v>133.69999999999999</v>
      </c>
      <c r="AI224" t="s">
        <v>548</v>
      </c>
      <c r="AN224">
        <v>135.69999999999999</v>
      </c>
      <c r="AS224">
        <v>133.69999999999999</v>
      </c>
      <c r="AX224">
        <v>133.69999999999999</v>
      </c>
      <c r="BC224">
        <v>131.69999999999999</v>
      </c>
      <c r="BD224">
        <v>1.0969</v>
      </c>
      <c r="BH224">
        <v>0.6875</v>
      </c>
      <c r="BJ224">
        <v>1</v>
      </c>
      <c r="BK224" t="s">
        <v>1041</v>
      </c>
      <c r="BV224" t="s">
        <v>1042</v>
      </c>
    </row>
    <row r="225" spans="1:74" x14ac:dyDescent="0.2">
      <c r="A225" t="s">
        <v>932</v>
      </c>
      <c r="B225" t="s">
        <v>2184</v>
      </c>
      <c r="C225" t="s">
        <v>913</v>
      </c>
      <c r="D225" t="s">
        <v>282</v>
      </c>
      <c r="E225" t="s">
        <v>1227</v>
      </c>
      <c r="F225" t="s">
        <v>2185</v>
      </c>
      <c r="G225">
        <v>1</v>
      </c>
      <c r="H225" t="s">
        <v>2186</v>
      </c>
      <c r="I225" t="s">
        <v>2187</v>
      </c>
      <c r="J225" t="s">
        <v>1047</v>
      </c>
      <c r="K225" t="s">
        <v>1338</v>
      </c>
      <c r="M225" t="s">
        <v>543</v>
      </c>
      <c r="N225" t="s">
        <v>1285</v>
      </c>
      <c r="O225" t="s">
        <v>1211</v>
      </c>
      <c r="P225" t="s">
        <v>1339</v>
      </c>
      <c r="Q225" t="s">
        <v>1041</v>
      </c>
      <c r="R225" t="s">
        <v>1519</v>
      </c>
      <c r="S225" t="s">
        <v>1213</v>
      </c>
      <c r="T225" t="s">
        <v>1213</v>
      </c>
      <c r="U225" t="s">
        <v>1213</v>
      </c>
      <c r="V225" t="s">
        <v>1213</v>
      </c>
      <c r="W225" t="s">
        <v>1213</v>
      </c>
      <c r="AE225" t="s">
        <v>548</v>
      </c>
      <c r="AF225" t="s">
        <v>548</v>
      </c>
      <c r="AG225" t="s">
        <v>548</v>
      </c>
      <c r="AH225" t="s">
        <v>548</v>
      </c>
      <c r="AI225" t="s">
        <v>548</v>
      </c>
      <c r="AJ225" t="s">
        <v>2110</v>
      </c>
      <c r="AK225" t="s">
        <v>2110</v>
      </c>
      <c r="AL225" t="s">
        <v>2110</v>
      </c>
      <c r="AM225" t="s">
        <v>2110</v>
      </c>
      <c r="AN225" t="s">
        <v>2110</v>
      </c>
      <c r="AO225" t="s">
        <v>2110</v>
      </c>
      <c r="AP225" t="s">
        <v>2110</v>
      </c>
      <c r="AQ225" t="s">
        <v>2110</v>
      </c>
      <c r="AR225" t="s">
        <v>2110</v>
      </c>
      <c r="AS225" t="s">
        <v>2110</v>
      </c>
      <c r="BD225">
        <v>5.6250000000000001E-2</v>
      </c>
      <c r="BE225">
        <v>14.95</v>
      </c>
      <c r="BF225">
        <v>2.9599999999999998E-4</v>
      </c>
      <c r="BJ225">
        <v>1</v>
      </c>
      <c r="BK225" t="s">
        <v>1041</v>
      </c>
      <c r="BU225" t="s">
        <v>2188</v>
      </c>
      <c r="BV225" t="s">
        <v>1042</v>
      </c>
    </row>
    <row r="226" spans="1:74" x14ac:dyDescent="0.2">
      <c r="A226" t="s">
        <v>932</v>
      </c>
      <c r="B226" t="s">
        <v>2189</v>
      </c>
      <c r="C226" t="s">
        <v>913</v>
      </c>
      <c r="D226" t="s">
        <v>282</v>
      </c>
      <c r="E226" t="s">
        <v>1227</v>
      </c>
      <c r="F226" t="s">
        <v>2185</v>
      </c>
      <c r="G226" t="s">
        <v>2190</v>
      </c>
      <c r="H226" t="s">
        <v>2191</v>
      </c>
      <c r="I226" t="s">
        <v>2192</v>
      </c>
      <c r="J226" t="s">
        <v>1047</v>
      </c>
      <c r="K226" t="s">
        <v>1338</v>
      </c>
      <c r="N226" t="s">
        <v>1261</v>
      </c>
      <c r="O226" t="s">
        <v>1039</v>
      </c>
      <c r="P226" t="s">
        <v>1262</v>
      </c>
      <c r="Q226" t="s">
        <v>1088</v>
      </c>
      <c r="R226">
        <v>348</v>
      </c>
      <c r="S226">
        <v>285</v>
      </c>
      <c r="T226">
        <v>221</v>
      </c>
      <c r="U226">
        <v>158</v>
      </c>
      <c r="V226">
        <v>158</v>
      </c>
      <c r="W226">
        <v>158</v>
      </c>
      <c r="AA226" t="s">
        <v>548</v>
      </c>
      <c r="AE226" t="s">
        <v>548</v>
      </c>
      <c r="AF226" t="s">
        <v>548</v>
      </c>
      <c r="AG226" t="s">
        <v>548</v>
      </c>
      <c r="AH226" t="s">
        <v>548</v>
      </c>
      <c r="AI226" t="s">
        <v>548</v>
      </c>
      <c r="AJ226">
        <v>453</v>
      </c>
      <c r="AK226">
        <v>453</v>
      </c>
      <c r="AL226">
        <v>280</v>
      </c>
      <c r="AM226">
        <v>280</v>
      </c>
      <c r="AN226">
        <v>280</v>
      </c>
      <c r="AO226">
        <v>348</v>
      </c>
      <c r="AP226">
        <v>348</v>
      </c>
      <c r="AQ226">
        <v>175</v>
      </c>
      <c r="AR226">
        <v>175</v>
      </c>
      <c r="AS226">
        <v>175</v>
      </c>
      <c r="BD226">
        <v>2.0570999999999999E-2</v>
      </c>
      <c r="BJ226">
        <v>1</v>
      </c>
      <c r="BK226" t="s">
        <v>1041</v>
      </c>
      <c r="BV226" t="s">
        <v>1010</v>
      </c>
    </row>
    <row r="227" spans="1:74" x14ac:dyDescent="0.2">
      <c r="A227" t="s">
        <v>932</v>
      </c>
      <c r="B227" t="s">
        <v>2193</v>
      </c>
      <c r="C227" t="s">
        <v>913</v>
      </c>
      <c r="D227" t="s">
        <v>282</v>
      </c>
      <c r="E227" t="s">
        <v>1227</v>
      </c>
      <c r="F227" t="s">
        <v>2185</v>
      </c>
      <c r="G227">
        <v>2</v>
      </c>
      <c r="H227" t="s">
        <v>2194</v>
      </c>
      <c r="I227" t="s">
        <v>2195</v>
      </c>
      <c r="J227" t="s">
        <v>1036</v>
      </c>
      <c r="K227" t="s">
        <v>1037</v>
      </c>
      <c r="M227" t="s">
        <v>543</v>
      </c>
      <c r="N227" t="s">
        <v>1231</v>
      </c>
      <c r="O227" t="s">
        <v>1039</v>
      </c>
      <c r="P227" t="s">
        <v>2196</v>
      </c>
      <c r="Q227" t="s">
        <v>1088</v>
      </c>
      <c r="R227">
        <v>551</v>
      </c>
      <c r="S227">
        <v>446</v>
      </c>
      <c r="T227">
        <v>436</v>
      </c>
      <c r="U227">
        <v>414</v>
      </c>
      <c r="V227">
        <v>392</v>
      </c>
      <c r="W227">
        <v>382</v>
      </c>
      <c r="AB227" t="s">
        <v>548</v>
      </c>
      <c r="AI227" t="s">
        <v>548</v>
      </c>
      <c r="AN227">
        <v>2440</v>
      </c>
      <c r="AS227">
        <v>2215</v>
      </c>
      <c r="AX227">
        <v>2000</v>
      </c>
      <c r="BC227">
        <v>1700</v>
      </c>
      <c r="BD227">
        <v>7.5259999999999994E-2</v>
      </c>
      <c r="BH227">
        <v>7.2228000000000001E-2</v>
      </c>
      <c r="BJ227">
        <v>1</v>
      </c>
      <c r="BK227" t="s">
        <v>1041</v>
      </c>
      <c r="BU227" t="s">
        <v>2197</v>
      </c>
      <c r="BV227" t="s">
        <v>1011</v>
      </c>
    </row>
    <row r="228" spans="1:74" x14ac:dyDescent="0.2">
      <c r="A228" t="s">
        <v>932</v>
      </c>
      <c r="B228" t="s">
        <v>2198</v>
      </c>
      <c r="C228" t="s">
        <v>913</v>
      </c>
      <c r="D228" t="s">
        <v>282</v>
      </c>
      <c r="E228" t="s">
        <v>1227</v>
      </c>
      <c r="F228" t="s">
        <v>2185</v>
      </c>
      <c r="G228">
        <v>3</v>
      </c>
      <c r="H228" t="s">
        <v>2199</v>
      </c>
      <c r="I228" t="s">
        <v>2200</v>
      </c>
      <c r="J228" t="s">
        <v>1066</v>
      </c>
      <c r="N228" t="s">
        <v>1231</v>
      </c>
      <c r="O228" t="s">
        <v>1039</v>
      </c>
      <c r="P228" t="s">
        <v>2201</v>
      </c>
      <c r="Q228" t="s">
        <v>1088</v>
      </c>
      <c r="R228">
        <v>9694</v>
      </c>
      <c r="S228">
        <v>9694</v>
      </c>
      <c r="T228">
        <v>9694</v>
      </c>
      <c r="U228">
        <v>9694</v>
      </c>
      <c r="V228">
        <v>9694</v>
      </c>
      <c r="W228">
        <v>9694</v>
      </c>
      <c r="BV228" t="s">
        <v>1042</v>
      </c>
    </row>
    <row r="229" spans="1:74" x14ac:dyDescent="0.2">
      <c r="A229" t="s">
        <v>932</v>
      </c>
      <c r="B229" t="s">
        <v>2202</v>
      </c>
      <c r="C229" t="s">
        <v>913</v>
      </c>
      <c r="D229" t="s">
        <v>282</v>
      </c>
      <c r="E229" t="s">
        <v>1227</v>
      </c>
      <c r="F229" t="s">
        <v>2185</v>
      </c>
      <c r="G229">
        <v>4</v>
      </c>
      <c r="H229" t="s">
        <v>2203</v>
      </c>
      <c r="I229" t="s">
        <v>2204</v>
      </c>
      <c r="J229" t="s">
        <v>1047</v>
      </c>
      <c r="K229" t="s">
        <v>1037</v>
      </c>
      <c r="N229" t="s">
        <v>1231</v>
      </c>
      <c r="O229" t="s">
        <v>1039</v>
      </c>
      <c r="P229" t="s">
        <v>2205</v>
      </c>
      <c r="Q229">
        <v>2</v>
      </c>
      <c r="R229">
        <v>0.57999999999999996</v>
      </c>
      <c r="S229">
        <v>0.57999999999999996</v>
      </c>
      <c r="T229">
        <v>0.57999999999999996</v>
      </c>
      <c r="U229">
        <v>0.57999999999999996</v>
      </c>
      <c r="V229">
        <v>0.57999999999999996</v>
      </c>
      <c r="W229">
        <v>0.57999999999999996</v>
      </c>
      <c r="AE229" t="s">
        <v>548</v>
      </c>
      <c r="AF229" t="s">
        <v>548</v>
      </c>
      <c r="AG229" t="s">
        <v>548</v>
      </c>
      <c r="AH229" t="s">
        <v>548</v>
      </c>
      <c r="AI229" t="s">
        <v>548</v>
      </c>
      <c r="AJ229">
        <v>0.65</v>
      </c>
      <c r="AK229">
        <v>0.65</v>
      </c>
      <c r="AL229">
        <v>0.65</v>
      </c>
      <c r="AM229">
        <v>0.65</v>
      </c>
      <c r="AN229">
        <v>0.65</v>
      </c>
      <c r="AO229">
        <v>0.59</v>
      </c>
      <c r="AP229">
        <v>0.59</v>
      </c>
      <c r="AQ229">
        <v>0.59</v>
      </c>
      <c r="AR229">
        <v>0.59</v>
      </c>
      <c r="AS229">
        <v>0.59</v>
      </c>
      <c r="BD229">
        <v>16.276</v>
      </c>
      <c r="BJ229">
        <v>1</v>
      </c>
      <c r="BK229" t="s">
        <v>1041</v>
      </c>
      <c r="BU229" t="s">
        <v>2206</v>
      </c>
      <c r="BV229" t="s">
        <v>1042</v>
      </c>
    </row>
    <row r="230" spans="1:74" x14ac:dyDescent="0.2">
      <c r="A230" t="s">
        <v>932</v>
      </c>
      <c r="B230" t="s">
        <v>2207</v>
      </c>
      <c r="C230" t="s">
        <v>913</v>
      </c>
      <c r="D230" t="s">
        <v>282</v>
      </c>
      <c r="E230" t="s">
        <v>1227</v>
      </c>
      <c r="F230" t="s">
        <v>2185</v>
      </c>
      <c r="G230">
        <v>5</v>
      </c>
      <c r="H230" t="s">
        <v>2208</v>
      </c>
      <c r="I230" t="s">
        <v>2209</v>
      </c>
      <c r="J230" t="s">
        <v>1047</v>
      </c>
      <c r="K230" t="s">
        <v>1037</v>
      </c>
      <c r="N230" t="s">
        <v>2210</v>
      </c>
      <c r="O230" t="s">
        <v>1039</v>
      </c>
      <c r="P230" t="s">
        <v>2211</v>
      </c>
      <c r="Q230" t="s">
        <v>1088</v>
      </c>
      <c r="R230" t="s">
        <v>1519</v>
      </c>
      <c r="S230" t="s">
        <v>1519</v>
      </c>
      <c r="T230" t="s">
        <v>1519</v>
      </c>
      <c r="U230" t="s">
        <v>1519</v>
      </c>
      <c r="V230">
        <v>0</v>
      </c>
      <c r="W230">
        <v>0</v>
      </c>
      <c r="AC230" t="s">
        <v>548</v>
      </c>
      <c r="AH230" t="s">
        <v>548</v>
      </c>
      <c r="AI230" t="s">
        <v>548</v>
      </c>
      <c r="AM230">
        <v>20</v>
      </c>
      <c r="AN230">
        <v>20</v>
      </c>
      <c r="AR230">
        <v>0</v>
      </c>
      <c r="AS230">
        <v>0</v>
      </c>
      <c r="BD230">
        <v>7.9000000000000001E-2</v>
      </c>
      <c r="BJ230">
        <v>1</v>
      </c>
      <c r="BK230" t="s">
        <v>1041</v>
      </c>
      <c r="BU230" t="s">
        <v>2212</v>
      </c>
      <c r="BV230" t="s">
        <v>1042</v>
      </c>
    </row>
    <row r="231" spans="1:74" x14ac:dyDescent="0.2">
      <c r="A231" t="s">
        <v>932</v>
      </c>
      <c r="B231" t="s">
        <v>2213</v>
      </c>
      <c r="C231" t="s">
        <v>913</v>
      </c>
      <c r="D231" t="s">
        <v>282</v>
      </c>
      <c r="E231" t="s">
        <v>1227</v>
      </c>
      <c r="F231" t="s">
        <v>2177</v>
      </c>
      <c r="G231">
        <v>6</v>
      </c>
      <c r="H231" t="s">
        <v>2214</v>
      </c>
      <c r="I231" t="s">
        <v>2215</v>
      </c>
      <c r="J231" t="s">
        <v>1047</v>
      </c>
      <c r="K231" t="s">
        <v>1037</v>
      </c>
      <c r="N231" t="s">
        <v>1183</v>
      </c>
      <c r="O231" t="s">
        <v>253</v>
      </c>
      <c r="P231" t="s">
        <v>2216</v>
      </c>
      <c r="Q231">
        <v>1</v>
      </c>
      <c r="R231">
        <v>98.6</v>
      </c>
      <c r="S231">
        <v>100</v>
      </c>
      <c r="T231">
        <v>100</v>
      </c>
      <c r="U231">
        <v>100</v>
      </c>
      <c r="V231">
        <v>100</v>
      </c>
      <c r="W231">
        <v>100</v>
      </c>
      <c r="AE231" t="s">
        <v>548</v>
      </c>
      <c r="AF231" t="s">
        <v>548</v>
      </c>
      <c r="AG231" t="s">
        <v>548</v>
      </c>
      <c r="AH231" t="s">
        <v>548</v>
      </c>
      <c r="AI231" t="s">
        <v>548</v>
      </c>
      <c r="AJ231">
        <v>96.8</v>
      </c>
      <c r="AK231">
        <v>96.8</v>
      </c>
      <c r="AL231">
        <v>96.8</v>
      </c>
      <c r="AM231">
        <v>96.8</v>
      </c>
      <c r="AN231">
        <v>96.8</v>
      </c>
      <c r="AO231">
        <v>97.7</v>
      </c>
      <c r="AP231">
        <v>97.7</v>
      </c>
      <c r="AQ231">
        <v>97.7</v>
      </c>
      <c r="AR231">
        <v>97.7</v>
      </c>
      <c r="AS231">
        <v>97.7</v>
      </c>
      <c r="BD231">
        <v>1.661</v>
      </c>
      <c r="BJ231">
        <v>10</v>
      </c>
      <c r="BK231" t="s">
        <v>2217</v>
      </c>
      <c r="BV231" t="s">
        <v>1042</v>
      </c>
    </row>
    <row r="232" spans="1:74" x14ac:dyDescent="0.2">
      <c r="A232" t="s">
        <v>932</v>
      </c>
      <c r="B232" t="s">
        <v>2218</v>
      </c>
      <c r="C232" t="s">
        <v>913</v>
      </c>
      <c r="D232" t="s">
        <v>282</v>
      </c>
      <c r="E232" t="s">
        <v>1227</v>
      </c>
      <c r="F232" t="s">
        <v>2177</v>
      </c>
      <c r="G232">
        <v>7</v>
      </c>
      <c r="H232" t="s">
        <v>2219</v>
      </c>
      <c r="I232" t="s">
        <v>2220</v>
      </c>
      <c r="J232" t="s">
        <v>1066</v>
      </c>
      <c r="N232" t="s">
        <v>1191</v>
      </c>
      <c r="O232" t="s">
        <v>253</v>
      </c>
      <c r="P232" t="s">
        <v>2221</v>
      </c>
      <c r="Q232">
        <v>1</v>
      </c>
      <c r="R232">
        <v>14.5</v>
      </c>
      <c r="W232">
        <v>16.5</v>
      </c>
      <c r="BV232" t="s">
        <v>1042</v>
      </c>
    </row>
    <row r="233" spans="1:74" x14ac:dyDescent="0.2">
      <c r="A233" t="s">
        <v>932</v>
      </c>
      <c r="B233" t="s">
        <v>2222</v>
      </c>
      <c r="C233" t="s">
        <v>913</v>
      </c>
      <c r="D233" t="s">
        <v>282</v>
      </c>
      <c r="E233" t="s">
        <v>1227</v>
      </c>
      <c r="F233" t="s">
        <v>2177</v>
      </c>
      <c r="G233">
        <v>8</v>
      </c>
      <c r="H233" t="s">
        <v>2223</v>
      </c>
      <c r="I233" t="s">
        <v>2224</v>
      </c>
      <c r="J233" t="s">
        <v>1036</v>
      </c>
      <c r="K233" t="s">
        <v>1037</v>
      </c>
      <c r="N233" t="s">
        <v>1183</v>
      </c>
      <c r="O233" t="s">
        <v>1039</v>
      </c>
      <c r="P233" t="s">
        <v>2225</v>
      </c>
      <c r="Q233" t="s">
        <v>1088</v>
      </c>
      <c r="R233" t="s">
        <v>1067</v>
      </c>
      <c r="S233">
        <v>54</v>
      </c>
      <c r="T233">
        <v>54</v>
      </c>
      <c r="U233">
        <v>54</v>
      </c>
      <c r="V233">
        <v>54</v>
      </c>
      <c r="W233">
        <v>54</v>
      </c>
      <c r="AE233" t="s">
        <v>548</v>
      </c>
      <c r="AF233" t="s">
        <v>548</v>
      </c>
      <c r="AG233" t="s">
        <v>548</v>
      </c>
      <c r="AH233" t="s">
        <v>548</v>
      </c>
      <c r="AI233" t="s">
        <v>548</v>
      </c>
      <c r="AJ233">
        <v>42</v>
      </c>
      <c r="AK233">
        <v>42</v>
      </c>
      <c r="AL233">
        <v>42</v>
      </c>
      <c r="AM233">
        <v>42</v>
      </c>
      <c r="AN233">
        <v>42</v>
      </c>
      <c r="AO233">
        <v>48</v>
      </c>
      <c r="AP233">
        <v>48</v>
      </c>
      <c r="AQ233">
        <v>48</v>
      </c>
      <c r="AR233">
        <v>48</v>
      </c>
      <c r="AS233">
        <v>48</v>
      </c>
      <c r="AT233">
        <v>60</v>
      </c>
      <c r="AU233">
        <v>60</v>
      </c>
      <c r="AV233">
        <v>60</v>
      </c>
      <c r="AW233">
        <v>60</v>
      </c>
      <c r="AX233">
        <v>60</v>
      </c>
      <c r="AY233">
        <v>66</v>
      </c>
      <c r="AZ233">
        <v>66</v>
      </c>
      <c r="BA233">
        <v>66</v>
      </c>
      <c r="BB233">
        <v>66</v>
      </c>
      <c r="BC233">
        <v>66</v>
      </c>
      <c r="BD233">
        <v>0.29149999999999998</v>
      </c>
      <c r="BH233">
        <v>0.24675</v>
      </c>
      <c r="BJ233">
        <v>1</v>
      </c>
      <c r="BK233" t="s">
        <v>1041</v>
      </c>
      <c r="BU233" t="s">
        <v>2226</v>
      </c>
      <c r="BV233" t="s">
        <v>1042</v>
      </c>
    </row>
    <row r="234" spans="1:74" x14ac:dyDescent="0.2">
      <c r="A234" t="s">
        <v>932</v>
      </c>
      <c r="B234" t="s">
        <v>2227</v>
      </c>
      <c r="C234" t="s">
        <v>913</v>
      </c>
      <c r="D234" t="s">
        <v>282</v>
      </c>
      <c r="E234" t="s">
        <v>1227</v>
      </c>
      <c r="F234" t="s">
        <v>2177</v>
      </c>
      <c r="G234">
        <v>9</v>
      </c>
      <c r="H234" t="s">
        <v>2228</v>
      </c>
      <c r="I234" t="s">
        <v>2229</v>
      </c>
      <c r="J234" t="s">
        <v>1036</v>
      </c>
      <c r="K234" t="s">
        <v>1037</v>
      </c>
      <c r="N234" t="s">
        <v>1183</v>
      </c>
      <c r="O234" t="s">
        <v>1039</v>
      </c>
      <c r="P234" t="s">
        <v>2225</v>
      </c>
      <c r="Q234" t="s">
        <v>1088</v>
      </c>
      <c r="S234">
        <v>0</v>
      </c>
      <c r="T234">
        <v>0</v>
      </c>
      <c r="U234">
        <v>0</v>
      </c>
      <c r="V234">
        <v>0</v>
      </c>
      <c r="W234">
        <v>7</v>
      </c>
      <c r="AC234" t="s">
        <v>548</v>
      </c>
      <c r="AE234" t="s">
        <v>548</v>
      </c>
      <c r="AF234" t="s">
        <v>548</v>
      </c>
      <c r="AG234" t="s">
        <v>548</v>
      </c>
      <c r="AH234" t="s">
        <v>548</v>
      </c>
      <c r="AI234" t="s">
        <v>548</v>
      </c>
      <c r="AJ234">
        <v>0</v>
      </c>
      <c r="AK234">
        <v>0</v>
      </c>
      <c r="AL234">
        <v>0</v>
      </c>
      <c r="AM234">
        <v>0</v>
      </c>
      <c r="AN234">
        <v>0</v>
      </c>
      <c r="AO234">
        <v>0</v>
      </c>
      <c r="AP234">
        <v>0</v>
      </c>
      <c r="AQ234">
        <v>0</v>
      </c>
      <c r="AR234">
        <v>0</v>
      </c>
      <c r="AS234">
        <v>7</v>
      </c>
      <c r="AT234">
        <v>0</v>
      </c>
      <c r="AU234">
        <v>0</v>
      </c>
      <c r="AV234">
        <v>0</v>
      </c>
      <c r="AW234">
        <v>0</v>
      </c>
      <c r="AX234">
        <v>7</v>
      </c>
      <c r="AY234">
        <v>7</v>
      </c>
      <c r="AZ234">
        <v>7</v>
      </c>
      <c r="BA234">
        <v>7</v>
      </c>
      <c r="BB234">
        <v>7</v>
      </c>
      <c r="BC234">
        <v>7</v>
      </c>
      <c r="BD234">
        <v>3.64</v>
      </c>
      <c r="BH234">
        <v>0.24675</v>
      </c>
      <c r="BJ234">
        <v>1</v>
      </c>
      <c r="BK234" t="s">
        <v>1041</v>
      </c>
      <c r="BU234" t="s">
        <v>2230</v>
      </c>
      <c r="BV234" t="s">
        <v>1042</v>
      </c>
    </row>
    <row r="235" spans="1:74" x14ac:dyDescent="0.2">
      <c r="A235" t="s">
        <v>932</v>
      </c>
      <c r="B235" t="s">
        <v>2231</v>
      </c>
      <c r="C235" t="s">
        <v>913</v>
      </c>
      <c r="D235" t="s">
        <v>282</v>
      </c>
      <c r="E235" t="s">
        <v>1227</v>
      </c>
      <c r="F235" t="s">
        <v>2177</v>
      </c>
      <c r="G235">
        <v>10</v>
      </c>
      <c r="H235" t="s">
        <v>2232</v>
      </c>
      <c r="I235" t="s">
        <v>2233</v>
      </c>
      <c r="J235" t="s">
        <v>1047</v>
      </c>
      <c r="K235" t="s">
        <v>1338</v>
      </c>
      <c r="N235" t="s">
        <v>1183</v>
      </c>
      <c r="O235" t="s">
        <v>76</v>
      </c>
      <c r="P235" t="s">
        <v>2234</v>
      </c>
      <c r="Q235">
        <v>1</v>
      </c>
      <c r="R235" t="s">
        <v>1519</v>
      </c>
      <c r="W235">
        <v>31.5</v>
      </c>
      <c r="AI235" t="s">
        <v>548</v>
      </c>
      <c r="AN235">
        <v>0</v>
      </c>
      <c r="AS235">
        <v>24.56</v>
      </c>
      <c r="BD235">
        <v>0.5</v>
      </c>
      <c r="BJ235">
        <v>1</v>
      </c>
      <c r="BK235" t="s">
        <v>1041</v>
      </c>
      <c r="BU235" t="s">
        <v>2235</v>
      </c>
      <c r="BV235" t="s">
        <v>1042</v>
      </c>
    </row>
    <row r="236" spans="1:74" x14ac:dyDescent="0.2">
      <c r="A236" t="s">
        <v>932</v>
      </c>
      <c r="B236" t="s">
        <v>2236</v>
      </c>
      <c r="C236" t="s">
        <v>913</v>
      </c>
      <c r="D236" t="s">
        <v>282</v>
      </c>
      <c r="E236" t="s">
        <v>1227</v>
      </c>
      <c r="F236" t="s">
        <v>2177</v>
      </c>
      <c r="G236">
        <v>11</v>
      </c>
      <c r="H236" t="s">
        <v>2237</v>
      </c>
      <c r="I236" t="s">
        <v>2238</v>
      </c>
      <c r="J236" t="s">
        <v>1066</v>
      </c>
      <c r="N236" t="s">
        <v>1261</v>
      </c>
      <c r="O236" t="s">
        <v>1039</v>
      </c>
      <c r="P236" t="s">
        <v>2239</v>
      </c>
      <c r="Q236" t="s">
        <v>1088</v>
      </c>
      <c r="R236">
        <v>7</v>
      </c>
      <c r="S236">
        <v>8</v>
      </c>
      <c r="T236">
        <v>6</v>
      </c>
      <c r="U236">
        <v>4</v>
      </c>
      <c r="V236">
        <v>2</v>
      </c>
      <c r="W236">
        <v>0</v>
      </c>
      <c r="BV236" t="s">
        <v>1042</v>
      </c>
    </row>
    <row r="237" spans="1:74" x14ac:dyDescent="0.2">
      <c r="A237" t="s">
        <v>932</v>
      </c>
      <c r="B237" t="s">
        <v>2240</v>
      </c>
      <c r="C237" t="s">
        <v>913</v>
      </c>
      <c r="D237" t="s">
        <v>282</v>
      </c>
      <c r="E237" t="s">
        <v>1227</v>
      </c>
      <c r="F237" t="s">
        <v>2181</v>
      </c>
      <c r="G237">
        <v>12</v>
      </c>
      <c r="H237" t="s">
        <v>2241</v>
      </c>
      <c r="I237" t="s">
        <v>2242</v>
      </c>
      <c r="J237" t="s">
        <v>1066</v>
      </c>
      <c r="N237" t="s">
        <v>1973</v>
      </c>
      <c r="O237" t="s">
        <v>253</v>
      </c>
      <c r="P237" t="s">
        <v>2243</v>
      </c>
      <c r="Q237" t="s">
        <v>1088</v>
      </c>
      <c r="R237">
        <v>75</v>
      </c>
      <c r="S237">
        <v>75</v>
      </c>
      <c r="T237">
        <v>76</v>
      </c>
      <c r="U237">
        <v>76</v>
      </c>
      <c r="V237">
        <v>77</v>
      </c>
      <c r="W237">
        <v>78</v>
      </c>
      <c r="BV237" t="s">
        <v>1042</v>
      </c>
    </row>
    <row r="238" spans="1:74" x14ac:dyDescent="0.2">
      <c r="A238" t="s">
        <v>932</v>
      </c>
      <c r="B238" t="s">
        <v>2244</v>
      </c>
      <c r="C238" t="s">
        <v>913</v>
      </c>
      <c r="D238" t="s">
        <v>282</v>
      </c>
      <c r="E238" t="s">
        <v>1227</v>
      </c>
      <c r="F238" t="s">
        <v>2245</v>
      </c>
      <c r="G238">
        <v>13</v>
      </c>
      <c r="H238" t="s">
        <v>2246</v>
      </c>
      <c r="I238" t="s">
        <v>2247</v>
      </c>
      <c r="J238" t="s">
        <v>1047</v>
      </c>
      <c r="K238" t="s">
        <v>1338</v>
      </c>
      <c r="M238" t="s">
        <v>543</v>
      </c>
      <c r="N238" t="s">
        <v>1183</v>
      </c>
      <c r="O238" t="s">
        <v>1295</v>
      </c>
      <c r="P238" t="s">
        <v>2248</v>
      </c>
      <c r="Q238" t="s">
        <v>1041</v>
      </c>
      <c r="R238" t="s">
        <v>1519</v>
      </c>
      <c r="V238" t="s">
        <v>1468</v>
      </c>
      <c r="W238" t="s">
        <v>1830</v>
      </c>
      <c r="AC238" t="s">
        <v>548</v>
      </c>
      <c r="AI238" t="s">
        <v>548</v>
      </c>
      <c r="AN238" t="s">
        <v>2249</v>
      </c>
      <c r="AS238" t="s">
        <v>2249</v>
      </c>
      <c r="BD238">
        <v>31.207999999999998</v>
      </c>
      <c r="BE238">
        <v>0.95</v>
      </c>
      <c r="BJ238">
        <v>1</v>
      </c>
      <c r="BK238" t="s">
        <v>1041</v>
      </c>
      <c r="BU238" t="s">
        <v>2250</v>
      </c>
      <c r="BV238" t="s">
        <v>1042</v>
      </c>
    </row>
    <row r="239" spans="1:74" x14ac:dyDescent="0.2">
      <c r="A239" t="s">
        <v>932</v>
      </c>
      <c r="B239" t="s">
        <v>2251</v>
      </c>
      <c r="C239" t="s">
        <v>913</v>
      </c>
      <c r="D239" t="s">
        <v>282</v>
      </c>
      <c r="E239" t="s">
        <v>1227</v>
      </c>
      <c r="F239" t="s">
        <v>2245</v>
      </c>
      <c r="G239">
        <v>14</v>
      </c>
      <c r="H239" t="s">
        <v>2252</v>
      </c>
      <c r="I239" t="s">
        <v>2253</v>
      </c>
      <c r="J239" t="s">
        <v>1047</v>
      </c>
      <c r="K239" t="s">
        <v>1338</v>
      </c>
      <c r="M239" t="s">
        <v>543</v>
      </c>
      <c r="N239" t="s">
        <v>1183</v>
      </c>
      <c r="O239" t="s">
        <v>1295</v>
      </c>
      <c r="P239" t="s">
        <v>2248</v>
      </c>
      <c r="Q239" t="s">
        <v>1041</v>
      </c>
      <c r="R239" t="s">
        <v>1519</v>
      </c>
      <c r="V239" t="s">
        <v>1468</v>
      </c>
      <c r="W239" t="s">
        <v>1830</v>
      </c>
      <c r="AC239" t="s">
        <v>548</v>
      </c>
      <c r="AI239" t="s">
        <v>548</v>
      </c>
      <c r="AN239" t="s">
        <v>2249</v>
      </c>
      <c r="AS239" t="s">
        <v>2249</v>
      </c>
      <c r="BD239">
        <v>21.696000000000002</v>
      </c>
      <c r="BE239">
        <v>0.9</v>
      </c>
      <c r="BJ239">
        <v>1</v>
      </c>
      <c r="BK239" t="s">
        <v>1041</v>
      </c>
      <c r="BU239" t="s">
        <v>2254</v>
      </c>
      <c r="BV239" t="s">
        <v>1042</v>
      </c>
    </row>
    <row r="240" spans="1:74" x14ac:dyDescent="0.2">
      <c r="A240" t="s">
        <v>932</v>
      </c>
      <c r="B240" t="s">
        <v>2255</v>
      </c>
      <c r="C240" t="s">
        <v>913</v>
      </c>
      <c r="D240" t="s">
        <v>282</v>
      </c>
      <c r="E240" t="s">
        <v>1227</v>
      </c>
      <c r="F240" t="s">
        <v>2245</v>
      </c>
      <c r="G240">
        <v>15</v>
      </c>
      <c r="H240" t="s">
        <v>2256</v>
      </c>
      <c r="I240" t="s">
        <v>2257</v>
      </c>
      <c r="J240" t="s">
        <v>1047</v>
      </c>
      <c r="K240" t="s">
        <v>1338</v>
      </c>
      <c r="N240" t="s">
        <v>678</v>
      </c>
      <c r="O240" t="s">
        <v>1039</v>
      </c>
      <c r="P240" t="s">
        <v>2258</v>
      </c>
      <c r="Q240" t="s">
        <v>1088</v>
      </c>
      <c r="R240" t="s">
        <v>1519</v>
      </c>
      <c r="W240">
        <v>6000</v>
      </c>
      <c r="AC240" t="s">
        <v>548</v>
      </c>
      <c r="AI240" t="s">
        <v>548</v>
      </c>
      <c r="AN240">
        <v>0</v>
      </c>
      <c r="AS240">
        <v>6000</v>
      </c>
      <c r="BD240">
        <v>1.8890000000000001E-3</v>
      </c>
      <c r="BJ240">
        <v>1</v>
      </c>
      <c r="BK240" t="s">
        <v>1041</v>
      </c>
      <c r="BU240" t="s">
        <v>2259</v>
      </c>
      <c r="BV240" t="s">
        <v>1042</v>
      </c>
    </row>
    <row r="241" spans="1:74" x14ac:dyDescent="0.2">
      <c r="A241" t="s">
        <v>932</v>
      </c>
      <c r="B241" t="s">
        <v>2260</v>
      </c>
      <c r="C241" t="s">
        <v>913</v>
      </c>
      <c r="D241" t="s">
        <v>1106</v>
      </c>
      <c r="E241" t="s">
        <v>1107</v>
      </c>
      <c r="F241" t="s">
        <v>2261</v>
      </c>
      <c r="G241">
        <v>1</v>
      </c>
      <c r="H241" t="s">
        <v>2262</v>
      </c>
      <c r="I241" t="s">
        <v>2263</v>
      </c>
      <c r="J241" t="s">
        <v>1066</v>
      </c>
      <c r="N241" t="s">
        <v>1203</v>
      </c>
      <c r="O241" t="s">
        <v>253</v>
      </c>
      <c r="P241" t="s">
        <v>2264</v>
      </c>
      <c r="Q241" t="s">
        <v>1088</v>
      </c>
      <c r="R241">
        <v>80</v>
      </c>
      <c r="S241" t="s">
        <v>2265</v>
      </c>
      <c r="T241" t="s">
        <v>2265</v>
      </c>
      <c r="U241" t="s">
        <v>2265</v>
      </c>
      <c r="V241" t="s">
        <v>2265</v>
      </c>
      <c r="W241" t="s">
        <v>2265</v>
      </c>
      <c r="BV241" t="s">
        <v>1042</v>
      </c>
    </row>
    <row r="242" spans="1:74" x14ac:dyDescent="0.2">
      <c r="A242" t="s">
        <v>932</v>
      </c>
      <c r="B242" t="s">
        <v>2266</v>
      </c>
      <c r="C242" t="s">
        <v>913</v>
      </c>
      <c r="D242" t="s">
        <v>1106</v>
      </c>
      <c r="E242" t="s">
        <v>1107</v>
      </c>
      <c r="F242" t="s">
        <v>2261</v>
      </c>
      <c r="G242">
        <v>2</v>
      </c>
      <c r="H242" t="s">
        <v>2267</v>
      </c>
      <c r="I242" t="s">
        <v>2268</v>
      </c>
      <c r="J242" t="s">
        <v>1066</v>
      </c>
      <c r="N242" t="s">
        <v>1203</v>
      </c>
      <c r="O242" t="s">
        <v>253</v>
      </c>
      <c r="P242" t="s">
        <v>2269</v>
      </c>
      <c r="Q242">
        <v>1</v>
      </c>
      <c r="R242">
        <v>75.900000000000006</v>
      </c>
      <c r="S242" t="s">
        <v>2265</v>
      </c>
      <c r="T242" t="s">
        <v>2265</v>
      </c>
      <c r="U242" t="s">
        <v>2265</v>
      </c>
      <c r="V242" t="s">
        <v>2265</v>
      </c>
      <c r="W242" t="s">
        <v>2265</v>
      </c>
      <c r="BV242" t="s">
        <v>1042</v>
      </c>
    </row>
    <row r="243" spans="1:74" x14ac:dyDescent="0.2">
      <c r="A243" t="s">
        <v>932</v>
      </c>
      <c r="B243" t="s">
        <v>2270</v>
      </c>
      <c r="C243" t="s">
        <v>913</v>
      </c>
      <c r="D243" t="s">
        <v>1106</v>
      </c>
      <c r="E243" t="s">
        <v>1107</v>
      </c>
      <c r="F243" t="s">
        <v>2181</v>
      </c>
      <c r="G243">
        <v>3</v>
      </c>
      <c r="H243" t="s">
        <v>2271</v>
      </c>
      <c r="I243" t="s">
        <v>2272</v>
      </c>
      <c r="J243" t="s">
        <v>1066</v>
      </c>
      <c r="N243" t="s">
        <v>1973</v>
      </c>
      <c r="O243" t="s">
        <v>253</v>
      </c>
      <c r="P243" t="s">
        <v>2273</v>
      </c>
      <c r="Q243">
        <v>1</v>
      </c>
      <c r="R243">
        <v>67.099999999999994</v>
      </c>
      <c r="S243" t="s">
        <v>2265</v>
      </c>
      <c r="T243" t="s">
        <v>2265</v>
      </c>
      <c r="U243" t="s">
        <v>2265</v>
      </c>
      <c r="V243" t="s">
        <v>2265</v>
      </c>
      <c r="W243" t="s">
        <v>2265</v>
      </c>
      <c r="BV243" t="s">
        <v>1042</v>
      </c>
    </row>
    <row r="244" spans="1:74" x14ac:dyDescent="0.2">
      <c r="A244" t="s">
        <v>932</v>
      </c>
      <c r="B244" t="s">
        <v>2274</v>
      </c>
      <c r="C244" t="s">
        <v>913</v>
      </c>
      <c r="D244" t="s">
        <v>1106</v>
      </c>
      <c r="E244" t="s">
        <v>1107</v>
      </c>
      <c r="F244" t="s">
        <v>2181</v>
      </c>
      <c r="G244">
        <v>4</v>
      </c>
      <c r="H244" t="s">
        <v>2275</v>
      </c>
      <c r="I244" t="s">
        <v>2276</v>
      </c>
      <c r="J244" t="s">
        <v>1066</v>
      </c>
      <c r="N244" t="s">
        <v>1973</v>
      </c>
      <c r="O244" t="s">
        <v>253</v>
      </c>
      <c r="P244" t="s">
        <v>2277</v>
      </c>
      <c r="Q244">
        <v>1</v>
      </c>
      <c r="R244">
        <v>35.1</v>
      </c>
      <c r="S244" t="s">
        <v>2265</v>
      </c>
      <c r="T244" t="s">
        <v>2265</v>
      </c>
      <c r="U244" t="s">
        <v>2265</v>
      </c>
      <c r="V244" t="s">
        <v>2265</v>
      </c>
      <c r="W244" t="s">
        <v>2265</v>
      </c>
      <c r="BV244" t="s">
        <v>1042</v>
      </c>
    </row>
    <row r="245" spans="1:74" x14ac:dyDescent="0.2">
      <c r="A245" t="s">
        <v>932</v>
      </c>
      <c r="B245" t="s">
        <v>2278</v>
      </c>
      <c r="C245" t="s">
        <v>913</v>
      </c>
      <c r="D245" t="s">
        <v>1106</v>
      </c>
      <c r="E245" t="s">
        <v>1107</v>
      </c>
      <c r="F245" t="s">
        <v>2181</v>
      </c>
      <c r="G245">
        <v>5</v>
      </c>
      <c r="H245" t="s">
        <v>2279</v>
      </c>
      <c r="I245" t="s">
        <v>2280</v>
      </c>
      <c r="J245" t="s">
        <v>1066</v>
      </c>
      <c r="N245" t="s">
        <v>1121</v>
      </c>
      <c r="O245" t="s">
        <v>1039</v>
      </c>
      <c r="P245" t="s">
        <v>2281</v>
      </c>
      <c r="Q245" t="s">
        <v>1088</v>
      </c>
      <c r="R245">
        <v>49000</v>
      </c>
      <c r="S245" t="s">
        <v>2282</v>
      </c>
      <c r="T245" t="s">
        <v>2282</v>
      </c>
      <c r="U245" t="s">
        <v>2282</v>
      </c>
      <c r="V245" t="s">
        <v>2282</v>
      </c>
      <c r="W245">
        <v>25000</v>
      </c>
      <c r="BU245" t="s">
        <v>2283</v>
      </c>
      <c r="BV245" t="s">
        <v>1042</v>
      </c>
    </row>
    <row r="246" spans="1:74" x14ac:dyDescent="0.2">
      <c r="A246" t="s">
        <v>932</v>
      </c>
      <c r="B246" t="s">
        <v>2284</v>
      </c>
      <c r="C246" t="s">
        <v>913</v>
      </c>
      <c r="D246" t="s">
        <v>1106</v>
      </c>
      <c r="E246" t="s">
        <v>1107</v>
      </c>
      <c r="F246" t="s">
        <v>1418</v>
      </c>
      <c r="G246">
        <v>6</v>
      </c>
      <c r="H246" t="s">
        <v>2285</v>
      </c>
      <c r="I246" t="s">
        <v>2286</v>
      </c>
      <c r="J246" t="s">
        <v>1066</v>
      </c>
      <c r="N246" t="s">
        <v>1121</v>
      </c>
      <c r="O246" t="s">
        <v>1039</v>
      </c>
      <c r="P246" t="s">
        <v>2287</v>
      </c>
      <c r="Q246" t="s">
        <v>1088</v>
      </c>
      <c r="R246">
        <v>105100</v>
      </c>
      <c r="S246">
        <v>129500</v>
      </c>
      <c r="T246">
        <v>149900</v>
      </c>
      <c r="U246">
        <v>172300</v>
      </c>
      <c r="V246">
        <v>194700</v>
      </c>
      <c r="W246">
        <v>217100</v>
      </c>
      <c r="BV246" t="s">
        <v>1042</v>
      </c>
    </row>
    <row r="247" spans="1:74" x14ac:dyDescent="0.2">
      <c r="A247" t="s">
        <v>932</v>
      </c>
      <c r="B247" t="s">
        <v>2288</v>
      </c>
      <c r="C247" t="s">
        <v>913</v>
      </c>
      <c r="D247" t="s">
        <v>1106</v>
      </c>
      <c r="E247" t="s">
        <v>1107</v>
      </c>
      <c r="F247" t="s">
        <v>1418</v>
      </c>
      <c r="G247">
        <v>7</v>
      </c>
      <c r="H247" t="s">
        <v>2289</v>
      </c>
      <c r="I247" t="s">
        <v>2290</v>
      </c>
      <c r="J247" t="s">
        <v>1066</v>
      </c>
      <c r="N247" t="s">
        <v>1121</v>
      </c>
      <c r="O247" t="s">
        <v>253</v>
      </c>
      <c r="P247" t="s">
        <v>2291</v>
      </c>
      <c r="Q247" t="s">
        <v>1088</v>
      </c>
      <c r="R247">
        <v>53</v>
      </c>
      <c r="S247" t="s">
        <v>2265</v>
      </c>
      <c r="T247" t="s">
        <v>2265</v>
      </c>
      <c r="U247" t="s">
        <v>2265</v>
      </c>
      <c r="V247" t="s">
        <v>2265</v>
      </c>
      <c r="W247" t="s">
        <v>2265</v>
      </c>
      <c r="BV247" t="s">
        <v>1042</v>
      </c>
    </row>
    <row r="248" spans="1:74" x14ac:dyDescent="0.2">
      <c r="A248" t="s">
        <v>932</v>
      </c>
      <c r="B248" t="s">
        <v>2292</v>
      </c>
      <c r="C248" t="s">
        <v>913</v>
      </c>
      <c r="D248" t="s">
        <v>1106</v>
      </c>
      <c r="E248" t="s">
        <v>1107</v>
      </c>
      <c r="F248" t="s">
        <v>1418</v>
      </c>
      <c r="G248">
        <v>8</v>
      </c>
      <c r="H248" t="s">
        <v>2293</v>
      </c>
      <c r="I248" t="s">
        <v>2294</v>
      </c>
      <c r="J248" t="s">
        <v>1036</v>
      </c>
      <c r="K248" t="s">
        <v>1037</v>
      </c>
      <c r="M248" t="s">
        <v>543</v>
      </c>
      <c r="N248" t="s">
        <v>1112</v>
      </c>
      <c r="O248" t="s">
        <v>1113</v>
      </c>
      <c r="P248" t="s">
        <v>1114</v>
      </c>
      <c r="Q248" t="s">
        <v>1088</v>
      </c>
      <c r="R248">
        <v>72</v>
      </c>
      <c r="S248" t="s">
        <v>1115</v>
      </c>
      <c r="T248" t="s">
        <v>1115</v>
      </c>
      <c r="U248" t="s">
        <v>1115</v>
      </c>
      <c r="V248" t="s">
        <v>1115</v>
      </c>
      <c r="W248" t="s">
        <v>1115</v>
      </c>
      <c r="AE248" t="s">
        <v>548</v>
      </c>
      <c r="AF248" t="s">
        <v>548</v>
      </c>
      <c r="AG248" t="s">
        <v>548</v>
      </c>
      <c r="AH248" t="s">
        <v>548</v>
      </c>
      <c r="AI248" t="s">
        <v>548</v>
      </c>
      <c r="AJ248" t="s">
        <v>1115</v>
      </c>
      <c r="AK248" t="s">
        <v>1115</v>
      </c>
      <c r="AL248" t="s">
        <v>1115</v>
      </c>
      <c r="AM248" t="s">
        <v>1115</v>
      </c>
      <c r="AN248" t="s">
        <v>1115</v>
      </c>
      <c r="AO248" t="s">
        <v>1115</v>
      </c>
      <c r="AP248" t="s">
        <v>1115</v>
      </c>
      <c r="AQ248" t="s">
        <v>1115</v>
      </c>
      <c r="AR248" t="s">
        <v>1115</v>
      </c>
      <c r="AS248" t="s">
        <v>1115</v>
      </c>
      <c r="AT248" t="s">
        <v>1115</v>
      </c>
      <c r="AU248" t="s">
        <v>1115</v>
      </c>
      <c r="AV248" t="s">
        <v>1115</v>
      </c>
      <c r="AW248" t="s">
        <v>1115</v>
      </c>
      <c r="AX248" t="s">
        <v>1115</v>
      </c>
      <c r="AY248" t="s">
        <v>1115</v>
      </c>
      <c r="AZ248" t="s">
        <v>1115</v>
      </c>
      <c r="BA248" t="s">
        <v>1115</v>
      </c>
      <c r="BB248" t="s">
        <v>1115</v>
      </c>
      <c r="BC248" t="s">
        <v>1115</v>
      </c>
      <c r="BD248" t="s">
        <v>1115</v>
      </c>
      <c r="BH248" t="s">
        <v>1115</v>
      </c>
      <c r="BJ248">
        <v>1</v>
      </c>
      <c r="BK248" t="s">
        <v>1041</v>
      </c>
      <c r="BU248" t="s">
        <v>1116</v>
      </c>
      <c r="BV248" t="s">
        <v>1042</v>
      </c>
    </row>
    <row r="249" spans="1:74" x14ac:dyDescent="0.2">
      <c r="A249" t="s">
        <v>2295</v>
      </c>
      <c r="B249" t="s">
        <v>2296</v>
      </c>
      <c r="C249" t="s">
        <v>948</v>
      </c>
      <c r="D249" t="s">
        <v>281</v>
      </c>
      <c r="E249" t="s">
        <v>1031</v>
      </c>
      <c r="F249" t="s">
        <v>2297</v>
      </c>
      <c r="G249">
        <v>1.1000000000000001</v>
      </c>
      <c r="H249" t="s">
        <v>2298</v>
      </c>
      <c r="I249" t="s">
        <v>2299</v>
      </c>
      <c r="J249" t="s">
        <v>1047</v>
      </c>
      <c r="K249" t="s">
        <v>1037</v>
      </c>
      <c r="N249" t="s">
        <v>1073</v>
      </c>
      <c r="O249" t="s">
        <v>253</v>
      </c>
      <c r="P249" t="s">
        <v>1074</v>
      </c>
      <c r="Q249">
        <v>3</v>
      </c>
      <c r="R249">
        <v>99.97</v>
      </c>
      <c r="S249">
        <v>99.97</v>
      </c>
      <c r="T249">
        <v>99.97</v>
      </c>
      <c r="U249">
        <v>100</v>
      </c>
      <c r="V249">
        <v>100</v>
      </c>
      <c r="W249">
        <v>100</v>
      </c>
      <c r="X249" t="s">
        <v>548</v>
      </c>
      <c r="AE249" t="s">
        <v>548</v>
      </c>
      <c r="AF249" t="s">
        <v>548</v>
      </c>
      <c r="AG249" t="s">
        <v>548</v>
      </c>
      <c r="AH249" t="s">
        <v>548</v>
      </c>
      <c r="AI249" t="s">
        <v>548</v>
      </c>
      <c r="AJ249">
        <v>99.92</v>
      </c>
      <c r="AK249">
        <v>99.92</v>
      </c>
      <c r="AL249">
        <v>99.92</v>
      </c>
      <c r="AM249">
        <v>99.92</v>
      </c>
      <c r="AN249">
        <v>99.92</v>
      </c>
      <c r="AO249">
        <v>99.95</v>
      </c>
      <c r="AP249">
        <v>99.95</v>
      </c>
      <c r="AQ249">
        <v>99.95</v>
      </c>
      <c r="AR249">
        <v>99.95</v>
      </c>
      <c r="AS249">
        <v>99.95</v>
      </c>
      <c r="BD249">
        <v>5.3999999999999999E-2</v>
      </c>
      <c r="BJ249">
        <v>100</v>
      </c>
      <c r="BK249" t="s">
        <v>1368</v>
      </c>
      <c r="BV249" t="s">
        <v>1007</v>
      </c>
    </row>
    <row r="250" spans="1:74" x14ac:dyDescent="0.2">
      <c r="A250" t="s">
        <v>2295</v>
      </c>
      <c r="B250" t="s">
        <v>2300</v>
      </c>
      <c r="C250" t="s">
        <v>948</v>
      </c>
      <c r="D250" t="s">
        <v>281</v>
      </c>
      <c r="E250" t="s">
        <v>1031</v>
      </c>
      <c r="F250" t="s">
        <v>2297</v>
      </c>
      <c r="G250">
        <v>1.2</v>
      </c>
      <c r="H250" t="s">
        <v>2301</v>
      </c>
      <c r="I250" t="s">
        <v>2302</v>
      </c>
      <c r="J250" t="s">
        <v>1036</v>
      </c>
      <c r="K250" t="s">
        <v>1037</v>
      </c>
      <c r="N250" t="s">
        <v>1008</v>
      </c>
      <c r="O250" t="s">
        <v>1039</v>
      </c>
      <c r="P250" t="s">
        <v>1080</v>
      </c>
      <c r="Q250">
        <v>2</v>
      </c>
      <c r="R250">
        <v>1.83</v>
      </c>
      <c r="S250">
        <v>1.63</v>
      </c>
      <c r="T250">
        <v>1.43</v>
      </c>
      <c r="U250">
        <v>1.23</v>
      </c>
      <c r="V250">
        <v>1.23</v>
      </c>
      <c r="W250">
        <v>1.23</v>
      </c>
      <c r="Y250" t="s">
        <v>548</v>
      </c>
      <c r="AE250" t="s">
        <v>548</v>
      </c>
      <c r="AF250" t="s">
        <v>548</v>
      </c>
      <c r="AG250" t="s">
        <v>548</v>
      </c>
      <c r="AH250" t="s">
        <v>548</v>
      </c>
      <c r="AI250" t="s">
        <v>548</v>
      </c>
      <c r="AJ250">
        <v>2.63</v>
      </c>
      <c r="AK250">
        <v>2.63</v>
      </c>
      <c r="AL250">
        <v>2.0299999999999998</v>
      </c>
      <c r="AM250">
        <v>2.0299999999999998</v>
      </c>
      <c r="AN250">
        <v>2.0299999999999998</v>
      </c>
      <c r="AO250">
        <v>1.83</v>
      </c>
      <c r="AP250">
        <v>1.83</v>
      </c>
      <c r="AQ250">
        <v>1.23</v>
      </c>
      <c r="AR250">
        <v>1.23</v>
      </c>
      <c r="AS250">
        <v>1.23</v>
      </c>
      <c r="AT250">
        <v>1.23</v>
      </c>
      <c r="AU250">
        <v>1.23</v>
      </c>
      <c r="AV250">
        <v>1.23</v>
      </c>
      <c r="AW250">
        <v>1.23</v>
      </c>
      <c r="AX250">
        <v>1.23</v>
      </c>
      <c r="AY250">
        <v>0.53</v>
      </c>
      <c r="AZ250">
        <v>0.53</v>
      </c>
      <c r="BA250">
        <v>0.53</v>
      </c>
      <c r="BB250">
        <v>0.53</v>
      </c>
      <c r="BC250">
        <v>0.53</v>
      </c>
      <c r="BD250">
        <v>0.159</v>
      </c>
      <c r="BH250">
        <v>0.121</v>
      </c>
      <c r="BJ250">
        <v>10</v>
      </c>
      <c r="BK250" t="s">
        <v>2303</v>
      </c>
      <c r="BV250" t="s">
        <v>1008</v>
      </c>
    </row>
    <row r="251" spans="1:74" x14ac:dyDescent="0.2">
      <c r="A251" t="s">
        <v>2295</v>
      </c>
      <c r="B251" t="s">
        <v>2304</v>
      </c>
      <c r="C251" t="s">
        <v>948</v>
      </c>
      <c r="D251" t="s">
        <v>281</v>
      </c>
      <c r="E251" t="s">
        <v>1031</v>
      </c>
      <c r="F251" t="s">
        <v>2305</v>
      </c>
      <c r="G251">
        <v>2.1</v>
      </c>
      <c r="H251" t="s">
        <v>2306</v>
      </c>
      <c r="I251" t="s">
        <v>2307</v>
      </c>
      <c r="J251" t="s">
        <v>1036</v>
      </c>
      <c r="K251" t="s">
        <v>1037</v>
      </c>
      <c r="N251" t="s">
        <v>1086</v>
      </c>
      <c r="O251" t="s">
        <v>1126</v>
      </c>
      <c r="P251" t="s">
        <v>1127</v>
      </c>
      <c r="Q251">
        <v>1</v>
      </c>
      <c r="R251">
        <v>10</v>
      </c>
      <c r="S251">
        <v>10</v>
      </c>
      <c r="T251">
        <v>10</v>
      </c>
      <c r="U251">
        <v>10</v>
      </c>
      <c r="V251">
        <v>10</v>
      </c>
      <c r="W251">
        <v>10</v>
      </c>
      <c r="Z251" t="s">
        <v>548</v>
      </c>
      <c r="AE251" t="s">
        <v>548</v>
      </c>
      <c r="AF251" t="s">
        <v>548</v>
      </c>
      <c r="AG251" t="s">
        <v>548</v>
      </c>
      <c r="AH251" t="s">
        <v>548</v>
      </c>
      <c r="AI251" t="s">
        <v>548</v>
      </c>
      <c r="AJ251">
        <v>14</v>
      </c>
      <c r="AK251">
        <v>14</v>
      </c>
      <c r="AL251">
        <v>14</v>
      </c>
      <c r="AM251">
        <v>14</v>
      </c>
      <c r="AN251">
        <v>14</v>
      </c>
      <c r="AO251">
        <v>12</v>
      </c>
      <c r="AP251">
        <v>12</v>
      </c>
      <c r="AQ251">
        <v>12</v>
      </c>
      <c r="AR251">
        <v>12</v>
      </c>
      <c r="AS251">
        <v>12</v>
      </c>
      <c r="AT251">
        <v>9</v>
      </c>
      <c r="AU251">
        <v>9</v>
      </c>
      <c r="AV251">
        <v>9</v>
      </c>
      <c r="AW251">
        <v>9</v>
      </c>
      <c r="AX251">
        <v>9</v>
      </c>
      <c r="AY251">
        <v>7</v>
      </c>
      <c r="AZ251">
        <v>7</v>
      </c>
      <c r="BA251">
        <v>7</v>
      </c>
      <c r="BB251">
        <v>7</v>
      </c>
      <c r="BC251">
        <v>7</v>
      </c>
      <c r="BD251">
        <v>0.45300000000000001</v>
      </c>
      <c r="BH251">
        <v>0.45300000000000001</v>
      </c>
      <c r="BJ251">
        <v>1</v>
      </c>
      <c r="BK251" t="s">
        <v>1041</v>
      </c>
      <c r="BV251" t="s">
        <v>1009</v>
      </c>
    </row>
    <row r="252" spans="1:74" x14ac:dyDescent="0.2">
      <c r="A252" t="s">
        <v>2295</v>
      </c>
      <c r="B252" t="s">
        <v>2308</v>
      </c>
      <c r="C252" t="s">
        <v>948</v>
      </c>
      <c r="D252" t="s">
        <v>281</v>
      </c>
      <c r="E252" t="s">
        <v>1031</v>
      </c>
      <c r="F252" t="s">
        <v>2305</v>
      </c>
      <c r="G252">
        <v>2.2000000000000002</v>
      </c>
      <c r="H252" t="s">
        <v>2309</v>
      </c>
      <c r="I252" t="s">
        <v>2310</v>
      </c>
      <c r="J252" t="s">
        <v>1047</v>
      </c>
      <c r="K252" t="s">
        <v>1037</v>
      </c>
      <c r="M252" t="s">
        <v>543</v>
      </c>
      <c r="N252" t="s">
        <v>1093</v>
      </c>
      <c r="O252" t="s">
        <v>1211</v>
      </c>
      <c r="P252" t="s">
        <v>1339</v>
      </c>
      <c r="Q252" t="s">
        <v>1041</v>
      </c>
      <c r="R252" t="s">
        <v>1213</v>
      </c>
      <c r="S252" t="s">
        <v>1213</v>
      </c>
      <c r="T252" t="s">
        <v>1213</v>
      </c>
      <c r="U252" t="s">
        <v>1213</v>
      </c>
      <c r="V252" t="s">
        <v>1213</v>
      </c>
      <c r="W252" t="s">
        <v>1213</v>
      </c>
      <c r="AE252" t="s">
        <v>548</v>
      </c>
      <c r="AF252" t="s">
        <v>548</v>
      </c>
      <c r="AG252" t="s">
        <v>548</v>
      </c>
      <c r="AH252" t="s">
        <v>548</v>
      </c>
      <c r="AI252" t="s">
        <v>548</v>
      </c>
      <c r="AJ252" t="s">
        <v>1340</v>
      </c>
      <c r="AK252" t="s">
        <v>1340</v>
      </c>
      <c r="AL252" t="s">
        <v>1340</v>
      </c>
      <c r="AM252" t="s">
        <v>1340</v>
      </c>
      <c r="AN252" t="s">
        <v>1340</v>
      </c>
      <c r="AO252" t="s">
        <v>1341</v>
      </c>
      <c r="AP252" t="s">
        <v>1341</v>
      </c>
      <c r="AQ252" t="s">
        <v>1341</v>
      </c>
      <c r="AR252" t="s">
        <v>1341</v>
      </c>
      <c r="AS252" t="s">
        <v>1341</v>
      </c>
      <c r="BD252">
        <v>7.5999999999999998E-2</v>
      </c>
      <c r="BE252">
        <v>0.379</v>
      </c>
      <c r="BJ252">
        <v>1</v>
      </c>
      <c r="BK252" t="s">
        <v>1041</v>
      </c>
      <c r="BU252" t="s">
        <v>2311</v>
      </c>
      <c r="BV252" t="s">
        <v>1042</v>
      </c>
    </row>
    <row r="253" spans="1:74" x14ac:dyDescent="0.2">
      <c r="A253" t="s">
        <v>2295</v>
      </c>
      <c r="B253" t="s">
        <v>2312</v>
      </c>
      <c r="C253" t="s">
        <v>948</v>
      </c>
      <c r="D253" t="s">
        <v>281</v>
      </c>
      <c r="E253" t="s">
        <v>1031</v>
      </c>
      <c r="F253" t="s">
        <v>2305</v>
      </c>
      <c r="G253">
        <v>2.2999999999999998</v>
      </c>
      <c r="H253" t="s">
        <v>2313</v>
      </c>
      <c r="I253" t="s">
        <v>2314</v>
      </c>
      <c r="J253" t="s">
        <v>1047</v>
      </c>
      <c r="K253" t="s">
        <v>1037</v>
      </c>
      <c r="M253" t="s">
        <v>543</v>
      </c>
      <c r="N253" t="s">
        <v>1093</v>
      </c>
      <c r="O253" t="s">
        <v>1211</v>
      </c>
      <c r="P253" t="s">
        <v>1339</v>
      </c>
      <c r="Q253" t="s">
        <v>1041</v>
      </c>
      <c r="R253" t="s">
        <v>1213</v>
      </c>
      <c r="S253" t="s">
        <v>1213</v>
      </c>
      <c r="T253" t="s">
        <v>1213</v>
      </c>
      <c r="U253" t="s">
        <v>1213</v>
      </c>
      <c r="V253" t="s">
        <v>1213</v>
      </c>
      <c r="W253" t="s">
        <v>1213</v>
      </c>
      <c r="AE253" t="s">
        <v>548</v>
      </c>
      <c r="AF253" t="s">
        <v>548</v>
      </c>
      <c r="AG253" t="s">
        <v>548</v>
      </c>
      <c r="AH253" t="s">
        <v>548</v>
      </c>
      <c r="AI253" t="s">
        <v>548</v>
      </c>
      <c r="AJ253" t="s">
        <v>1340</v>
      </c>
      <c r="AK253" t="s">
        <v>1340</v>
      </c>
      <c r="AL253" t="s">
        <v>1340</v>
      </c>
      <c r="AM253" t="s">
        <v>1340</v>
      </c>
      <c r="AN253" t="s">
        <v>1340</v>
      </c>
      <c r="AO253" t="s">
        <v>1341</v>
      </c>
      <c r="AP253" t="s">
        <v>1341</v>
      </c>
      <c r="AQ253" t="s">
        <v>1341</v>
      </c>
      <c r="AR253" t="s">
        <v>1341</v>
      </c>
      <c r="AS253" t="s">
        <v>1341</v>
      </c>
      <c r="BD253">
        <v>9.7000000000000003E-2</v>
      </c>
      <c r="BE253">
        <v>0.48699999999999999</v>
      </c>
      <c r="BJ253">
        <v>1</v>
      </c>
      <c r="BK253" t="s">
        <v>1041</v>
      </c>
      <c r="BU253" t="s">
        <v>2315</v>
      </c>
      <c r="BV253" t="s">
        <v>1042</v>
      </c>
    </row>
    <row r="254" spans="1:74" x14ac:dyDescent="0.2">
      <c r="A254" t="s">
        <v>2295</v>
      </c>
      <c r="B254" t="s">
        <v>2316</v>
      </c>
      <c r="C254" t="s">
        <v>948</v>
      </c>
      <c r="D254" t="s">
        <v>281</v>
      </c>
      <c r="E254" t="s">
        <v>1031</v>
      </c>
      <c r="F254" t="s">
        <v>2317</v>
      </c>
      <c r="G254">
        <v>4.0999999999999996</v>
      </c>
      <c r="H254" t="s">
        <v>2318</v>
      </c>
      <c r="I254" t="s">
        <v>2319</v>
      </c>
      <c r="J254" t="s">
        <v>1036</v>
      </c>
      <c r="K254" t="s">
        <v>1037</v>
      </c>
      <c r="N254" t="s">
        <v>1038</v>
      </c>
      <c r="O254" t="s">
        <v>1039</v>
      </c>
      <c r="P254" t="s">
        <v>1040</v>
      </c>
      <c r="Q254">
        <v>1</v>
      </c>
      <c r="R254">
        <v>70.5</v>
      </c>
      <c r="S254">
        <v>70.5</v>
      </c>
      <c r="T254">
        <v>70.5</v>
      </c>
      <c r="U254">
        <v>70.5</v>
      </c>
      <c r="V254">
        <v>70.5</v>
      </c>
      <c r="W254">
        <v>70.5</v>
      </c>
      <c r="AE254" t="s">
        <v>548</v>
      </c>
      <c r="AF254" t="s">
        <v>548</v>
      </c>
      <c r="AG254" t="s">
        <v>548</v>
      </c>
      <c r="AH254" t="s">
        <v>548</v>
      </c>
      <c r="AI254" t="s">
        <v>548</v>
      </c>
      <c r="AJ254">
        <v>80.599999999999994</v>
      </c>
      <c r="AK254">
        <v>80.599999999999994</v>
      </c>
      <c r="AL254">
        <v>80.599999999999994</v>
      </c>
      <c r="AM254">
        <v>80.599999999999994</v>
      </c>
      <c r="AN254">
        <v>80.599999999999994</v>
      </c>
      <c r="AO254">
        <v>73.3</v>
      </c>
      <c r="AP254">
        <v>73.3</v>
      </c>
      <c r="AQ254">
        <v>73.3</v>
      </c>
      <c r="AR254">
        <v>73.3</v>
      </c>
      <c r="AS254">
        <v>73.3</v>
      </c>
      <c r="AT254">
        <v>66.900000000000006</v>
      </c>
      <c r="AU254">
        <v>66.900000000000006</v>
      </c>
      <c r="AV254">
        <v>66.900000000000006</v>
      </c>
      <c r="AW254">
        <v>66.900000000000006</v>
      </c>
      <c r="AX254">
        <v>66.900000000000006</v>
      </c>
      <c r="AY254">
        <v>62.5</v>
      </c>
      <c r="AZ254">
        <v>62.5</v>
      </c>
      <c r="BA254">
        <v>62.5</v>
      </c>
      <c r="BB254">
        <v>62.5</v>
      </c>
      <c r="BC254">
        <v>62.5</v>
      </c>
      <c r="BD254">
        <v>0.36899999999999999</v>
      </c>
      <c r="BH254">
        <v>0.183</v>
      </c>
      <c r="BJ254">
        <v>1</v>
      </c>
      <c r="BK254" t="s">
        <v>1041</v>
      </c>
      <c r="BV254" t="s">
        <v>1042</v>
      </c>
    </row>
    <row r="255" spans="1:74" x14ac:dyDescent="0.2">
      <c r="A255" t="s">
        <v>2295</v>
      </c>
      <c r="B255" t="s">
        <v>2320</v>
      </c>
      <c r="C255" t="s">
        <v>948</v>
      </c>
      <c r="D255" t="s">
        <v>281</v>
      </c>
      <c r="E255" t="s">
        <v>1031</v>
      </c>
      <c r="F255" t="s">
        <v>2317</v>
      </c>
      <c r="G255">
        <v>4.2</v>
      </c>
      <c r="H255" t="s">
        <v>2321</v>
      </c>
      <c r="I255" t="s">
        <v>2322</v>
      </c>
      <c r="J255" t="s">
        <v>1036</v>
      </c>
      <c r="K255" t="s">
        <v>1037</v>
      </c>
      <c r="N255" t="s">
        <v>1038</v>
      </c>
      <c r="O255" t="s">
        <v>1039</v>
      </c>
      <c r="P255" t="s">
        <v>1040</v>
      </c>
      <c r="Q255">
        <v>1</v>
      </c>
      <c r="R255">
        <v>13.5</v>
      </c>
      <c r="S255">
        <v>13.5</v>
      </c>
      <c r="T255">
        <v>13.5</v>
      </c>
      <c r="U255">
        <v>13.5</v>
      </c>
      <c r="V255">
        <v>13.5</v>
      </c>
      <c r="W255">
        <v>13.5</v>
      </c>
      <c r="AE255" t="s">
        <v>548</v>
      </c>
      <c r="AF255" t="s">
        <v>548</v>
      </c>
      <c r="AG255" t="s">
        <v>548</v>
      </c>
      <c r="AH255" t="s">
        <v>548</v>
      </c>
      <c r="AI255" t="s">
        <v>548</v>
      </c>
      <c r="AJ255">
        <v>15.4</v>
      </c>
      <c r="AK255">
        <v>15.4</v>
      </c>
      <c r="AL255">
        <v>15.4</v>
      </c>
      <c r="AM255">
        <v>15.4</v>
      </c>
      <c r="AN255">
        <v>15.4</v>
      </c>
      <c r="AO255">
        <v>14</v>
      </c>
      <c r="AP255">
        <v>14</v>
      </c>
      <c r="AQ255">
        <v>14</v>
      </c>
      <c r="AR255">
        <v>14</v>
      </c>
      <c r="AS255">
        <v>14</v>
      </c>
      <c r="AT255">
        <v>12.6</v>
      </c>
      <c r="AU255">
        <v>12.6</v>
      </c>
      <c r="AV255">
        <v>12.6</v>
      </c>
      <c r="AW255">
        <v>12.6</v>
      </c>
      <c r="AX255">
        <v>12.6</v>
      </c>
      <c r="AY255">
        <v>11.1</v>
      </c>
      <c r="AZ255">
        <v>11.1</v>
      </c>
      <c r="BA255">
        <v>11.1</v>
      </c>
      <c r="BB255">
        <v>11.1</v>
      </c>
      <c r="BC255">
        <v>11.1</v>
      </c>
      <c r="BD255">
        <v>0.30499999999999999</v>
      </c>
      <c r="BH255">
        <v>0.152</v>
      </c>
      <c r="BJ255">
        <v>1</v>
      </c>
      <c r="BK255" t="s">
        <v>1041</v>
      </c>
      <c r="BV255" t="s">
        <v>1042</v>
      </c>
    </row>
    <row r="256" spans="1:74" x14ac:dyDescent="0.2">
      <c r="A256" t="s">
        <v>2295</v>
      </c>
      <c r="B256" t="s">
        <v>2323</v>
      </c>
      <c r="C256" t="s">
        <v>948</v>
      </c>
      <c r="D256" t="s">
        <v>281</v>
      </c>
      <c r="E256" t="s">
        <v>1031</v>
      </c>
      <c r="F256" t="s">
        <v>2317</v>
      </c>
      <c r="G256">
        <v>4.3</v>
      </c>
      <c r="H256" t="s">
        <v>2324</v>
      </c>
      <c r="I256" t="s">
        <v>2325</v>
      </c>
      <c r="J256" t="s">
        <v>1066</v>
      </c>
      <c r="N256" t="s">
        <v>1048</v>
      </c>
      <c r="O256" t="s">
        <v>1039</v>
      </c>
      <c r="P256" t="s">
        <v>1416</v>
      </c>
      <c r="Q256">
        <v>2</v>
      </c>
      <c r="R256">
        <v>131.44</v>
      </c>
      <c r="S256">
        <v>130.79</v>
      </c>
      <c r="T256">
        <v>130.15</v>
      </c>
      <c r="U256">
        <v>129.52000000000001</v>
      </c>
      <c r="V256">
        <v>128.91</v>
      </c>
      <c r="W256">
        <v>128.31</v>
      </c>
      <c r="BV256" t="s">
        <v>1042</v>
      </c>
    </row>
    <row r="257" spans="1:74" x14ac:dyDescent="0.2">
      <c r="A257" t="s">
        <v>2295</v>
      </c>
      <c r="B257" t="s">
        <v>2326</v>
      </c>
      <c r="C257" t="s">
        <v>948</v>
      </c>
      <c r="D257" t="s">
        <v>281</v>
      </c>
      <c r="E257" t="s">
        <v>1031</v>
      </c>
      <c r="F257" t="s">
        <v>2317</v>
      </c>
      <c r="G257">
        <v>4.4000000000000004</v>
      </c>
      <c r="H257" t="s">
        <v>2327</v>
      </c>
      <c r="I257" t="s">
        <v>2328</v>
      </c>
      <c r="J257" t="s">
        <v>1066</v>
      </c>
      <c r="N257" t="s">
        <v>1177</v>
      </c>
      <c r="O257" t="s">
        <v>1039</v>
      </c>
      <c r="P257" t="s">
        <v>2329</v>
      </c>
      <c r="Q257" t="s">
        <v>1088</v>
      </c>
      <c r="R257">
        <v>66</v>
      </c>
      <c r="S257">
        <v>76</v>
      </c>
      <c r="T257">
        <v>91</v>
      </c>
      <c r="U257">
        <v>106</v>
      </c>
      <c r="V257">
        <v>116</v>
      </c>
      <c r="W257">
        <v>116</v>
      </c>
      <c r="BV257" t="s">
        <v>1042</v>
      </c>
    </row>
    <row r="258" spans="1:74" x14ac:dyDescent="0.2">
      <c r="A258" t="s">
        <v>2295</v>
      </c>
      <c r="B258" t="s">
        <v>2330</v>
      </c>
      <c r="C258" t="s">
        <v>948</v>
      </c>
      <c r="D258" t="s">
        <v>281</v>
      </c>
      <c r="E258" t="s">
        <v>1031</v>
      </c>
      <c r="F258" t="s">
        <v>2317</v>
      </c>
      <c r="G258">
        <v>4.5</v>
      </c>
      <c r="H258" t="s">
        <v>2331</v>
      </c>
      <c r="I258" t="s">
        <v>2332</v>
      </c>
      <c r="J258" t="s">
        <v>1066</v>
      </c>
      <c r="N258" t="s">
        <v>1191</v>
      </c>
      <c r="O258" t="s">
        <v>1039</v>
      </c>
      <c r="P258" t="s">
        <v>2333</v>
      </c>
      <c r="Q258" t="s">
        <v>1088</v>
      </c>
      <c r="R258">
        <v>0</v>
      </c>
      <c r="S258">
        <v>509</v>
      </c>
      <c r="T258">
        <v>1320</v>
      </c>
      <c r="U258">
        <v>2428</v>
      </c>
      <c r="V258">
        <v>3742</v>
      </c>
      <c r="W258">
        <v>5210</v>
      </c>
      <c r="BV258" t="s">
        <v>1042</v>
      </c>
    </row>
    <row r="259" spans="1:74" x14ac:dyDescent="0.2">
      <c r="A259" t="s">
        <v>2295</v>
      </c>
      <c r="B259" t="s">
        <v>2334</v>
      </c>
      <c r="C259" t="s">
        <v>948</v>
      </c>
      <c r="D259" t="s">
        <v>281</v>
      </c>
      <c r="E259" t="s">
        <v>1031</v>
      </c>
      <c r="F259" t="s">
        <v>2335</v>
      </c>
      <c r="G259">
        <v>5.0999999999999996</v>
      </c>
      <c r="H259" t="s">
        <v>2336</v>
      </c>
      <c r="I259" t="s">
        <v>2337</v>
      </c>
      <c r="J259" t="s">
        <v>1066</v>
      </c>
      <c r="N259" t="s">
        <v>1121</v>
      </c>
      <c r="O259" t="s">
        <v>253</v>
      </c>
      <c r="P259" t="s">
        <v>2338</v>
      </c>
      <c r="Q259" t="s">
        <v>1088</v>
      </c>
      <c r="R259">
        <v>87</v>
      </c>
      <c r="S259">
        <v>90</v>
      </c>
      <c r="T259">
        <v>90</v>
      </c>
      <c r="U259">
        <v>90</v>
      </c>
      <c r="V259">
        <v>90</v>
      </c>
      <c r="W259">
        <v>90</v>
      </c>
      <c r="BV259" t="s">
        <v>1042</v>
      </c>
    </row>
    <row r="260" spans="1:74" x14ac:dyDescent="0.2">
      <c r="A260" t="s">
        <v>2295</v>
      </c>
      <c r="B260" t="s">
        <v>2339</v>
      </c>
      <c r="C260" t="s">
        <v>948</v>
      </c>
      <c r="D260" t="s">
        <v>281</v>
      </c>
      <c r="E260" t="s">
        <v>1031</v>
      </c>
      <c r="F260" t="s">
        <v>2335</v>
      </c>
      <c r="G260">
        <v>5.2</v>
      </c>
      <c r="H260" t="s">
        <v>2340</v>
      </c>
      <c r="I260" t="s">
        <v>2341</v>
      </c>
      <c r="J260" t="s">
        <v>1066</v>
      </c>
      <c r="N260" t="s">
        <v>1121</v>
      </c>
      <c r="O260" t="s">
        <v>1039</v>
      </c>
      <c r="P260" t="s">
        <v>2342</v>
      </c>
      <c r="Q260" t="s">
        <v>1088</v>
      </c>
      <c r="R260">
        <v>17000</v>
      </c>
      <c r="S260">
        <v>19600</v>
      </c>
      <c r="T260">
        <v>22200</v>
      </c>
      <c r="U260">
        <v>24800</v>
      </c>
      <c r="V260">
        <v>27400</v>
      </c>
      <c r="W260">
        <v>30000</v>
      </c>
      <c r="BV260" t="s">
        <v>1042</v>
      </c>
    </row>
    <row r="261" spans="1:74" x14ac:dyDescent="0.2">
      <c r="A261" t="s">
        <v>2295</v>
      </c>
      <c r="B261" t="s">
        <v>2343</v>
      </c>
      <c r="C261" t="s">
        <v>948</v>
      </c>
      <c r="D261" t="s">
        <v>1106</v>
      </c>
      <c r="E261" t="s">
        <v>1107</v>
      </c>
      <c r="F261" t="s">
        <v>2344</v>
      </c>
      <c r="G261">
        <v>3.1</v>
      </c>
      <c r="H261" t="s">
        <v>2345</v>
      </c>
      <c r="I261" t="s">
        <v>2346</v>
      </c>
      <c r="J261" t="s">
        <v>1036</v>
      </c>
      <c r="K261" t="s">
        <v>1037</v>
      </c>
      <c r="M261" t="s">
        <v>543</v>
      </c>
      <c r="N261" t="s">
        <v>1112</v>
      </c>
      <c r="O261" t="s">
        <v>1113</v>
      </c>
      <c r="P261" t="s">
        <v>1114</v>
      </c>
      <c r="Q261">
        <v>1</v>
      </c>
      <c r="R261">
        <v>88</v>
      </c>
      <c r="S261">
        <v>89</v>
      </c>
      <c r="T261">
        <v>90</v>
      </c>
      <c r="U261">
        <v>90</v>
      </c>
      <c r="V261">
        <v>90</v>
      </c>
      <c r="W261">
        <v>90</v>
      </c>
      <c r="AE261" t="s">
        <v>548</v>
      </c>
      <c r="AF261" t="s">
        <v>548</v>
      </c>
      <c r="AG261" t="s">
        <v>548</v>
      </c>
      <c r="AH261" t="s">
        <v>548</v>
      </c>
      <c r="AI261" t="s">
        <v>548</v>
      </c>
      <c r="AJ261" t="s">
        <v>1115</v>
      </c>
      <c r="AK261" t="s">
        <v>1115</v>
      </c>
      <c r="AL261" t="s">
        <v>1115</v>
      </c>
      <c r="AM261" t="s">
        <v>1115</v>
      </c>
      <c r="AN261" t="s">
        <v>1115</v>
      </c>
      <c r="AO261" t="s">
        <v>1115</v>
      </c>
      <c r="AP261" t="s">
        <v>1115</v>
      </c>
      <c r="AQ261" t="s">
        <v>1115</v>
      </c>
      <c r="AR261" t="s">
        <v>1115</v>
      </c>
      <c r="AS261" t="s">
        <v>1115</v>
      </c>
      <c r="AT261" t="s">
        <v>1115</v>
      </c>
      <c r="AU261" t="s">
        <v>1115</v>
      </c>
      <c r="AV261" t="s">
        <v>1115</v>
      </c>
      <c r="AW261" t="s">
        <v>1115</v>
      </c>
      <c r="AX261" t="s">
        <v>1115</v>
      </c>
      <c r="AY261" t="s">
        <v>1115</v>
      </c>
      <c r="AZ261" t="s">
        <v>1115</v>
      </c>
      <c r="BA261" t="s">
        <v>1115</v>
      </c>
      <c r="BB261" t="s">
        <v>1115</v>
      </c>
      <c r="BC261" t="s">
        <v>1115</v>
      </c>
      <c r="BD261" t="s">
        <v>1115</v>
      </c>
      <c r="BH261" t="s">
        <v>1115</v>
      </c>
      <c r="BJ261">
        <v>1</v>
      </c>
      <c r="BK261" t="s">
        <v>1041</v>
      </c>
      <c r="BU261" t="s">
        <v>1116</v>
      </c>
      <c r="BV261" t="s">
        <v>1042</v>
      </c>
    </row>
    <row r="262" spans="1:74" x14ac:dyDescent="0.2">
      <c r="A262" t="s">
        <v>2295</v>
      </c>
      <c r="B262" t="s">
        <v>2347</v>
      </c>
      <c r="C262" t="s">
        <v>948</v>
      </c>
      <c r="D262" t="s">
        <v>1106</v>
      </c>
      <c r="E262" t="s">
        <v>1107</v>
      </c>
      <c r="F262" t="s">
        <v>2344</v>
      </c>
      <c r="G262">
        <v>3.2</v>
      </c>
      <c r="H262" t="s">
        <v>2348</v>
      </c>
      <c r="I262" t="s">
        <v>2349</v>
      </c>
      <c r="J262" t="s">
        <v>1066</v>
      </c>
      <c r="N262" t="s">
        <v>1203</v>
      </c>
      <c r="O262" t="s">
        <v>253</v>
      </c>
      <c r="P262" t="s">
        <v>1204</v>
      </c>
      <c r="Q262" t="s">
        <v>1088</v>
      </c>
      <c r="R262">
        <v>96</v>
      </c>
      <c r="S262">
        <v>98</v>
      </c>
      <c r="T262">
        <v>98</v>
      </c>
      <c r="U262">
        <v>98</v>
      </c>
      <c r="V262">
        <v>98</v>
      </c>
      <c r="W262">
        <v>98</v>
      </c>
      <c r="BV262" t="s">
        <v>1042</v>
      </c>
    </row>
    <row r="263" spans="1:74" x14ac:dyDescent="0.2">
      <c r="A263" t="s">
        <v>2295</v>
      </c>
      <c r="B263" t="s">
        <v>2350</v>
      </c>
      <c r="C263" t="s">
        <v>948</v>
      </c>
      <c r="D263" t="s">
        <v>1106</v>
      </c>
      <c r="E263" t="s">
        <v>1107</v>
      </c>
      <c r="F263" t="s">
        <v>2344</v>
      </c>
      <c r="G263">
        <v>3.3</v>
      </c>
      <c r="H263" t="s">
        <v>2351</v>
      </c>
      <c r="I263" t="s">
        <v>2352</v>
      </c>
      <c r="J263" t="s">
        <v>1066</v>
      </c>
      <c r="N263" t="s">
        <v>1973</v>
      </c>
      <c r="O263" t="s">
        <v>1039</v>
      </c>
      <c r="P263" t="s">
        <v>2353</v>
      </c>
      <c r="Q263" t="s">
        <v>1088</v>
      </c>
      <c r="R263">
        <v>300</v>
      </c>
      <c r="S263">
        <v>400</v>
      </c>
      <c r="T263">
        <v>400</v>
      </c>
      <c r="U263">
        <v>400</v>
      </c>
      <c r="V263">
        <v>400</v>
      </c>
      <c r="W263">
        <v>400</v>
      </c>
      <c r="BV263" t="s">
        <v>1042</v>
      </c>
    </row>
    <row r="264" spans="1:74" x14ac:dyDescent="0.2">
      <c r="A264" t="s">
        <v>926</v>
      </c>
      <c r="B264" t="s">
        <v>2354</v>
      </c>
      <c r="C264" t="s">
        <v>913</v>
      </c>
      <c r="D264" t="s">
        <v>281</v>
      </c>
      <c r="E264" t="s">
        <v>1031</v>
      </c>
      <c r="F264" t="s">
        <v>2355</v>
      </c>
      <c r="G264" t="s">
        <v>1033</v>
      </c>
      <c r="H264" t="s">
        <v>2356</v>
      </c>
      <c r="I264" t="s">
        <v>2357</v>
      </c>
      <c r="J264" t="s">
        <v>1036</v>
      </c>
      <c r="K264" t="s">
        <v>1037</v>
      </c>
      <c r="L264" t="s">
        <v>548</v>
      </c>
      <c r="N264" t="s">
        <v>1008</v>
      </c>
      <c r="O264" t="s">
        <v>1039</v>
      </c>
      <c r="P264" t="s">
        <v>2358</v>
      </c>
      <c r="Q264" t="s">
        <v>1088</v>
      </c>
      <c r="R264">
        <v>13000</v>
      </c>
      <c r="S264">
        <v>11900</v>
      </c>
      <c r="T264">
        <v>10995</v>
      </c>
      <c r="U264">
        <v>9992</v>
      </c>
      <c r="V264">
        <v>9992</v>
      </c>
      <c r="W264">
        <v>9992</v>
      </c>
      <c r="Y264" t="s">
        <v>548</v>
      </c>
      <c r="AE264" t="s">
        <v>548</v>
      </c>
      <c r="AF264" t="s">
        <v>548</v>
      </c>
      <c r="AG264" t="s">
        <v>548</v>
      </c>
      <c r="AH264" t="s">
        <v>548</v>
      </c>
      <c r="AI264" t="s">
        <v>548</v>
      </c>
      <c r="AJ264">
        <v>999999</v>
      </c>
      <c r="AK264">
        <v>999999</v>
      </c>
      <c r="AL264">
        <v>999999</v>
      </c>
      <c r="AM264">
        <v>999999</v>
      </c>
      <c r="AN264">
        <v>999999</v>
      </c>
      <c r="AO264">
        <v>11900</v>
      </c>
      <c r="AP264">
        <v>11800</v>
      </c>
      <c r="AQ264">
        <v>9992</v>
      </c>
      <c r="AR264">
        <v>9992</v>
      </c>
      <c r="AS264">
        <v>9992</v>
      </c>
      <c r="AT264">
        <v>9992</v>
      </c>
      <c r="AU264">
        <v>9992</v>
      </c>
      <c r="AV264">
        <v>9992</v>
      </c>
      <c r="AW264">
        <v>9992</v>
      </c>
      <c r="AX264">
        <v>9992</v>
      </c>
      <c r="AY264">
        <v>0</v>
      </c>
      <c r="AZ264">
        <v>0</v>
      </c>
      <c r="BA264">
        <v>0</v>
      </c>
      <c r="BB264">
        <v>0</v>
      </c>
      <c r="BC264">
        <v>0</v>
      </c>
      <c r="BD264">
        <v>8.9999999999999998E-4</v>
      </c>
      <c r="BH264">
        <v>8.9999999999999998E-4</v>
      </c>
      <c r="BJ264">
        <v>1</v>
      </c>
      <c r="BK264" t="s">
        <v>1041</v>
      </c>
      <c r="BU264" t="s">
        <v>2359</v>
      </c>
      <c r="BV264" t="s">
        <v>1008</v>
      </c>
    </row>
    <row r="265" spans="1:74" x14ac:dyDescent="0.2">
      <c r="A265" t="s">
        <v>926</v>
      </c>
      <c r="B265" t="s">
        <v>2360</v>
      </c>
      <c r="C265" t="s">
        <v>913</v>
      </c>
      <c r="D265" t="s">
        <v>281</v>
      </c>
      <c r="E265" t="s">
        <v>1031</v>
      </c>
      <c r="F265" t="s">
        <v>2355</v>
      </c>
      <c r="G265" t="s">
        <v>1044</v>
      </c>
      <c r="H265" t="s">
        <v>2361</v>
      </c>
      <c r="I265" t="s">
        <v>2362</v>
      </c>
      <c r="J265" t="s">
        <v>1047</v>
      </c>
      <c r="K265" t="s">
        <v>1037</v>
      </c>
      <c r="L265" t="s">
        <v>548</v>
      </c>
      <c r="N265" t="s">
        <v>1073</v>
      </c>
      <c r="O265" t="s">
        <v>253</v>
      </c>
      <c r="P265" t="s">
        <v>1074</v>
      </c>
      <c r="Q265">
        <v>3</v>
      </c>
      <c r="R265">
        <v>99.95</v>
      </c>
      <c r="S265">
        <v>99.97</v>
      </c>
      <c r="T265">
        <v>99.97</v>
      </c>
      <c r="U265">
        <v>100</v>
      </c>
      <c r="V265">
        <v>100</v>
      </c>
      <c r="W265">
        <v>100</v>
      </c>
      <c r="X265" t="s">
        <v>548</v>
      </c>
      <c r="AE265" t="s">
        <v>548</v>
      </c>
      <c r="AF265" t="s">
        <v>548</v>
      </c>
      <c r="AG265" t="s">
        <v>548</v>
      </c>
      <c r="AH265" t="s">
        <v>548</v>
      </c>
      <c r="AI265" t="s">
        <v>548</v>
      </c>
      <c r="AJ265">
        <v>99.91</v>
      </c>
      <c r="AK265">
        <v>99.91</v>
      </c>
      <c r="AL265">
        <v>99.91</v>
      </c>
      <c r="AM265">
        <v>99.91</v>
      </c>
      <c r="AN265">
        <v>99.91</v>
      </c>
      <c r="AO265">
        <v>99.944999999999993</v>
      </c>
      <c r="AP265">
        <v>99.944999999999993</v>
      </c>
      <c r="AQ265">
        <v>99.95</v>
      </c>
      <c r="AR265">
        <v>99.95</v>
      </c>
      <c r="AS265">
        <v>99.95</v>
      </c>
      <c r="BD265">
        <v>1.7174</v>
      </c>
      <c r="BJ265">
        <v>100</v>
      </c>
      <c r="BK265" t="s">
        <v>1368</v>
      </c>
      <c r="BU265" t="s">
        <v>2359</v>
      </c>
      <c r="BV265" t="s">
        <v>1007</v>
      </c>
    </row>
    <row r="266" spans="1:74" x14ac:dyDescent="0.2">
      <c r="A266" t="s">
        <v>926</v>
      </c>
      <c r="B266" t="s">
        <v>2363</v>
      </c>
      <c r="C266" t="s">
        <v>913</v>
      </c>
      <c r="D266" t="s">
        <v>281</v>
      </c>
      <c r="E266" t="s">
        <v>1031</v>
      </c>
      <c r="F266" t="s">
        <v>2355</v>
      </c>
      <c r="G266" t="s">
        <v>1052</v>
      </c>
      <c r="H266" t="s">
        <v>2364</v>
      </c>
      <c r="I266" t="s">
        <v>2365</v>
      </c>
      <c r="J266" t="s">
        <v>1047</v>
      </c>
      <c r="K266" t="s">
        <v>1338</v>
      </c>
      <c r="M266" t="s">
        <v>543</v>
      </c>
      <c r="N266" t="s">
        <v>1093</v>
      </c>
      <c r="O266" t="s">
        <v>1039</v>
      </c>
      <c r="P266" t="s">
        <v>2366</v>
      </c>
      <c r="Q266" t="s">
        <v>1088</v>
      </c>
      <c r="R266" t="s">
        <v>1213</v>
      </c>
      <c r="S266" t="s">
        <v>2367</v>
      </c>
      <c r="T266" t="s">
        <v>2367</v>
      </c>
      <c r="U266" t="s">
        <v>2367</v>
      </c>
      <c r="V266" t="s">
        <v>2368</v>
      </c>
      <c r="W266" t="s">
        <v>2368</v>
      </c>
      <c r="AE266" t="s">
        <v>548</v>
      </c>
      <c r="AF266" t="s">
        <v>548</v>
      </c>
      <c r="AG266" t="s">
        <v>548</v>
      </c>
      <c r="AH266" t="s">
        <v>548</v>
      </c>
      <c r="AI266" t="s">
        <v>548</v>
      </c>
      <c r="AJ266">
        <v>999999</v>
      </c>
      <c r="AK266">
        <v>999999</v>
      </c>
      <c r="AL266">
        <v>999999</v>
      </c>
      <c r="AM266">
        <v>999999</v>
      </c>
      <c r="AN266">
        <v>999999</v>
      </c>
      <c r="AO266">
        <v>8</v>
      </c>
      <c r="AP266">
        <v>8</v>
      </c>
      <c r="AQ266">
        <v>8</v>
      </c>
      <c r="AR266">
        <v>6</v>
      </c>
      <c r="AS266">
        <v>6</v>
      </c>
      <c r="BD266">
        <v>0.46300000000000002</v>
      </c>
      <c r="BJ266">
        <v>1</v>
      </c>
      <c r="BK266" t="s">
        <v>1041</v>
      </c>
      <c r="BV266" t="s">
        <v>1042</v>
      </c>
    </row>
    <row r="267" spans="1:74" x14ac:dyDescent="0.2">
      <c r="A267" t="s">
        <v>926</v>
      </c>
      <c r="B267" t="s">
        <v>2369</v>
      </c>
      <c r="C267" t="s">
        <v>913</v>
      </c>
      <c r="D267" t="s">
        <v>281</v>
      </c>
      <c r="E267" t="s">
        <v>1031</v>
      </c>
      <c r="F267" t="s">
        <v>2355</v>
      </c>
      <c r="G267" t="s">
        <v>1058</v>
      </c>
      <c r="H267" t="s">
        <v>2370</v>
      </c>
      <c r="I267" t="s">
        <v>2371</v>
      </c>
      <c r="J267" t="s">
        <v>1036</v>
      </c>
      <c r="K267" t="s">
        <v>1037</v>
      </c>
      <c r="L267" t="s">
        <v>548</v>
      </c>
      <c r="M267" t="s">
        <v>543</v>
      </c>
      <c r="N267" t="s">
        <v>2372</v>
      </c>
      <c r="O267" t="s">
        <v>1039</v>
      </c>
      <c r="P267" t="s">
        <v>2373</v>
      </c>
      <c r="Q267" t="s">
        <v>1088</v>
      </c>
      <c r="V267">
        <v>12</v>
      </c>
      <c r="AH267" t="s">
        <v>548</v>
      </c>
      <c r="AM267">
        <v>0</v>
      </c>
      <c r="AR267">
        <v>12</v>
      </c>
      <c r="AW267">
        <v>12</v>
      </c>
      <c r="BB267">
        <v>21</v>
      </c>
      <c r="BD267">
        <v>1.03</v>
      </c>
      <c r="BH267">
        <v>1.03</v>
      </c>
      <c r="BJ267">
        <v>1</v>
      </c>
      <c r="BK267" t="s">
        <v>1041</v>
      </c>
      <c r="BU267" t="s">
        <v>2374</v>
      </c>
      <c r="BV267" t="s">
        <v>1042</v>
      </c>
    </row>
    <row r="268" spans="1:74" x14ac:dyDescent="0.2">
      <c r="A268" t="s">
        <v>926</v>
      </c>
      <c r="B268" t="s">
        <v>2375</v>
      </c>
      <c r="C268" t="s">
        <v>913</v>
      </c>
      <c r="D268" t="s">
        <v>281</v>
      </c>
      <c r="E268" t="s">
        <v>1031</v>
      </c>
      <c r="F268" t="s">
        <v>2376</v>
      </c>
      <c r="G268" t="s">
        <v>1070</v>
      </c>
      <c r="H268" t="s">
        <v>2377</v>
      </c>
      <c r="I268" t="s">
        <v>2378</v>
      </c>
      <c r="J268" t="s">
        <v>1066</v>
      </c>
      <c r="N268" t="s">
        <v>1061</v>
      </c>
      <c r="O268" t="s">
        <v>1039</v>
      </c>
      <c r="P268" t="s">
        <v>1049</v>
      </c>
      <c r="Q268" t="s">
        <v>1088</v>
      </c>
      <c r="R268">
        <v>229</v>
      </c>
      <c r="S268">
        <v>225</v>
      </c>
      <c r="T268">
        <v>222</v>
      </c>
      <c r="U268">
        <v>219</v>
      </c>
      <c r="V268">
        <v>216</v>
      </c>
      <c r="W268">
        <v>213</v>
      </c>
      <c r="BV268" t="s">
        <v>1042</v>
      </c>
    </row>
    <row r="269" spans="1:74" x14ac:dyDescent="0.2">
      <c r="A269" t="s">
        <v>926</v>
      </c>
      <c r="B269" t="s">
        <v>2379</v>
      </c>
      <c r="C269" t="s">
        <v>913</v>
      </c>
      <c r="D269" t="s">
        <v>281</v>
      </c>
      <c r="E269" t="s">
        <v>1031</v>
      </c>
      <c r="F269" t="s">
        <v>2376</v>
      </c>
      <c r="G269" t="s">
        <v>1077</v>
      </c>
      <c r="H269" t="s">
        <v>2380</v>
      </c>
      <c r="I269" t="s">
        <v>2381</v>
      </c>
      <c r="J269" t="s">
        <v>1036</v>
      </c>
      <c r="K269" t="s">
        <v>1037</v>
      </c>
      <c r="L269" t="s">
        <v>548</v>
      </c>
      <c r="M269" t="s">
        <v>543</v>
      </c>
      <c r="N269" t="s">
        <v>1038</v>
      </c>
      <c r="O269" t="s">
        <v>1039</v>
      </c>
      <c r="P269" t="s">
        <v>1040</v>
      </c>
      <c r="Q269" t="s">
        <v>1088</v>
      </c>
      <c r="R269">
        <v>450</v>
      </c>
      <c r="S269">
        <v>444</v>
      </c>
      <c r="T269">
        <v>439</v>
      </c>
      <c r="U269">
        <v>434</v>
      </c>
      <c r="V269">
        <v>429</v>
      </c>
      <c r="W269">
        <v>424</v>
      </c>
      <c r="AE269" t="s">
        <v>548</v>
      </c>
      <c r="AF269" t="s">
        <v>548</v>
      </c>
      <c r="AG269" t="s">
        <v>548</v>
      </c>
      <c r="AH269" t="s">
        <v>548</v>
      </c>
      <c r="AI269" t="s">
        <v>548</v>
      </c>
      <c r="AJ269">
        <v>999999</v>
      </c>
      <c r="AK269">
        <v>999999</v>
      </c>
      <c r="AL269">
        <v>999999</v>
      </c>
      <c r="AM269">
        <v>999999</v>
      </c>
      <c r="AN269">
        <v>999999</v>
      </c>
      <c r="AO269">
        <v>444</v>
      </c>
      <c r="AP269">
        <v>439</v>
      </c>
      <c r="AQ269">
        <v>434</v>
      </c>
      <c r="AR269">
        <v>429</v>
      </c>
      <c r="AS269">
        <v>424</v>
      </c>
      <c r="AT269">
        <v>444</v>
      </c>
      <c r="AU269">
        <v>439</v>
      </c>
      <c r="AV269">
        <v>434</v>
      </c>
      <c r="AW269">
        <v>429</v>
      </c>
      <c r="AX269">
        <v>424</v>
      </c>
      <c r="AY269">
        <v>0</v>
      </c>
      <c r="AZ269">
        <v>0</v>
      </c>
      <c r="BA269">
        <v>0</v>
      </c>
      <c r="BB269">
        <v>0</v>
      </c>
      <c r="BC269">
        <v>0</v>
      </c>
      <c r="BD269">
        <v>0.123</v>
      </c>
      <c r="BE269">
        <v>0.2</v>
      </c>
      <c r="BH269">
        <v>0.123</v>
      </c>
      <c r="BJ269">
        <v>1</v>
      </c>
      <c r="BK269" t="s">
        <v>1041</v>
      </c>
      <c r="BU269" t="s">
        <v>2382</v>
      </c>
      <c r="BV269" t="s">
        <v>1042</v>
      </c>
    </row>
    <row r="270" spans="1:74" x14ac:dyDescent="0.2">
      <c r="A270" t="s">
        <v>926</v>
      </c>
      <c r="B270" t="s">
        <v>2383</v>
      </c>
      <c r="C270" t="s">
        <v>913</v>
      </c>
      <c r="D270" t="s">
        <v>281</v>
      </c>
      <c r="E270" t="s">
        <v>1031</v>
      </c>
      <c r="F270" t="s">
        <v>2376</v>
      </c>
      <c r="G270" t="s">
        <v>1548</v>
      </c>
      <c r="H270" t="s">
        <v>2384</v>
      </c>
      <c r="I270" t="s">
        <v>2385</v>
      </c>
      <c r="J270" t="s">
        <v>1036</v>
      </c>
      <c r="K270" t="s">
        <v>1037</v>
      </c>
      <c r="L270" t="s">
        <v>548</v>
      </c>
      <c r="N270" t="s">
        <v>1038</v>
      </c>
      <c r="O270" t="s">
        <v>253</v>
      </c>
      <c r="P270" t="s">
        <v>2386</v>
      </c>
      <c r="Q270" t="s">
        <v>1088</v>
      </c>
      <c r="R270">
        <v>50</v>
      </c>
      <c r="S270">
        <v>70</v>
      </c>
      <c r="T270">
        <v>80</v>
      </c>
      <c r="U270">
        <v>90</v>
      </c>
      <c r="V270">
        <v>95</v>
      </c>
      <c r="W270">
        <v>100</v>
      </c>
      <c r="AE270" t="s">
        <v>548</v>
      </c>
      <c r="AF270" t="s">
        <v>548</v>
      </c>
      <c r="AG270" t="s">
        <v>548</v>
      </c>
      <c r="AH270" t="s">
        <v>548</v>
      </c>
      <c r="AI270" t="s">
        <v>548</v>
      </c>
      <c r="AJ270">
        <v>0</v>
      </c>
      <c r="AK270">
        <v>0</v>
      </c>
      <c r="AL270">
        <v>0</v>
      </c>
      <c r="AM270">
        <v>0</v>
      </c>
      <c r="AN270">
        <v>0</v>
      </c>
      <c r="AO270">
        <v>60</v>
      </c>
      <c r="AP270">
        <v>70</v>
      </c>
      <c r="AQ270">
        <v>80</v>
      </c>
      <c r="AR270">
        <v>85</v>
      </c>
      <c r="AS270">
        <v>90</v>
      </c>
      <c r="AT270">
        <v>70</v>
      </c>
      <c r="AU270">
        <v>80</v>
      </c>
      <c r="AV270">
        <v>90</v>
      </c>
      <c r="AW270">
        <v>95</v>
      </c>
      <c r="AX270">
        <v>100</v>
      </c>
      <c r="AY270">
        <v>100</v>
      </c>
      <c r="AZ270">
        <v>100</v>
      </c>
      <c r="BA270">
        <v>100</v>
      </c>
      <c r="BB270">
        <v>100</v>
      </c>
      <c r="BC270">
        <v>100</v>
      </c>
      <c r="BD270">
        <v>2.4663000000000001E-2</v>
      </c>
      <c r="BH270">
        <v>2.4663000000000001E-2</v>
      </c>
      <c r="BJ270">
        <v>1</v>
      </c>
      <c r="BK270" t="s">
        <v>1041</v>
      </c>
      <c r="BU270" t="s">
        <v>2359</v>
      </c>
      <c r="BV270" t="s">
        <v>1042</v>
      </c>
    </row>
    <row r="271" spans="1:74" x14ac:dyDescent="0.2">
      <c r="A271" t="s">
        <v>926</v>
      </c>
      <c r="B271" t="s">
        <v>2387</v>
      </c>
      <c r="C271" t="s">
        <v>913</v>
      </c>
      <c r="D271" t="s">
        <v>281</v>
      </c>
      <c r="E271" t="s">
        <v>1031</v>
      </c>
      <c r="F271" t="s">
        <v>2376</v>
      </c>
      <c r="G271" t="s">
        <v>2388</v>
      </c>
      <c r="H271" t="s">
        <v>2389</v>
      </c>
      <c r="I271" t="s">
        <v>2390</v>
      </c>
      <c r="J271" t="s">
        <v>1036</v>
      </c>
      <c r="K271" t="s">
        <v>1037</v>
      </c>
      <c r="L271" t="s">
        <v>548</v>
      </c>
      <c r="N271" t="s">
        <v>1086</v>
      </c>
      <c r="O271" t="s">
        <v>1126</v>
      </c>
      <c r="P271" t="s">
        <v>1127</v>
      </c>
      <c r="Q271">
        <v>2</v>
      </c>
      <c r="R271">
        <v>15</v>
      </c>
      <c r="S271">
        <v>13.6</v>
      </c>
      <c r="T271">
        <v>12.2</v>
      </c>
      <c r="U271">
        <v>10.8</v>
      </c>
      <c r="V271">
        <v>9.4</v>
      </c>
      <c r="W271">
        <v>8</v>
      </c>
      <c r="Z271" t="s">
        <v>548</v>
      </c>
      <c r="AE271" t="s">
        <v>548</v>
      </c>
      <c r="AF271" t="s">
        <v>548</v>
      </c>
      <c r="AG271" t="s">
        <v>548</v>
      </c>
      <c r="AH271" t="s">
        <v>548</v>
      </c>
      <c r="AI271" t="s">
        <v>548</v>
      </c>
      <c r="AJ271">
        <v>999999.99</v>
      </c>
      <c r="AK271">
        <v>999999.99</v>
      </c>
      <c r="AL271">
        <v>999999.99</v>
      </c>
      <c r="AM271">
        <v>999999.99</v>
      </c>
      <c r="AN271">
        <v>999999.99</v>
      </c>
      <c r="AO271">
        <v>14.5</v>
      </c>
      <c r="AP271">
        <v>14</v>
      </c>
      <c r="AQ271">
        <v>12</v>
      </c>
      <c r="AR271">
        <v>12</v>
      </c>
      <c r="AS271">
        <v>12</v>
      </c>
      <c r="AT271">
        <v>12</v>
      </c>
      <c r="AU271">
        <v>12</v>
      </c>
      <c r="AV271">
        <v>10.8</v>
      </c>
      <c r="AW271">
        <v>9.4</v>
      </c>
      <c r="AX271">
        <v>8</v>
      </c>
      <c r="AY271">
        <v>0</v>
      </c>
      <c r="AZ271">
        <v>0</v>
      </c>
      <c r="BA271">
        <v>0</v>
      </c>
      <c r="BB271">
        <v>0</v>
      </c>
      <c r="BC271">
        <v>0</v>
      </c>
      <c r="BD271">
        <v>1.1000000000000001</v>
      </c>
      <c r="BH271">
        <v>1.1000000000000001</v>
      </c>
      <c r="BJ271">
        <v>1</v>
      </c>
      <c r="BK271" t="s">
        <v>1041</v>
      </c>
      <c r="BU271" t="s">
        <v>2359</v>
      </c>
      <c r="BV271" t="s">
        <v>1009</v>
      </c>
    </row>
    <row r="272" spans="1:74" x14ac:dyDescent="0.2">
      <c r="A272" t="s">
        <v>926</v>
      </c>
      <c r="B272" t="s">
        <v>2391</v>
      </c>
      <c r="C272" t="s">
        <v>913</v>
      </c>
      <c r="D272" t="s">
        <v>281</v>
      </c>
      <c r="E272" t="s">
        <v>1031</v>
      </c>
      <c r="F272" t="s">
        <v>2376</v>
      </c>
      <c r="G272" t="s">
        <v>2392</v>
      </c>
      <c r="H272" t="s">
        <v>2393</v>
      </c>
      <c r="I272" t="s">
        <v>2394</v>
      </c>
      <c r="J272" t="s">
        <v>1036</v>
      </c>
      <c r="K272" t="s">
        <v>1037</v>
      </c>
      <c r="N272" t="s">
        <v>1144</v>
      </c>
      <c r="O272" t="s">
        <v>253</v>
      </c>
      <c r="P272" t="s">
        <v>2395</v>
      </c>
      <c r="Q272">
        <v>1</v>
      </c>
      <c r="R272">
        <v>77</v>
      </c>
      <c r="W272">
        <v>77.7</v>
      </c>
      <c r="AI272" t="s">
        <v>548</v>
      </c>
      <c r="AN272">
        <v>0</v>
      </c>
      <c r="AS272">
        <v>77.7</v>
      </c>
      <c r="AX272">
        <v>77.7</v>
      </c>
      <c r="BC272">
        <v>100</v>
      </c>
      <c r="BD272">
        <v>1.77</v>
      </c>
      <c r="BH272">
        <v>1.77</v>
      </c>
      <c r="BJ272">
        <v>1</v>
      </c>
      <c r="BK272" t="s">
        <v>1041</v>
      </c>
      <c r="BU272" t="s">
        <v>2396</v>
      </c>
      <c r="BV272" t="s">
        <v>1042</v>
      </c>
    </row>
    <row r="273" spans="1:74" x14ac:dyDescent="0.2">
      <c r="A273" t="s">
        <v>926</v>
      </c>
      <c r="B273" t="s">
        <v>2397</v>
      </c>
      <c r="C273" t="s">
        <v>913</v>
      </c>
      <c r="D273" t="s">
        <v>281</v>
      </c>
      <c r="E273" t="s">
        <v>1031</v>
      </c>
      <c r="F273" t="s">
        <v>2376</v>
      </c>
      <c r="G273" t="s">
        <v>2398</v>
      </c>
      <c r="H273" t="s">
        <v>2399</v>
      </c>
      <c r="I273" t="s">
        <v>2400</v>
      </c>
      <c r="J273" t="s">
        <v>1047</v>
      </c>
      <c r="K273" t="s">
        <v>1338</v>
      </c>
      <c r="M273" t="s">
        <v>543</v>
      </c>
      <c r="N273" t="s">
        <v>1093</v>
      </c>
      <c r="O273" t="s">
        <v>1039</v>
      </c>
      <c r="P273" t="s">
        <v>1094</v>
      </c>
      <c r="Q273" t="s">
        <v>1088</v>
      </c>
      <c r="R273" t="s">
        <v>1213</v>
      </c>
      <c r="S273" t="s">
        <v>2401</v>
      </c>
      <c r="T273" t="s">
        <v>2401</v>
      </c>
      <c r="U273" t="s">
        <v>2401</v>
      </c>
      <c r="V273" t="s">
        <v>2401</v>
      </c>
      <c r="W273" t="s">
        <v>2401</v>
      </c>
      <c r="AE273" t="s">
        <v>548</v>
      </c>
      <c r="AF273" t="s">
        <v>548</v>
      </c>
      <c r="AG273" t="s">
        <v>548</v>
      </c>
      <c r="AH273" t="s">
        <v>548</v>
      </c>
      <c r="AI273" t="s">
        <v>548</v>
      </c>
      <c r="AJ273">
        <v>999999</v>
      </c>
      <c r="AK273">
        <v>999999</v>
      </c>
      <c r="AL273">
        <v>999999</v>
      </c>
      <c r="AM273">
        <v>999999</v>
      </c>
      <c r="AN273">
        <v>999999</v>
      </c>
      <c r="AO273">
        <v>7758</v>
      </c>
      <c r="AP273">
        <v>7758</v>
      </c>
      <c r="AQ273">
        <v>7758</v>
      </c>
      <c r="AR273">
        <v>7758</v>
      </c>
      <c r="AS273">
        <v>7758</v>
      </c>
      <c r="BD273">
        <v>2.307E-3</v>
      </c>
      <c r="BJ273">
        <v>1</v>
      </c>
      <c r="BK273" t="s">
        <v>1041</v>
      </c>
      <c r="BV273" t="s">
        <v>1042</v>
      </c>
    </row>
    <row r="274" spans="1:74" x14ac:dyDescent="0.2">
      <c r="A274" t="s">
        <v>926</v>
      </c>
      <c r="B274" t="s">
        <v>2402</v>
      </c>
      <c r="C274" t="s">
        <v>913</v>
      </c>
      <c r="D274" t="s">
        <v>281</v>
      </c>
      <c r="E274" t="s">
        <v>1031</v>
      </c>
      <c r="F274" t="s">
        <v>2376</v>
      </c>
      <c r="G274" t="s">
        <v>2403</v>
      </c>
      <c r="H274" t="s">
        <v>2404</v>
      </c>
      <c r="I274" t="s">
        <v>2405</v>
      </c>
      <c r="J274" t="s">
        <v>1036</v>
      </c>
      <c r="K274" t="s">
        <v>1037</v>
      </c>
      <c r="L274" t="s">
        <v>548</v>
      </c>
      <c r="N274" t="s">
        <v>1131</v>
      </c>
      <c r="O274" t="s">
        <v>1039</v>
      </c>
      <c r="P274" t="s">
        <v>2406</v>
      </c>
      <c r="Q274" t="s">
        <v>1088</v>
      </c>
      <c r="R274">
        <v>300</v>
      </c>
      <c r="S274">
        <v>250</v>
      </c>
      <c r="T274">
        <v>250</v>
      </c>
      <c r="U274">
        <v>250</v>
      </c>
      <c r="V274">
        <v>250</v>
      </c>
      <c r="W274">
        <v>250</v>
      </c>
      <c r="AE274" t="s">
        <v>548</v>
      </c>
      <c r="AF274" t="s">
        <v>548</v>
      </c>
      <c r="AG274" t="s">
        <v>548</v>
      </c>
      <c r="AH274" t="s">
        <v>548</v>
      </c>
      <c r="AI274" t="s">
        <v>548</v>
      </c>
      <c r="AJ274">
        <v>999999</v>
      </c>
      <c r="AK274">
        <v>999999</v>
      </c>
      <c r="AL274">
        <v>999999</v>
      </c>
      <c r="AM274">
        <v>999999</v>
      </c>
      <c r="AN274">
        <v>999999</v>
      </c>
      <c r="AO274">
        <v>250</v>
      </c>
      <c r="AP274">
        <v>250</v>
      </c>
      <c r="AQ274">
        <v>250</v>
      </c>
      <c r="AR274">
        <v>250</v>
      </c>
      <c r="AS274">
        <v>250</v>
      </c>
      <c r="AT274">
        <v>250</v>
      </c>
      <c r="AU274">
        <v>250</v>
      </c>
      <c r="AV274">
        <v>250</v>
      </c>
      <c r="AW274">
        <v>250</v>
      </c>
      <c r="AX274">
        <v>250</v>
      </c>
      <c r="AY274">
        <v>0</v>
      </c>
      <c r="AZ274">
        <v>0</v>
      </c>
      <c r="BA274">
        <v>0</v>
      </c>
      <c r="BB274">
        <v>0</v>
      </c>
      <c r="BC274">
        <v>0</v>
      </c>
      <c r="BD274">
        <v>7.9000000000000001E-4</v>
      </c>
      <c r="BH274">
        <v>7.9000000000000001E-4</v>
      </c>
      <c r="BJ274">
        <v>1</v>
      </c>
      <c r="BK274" t="s">
        <v>1041</v>
      </c>
      <c r="BU274" t="s">
        <v>2359</v>
      </c>
      <c r="BV274" t="s">
        <v>1042</v>
      </c>
    </row>
    <row r="275" spans="1:74" x14ac:dyDescent="0.2">
      <c r="A275" t="s">
        <v>926</v>
      </c>
      <c r="B275" t="s">
        <v>2407</v>
      </c>
      <c r="C275" t="s">
        <v>913</v>
      </c>
      <c r="D275" t="s">
        <v>281</v>
      </c>
      <c r="E275" t="s">
        <v>1031</v>
      </c>
      <c r="F275" t="s">
        <v>2376</v>
      </c>
      <c r="G275" t="s">
        <v>2408</v>
      </c>
      <c r="H275" t="s">
        <v>2409</v>
      </c>
      <c r="I275" t="s">
        <v>2410</v>
      </c>
      <c r="J275" t="s">
        <v>1036</v>
      </c>
      <c r="K275" t="s">
        <v>1037</v>
      </c>
      <c r="L275" t="s">
        <v>548</v>
      </c>
      <c r="M275" t="s">
        <v>543</v>
      </c>
      <c r="N275" t="s">
        <v>1150</v>
      </c>
      <c r="O275" t="s">
        <v>1039</v>
      </c>
      <c r="P275" t="s">
        <v>2411</v>
      </c>
      <c r="Q275" t="s">
        <v>1088</v>
      </c>
      <c r="R275">
        <v>0</v>
      </c>
      <c r="S275">
        <v>0</v>
      </c>
      <c r="T275">
        <v>0</v>
      </c>
      <c r="U275">
        <v>0</v>
      </c>
      <c r="V275">
        <v>0</v>
      </c>
      <c r="W275">
        <v>0</v>
      </c>
      <c r="AE275" t="s">
        <v>548</v>
      </c>
      <c r="AF275" t="s">
        <v>548</v>
      </c>
      <c r="AG275" t="s">
        <v>548</v>
      </c>
      <c r="AH275" t="s">
        <v>548</v>
      </c>
      <c r="AI275" t="s">
        <v>548</v>
      </c>
      <c r="AJ275">
        <v>999999</v>
      </c>
      <c r="AK275">
        <v>999999</v>
      </c>
      <c r="AL275">
        <v>999999</v>
      </c>
      <c r="AM275">
        <v>999999</v>
      </c>
      <c r="AN275">
        <v>999999</v>
      </c>
      <c r="AO275">
        <v>0</v>
      </c>
      <c r="AP275">
        <v>0</v>
      </c>
      <c r="AQ275">
        <v>0</v>
      </c>
      <c r="AR275">
        <v>0</v>
      </c>
      <c r="AS275">
        <v>0</v>
      </c>
      <c r="AT275">
        <v>0</v>
      </c>
      <c r="AU275">
        <v>0</v>
      </c>
      <c r="AV275">
        <v>0</v>
      </c>
      <c r="AW275">
        <v>0</v>
      </c>
      <c r="AX275">
        <v>0</v>
      </c>
      <c r="AY275">
        <v>0</v>
      </c>
      <c r="AZ275">
        <v>0</v>
      </c>
      <c r="BA275">
        <v>0</v>
      </c>
      <c r="BB275">
        <v>0</v>
      </c>
      <c r="BC275">
        <v>0</v>
      </c>
      <c r="BD275">
        <v>7.5</v>
      </c>
      <c r="BE275">
        <v>18.75</v>
      </c>
      <c r="BH275">
        <v>1.36</v>
      </c>
      <c r="BJ275">
        <v>1</v>
      </c>
      <c r="BK275" t="s">
        <v>1041</v>
      </c>
      <c r="BU275" t="s">
        <v>2412</v>
      </c>
      <c r="BV275" t="s">
        <v>1042</v>
      </c>
    </row>
    <row r="276" spans="1:74" x14ac:dyDescent="0.2">
      <c r="A276" t="s">
        <v>926</v>
      </c>
      <c r="B276" t="s">
        <v>2413</v>
      </c>
      <c r="C276" t="s">
        <v>913</v>
      </c>
      <c r="D276" t="s">
        <v>281</v>
      </c>
      <c r="E276" t="s">
        <v>1031</v>
      </c>
      <c r="F276" t="s">
        <v>2376</v>
      </c>
      <c r="G276" t="s">
        <v>2414</v>
      </c>
      <c r="H276" t="s">
        <v>2415</v>
      </c>
      <c r="I276" t="s">
        <v>2416</v>
      </c>
      <c r="J276" t="s">
        <v>1047</v>
      </c>
      <c r="K276" t="s">
        <v>1037</v>
      </c>
      <c r="M276" t="s">
        <v>543</v>
      </c>
      <c r="N276" t="s">
        <v>1144</v>
      </c>
      <c r="O276" t="s">
        <v>1295</v>
      </c>
      <c r="P276" t="s">
        <v>2417</v>
      </c>
      <c r="Q276" t="s">
        <v>1041</v>
      </c>
      <c r="R276" t="s">
        <v>1519</v>
      </c>
      <c r="V276" t="s">
        <v>2418</v>
      </c>
      <c r="W276" t="s">
        <v>2419</v>
      </c>
      <c r="AC276" t="s">
        <v>548</v>
      </c>
      <c r="AI276" t="s">
        <v>548</v>
      </c>
      <c r="BD276" t="s">
        <v>2110</v>
      </c>
      <c r="BE276" t="s">
        <v>2110</v>
      </c>
      <c r="BF276" t="s">
        <v>2110</v>
      </c>
      <c r="BG276" t="s">
        <v>2110</v>
      </c>
      <c r="BJ276">
        <v>1</v>
      </c>
      <c r="BK276" t="s">
        <v>1041</v>
      </c>
      <c r="BU276" t="s">
        <v>2420</v>
      </c>
      <c r="BV276" t="s">
        <v>1042</v>
      </c>
    </row>
    <row r="277" spans="1:74" x14ac:dyDescent="0.2">
      <c r="A277" t="s">
        <v>926</v>
      </c>
      <c r="B277" t="s">
        <v>2421</v>
      </c>
      <c r="C277" t="s">
        <v>913</v>
      </c>
      <c r="D277" t="s">
        <v>281</v>
      </c>
      <c r="E277" t="s">
        <v>1031</v>
      </c>
      <c r="F277" t="s">
        <v>2376</v>
      </c>
      <c r="G277" t="s">
        <v>2422</v>
      </c>
      <c r="H277" t="s">
        <v>2423</v>
      </c>
      <c r="I277" t="s">
        <v>2424</v>
      </c>
      <c r="J277" t="s">
        <v>1047</v>
      </c>
      <c r="K277" t="s">
        <v>1338</v>
      </c>
      <c r="M277" t="s">
        <v>543</v>
      </c>
      <c r="N277" t="s">
        <v>1144</v>
      </c>
      <c r="O277" t="s">
        <v>1295</v>
      </c>
      <c r="P277" t="s">
        <v>2417</v>
      </c>
      <c r="Q277" t="s">
        <v>1041</v>
      </c>
      <c r="R277" t="s">
        <v>1519</v>
      </c>
      <c r="U277" t="s">
        <v>2418</v>
      </c>
      <c r="W277" t="s">
        <v>2419</v>
      </c>
      <c r="AC277" t="s">
        <v>548</v>
      </c>
      <c r="AI277" t="s">
        <v>548</v>
      </c>
      <c r="BD277" t="s">
        <v>2110</v>
      </c>
      <c r="BE277" t="s">
        <v>2110</v>
      </c>
      <c r="BF277" t="s">
        <v>2110</v>
      </c>
      <c r="BG277" t="s">
        <v>2110</v>
      </c>
      <c r="BJ277">
        <v>1</v>
      </c>
      <c r="BK277" t="s">
        <v>1041</v>
      </c>
      <c r="BU277" t="s">
        <v>2425</v>
      </c>
      <c r="BV277" t="s">
        <v>1042</v>
      </c>
    </row>
    <row r="278" spans="1:74" x14ac:dyDescent="0.2">
      <c r="A278" t="s">
        <v>926</v>
      </c>
      <c r="B278" t="s">
        <v>2426</v>
      </c>
      <c r="C278" t="s">
        <v>913</v>
      </c>
      <c r="D278" t="s">
        <v>281</v>
      </c>
      <c r="E278" t="s">
        <v>1031</v>
      </c>
      <c r="F278" t="s">
        <v>2376</v>
      </c>
      <c r="G278" t="s">
        <v>2427</v>
      </c>
      <c r="H278" t="s">
        <v>2428</v>
      </c>
      <c r="I278" t="s">
        <v>2429</v>
      </c>
      <c r="J278" t="s">
        <v>1047</v>
      </c>
      <c r="K278" t="s">
        <v>1037</v>
      </c>
      <c r="M278" t="s">
        <v>543</v>
      </c>
      <c r="N278" t="s">
        <v>1144</v>
      </c>
      <c r="O278" t="s">
        <v>1295</v>
      </c>
      <c r="P278" t="s">
        <v>2417</v>
      </c>
      <c r="Q278" t="s">
        <v>1041</v>
      </c>
      <c r="R278" t="s">
        <v>1519</v>
      </c>
      <c r="U278" t="s">
        <v>2418</v>
      </c>
      <c r="V278" t="s">
        <v>2430</v>
      </c>
      <c r="W278" t="s">
        <v>2431</v>
      </c>
      <c r="AC278" t="s">
        <v>548</v>
      </c>
      <c r="AH278" t="s">
        <v>548</v>
      </c>
      <c r="AI278" t="s">
        <v>548</v>
      </c>
      <c r="BD278">
        <v>2.63</v>
      </c>
      <c r="BE278">
        <v>0.86</v>
      </c>
      <c r="BF278">
        <v>0.34</v>
      </c>
      <c r="BJ278">
        <v>1</v>
      </c>
      <c r="BK278" t="s">
        <v>1041</v>
      </c>
      <c r="BU278" t="s">
        <v>2432</v>
      </c>
      <c r="BV278" t="s">
        <v>1042</v>
      </c>
    </row>
    <row r="279" spans="1:74" x14ac:dyDescent="0.2">
      <c r="A279" t="s">
        <v>926</v>
      </c>
      <c r="B279" t="s">
        <v>2433</v>
      </c>
      <c r="C279" t="s">
        <v>913</v>
      </c>
      <c r="D279" t="s">
        <v>281</v>
      </c>
      <c r="E279" t="s">
        <v>1031</v>
      </c>
      <c r="F279" t="s">
        <v>2376</v>
      </c>
      <c r="G279" t="s">
        <v>2434</v>
      </c>
      <c r="H279" t="s">
        <v>2435</v>
      </c>
      <c r="I279" t="s">
        <v>2436</v>
      </c>
      <c r="J279" t="s">
        <v>1047</v>
      </c>
      <c r="K279" t="s">
        <v>1338</v>
      </c>
      <c r="M279" t="s">
        <v>543</v>
      </c>
      <c r="N279" t="s">
        <v>1144</v>
      </c>
      <c r="O279" t="s">
        <v>1295</v>
      </c>
      <c r="P279" t="s">
        <v>2417</v>
      </c>
      <c r="Q279" t="s">
        <v>1041</v>
      </c>
      <c r="R279" t="s">
        <v>1519</v>
      </c>
      <c r="U279" t="s">
        <v>2418</v>
      </c>
      <c r="V279" t="s">
        <v>2430</v>
      </c>
      <c r="W279" t="s">
        <v>2431</v>
      </c>
      <c r="AC279" t="s">
        <v>548</v>
      </c>
      <c r="AH279" t="s">
        <v>548</v>
      </c>
      <c r="AI279" t="s">
        <v>548</v>
      </c>
      <c r="BD279">
        <v>0.497</v>
      </c>
      <c r="BE279">
        <v>0.16300000000000001</v>
      </c>
      <c r="BF279">
        <v>6.4000000000000001E-2</v>
      </c>
      <c r="BJ279">
        <v>1</v>
      </c>
      <c r="BK279" t="s">
        <v>1041</v>
      </c>
      <c r="BU279" t="s">
        <v>2437</v>
      </c>
      <c r="BV279" t="s">
        <v>1042</v>
      </c>
    </row>
    <row r="280" spans="1:74" x14ac:dyDescent="0.2">
      <c r="A280" t="s">
        <v>926</v>
      </c>
      <c r="B280" t="s">
        <v>2438</v>
      </c>
      <c r="C280" t="s">
        <v>913</v>
      </c>
      <c r="D280" t="s">
        <v>281</v>
      </c>
      <c r="E280" t="s">
        <v>1031</v>
      </c>
      <c r="F280" t="s">
        <v>2376</v>
      </c>
      <c r="G280" t="s">
        <v>2439</v>
      </c>
      <c r="H280" t="s">
        <v>2440</v>
      </c>
      <c r="I280" t="s">
        <v>2441</v>
      </c>
      <c r="J280" t="s">
        <v>1047</v>
      </c>
      <c r="K280" t="s">
        <v>1037</v>
      </c>
      <c r="M280" t="s">
        <v>543</v>
      </c>
      <c r="N280" t="s">
        <v>1144</v>
      </c>
      <c r="O280" t="s">
        <v>1295</v>
      </c>
      <c r="P280" t="s">
        <v>2248</v>
      </c>
      <c r="Q280" t="s">
        <v>1041</v>
      </c>
      <c r="R280" t="s">
        <v>1519</v>
      </c>
      <c r="T280" t="s">
        <v>69</v>
      </c>
      <c r="AC280" t="s">
        <v>548</v>
      </c>
      <c r="AF280" t="s">
        <v>548</v>
      </c>
      <c r="AG280" t="s">
        <v>548</v>
      </c>
      <c r="AH280" t="s">
        <v>548</v>
      </c>
      <c r="AI280" t="s">
        <v>548</v>
      </c>
      <c r="BD280">
        <v>2.0499999999999998</v>
      </c>
      <c r="BJ280">
        <v>1</v>
      </c>
      <c r="BK280" t="s">
        <v>1041</v>
      </c>
      <c r="BU280" t="s">
        <v>2442</v>
      </c>
      <c r="BV280" t="s">
        <v>1042</v>
      </c>
    </row>
    <row r="281" spans="1:74" x14ac:dyDescent="0.2">
      <c r="A281" t="s">
        <v>926</v>
      </c>
      <c r="B281" t="s">
        <v>2443</v>
      </c>
      <c r="C281" t="s">
        <v>913</v>
      </c>
      <c r="D281" t="s">
        <v>281</v>
      </c>
      <c r="E281" t="s">
        <v>1031</v>
      </c>
      <c r="F281" t="s">
        <v>2376</v>
      </c>
      <c r="G281" t="s">
        <v>2444</v>
      </c>
      <c r="H281" t="s">
        <v>2445</v>
      </c>
      <c r="I281" t="s">
        <v>2446</v>
      </c>
      <c r="J281" t="s">
        <v>1047</v>
      </c>
      <c r="K281" t="s">
        <v>1338</v>
      </c>
      <c r="M281" t="s">
        <v>543</v>
      </c>
      <c r="N281" t="s">
        <v>1144</v>
      </c>
      <c r="O281" t="s">
        <v>1295</v>
      </c>
      <c r="P281" t="s">
        <v>2248</v>
      </c>
      <c r="Q281" t="s">
        <v>1041</v>
      </c>
      <c r="R281" t="s">
        <v>1519</v>
      </c>
      <c r="T281" t="s">
        <v>69</v>
      </c>
      <c r="AC281" t="s">
        <v>548</v>
      </c>
      <c r="AF281" t="s">
        <v>548</v>
      </c>
      <c r="BD281">
        <v>38.6</v>
      </c>
      <c r="BJ281">
        <v>1</v>
      </c>
      <c r="BK281" t="s">
        <v>1041</v>
      </c>
      <c r="BU281" t="s">
        <v>2447</v>
      </c>
      <c r="BV281" t="s">
        <v>1042</v>
      </c>
    </row>
    <row r="282" spans="1:74" x14ac:dyDescent="0.2">
      <c r="A282" t="s">
        <v>926</v>
      </c>
      <c r="B282" t="s">
        <v>2448</v>
      </c>
      <c r="C282" t="s">
        <v>913</v>
      </c>
      <c r="D282" t="s">
        <v>281</v>
      </c>
      <c r="E282" t="s">
        <v>1031</v>
      </c>
      <c r="F282" t="s">
        <v>2449</v>
      </c>
      <c r="G282" t="s">
        <v>1083</v>
      </c>
      <c r="H282" t="s">
        <v>2450</v>
      </c>
      <c r="I282" t="s">
        <v>2451</v>
      </c>
      <c r="J282" t="s">
        <v>1036</v>
      </c>
      <c r="K282" t="s">
        <v>1037</v>
      </c>
      <c r="L282" t="s">
        <v>548</v>
      </c>
      <c r="N282" t="s">
        <v>1121</v>
      </c>
      <c r="O282" t="s">
        <v>253</v>
      </c>
      <c r="P282" t="s">
        <v>1204</v>
      </c>
      <c r="Q282" t="s">
        <v>1088</v>
      </c>
      <c r="R282">
        <v>45</v>
      </c>
      <c r="S282">
        <v>47</v>
      </c>
      <c r="T282">
        <v>47</v>
      </c>
      <c r="U282">
        <v>52</v>
      </c>
      <c r="V282">
        <v>53</v>
      </c>
      <c r="W282">
        <v>55</v>
      </c>
      <c r="AE282" t="s">
        <v>548</v>
      </c>
      <c r="AF282" t="s">
        <v>548</v>
      </c>
      <c r="AG282" t="s">
        <v>548</v>
      </c>
      <c r="AH282" t="s">
        <v>548</v>
      </c>
      <c r="AI282" t="s">
        <v>548</v>
      </c>
      <c r="AJ282">
        <v>0</v>
      </c>
      <c r="AK282">
        <v>0</v>
      </c>
      <c r="AL282">
        <v>0</v>
      </c>
      <c r="AM282">
        <v>0</v>
      </c>
      <c r="AN282">
        <v>0</v>
      </c>
      <c r="AO282">
        <v>37</v>
      </c>
      <c r="AP282">
        <v>37</v>
      </c>
      <c r="AQ282">
        <v>42</v>
      </c>
      <c r="AR282">
        <v>43</v>
      </c>
      <c r="AS282">
        <v>45</v>
      </c>
      <c r="AT282">
        <v>57</v>
      </c>
      <c r="AU282">
        <v>57</v>
      </c>
      <c r="AV282">
        <v>62</v>
      </c>
      <c r="AW282">
        <v>63</v>
      </c>
      <c r="AX282">
        <v>65</v>
      </c>
      <c r="AY282">
        <v>100</v>
      </c>
      <c r="AZ282">
        <v>100</v>
      </c>
      <c r="BA282">
        <v>100</v>
      </c>
      <c r="BB282">
        <v>100</v>
      </c>
      <c r="BC282">
        <v>100</v>
      </c>
      <c r="BD282">
        <v>0.125</v>
      </c>
      <c r="BH282">
        <v>0.125</v>
      </c>
      <c r="BJ282">
        <v>1</v>
      </c>
      <c r="BK282" t="s">
        <v>1041</v>
      </c>
      <c r="BU282" t="s">
        <v>2359</v>
      </c>
      <c r="BV282" t="s">
        <v>1042</v>
      </c>
    </row>
    <row r="283" spans="1:74" x14ac:dyDescent="0.2">
      <c r="A283" t="s">
        <v>926</v>
      </c>
      <c r="B283" t="s">
        <v>2452</v>
      </c>
      <c r="C283" t="s">
        <v>913</v>
      </c>
      <c r="D283" t="s">
        <v>281</v>
      </c>
      <c r="E283" t="s">
        <v>1031</v>
      </c>
      <c r="F283" t="s">
        <v>2453</v>
      </c>
      <c r="G283" t="s">
        <v>1154</v>
      </c>
      <c r="H283" t="s">
        <v>2454</v>
      </c>
      <c r="I283" t="s">
        <v>2455</v>
      </c>
      <c r="J283" t="s">
        <v>1036</v>
      </c>
      <c r="K283" t="s">
        <v>1037</v>
      </c>
      <c r="N283" t="s">
        <v>1183</v>
      </c>
      <c r="O283" t="s">
        <v>1039</v>
      </c>
      <c r="P283" t="s">
        <v>2456</v>
      </c>
      <c r="Q283" t="s">
        <v>1088</v>
      </c>
      <c r="W283">
        <v>31</v>
      </c>
      <c r="AI283" t="s">
        <v>548</v>
      </c>
      <c r="AN283">
        <v>0</v>
      </c>
      <c r="AS283">
        <v>31</v>
      </c>
      <c r="AX283">
        <v>31</v>
      </c>
      <c r="BC283">
        <v>999999</v>
      </c>
      <c r="BD283">
        <v>0.15</v>
      </c>
      <c r="BH283">
        <v>0.15</v>
      </c>
      <c r="BJ283">
        <v>1</v>
      </c>
      <c r="BK283" t="s">
        <v>1041</v>
      </c>
      <c r="BV283" t="s">
        <v>1042</v>
      </c>
    </row>
    <row r="284" spans="1:74" x14ac:dyDescent="0.2">
      <c r="A284" t="s">
        <v>926</v>
      </c>
      <c r="B284" t="s">
        <v>2457</v>
      </c>
      <c r="C284" t="s">
        <v>913</v>
      </c>
      <c r="D284" t="s">
        <v>281</v>
      </c>
      <c r="E284" t="s">
        <v>1031</v>
      </c>
      <c r="F284" t="s">
        <v>2453</v>
      </c>
      <c r="G284" t="s">
        <v>1159</v>
      </c>
      <c r="H284" t="s">
        <v>2458</v>
      </c>
      <c r="I284" t="s">
        <v>2459</v>
      </c>
      <c r="J284" t="s">
        <v>1066</v>
      </c>
      <c r="N284" t="s">
        <v>1183</v>
      </c>
      <c r="O284" t="s">
        <v>253</v>
      </c>
      <c r="P284" t="s">
        <v>2460</v>
      </c>
      <c r="Q284" t="s">
        <v>1088</v>
      </c>
      <c r="R284" t="s">
        <v>1213</v>
      </c>
      <c r="S284">
        <v>100</v>
      </c>
      <c r="T284">
        <v>100</v>
      </c>
      <c r="U284">
        <v>100</v>
      </c>
      <c r="V284">
        <v>100</v>
      </c>
      <c r="W284">
        <v>100</v>
      </c>
      <c r="BV284" t="s">
        <v>1042</v>
      </c>
    </row>
    <row r="285" spans="1:74" x14ac:dyDescent="0.2">
      <c r="A285" t="s">
        <v>926</v>
      </c>
      <c r="B285" t="s">
        <v>2461</v>
      </c>
      <c r="C285" t="s">
        <v>913</v>
      </c>
      <c r="D285" t="s">
        <v>281</v>
      </c>
      <c r="E285" t="s">
        <v>1031</v>
      </c>
      <c r="F285" t="s">
        <v>2453</v>
      </c>
      <c r="G285" t="s">
        <v>1163</v>
      </c>
      <c r="H285" t="s">
        <v>2462</v>
      </c>
      <c r="I285" t="s">
        <v>2463</v>
      </c>
      <c r="J285" t="s">
        <v>1066</v>
      </c>
      <c r="N285" t="s">
        <v>1177</v>
      </c>
      <c r="O285" t="s">
        <v>1039</v>
      </c>
      <c r="P285" t="s">
        <v>2464</v>
      </c>
      <c r="Q285" t="s">
        <v>1088</v>
      </c>
      <c r="R285">
        <v>334</v>
      </c>
      <c r="W285">
        <v>409</v>
      </c>
      <c r="BV285" t="s">
        <v>1042</v>
      </c>
    </row>
    <row r="286" spans="1:74" x14ac:dyDescent="0.2">
      <c r="A286" t="s">
        <v>926</v>
      </c>
      <c r="B286" t="s">
        <v>2465</v>
      </c>
      <c r="C286" t="s">
        <v>913</v>
      </c>
      <c r="D286" t="s">
        <v>281</v>
      </c>
      <c r="E286" t="s">
        <v>1031</v>
      </c>
      <c r="F286" t="s">
        <v>2453</v>
      </c>
      <c r="G286" t="s">
        <v>1168</v>
      </c>
      <c r="H286" t="s">
        <v>2466</v>
      </c>
      <c r="I286" t="s">
        <v>2467</v>
      </c>
      <c r="J286" t="s">
        <v>1066</v>
      </c>
      <c r="N286" t="s">
        <v>1183</v>
      </c>
      <c r="O286" t="s">
        <v>1039</v>
      </c>
      <c r="P286" t="s">
        <v>2468</v>
      </c>
      <c r="Q286" t="s">
        <v>1088</v>
      </c>
      <c r="V286" t="s">
        <v>1468</v>
      </c>
      <c r="BV286" t="s">
        <v>1042</v>
      </c>
    </row>
    <row r="287" spans="1:74" x14ac:dyDescent="0.2">
      <c r="A287" t="s">
        <v>926</v>
      </c>
      <c r="B287" t="s">
        <v>2469</v>
      </c>
      <c r="C287" t="s">
        <v>913</v>
      </c>
      <c r="D287" t="s">
        <v>281</v>
      </c>
      <c r="E287" t="s">
        <v>1031</v>
      </c>
      <c r="F287" t="s">
        <v>2470</v>
      </c>
      <c r="G287" t="s">
        <v>1174</v>
      </c>
      <c r="H287" t="s">
        <v>2471</v>
      </c>
      <c r="I287" t="s">
        <v>2472</v>
      </c>
      <c r="J287" t="s">
        <v>1036</v>
      </c>
      <c r="K287" t="s">
        <v>1037</v>
      </c>
      <c r="L287" t="s">
        <v>548</v>
      </c>
      <c r="N287" t="s">
        <v>1191</v>
      </c>
      <c r="O287" t="s">
        <v>1039</v>
      </c>
      <c r="P287" t="s">
        <v>1631</v>
      </c>
      <c r="Q287" t="s">
        <v>1088</v>
      </c>
      <c r="R287">
        <v>229</v>
      </c>
      <c r="S287">
        <v>228</v>
      </c>
      <c r="T287">
        <v>224</v>
      </c>
      <c r="U287">
        <v>222</v>
      </c>
      <c r="V287">
        <v>220</v>
      </c>
      <c r="W287">
        <v>216</v>
      </c>
      <c r="AE287" t="s">
        <v>548</v>
      </c>
      <c r="AF287" t="s">
        <v>548</v>
      </c>
      <c r="AG287" t="s">
        <v>548</v>
      </c>
      <c r="AH287" t="s">
        <v>548</v>
      </c>
      <c r="AI287" t="s">
        <v>548</v>
      </c>
      <c r="AJ287">
        <v>999999</v>
      </c>
      <c r="AK287">
        <v>999999</v>
      </c>
      <c r="AL287">
        <v>999999</v>
      </c>
      <c r="AM287">
        <v>999999</v>
      </c>
      <c r="AN287">
        <v>999999</v>
      </c>
      <c r="AO287">
        <v>228</v>
      </c>
      <c r="AP287">
        <v>224</v>
      </c>
      <c r="AQ287">
        <v>222</v>
      </c>
      <c r="AR287">
        <v>220</v>
      </c>
      <c r="AS287">
        <v>216</v>
      </c>
      <c r="AT287">
        <v>228</v>
      </c>
      <c r="AU287">
        <v>224</v>
      </c>
      <c r="AV287">
        <v>222</v>
      </c>
      <c r="AW287">
        <v>220</v>
      </c>
      <c r="AX287">
        <v>216</v>
      </c>
      <c r="AY287">
        <v>0</v>
      </c>
      <c r="AZ287">
        <v>0</v>
      </c>
      <c r="BA287">
        <v>0</v>
      </c>
      <c r="BB287">
        <v>0</v>
      </c>
      <c r="BC287">
        <v>0</v>
      </c>
      <c r="BD287">
        <v>1.4630000000000001E-2</v>
      </c>
      <c r="BH287">
        <v>1.4630000000000001E-2</v>
      </c>
      <c r="BJ287">
        <v>1</v>
      </c>
      <c r="BK287" t="s">
        <v>1041</v>
      </c>
      <c r="BU287" t="s">
        <v>2359</v>
      </c>
      <c r="BV287" t="s">
        <v>1042</v>
      </c>
    </row>
    <row r="288" spans="1:74" x14ac:dyDescent="0.2">
      <c r="A288" t="s">
        <v>926</v>
      </c>
      <c r="B288" t="s">
        <v>2473</v>
      </c>
      <c r="C288" t="s">
        <v>913</v>
      </c>
      <c r="D288" t="s">
        <v>281</v>
      </c>
      <c r="E288" t="s">
        <v>1031</v>
      </c>
      <c r="F288" t="s">
        <v>2474</v>
      </c>
      <c r="G288" t="s">
        <v>1188</v>
      </c>
      <c r="H288" t="s">
        <v>2475</v>
      </c>
      <c r="I288" t="s">
        <v>2476</v>
      </c>
      <c r="J288" t="s">
        <v>1066</v>
      </c>
      <c r="N288" t="s">
        <v>1973</v>
      </c>
      <c r="O288" t="s">
        <v>1039</v>
      </c>
      <c r="P288" t="s">
        <v>2477</v>
      </c>
      <c r="Q288" t="s">
        <v>1088</v>
      </c>
      <c r="R288">
        <v>75000</v>
      </c>
      <c r="S288">
        <v>155000</v>
      </c>
      <c r="T288">
        <v>160000</v>
      </c>
      <c r="U288">
        <v>140000</v>
      </c>
      <c r="V288">
        <v>120000</v>
      </c>
      <c r="W288">
        <v>125000</v>
      </c>
      <c r="BV288" t="s">
        <v>1042</v>
      </c>
    </row>
    <row r="289" spans="1:74" x14ac:dyDescent="0.2">
      <c r="A289" t="s">
        <v>926</v>
      </c>
      <c r="B289" t="s">
        <v>2478</v>
      </c>
      <c r="C289" t="s">
        <v>913</v>
      </c>
      <c r="D289" t="s">
        <v>282</v>
      </c>
      <c r="E289" t="s">
        <v>1227</v>
      </c>
      <c r="F289" t="s">
        <v>2479</v>
      </c>
      <c r="G289" t="s">
        <v>1636</v>
      </c>
      <c r="H289" t="s">
        <v>2480</v>
      </c>
      <c r="I289" t="s">
        <v>2481</v>
      </c>
      <c r="J289" t="s">
        <v>1036</v>
      </c>
      <c r="K289" t="s">
        <v>1037</v>
      </c>
      <c r="L289" t="s">
        <v>548</v>
      </c>
      <c r="N289" t="s">
        <v>1231</v>
      </c>
      <c r="O289" t="s">
        <v>1039</v>
      </c>
      <c r="P289" t="s">
        <v>2196</v>
      </c>
      <c r="Q289" t="s">
        <v>1088</v>
      </c>
      <c r="R289">
        <v>1031</v>
      </c>
      <c r="S289">
        <v>1014</v>
      </c>
      <c r="T289">
        <v>989</v>
      </c>
      <c r="U289">
        <v>960</v>
      </c>
      <c r="V289">
        <v>927</v>
      </c>
      <c r="W289">
        <v>892</v>
      </c>
      <c r="AB289" t="s">
        <v>548</v>
      </c>
      <c r="AE289" t="s">
        <v>548</v>
      </c>
      <c r="AF289" t="s">
        <v>548</v>
      </c>
      <c r="AG289" t="s">
        <v>548</v>
      </c>
      <c r="AH289" t="s">
        <v>548</v>
      </c>
      <c r="AI289" t="s">
        <v>548</v>
      </c>
      <c r="AJ289">
        <v>999999</v>
      </c>
      <c r="AK289">
        <v>999999</v>
      </c>
      <c r="AL289">
        <v>999999</v>
      </c>
      <c r="AM289">
        <v>999999</v>
      </c>
      <c r="AN289">
        <v>999999</v>
      </c>
      <c r="AO289">
        <v>1014</v>
      </c>
      <c r="AP289">
        <v>989</v>
      </c>
      <c r="AQ289">
        <v>960</v>
      </c>
      <c r="AR289">
        <v>927</v>
      </c>
      <c r="AS289">
        <v>892</v>
      </c>
      <c r="AT289">
        <v>1014</v>
      </c>
      <c r="AU289">
        <v>989</v>
      </c>
      <c r="AV289">
        <v>960</v>
      </c>
      <c r="AW289">
        <v>927</v>
      </c>
      <c r="AX289">
        <v>892</v>
      </c>
      <c r="AY289">
        <v>0</v>
      </c>
      <c r="AZ289">
        <v>0</v>
      </c>
      <c r="BA289">
        <v>0</v>
      </c>
      <c r="BB289">
        <v>0</v>
      </c>
      <c r="BC289">
        <v>0</v>
      </c>
      <c r="BD289">
        <v>4.2819999999999997E-2</v>
      </c>
      <c r="BH289">
        <v>4.2819999999999997E-2</v>
      </c>
      <c r="BJ289">
        <v>1</v>
      </c>
      <c r="BK289" t="s">
        <v>1041</v>
      </c>
      <c r="BU289" t="s">
        <v>2359</v>
      </c>
      <c r="BV289" t="s">
        <v>1011</v>
      </c>
    </row>
    <row r="290" spans="1:74" x14ac:dyDescent="0.2">
      <c r="A290" t="s">
        <v>926</v>
      </c>
      <c r="B290" t="s">
        <v>2482</v>
      </c>
      <c r="C290" t="s">
        <v>913</v>
      </c>
      <c r="D290" t="s">
        <v>282</v>
      </c>
      <c r="E290" t="s">
        <v>1227</v>
      </c>
      <c r="F290" t="s">
        <v>2479</v>
      </c>
      <c r="G290" t="s">
        <v>1228</v>
      </c>
      <c r="H290" t="s">
        <v>2483</v>
      </c>
      <c r="I290" t="s">
        <v>2484</v>
      </c>
      <c r="J290" t="s">
        <v>1036</v>
      </c>
      <c r="K290" t="s">
        <v>1037</v>
      </c>
      <c r="L290" t="s">
        <v>548</v>
      </c>
      <c r="N290" t="s">
        <v>1231</v>
      </c>
      <c r="O290" t="s">
        <v>1039</v>
      </c>
      <c r="P290" t="s">
        <v>2201</v>
      </c>
      <c r="Q290" t="s">
        <v>1088</v>
      </c>
      <c r="R290">
        <v>7714</v>
      </c>
      <c r="S290">
        <v>7639</v>
      </c>
      <c r="T290">
        <v>7548</v>
      </c>
      <c r="U290">
        <v>7447</v>
      </c>
      <c r="V290">
        <v>7336</v>
      </c>
      <c r="W290">
        <v>7220</v>
      </c>
      <c r="AE290" t="s">
        <v>548</v>
      </c>
      <c r="AF290" t="s">
        <v>548</v>
      </c>
      <c r="AG290" t="s">
        <v>548</v>
      </c>
      <c r="AH290" t="s">
        <v>548</v>
      </c>
      <c r="AI290" t="s">
        <v>548</v>
      </c>
      <c r="AJ290">
        <v>999999</v>
      </c>
      <c r="AK290">
        <v>999999</v>
      </c>
      <c r="AL290">
        <v>999999</v>
      </c>
      <c r="AM290">
        <v>999999</v>
      </c>
      <c r="AN290">
        <v>999999</v>
      </c>
      <c r="AO290">
        <v>7639</v>
      </c>
      <c r="AP290">
        <v>7548</v>
      </c>
      <c r="AQ290">
        <v>7447</v>
      </c>
      <c r="AR290">
        <v>7336</v>
      </c>
      <c r="AS290">
        <v>7220</v>
      </c>
      <c r="AT290">
        <v>7452</v>
      </c>
      <c r="AU290">
        <v>7452</v>
      </c>
      <c r="AV290">
        <v>7447</v>
      </c>
      <c r="AW290">
        <v>7336</v>
      </c>
      <c r="AX290">
        <v>7220</v>
      </c>
      <c r="AY290">
        <v>0</v>
      </c>
      <c r="AZ290">
        <v>0</v>
      </c>
      <c r="BA290">
        <v>0</v>
      </c>
      <c r="BB290">
        <v>0</v>
      </c>
      <c r="BC290">
        <v>0</v>
      </c>
      <c r="BD290">
        <v>1.9779000000000001E-2</v>
      </c>
      <c r="BH290">
        <v>1.9779000000000001E-2</v>
      </c>
      <c r="BJ290">
        <v>1</v>
      </c>
      <c r="BK290" t="s">
        <v>1041</v>
      </c>
      <c r="BU290" t="s">
        <v>2359</v>
      </c>
      <c r="BV290" t="s">
        <v>1042</v>
      </c>
    </row>
    <row r="291" spans="1:74" x14ac:dyDescent="0.2">
      <c r="A291" t="s">
        <v>926</v>
      </c>
      <c r="B291" t="s">
        <v>2485</v>
      </c>
      <c r="C291" t="s">
        <v>913</v>
      </c>
      <c r="D291" t="s">
        <v>282</v>
      </c>
      <c r="E291" t="s">
        <v>1227</v>
      </c>
      <c r="F291" t="s">
        <v>2479</v>
      </c>
      <c r="G291" t="s">
        <v>1234</v>
      </c>
      <c r="H291" t="s">
        <v>2486</v>
      </c>
      <c r="I291" t="s">
        <v>2487</v>
      </c>
      <c r="J291" t="s">
        <v>1036</v>
      </c>
      <c r="K291" t="s">
        <v>1037</v>
      </c>
      <c r="N291" t="s">
        <v>1908</v>
      </c>
      <c r="O291" t="s">
        <v>1039</v>
      </c>
      <c r="P291" t="s">
        <v>2488</v>
      </c>
      <c r="Q291" t="s">
        <v>1088</v>
      </c>
      <c r="R291">
        <v>7</v>
      </c>
      <c r="W291">
        <v>21</v>
      </c>
      <c r="AI291" t="s">
        <v>548</v>
      </c>
      <c r="AN291">
        <v>0</v>
      </c>
      <c r="AS291">
        <v>21</v>
      </c>
      <c r="AX291">
        <v>21</v>
      </c>
      <c r="BC291">
        <v>999999</v>
      </c>
      <c r="BD291">
        <v>6.1171999999999997E-2</v>
      </c>
      <c r="BH291">
        <v>6.1171999999999997E-2</v>
      </c>
      <c r="BJ291">
        <v>1</v>
      </c>
      <c r="BK291" t="s">
        <v>1041</v>
      </c>
      <c r="BV291" t="s">
        <v>1042</v>
      </c>
    </row>
    <row r="292" spans="1:74" x14ac:dyDescent="0.2">
      <c r="A292" t="s">
        <v>926</v>
      </c>
      <c r="B292" t="s">
        <v>2489</v>
      </c>
      <c r="C292" t="s">
        <v>913</v>
      </c>
      <c r="D292" t="s">
        <v>282</v>
      </c>
      <c r="E292" t="s">
        <v>1227</v>
      </c>
      <c r="F292" t="s">
        <v>2479</v>
      </c>
      <c r="G292" t="s">
        <v>1239</v>
      </c>
      <c r="H292" t="s">
        <v>2490</v>
      </c>
      <c r="I292" t="s">
        <v>2491</v>
      </c>
      <c r="J292" t="s">
        <v>1047</v>
      </c>
      <c r="K292" t="s">
        <v>1338</v>
      </c>
      <c r="N292" t="s">
        <v>1285</v>
      </c>
      <c r="O292" t="s">
        <v>1039</v>
      </c>
      <c r="P292" t="s">
        <v>2492</v>
      </c>
      <c r="Q292" t="s">
        <v>1088</v>
      </c>
      <c r="R292" t="s">
        <v>1341</v>
      </c>
      <c r="S292" t="s">
        <v>2493</v>
      </c>
      <c r="T292" t="s">
        <v>2494</v>
      </c>
      <c r="U292" t="s">
        <v>2495</v>
      </c>
      <c r="V292" t="s">
        <v>2496</v>
      </c>
      <c r="W292" t="s">
        <v>2497</v>
      </c>
      <c r="AE292" t="s">
        <v>548</v>
      </c>
      <c r="AF292" t="s">
        <v>548</v>
      </c>
      <c r="AG292" t="s">
        <v>548</v>
      </c>
      <c r="AH292" t="s">
        <v>548</v>
      </c>
      <c r="AI292" t="s">
        <v>548</v>
      </c>
      <c r="AJ292">
        <v>999999</v>
      </c>
      <c r="AK292">
        <v>999999</v>
      </c>
      <c r="AL292">
        <v>999999</v>
      </c>
      <c r="AM292">
        <v>999999</v>
      </c>
      <c r="AN292">
        <v>999999</v>
      </c>
      <c r="AO292">
        <v>50470</v>
      </c>
      <c r="AP292">
        <v>50078</v>
      </c>
      <c r="AQ292">
        <v>49685</v>
      </c>
      <c r="AR292">
        <v>49293</v>
      </c>
      <c r="AS292">
        <v>48900</v>
      </c>
      <c r="BD292">
        <v>2.0790000000000001E-3</v>
      </c>
      <c r="BJ292">
        <v>1</v>
      </c>
      <c r="BK292" t="s">
        <v>1041</v>
      </c>
      <c r="BV292" t="s">
        <v>1042</v>
      </c>
    </row>
    <row r="293" spans="1:74" x14ac:dyDescent="0.2">
      <c r="A293" t="s">
        <v>926</v>
      </c>
      <c r="B293" t="s">
        <v>2498</v>
      </c>
      <c r="C293" t="s">
        <v>913</v>
      </c>
      <c r="D293" t="s">
        <v>282</v>
      </c>
      <c r="E293" t="s">
        <v>1227</v>
      </c>
      <c r="F293" t="s">
        <v>2479</v>
      </c>
      <c r="G293" t="s">
        <v>2499</v>
      </c>
      <c r="H293" t="s">
        <v>2500</v>
      </c>
      <c r="I293" t="s">
        <v>2501</v>
      </c>
      <c r="J293" t="s">
        <v>1066</v>
      </c>
      <c r="N293" t="s">
        <v>1183</v>
      </c>
      <c r="O293" t="s">
        <v>1039</v>
      </c>
      <c r="P293" t="s">
        <v>2502</v>
      </c>
      <c r="Q293" t="s">
        <v>1088</v>
      </c>
      <c r="R293">
        <v>595</v>
      </c>
      <c r="W293">
        <v>312</v>
      </c>
      <c r="BV293" t="s">
        <v>1042</v>
      </c>
    </row>
    <row r="294" spans="1:74" x14ac:dyDescent="0.2">
      <c r="A294" t="s">
        <v>926</v>
      </c>
      <c r="B294" t="s">
        <v>2503</v>
      </c>
      <c r="C294" t="s">
        <v>913</v>
      </c>
      <c r="D294" t="s">
        <v>282</v>
      </c>
      <c r="E294" t="s">
        <v>1227</v>
      </c>
      <c r="F294" t="s">
        <v>2449</v>
      </c>
      <c r="G294" t="s">
        <v>1245</v>
      </c>
      <c r="H294" t="s">
        <v>2504</v>
      </c>
      <c r="I294" t="s">
        <v>2505</v>
      </c>
      <c r="J294" t="s">
        <v>1036</v>
      </c>
      <c r="K294" t="s">
        <v>1037</v>
      </c>
      <c r="L294" t="s">
        <v>548</v>
      </c>
      <c r="N294" t="s">
        <v>1121</v>
      </c>
      <c r="O294" t="s">
        <v>253</v>
      </c>
      <c r="P294" t="s">
        <v>1204</v>
      </c>
      <c r="Q294" t="s">
        <v>1088</v>
      </c>
      <c r="R294">
        <v>45</v>
      </c>
      <c r="S294">
        <v>47</v>
      </c>
      <c r="T294">
        <v>47</v>
      </c>
      <c r="U294">
        <v>52</v>
      </c>
      <c r="V294">
        <v>53</v>
      </c>
      <c r="W294">
        <v>55</v>
      </c>
      <c r="AE294" t="s">
        <v>548</v>
      </c>
      <c r="AF294" t="s">
        <v>548</v>
      </c>
      <c r="AG294" t="s">
        <v>548</v>
      </c>
      <c r="AH294" t="s">
        <v>548</v>
      </c>
      <c r="AI294" t="s">
        <v>548</v>
      </c>
      <c r="AJ294">
        <v>0</v>
      </c>
      <c r="AK294">
        <v>0</v>
      </c>
      <c r="AL294">
        <v>0</v>
      </c>
      <c r="AM294">
        <v>0</v>
      </c>
      <c r="AN294">
        <v>0</v>
      </c>
      <c r="AO294">
        <v>37</v>
      </c>
      <c r="AP294">
        <v>37</v>
      </c>
      <c r="AQ294">
        <v>42</v>
      </c>
      <c r="AR294">
        <v>43</v>
      </c>
      <c r="AS294">
        <v>45</v>
      </c>
      <c r="AT294">
        <v>57</v>
      </c>
      <c r="AU294">
        <v>57</v>
      </c>
      <c r="AV294">
        <v>62</v>
      </c>
      <c r="AW294">
        <v>63</v>
      </c>
      <c r="AX294">
        <v>65</v>
      </c>
      <c r="AY294">
        <v>100</v>
      </c>
      <c r="AZ294">
        <v>100</v>
      </c>
      <c r="BA294">
        <v>100</v>
      </c>
      <c r="BB294">
        <v>100</v>
      </c>
      <c r="BC294">
        <v>100</v>
      </c>
      <c r="BD294">
        <v>0.125</v>
      </c>
      <c r="BH294">
        <v>0.125</v>
      </c>
      <c r="BJ294">
        <v>1</v>
      </c>
      <c r="BK294" t="s">
        <v>1041</v>
      </c>
      <c r="BU294" t="s">
        <v>2359</v>
      </c>
      <c r="BV294" t="s">
        <v>1042</v>
      </c>
    </row>
    <row r="295" spans="1:74" x14ac:dyDescent="0.2">
      <c r="A295" t="s">
        <v>926</v>
      </c>
      <c r="B295" t="s">
        <v>2506</v>
      </c>
      <c r="C295" t="s">
        <v>913</v>
      </c>
      <c r="D295" t="s">
        <v>282</v>
      </c>
      <c r="E295" t="s">
        <v>1227</v>
      </c>
      <c r="F295" t="s">
        <v>2453</v>
      </c>
      <c r="G295" t="s">
        <v>1249</v>
      </c>
      <c r="H295" t="s">
        <v>2507</v>
      </c>
      <c r="I295" t="s">
        <v>2508</v>
      </c>
      <c r="J295" t="s">
        <v>1036</v>
      </c>
      <c r="K295" t="s">
        <v>1037</v>
      </c>
      <c r="N295" t="s">
        <v>1183</v>
      </c>
      <c r="O295" t="s">
        <v>1039</v>
      </c>
      <c r="P295" t="s">
        <v>2509</v>
      </c>
      <c r="Q295" t="s">
        <v>1088</v>
      </c>
      <c r="W295">
        <v>202</v>
      </c>
      <c r="AI295" t="s">
        <v>548</v>
      </c>
      <c r="AN295">
        <v>0</v>
      </c>
      <c r="AS295">
        <v>202</v>
      </c>
      <c r="AX295">
        <v>202</v>
      </c>
      <c r="BC295">
        <v>999999</v>
      </c>
      <c r="BD295">
        <v>0.15</v>
      </c>
      <c r="BH295">
        <v>0.15</v>
      </c>
      <c r="BJ295">
        <v>1</v>
      </c>
      <c r="BK295" t="s">
        <v>1041</v>
      </c>
      <c r="BV295" t="s">
        <v>1042</v>
      </c>
    </row>
    <row r="296" spans="1:74" x14ac:dyDescent="0.2">
      <c r="A296" t="s">
        <v>926</v>
      </c>
      <c r="B296" t="s">
        <v>2510</v>
      </c>
      <c r="C296" t="s">
        <v>913</v>
      </c>
      <c r="D296" t="s">
        <v>282</v>
      </c>
      <c r="E296" t="s">
        <v>1227</v>
      </c>
      <c r="F296" t="s">
        <v>2453</v>
      </c>
      <c r="G296" t="s">
        <v>1254</v>
      </c>
      <c r="H296" t="s">
        <v>2511</v>
      </c>
      <c r="I296" t="s">
        <v>2512</v>
      </c>
      <c r="J296" t="s">
        <v>1036</v>
      </c>
      <c r="K296" t="s">
        <v>1037</v>
      </c>
      <c r="L296" t="s">
        <v>548</v>
      </c>
      <c r="N296" t="s">
        <v>1261</v>
      </c>
      <c r="O296" t="s">
        <v>1039</v>
      </c>
      <c r="P296" t="s">
        <v>1262</v>
      </c>
      <c r="Q296" t="s">
        <v>1088</v>
      </c>
      <c r="R296">
        <v>457</v>
      </c>
      <c r="S296">
        <v>429</v>
      </c>
      <c r="T296">
        <v>402</v>
      </c>
      <c r="U296">
        <v>374</v>
      </c>
      <c r="V296">
        <v>374</v>
      </c>
      <c r="W296">
        <v>374</v>
      </c>
      <c r="AA296" t="s">
        <v>548</v>
      </c>
      <c r="AE296" t="s">
        <v>548</v>
      </c>
      <c r="AF296" t="s">
        <v>548</v>
      </c>
      <c r="AG296" t="s">
        <v>548</v>
      </c>
      <c r="AH296" t="s">
        <v>548</v>
      </c>
      <c r="AI296" t="s">
        <v>548</v>
      </c>
      <c r="AJ296">
        <v>999999</v>
      </c>
      <c r="AK296">
        <v>999999</v>
      </c>
      <c r="AL296">
        <v>999999</v>
      </c>
      <c r="AM296">
        <v>999999</v>
      </c>
      <c r="AN296">
        <v>999999</v>
      </c>
      <c r="AO296">
        <v>457</v>
      </c>
      <c r="AP296">
        <v>457</v>
      </c>
      <c r="AQ296">
        <v>374</v>
      </c>
      <c r="AR296">
        <v>374</v>
      </c>
      <c r="AS296">
        <v>374</v>
      </c>
      <c r="AT296">
        <v>374</v>
      </c>
      <c r="AU296">
        <v>374</v>
      </c>
      <c r="AV296">
        <v>374</v>
      </c>
      <c r="AW296">
        <v>374</v>
      </c>
      <c r="AX296">
        <v>374</v>
      </c>
      <c r="AY296">
        <v>0</v>
      </c>
      <c r="AZ296">
        <v>0</v>
      </c>
      <c r="BA296">
        <v>0</v>
      </c>
      <c r="BB296">
        <v>0</v>
      </c>
      <c r="BC296">
        <v>0</v>
      </c>
      <c r="BD296">
        <v>5.3900000000000003E-2</v>
      </c>
      <c r="BH296">
        <v>5.3900000000000003E-2</v>
      </c>
      <c r="BJ296">
        <v>1</v>
      </c>
      <c r="BK296" t="s">
        <v>1041</v>
      </c>
      <c r="BU296" t="s">
        <v>2359</v>
      </c>
      <c r="BV296" t="s">
        <v>1010</v>
      </c>
    </row>
    <row r="297" spans="1:74" x14ac:dyDescent="0.2">
      <c r="A297" t="s">
        <v>926</v>
      </c>
      <c r="B297" t="s">
        <v>2513</v>
      </c>
      <c r="C297" t="s">
        <v>913</v>
      </c>
      <c r="D297" t="s">
        <v>282</v>
      </c>
      <c r="E297" t="s">
        <v>1227</v>
      </c>
      <c r="F297" t="s">
        <v>2453</v>
      </c>
      <c r="G297" t="s">
        <v>1258</v>
      </c>
      <c r="H297" t="s">
        <v>2514</v>
      </c>
      <c r="I297" t="s">
        <v>2515</v>
      </c>
      <c r="J297" t="s">
        <v>1047</v>
      </c>
      <c r="K297" t="s">
        <v>1338</v>
      </c>
      <c r="M297" t="s">
        <v>543</v>
      </c>
      <c r="N297" t="s">
        <v>1183</v>
      </c>
      <c r="O297" t="s">
        <v>253</v>
      </c>
      <c r="P297" t="s">
        <v>2216</v>
      </c>
      <c r="Q297" t="s">
        <v>1088</v>
      </c>
      <c r="R297" t="s">
        <v>1213</v>
      </c>
      <c r="S297">
        <v>100</v>
      </c>
      <c r="T297">
        <v>100</v>
      </c>
      <c r="U297">
        <v>100</v>
      </c>
      <c r="V297">
        <v>100</v>
      </c>
      <c r="W297">
        <v>100</v>
      </c>
      <c r="AE297" t="s">
        <v>548</v>
      </c>
      <c r="AF297" t="s">
        <v>548</v>
      </c>
      <c r="AG297" t="s">
        <v>548</v>
      </c>
      <c r="AH297" t="s">
        <v>548</v>
      </c>
      <c r="AI297" t="s">
        <v>548</v>
      </c>
      <c r="AJ297">
        <v>0</v>
      </c>
      <c r="AK297">
        <v>0</v>
      </c>
      <c r="AL297">
        <v>0</v>
      </c>
      <c r="AM297">
        <v>0</v>
      </c>
      <c r="AN297">
        <v>0</v>
      </c>
      <c r="AO297" t="s">
        <v>2516</v>
      </c>
      <c r="AP297" t="s">
        <v>2516</v>
      </c>
      <c r="AQ297" t="s">
        <v>2516</v>
      </c>
      <c r="AR297" t="s">
        <v>2516</v>
      </c>
      <c r="AS297" t="s">
        <v>2516</v>
      </c>
      <c r="BD297">
        <v>1.4</v>
      </c>
      <c r="BJ297">
        <v>1</v>
      </c>
      <c r="BK297" t="s">
        <v>1041</v>
      </c>
      <c r="BV297" t="s">
        <v>1042</v>
      </c>
    </row>
    <row r="298" spans="1:74" x14ac:dyDescent="0.2">
      <c r="A298" t="s">
        <v>926</v>
      </c>
      <c r="B298" t="s">
        <v>2517</v>
      </c>
      <c r="C298" t="s">
        <v>913</v>
      </c>
      <c r="D298" t="s">
        <v>282</v>
      </c>
      <c r="E298" t="s">
        <v>1227</v>
      </c>
      <c r="F298" t="s">
        <v>2453</v>
      </c>
      <c r="G298" t="s">
        <v>1264</v>
      </c>
      <c r="H298" t="s">
        <v>2518</v>
      </c>
      <c r="I298" t="s">
        <v>2519</v>
      </c>
      <c r="J298" t="s">
        <v>1036</v>
      </c>
      <c r="K298" t="s">
        <v>1037</v>
      </c>
      <c r="N298" t="s">
        <v>1177</v>
      </c>
      <c r="O298" t="s">
        <v>1039</v>
      </c>
      <c r="P298" t="s">
        <v>2464</v>
      </c>
      <c r="Q298" t="s">
        <v>1088</v>
      </c>
      <c r="R298">
        <v>334</v>
      </c>
      <c r="W298">
        <v>409</v>
      </c>
      <c r="AI298" t="s">
        <v>548</v>
      </c>
      <c r="AN298">
        <v>0</v>
      </c>
      <c r="AS298">
        <v>409</v>
      </c>
      <c r="AX298">
        <v>409</v>
      </c>
      <c r="BC298">
        <v>999999</v>
      </c>
      <c r="BD298">
        <v>9.5600000000000004E-4</v>
      </c>
      <c r="BH298">
        <v>9.5600000000000004E-4</v>
      </c>
      <c r="BJ298">
        <v>1</v>
      </c>
      <c r="BK298" t="s">
        <v>1041</v>
      </c>
      <c r="BV298" t="s">
        <v>1042</v>
      </c>
    </row>
    <row r="299" spans="1:74" x14ac:dyDescent="0.2">
      <c r="A299" t="s">
        <v>926</v>
      </c>
      <c r="B299" t="s">
        <v>2520</v>
      </c>
      <c r="C299" t="s">
        <v>913</v>
      </c>
      <c r="D299" t="s">
        <v>282</v>
      </c>
      <c r="E299" t="s">
        <v>1227</v>
      </c>
      <c r="F299" t="s">
        <v>2453</v>
      </c>
      <c r="G299" t="s">
        <v>2521</v>
      </c>
      <c r="H299" t="s">
        <v>2522</v>
      </c>
      <c r="I299" t="s">
        <v>2523</v>
      </c>
      <c r="J299" t="s">
        <v>2524</v>
      </c>
      <c r="K299" t="s">
        <v>1037</v>
      </c>
      <c r="N299" t="s">
        <v>1242</v>
      </c>
      <c r="O299" t="s">
        <v>1039</v>
      </c>
      <c r="P299" t="s">
        <v>2525</v>
      </c>
      <c r="Q299" t="s">
        <v>1088</v>
      </c>
      <c r="W299">
        <v>0</v>
      </c>
      <c r="AI299" t="s">
        <v>548</v>
      </c>
      <c r="AX299">
        <v>0</v>
      </c>
      <c r="BC299">
        <v>999999</v>
      </c>
      <c r="BH299">
        <v>2.8546999999999999E-2</v>
      </c>
      <c r="BJ299">
        <v>1</v>
      </c>
      <c r="BK299" t="s">
        <v>1041</v>
      </c>
      <c r="BV299" t="s">
        <v>1042</v>
      </c>
    </row>
    <row r="300" spans="1:74" x14ac:dyDescent="0.2">
      <c r="A300" t="s">
        <v>926</v>
      </c>
      <c r="B300" t="s">
        <v>2526</v>
      </c>
      <c r="C300" t="s">
        <v>913</v>
      </c>
      <c r="D300" t="s">
        <v>282</v>
      </c>
      <c r="E300" t="s">
        <v>1227</v>
      </c>
      <c r="F300" t="s">
        <v>2453</v>
      </c>
      <c r="G300" t="s">
        <v>2527</v>
      </c>
      <c r="H300" t="s">
        <v>2528</v>
      </c>
      <c r="I300" t="s">
        <v>2529</v>
      </c>
      <c r="J300" t="s">
        <v>1066</v>
      </c>
      <c r="N300" t="s">
        <v>1261</v>
      </c>
      <c r="O300" t="s">
        <v>1039</v>
      </c>
      <c r="P300" t="s">
        <v>2239</v>
      </c>
      <c r="Q300" t="s">
        <v>1088</v>
      </c>
      <c r="R300">
        <v>8</v>
      </c>
      <c r="S300">
        <v>8</v>
      </c>
      <c r="T300">
        <v>6</v>
      </c>
      <c r="U300">
        <v>4</v>
      </c>
      <c r="V300">
        <v>2</v>
      </c>
      <c r="W300">
        <v>0</v>
      </c>
      <c r="BV300" t="s">
        <v>1042</v>
      </c>
    </row>
    <row r="301" spans="1:74" x14ac:dyDescent="0.2">
      <c r="A301" t="s">
        <v>926</v>
      </c>
      <c r="B301" t="s">
        <v>2530</v>
      </c>
      <c r="C301" t="s">
        <v>913</v>
      </c>
      <c r="D301" t="s">
        <v>282</v>
      </c>
      <c r="E301" t="s">
        <v>1227</v>
      </c>
      <c r="F301" t="s">
        <v>2453</v>
      </c>
      <c r="G301" t="s">
        <v>2531</v>
      </c>
      <c r="H301" t="s">
        <v>2532</v>
      </c>
      <c r="I301" t="s">
        <v>2533</v>
      </c>
      <c r="J301" t="s">
        <v>1036</v>
      </c>
      <c r="K301" t="s">
        <v>1037</v>
      </c>
      <c r="N301" t="s">
        <v>1183</v>
      </c>
      <c r="O301" t="s">
        <v>1039</v>
      </c>
      <c r="P301" t="s">
        <v>2534</v>
      </c>
      <c r="Q301" t="s">
        <v>1088</v>
      </c>
      <c r="W301">
        <v>3</v>
      </c>
      <c r="AI301" t="s">
        <v>548</v>
      </c>
      <c r="AN301">
        <v>0</v>
      </c>
      <c r="AS301">
        <v>3</v>
      </c>
      <c r="AX301">
        <v>3</v>
      </c>
      <c r="BC301">
        <v>999999</v>
      </c>
      <c r="BD301">
        <v>2.4</v>
      </c>
      <c r="BH301">
        <v>2.4</v>
      </c>
      <c r="BJ301">
        <v>1</v>
      </c>
      <c r="BK301" t="s">
        <v>1041</v>
      </c>
      <c r="BU301" t="s">
        <v>2535</v>
      </c>
      <c r="BV301" t="s">
        <v>1042</v>
      </c>
    </row>
    <row r="302" spans="1:74" x14ac:dyDescent="0.2">
      <c r="A302" t="s">
        <v>926</v>
      </c>
      <c r="B302" t="s">
        <v>2536</v>
      </c>
      <c r="C302" t="s">
        <v>913</v>
      </c>
      <c r="D302" t="s">
        <v>282</v>
      </c>
      <c r="E302" t="s">
        <v>1227</v>
      </c>
      <c r="F302" t="s">
        <v>2453</v>
      </c>
      <c r="G302" t="s">
        <v>2537</v>
      </c>
      <c r="H302" t="s">
        <v>2538</v>
      </c>
      <c r="I302" t="s">
        <v>2539</v>
      </c>
      <c r="J302" t="s">
        <v>1066</v>
      </c>
      <c r="N302" t="s">
        <v>1261</v>
      </c>
      <c r="O302" t="s">
        <v>1039</v>
      </c>
      <c r="P302" t="s">
        <v>2540</v>
      </c>
      <c r="Q302" t="s">
        <v>1088</v>
      </c>
      <c r="R302">
        <v>246</v>
      </c>
      <c r="S302">
        <v>225</v>
      </c>
      <c r="T302">
        <v>203</v>
      </c>
      <c r="U302">
        <v>182</v>
      </c>
      <c r="V302">
        <v>182</v>
      </c>
      <c r="W302">
        <v>182</v>
      </c>
      <c r="AA302" t="s">
        <v>548</v>
      </c>
      <c r="BV302" t="s">
        <v>1010</v>
      </c>
    </row>
    <row r="303" spans="1:74" x14ac:dyDescent="0.2">
      <c r="A303" t="s">
        <v>926</v>
      </c>
      <c r="B303" t="s">
        <v>2541</v>
      </c>
      <c r="C303" t="s">
        <v>913</v>
      </c>
      <c r="D303" t="s">
        <v>282</v>
      </c>
      <c r="E303" t="s">
        <v>1227</v>
      </c>
      <c r="F303" t="s">
        <v>2470</v>
      </c>
      <c r="G303" t="s">
        <v>1268</v>
      </c>
      <c r="H303" t="s">
        <v>2542</v>
      </c>
      <c r="I303" t="s">
        <v>2543</v>
      </c>
      <c r="J303" t="s">
        <v>1036</v>
      </c>
      <c r="K303" t="s">
        <v>1037</v>
      </c>
      <c r="L303" t="s">
        <v>548</v>
      </c>
      <c r="N303" t="s">
        <v>1191</v>
      </c>
      <c r="O303" t="s">
        <v>1039</v>
      </c>
      <c r="P303" t="s">
        <v>1631</v>
      </c>
      <c r="Q303" t="s">
        <v>1088</v>
      </c>
      <c r="R303">
        <v>259</v>
      </c>
      <c r="S303">
        <v>248</v>
      </c>
      <c r="T303">
        <v>245</v>
      </c>
      <c r="U303">
        <v>238</v>
      </c>
      <c r="V303">
        <v>237</v>
      </c>
      <c r="W303">
        <v>242</v>
      </c>
      <c r="AE303" t="s">
        <v>548</v>
      </c>
      <c r="AF303" t="s">
        <v>548</v>
      </c>
      <c r="AG303" t="s">
        <v>548</v>
      </c>
      <c r="AH303" t="s">
        <v>548</v>
      </c>
      <c r="AI303" t="s">
        <v>548</v>
      </c>
      <c r="AJ303">
        <v>999999</v>
      </c>
      <c r="AK303">
        <v>999999</v>
      </c>
      <c r="AL303">
        <v>999999</v>
      </c>
      <c r="AM303">
        <v>999999</v>
      </c>
      <c r="AN303">
        <v>999999</v>
      </c>
      <c r="AO303">
        <v>248</v>
      </c>
      <c r="AP303">
        <v>245</v>
      </c>
      <c r="AQ303">
        <v>238</v>
      </c>
      <c r="AR303">
        <v>237</v>
      </c>
      <c r="AS303">
        <v>242</v>
      </c>
      <c r="AT303">
        <v>248</v>
      </c>
      <c r="AU303">
        <v>245</v>
      </c>
      <c r="AV303">
        <v>238</v>
      </c>
      <c r="AW303">
        <v>237</v>
      </c>
      <c r="AX303">
        <v>242</v>
      </c>
      <c r="AY303">
        <v>0</v>
      </c>
      <c r="AZ303">
        <v>0</v>
      </c>
      <c r="BA303">
        <v>0</v>
      </c>
      <c r="BB303">
        <v>0</v>
      </c>
      <c r="BC303">
        <v>0</v>
      </c>
      <c r="BD303">
        <v>1.4630000000000001E-2</v>
      </c>
      <c r="BH303">
        <v>1.4630000000000001E-2</v>
      </c>
      <c r="BJ303">
        <v>1</v>
      </c>
      <c r="BK303" t="s">
        <v>1041</v>
      </c>
      <c r="BU303" t="s">
        <v>2359</v>
      </c>
      <c r="BV303" t="s">
        <v>1042</v>
      </c>
    </row>
    <row r="304" spans="1:74" x14ac:dyDescent="0.2">
      <c r="A304" t="s">
        <v>926</v>
      </c>
      <c r="B304" t="s">
        <v>2544</v>
      </c>
      <c r="C304" t="s">
        <v>913</v>
      </c>
      <c r="D304" t="s">
        <v>282</v>
      </c>
      <c r="E304" t="s">
        <v>1227</v>
      </c>
      <c r="F304" t="s">
        <v>2474</v>
      </c>
      <c r="G304" t="s">
        <v>1278</v>
      </c>
      <c r="H304" t="s">
        <v>2545</v>
      </c>
      <c r="I304" t="s">
        <v>2546</v>
      </c>
      <c r="J304" t="s">
        <v>1066</v>
      </c>
      <c r="N304" t="s">
        <v>1973</v>
      </c>
      <c r="O304" t="s">
        <v>1039</v>
      </c>
      <c r="P304" t="s">
        <v>2477</v>
      </c>
      <c r="Q304" t="s">
        <v>1088</v>
      </c>
      <c r="R304">
        <v>75000</v>
      </c>
      <c r="S304">
        <v>155000</v>
      </c>
      <c r="T304">
        <v>160000</v>
      </c>
      <c r="U304">
        <v>140000</v>
      </c>
      <c r="V304">
        <v>120000</v>
      </c>
      <c r="W304">
        <v>125000</v>
      </c>
      <c r="BV304" t="s">
        <v>1042</v>
      </c>
    </row>
    <row r="305" spans="1:74" x14ac:dyDescent="0.2">
      <c r="A305" t="s">
        <v>926</v>
      </c>
      <c r="B305" t="s">
        <v>2547</v>
      </c>
      <c r="C305" t="s">
        <v>913</v>
      </c>
      <c r="D305" t="s">
        <v>1106</v>
      </c>
      <c r="E305" t="s">
        <v>1107</v>
      </c>
      <c r="F305" t="s">
        <v>2548</v>
      </c>
      <c r="G305" t="s">
        <v>1109</v>
      </c>
      <c r="H305" t="s">
        <v>2549</v>
      </c>
      <c r="I305" t="s">
        <v>2550</v>
      </c>
      <c r="J305" t="s">
        <v>1066</v>
      </c>
      <c r="N305" t="s">
        <v>1203</v>
      </c>
      <c r="O305" t="s">
        <v>1295</v>
      </c>
      <c r="P305" t="s">
        <v>2551</v>
      </c>
      <c r="Q305" t="s">
        <v>1041</v>
      </c>
      <c r="R305" t="s">
        <v>2552</v>
      </c>
      <c r="S305" t="s">
        <v>2552</v>
      </c>
      <c r="T305" t="s">
        <v>2552</v>
      </c>
      <c r="U305" t="s">
        <v>1847</v>
      </c>
      <c r="V305" t="s">
        <v>1847</v>
      </c>
      <c r="W305" t="s">
        <v>1847</v>
      </c>
      <c r="BV305" t="s">
        <v>1042</v>
      </c>
    </row>
    <row r="306" spans="1:74" x14ac:dyDescent="0.2">
      <c r="A306" t="s">
        <v>926</v>
      </c>
      <c r="B306" t="s">
        <v>2553</v>
      </c>
      <c r="C306" t="s">
        <v>913</v>
      </c>
      <c r="D306" t="s">
        <v>1106</v>
      </c>
      <c r="E306" t="s">
        <v>1107</v>
      </c>
      <c r="F306" t="s">
        <v>2548</v>
      </c>
      <c r="G306" t="s">
        <v>1118</v>
      </c>
      <c r="H306" t="s">
        <v>2554</v>
      </c>
      <c r="I306" t="s">
        <v>2555</v>
      </c>
      <c r="J306" t="s">
        <v>1036</v>
      </c>
      <c r="K306" t="s">
        <v>1037</v>
      </c>
      <c r="M306" t="s">
        <v>543</v>
      </c>
      <c r="N306" t="s">
        <v>1112</v>
      </c>
      <c r="O306" t="s">
        <v>1295</v>
      </c>
      <c r="P306" t="s">
        <v>1427</v>
      </c>
      <c r="Q306" t="s">
        <v>1041</v>
      </c>
      <c r="R306" t="s">
        <v>2552</v>
      </c>
      <c r="S306" t="s">
        <v>1847</v>
      </c>
      <c r="T306" t="s">
        <v>1847</v>
      </c>
      <c r="U306" t="s">
        <v>1847</v>
      </c>
      <c r="V306" t="s">
        <v>1847</v>
      </c>
      <c r="W306" t="s">
        <v>1847</v>
      </c>
      <c r="AE306" t="s">
        <v>548</v>
      </c>
      <c r="AF306" t="s">
        <v>548</v>
      </c>
      <c r="AG306" t="s">
        <v>548</v>
      </c>
      <c r="AH306" t="s">
        <v>548</v>
      </c>
      <c r="AI306" t="s">
        <v>548</v>
      </c>
      <c r="AJ306" t="s">
        <v>1115</v>
      </c>
      <c r="AK306" t="s">
        <v>1115</v>
      </c>
      <c r="AL306" t="s">
        <v>1115</v>
      </c>
      <c r="AM306" t="s">
        <v>1115</v>
      </c>
      <c r="AN306" t="s">
        <v>1115</v>
      </c>
      <c r="AO306" t="s">
        <v>1115</v>
      </c>
      <c r="AP306" t="s">
        <v>1115</v>
      </c>
      <c r="AQ306" t="s">
        <v>1115</v>
      </c>
      <c r="AR306" t="s">
        <v>1115</v>
      </c>
      <c r="AS306" t="s">
        <v>1115</v>
      </c>
      <c r="AT306" t="s">
        <v>1115</v>
      </c>
      <c r="AU306" t="s">
        <v>1115</v>
      </c>
      <c r="AV306" t="s">
        <v>1115</v>
      </c>
      <c r="AW306" t="s">
        <v>1115</v>
      </c>
      <c r="AX306" t="s">
        <v>1115</v>
      </c>
      <c r="AY306" t="s">
        <v>1115</v>
      </c>
      <c r="AZ306" t="s">
        <v>1115</v>
      </c>
      <c r="BA306" t="s">
        <v>1115</v>
      </c>
      <c r="BB306" t="s">
        <v>1115</v>
      </c>
      <c r="BC306" t="s">
        <v>1115</v>
      </c>
      <c r="BD306" t="s">
        <v>1115</v>
      </c>
      <c r="BH306" t="s">
        <v>1115</v>
      </c>
      <c r="BJ306">
        <v>1</v>
      </c>
      <c r="BK306" t="s">
        <v>1041</v>
      </c>
      <c r="BU306" t="s">
        <v>1116</v>
      </c>
      <c r="BV306" t="s">
        <v>1042</v>
      </c>
    </row>
    <row r="307" spans="1:74" x14ac:dyDescent="0.2">
      <c r="A307" t="s">
        <v>926</v>
      </c>
      <c r="B307" t="s">
        <v>2556</v>
      </c>
      <c r="C307" t="s">
        <v>913</v>
      </c>
      <c r="D307" t="s">
        <v>1106</v>
      </c>
      <c r="E307" t="s">
        <v>1107</v>
      </c>
      <c r="F307" t="s">
        <v>2557</v>
      </c>
      <c r="G307" t="s">
        <v>1307</v>
      </c>
      <c r="H307" t="s">
        <v>2558</v>
      </c>
      <c r="I307" t="s">
        <v>2559</v>
      </c>
      <c r="J307" t="s">
        <v>1066</v>
      </c>
      <c r="N307" t="s">
        <v>1121</v>
      </c>
      <c r="O307" t="s">
        <v>1039</v>
      </c>
      <c r="P307" t="s">
        <v>2342</v>
      </c>
      <c r="Q307" t="s">
        <v>1088</v>
      </c>
      <c r="R307">
        <v>11500</v>
      </c>
      <c r="S307">
        <v>35000</v>
      </c>
      <c r="T307">
        <v>50000</v>
      </c>
      <c r="U307">
        <v>50000</v>
      </c>
      <c r="V307">
        <v>50000</v>
      </c>
      <c r="W307">
        <v>50000</v>
      </c>
      <c r="BV307" t="s">
        <v>1042</v>
      </c>
    </row>
    <row r="308" spans="1:74" x14ac:dyDescent="0.2">
      <c r="A308" t="s">
        <v>926</v>
      </c>
      <c r="B308" t="s">
        <v>2560</v>
      </c>
      <c r="C308" t="s">
        <v>913</v>
      </c>
      <c r="D308" t="s">
        <v>1106</v>
      </c>
      <c r="E308" t="s">
        <v>1107</v>
      </c>
      <c r="F308" t="s">
        <v>2557</v>
      </c>
      <c r="G308" t="s">
        <v>1311</v>
      </c>
      <c r="H308" t="s">
        <v>2561</v>
      </c>
      <c r="I308" t="s">
        <v>2562</v>
      </c>
      <c r="J308" t="s">
        <v>1066</v>
      </c>
      <c r="N308" t="s">
        <v>1121</v>
      </c>
      <c r="O308" t="s">
        <v>253</v>
      </c>
      <c r="P308" t="s">
        <v>2563</v>
      </c>
      <c r="Q308">
        <v>2</v>
      </c>
      <c r="R308">
        <v>2.69</v>
      </c>
      <c r="S308">
        <v>2.7</v>
      </c>
      <c r="T308">
        <v>2.7</v>
      </c>
      <c r="U308">
        <v>2.7</v>
      </c>
      <c r="V308">
        <v>2.7</v>
      </c>
      <c r="W308">
        <v>2.7</v>
      </c>
      <c r="BV308" t="s">
        <v>1042</v>
      </c>
    </row>
    <row r="309" spans="1:74" x14ac:dyDescent="0.2">
      <c r="A309" t="s">
        <v>929</v>
      </c>
      <c r="B309" t="s">
        <v>2564</v>
      </c>
      <c r="C309" t="s">
        <v>913</v>
      </c>
      <c r="D309" t="s">
        <v>281</v>
      </c>
      <c r="E309" t="s">
        <v>1031</v>
      </c>
      <c r="F309" t="s">
        <v>2565</v>
      </c>
      <c r="G309" t="s">
        <v>1033</v>
      </c>
      <c r="H309" t="s">
        <v>2566</v>
      </c>
      <c r="I309" t="s">
        <v>2567</v>
      </c>
      <c r="J309" t="s">
        <v>1047</v>
      </c>
      <c r="K309" t="s">
        <v>1037</v>
      </c>
      <c r="L309" t="s">
        <v>548</v>
      </c>
      <c r="N309" t="s">
        <v>1073</v>
      </c>
      <c r="O309" t="s">
        <v>253</v>
      </c>
      <c r="P309" t="s">
        <v>1074</v>
      </c>
      <c r="Q309">
        <v>2</v>
      </c>
      <c r="R309">
        <v>99.98</v>
      </c>
      <c r="S309">
        <v>99.98</v>
      </c>
      <c r="T309">
        <v>99.98</v>
      </c>
      <c r="U309">
        <v>99.98</v>
      </c>
      <c r="V309">
        <v>99.98</v>
      </c>
      <c r="W309">
        <v>99.98</v>
      </c>
      <c r="X309" t="s">
        <v>548</v>
      </c>
      <c r="AE309" t="s">
        <v>548</v>
      </c>
      <c r="AF309" t="s">
        <v>548</v>
      </c>
      <c r="AG309" t="s">
        <v>548</v>
      </c>
      <c r="AH309" t="s">
        <v>548</v>
      </c>
      <c r="AI309" t="s">
        <v>548</v>
      </c>
      <c r="AJ309">
        <v>90</v>
      </c>
      <c r="AK309">
        <v>90</v>
      </c>
      <c r="AL309">
        <v>90</v>
      </c>
      <c r="AM309">
        <v>90</v>
      </c>
      <c r="AN309">
        <v>90</v>
      </c>
      <c r="AO309">
        <v>99.9</v>
      </c>
      <c r="AP309">
        <v>99.9</v>
      </c>
      <c r="AQ309">
        <v>99.9</v>
      </c>
      <c r="AR309">
        <v>99.9</v>
      </c>
      <c r="AS309">
        <v>99.9</v>
      </c>
      <c r="BD309">
        <v>0.05</v>
      </c>
      <c r="BJ309">
        <v>1</v>
      </c>
      <c r="BK309" t="s">
        <v>1041</v>
      </c>
      <c r="BU309" t="s">
        <v>2359</v>
      </c>
      <c r="BV309" t="s">
        <v>1007</v>
      </c>
    </row>
    <row r="310" spans="1:74" x14ac:dyDescent="0.2">
      <c r="A310" t="s">
        <v>929</v>
      </c>
      <c r="B310" t="s">
        <v>2568</v>
      </c>
      <c r="C310" t="s">
        <v>913</v>
      </c>
      <c r="D310" t="s">
        <v>281</v>
      </c>
      <c r="E310" t="s">
        <v>1031</v>
      </c>
      <c r="F310" t="s">
        <v>2565</v>
      </c>
      <c r="G310" t="s">
        <v>1044</v>
      </c>
      <c r="H310" t="s">
        <v>2569</v>
      </c>
      <c r="I310" t="s">
        <v>2570</v>
      </c>
      <c r="J310" t="s">
        <v>1036</v>
      </c>
      <c r="K310" t="s">
        <v>1037</v>
      </c>
      <c r="L310" t="s">
        <v>548</v>
      </c>
      <c r="M310" t="s">
        <v>543</v>
      </c>
      <c r="N310" t="s">
        <v>1008</v>
      </c>
      <c r="O310" t="s">
        <v>1039</v>
      </c>
      <c r="P310" t="s">
        <v>2571</v>
      </c>
      <c r="Q310">
        <v>2</v>
      </c>
      <c r="R310">
        <v>4.5</v>
      </c>
      <c r="S310">
        <v>4.2</v>
      </c>
      <c r="T310">
        <v>3.9</v>
      </c>
      <c r="U310">
        <v>3.6</v>
      </c>
      <c r="V310">
        <v>3.3</v>
      </c>
      <c r="W310">
        <v>3</v>
      </c>
      <c r="Y310" t="s">
        <v>548</v>
      </c>
      <c r="AE310" t="s">
        <v>548</v>
      </c>
      <c r="AF310" t="s">
        <v>548</v>
      </c>
      <c r="AG310" t="s">
        <v>548</v>
      </c>
      <c r="AH310" t="s">
        <v>548</v>
      </c>
      <c r="AI310" t="s">
        <v>548</v>
      </c>
      <c r="AJ310">
        <v>8</v>
      </c>
      <c r="AK310">
        <v>8</v>
      </c>
      <c r="AL310">
        <v>8</v>
      </c>
      <c r="AM310">
        <v>8</v>
      </c>
      <c r="AN310">
        <v>8</v>
      </c>
      <c r="AO310">
        <v>4.2</v>
      </c>
      <c r="AP310">
        <v>3.9</v>
      </c>
      <c r="AQ310">
        <v>3.6</v>
      </c>
      <c r="AR310">
        <v>3.3</v>
      </c>
      <c r="AS310">
        <v>3</v>
      </c>
      <c r="AT310">
        <v>2.02</v>
      </c>
      <c r="AU310">
        <v>2.02</v>
      </c>
      <c r="AV310">
        <v>2.02</v>
      </c>
      <c r="AW310">
        <v>2.02</v>
      </c>
      <c r="AX310">
        <v>2.02</v>
      </c>
      <c r="AY310">
        <v>1.5</v>
      </c>
      <c r="AZ310">
        <v>1.5</v>
      </c>
      <c r="BA310">
        <v>1.5</v>
      </c>
      <c r="BB310">
        <v>1.5</v>
      </c>
      <c r="BC310">
        <v>1.5</v>
      </c>
      <c r="BD310">
        <v>0.65700000000000003</v>
      </c>
      <c r="BE310">
        <v>0.879</v>
      </c>
      <c r="BH310">
        <v>0.94399999999999995</v>
      </c>
      <c r="BJ310">
        <v>1</v>
      </c>
      <c r="BK310" t="s">
        <v>1041</v>
      </c>
      <c r="BU310" t="s">
        <v>2572</v>
      </c>
      <c r="BV310" t="s">
        <v>1008</v>
      </c>
    </row>
    <row r="311" spans="1:74" x14ac:dyDescent="0.2">
      <c r="A311" t="s">
        <v>929</v>
      </c>
      <c r="B311" t="s">
        <v>2573</v>
      </c>
      <c r="C311" t="s">
        <v>913</v>
      </c>
      <c r="D311" t="s">
        <v>281</v>
      </c>
      <c r="E311" t="s">
        <v>1031</v>
      </c>
      <c r="F311" t="s">
        <v>2565</v>
      </c>
      <c r="G311" t="s">
        <v>1052</v>
      </c>
      <c r="H311" t="s">
        <v>2574</v>
      </c>
      <c r="I311" t="s">
        <v>2575</v>
      </c>
      <c r="J311" t="s">
        <v>1047</v>
      </c>
      <c r="K311" t="s">
        <v>1338</v>
      </c>
      <c r="M311" t="s">
        <v>543</v>
      </c>
      <c r="N311" t="s">
        <v>1093</v>
      </c>
      <c r="O311" t="s">
        <v>1211</v>
      </c>
      <c r="P311" t="s">
        <v>1339</v>
      </c>
      <c r="Q311" t="s">
        <v>1041</v>
      </c>
      <c r="R311" t="s">
        <v>1213</v>
      </c>
      <c r="S311" t="s">
        <v>1213</v>
      </c>
      <c r="T311" t="s">
        <v>1213</v>
      </c>
      <c r="U311" t="s">
        <v>1213</v>
      </c>
      <c r="V311" t="s">
        <v>1213</v>
      </c>
      <c r="W311" t="s">
        <v>1213</v>
      </c>
      <c r="AE311" t="s">
        <v>548</v>
      </c>
      <c r="AF311" t="s">
        <v>548</v>
      </c>
      <c r="AG311" t="s">
        <v>548</v>
      </c>
      <c r="AH311" t="s">
        <v>548</v>
      </c>
      <c r="AI311" t="s">
        <v>548</v>
      </c>
      <c r="AJ311" t="s">
        <v>1340</v>
      </c>
      <c r="AK311" t="s">
        <v>1340</v>
      </c>
      <c r="AL311" t="s">
        <v>1340</v>
      </c>
      <c r="AM311" t="s">
        <v>1340</v>
      </c>
      <c r="AN311" t="s">
        <v>1340</v>
      </c>
      <c r="AO311" t="s">
        <v>1341</v>
      </c>
      <c r="AP311" t="s">
        <v>1341</v>
      </c>
      <c r="AQ311" t="s">
        <v>1341</v>
      </c>
      <c r="AR311" t="s">
        <v>1341</v>
      </c>
      <c r="AS311" t="s">
        <v>1341</v>
      </c>
      <c r="BD311">
        <v>0.45800000000000002</v>
      </c>
      <c r="BJ311">
        <v>1</v>
      </c>
      <c r="BK311" t="s">
        <v>1041</v>
      </c>
      <c r="BU311" t="s">
        <v>2576</v>
      </c>
      <c r="BV311" t="s">
        <v>1042</v>
      </c>
    </row>
    <row r="312" spans="1:74" x14ac:dyDescent="0.2">
      <c r="A312" t="s">
        <v>929</v>
      </c>
      <c r="B312" t="s">
        <v>2577</v>
      </c>
      <c r="C312" t="s">
        <v>913</v>
      </c>
      <c r="D312" t="s">
        <v>281</v>
      </c>
      <c r="E312" t="s">
        <v>1031</v>
      </c>
      <c r="F312" t="s">
        <v>2565</v>
      </c>
      <c r="G312" t="s">
        <v>1058</v>
      </c>
      <c r="H312" t="s">
        <v>2578</v>
      </c>
      <c r="I312" t="s">
        <v>2579</v>
      </c>
      <c r="J312" t="s">
        <v>1047</v>
      </c>
      <c r="K312" t="s">
        <v>1338</v>
      </c>
      <c r="M312" t="s">
        <v>543</v>
      </c>
      <c r="N312" t="s">
        <v>1093</v>
      </c>
      <c r="O312" t="s">
        <v>1211</v>
      </c>
      <c r="P312" t="s">
        <v>1339</v>
      </c>
      <c r="Q312" t="s">
        <v>1041</v>
      </c>
      <c r="R312" t="s">
        <v>1213</v>
      </c>
      <c r="S312" t="s">
        <v>1213</v>
      </c>
      <c r="T312" t="s">
        <v>1213</v>
      </c>
      <c r="U312" t="s">
        <v>1213</v>
      </c>
      <c r="V312" t="s">
        <v>1213</v>
      </c>
      <c r="W312" t="s">
        <v>1213</v>
      </c>
      <c r="AE312" t="s">
        <v>548</v>
      </c>
      <c r="AF312" t="s">
        <v>548</v>
      </c>
      <c r="AG312" t="s">
        <v>548</v>
      </c>
      <c r="AH312" t="s">
        <v>548</v>
      </c>
      <c r="AI312" t="s">
        <v>548</v>
      </c>
      <c r="AJ312" t="s">
        <v>1340</v>
      </c>
      <c r="AK312" t="s">
        <v>1340</v>
      </c>
      <c r="AL312" t="s">
        <v>1340</v>
      </c>
      <c r="AM312" t="s">
        <v>1340</v>
      </c>
      <c r="AN312" t="s">
        <v>1340</v>
      </c>
      <c r="AO312" t="s">
        <v>1341</v>
      </c>
      <c r="AP312" t="s">
        <v>1341</v>
      </c>
      <c r="AQ312" t="s">
        <v>1341</v>
      </c>
      <c r="AR312" t="s">
        <v>1341</v>
      </c>
      <c r="AS312" t="s">
        <v>1341</v>
      </c>
      <c r="BD312">
        <v>1.2689999999999999</v>
      </c>
      <c r="BJ312">
        <v>1</v>
      </c>
      <c r="BK312" t="s">
        <v>1041</v>
      </c>
      <c r="BU312" t="s">
        <v>2580</v>
      </c>
      <c r="BV312" t="s">
        <v>1042</v>
      </c>
    </row>
    <row r="313" spans="1:74" x14ac:dyDescent="0.2">
      <c r="A313" t="s">
        <v>929</v>
      </c>
      <c r="B313" t="s">
        <v>2581</v>
      </c>
      <c r="C313" t="s">
        <v>913</v>
      </c>
      <c r="D313" t="s">
        <v>281</v>
      </c>
      <c r="E313" t="s">
        <v>1031</v>
      </c>
      <c r="F313" t="s">
        <v>2565</v>
      </c>
      <c r="G313" t="s">
        <v>1063</v>
      </c>
      <c r="H313" t="s">
        <v>2582</v>
      </c>
      <c r="I313" t="s">
        <v>2583</v>
      </c>
      <c r="J313" t="s">
        <v>1036</v>
      </c>
      <c r="K313" t="s">
        <v>1338</v>
      </c>
      <c r="M313" t="s">
        <v>543</v>
      </c>
      <c r="N313" t="s">
        <v>1086</v>
      </c>
      <c r="O313" t="s">
        <v>1126</v>
      </c>
      <c r="P313" t="s">
        <v>1475</v>
      </c>
      <c r="Q313">
        <v>3</v>
      </c>
      <c r="R313">
        <v>0.27</v>
      </c>
      <c r="S313">
        <v>0.25600000000000001</v>
      </c>
      <c r="T313">
        <v>0.24199999999999999</v>
      </c>
      <c r="U313">
        <v>0.22800000000000001</v>
      </c>
      <c r="V313">
        <v>0.214</v>
      </c>
      <c r="W313">
        <v>0.2</v>
      </c>
      <c r="Z313" t="s">
        <v>548</v>
      </c>
      <c r="AE313" t="s">
        <v>548</v>
      </c>
      <c r="AF313" t="s">
        <v>548</v>
      </c>
      <c r="AG313" t="s">
        <v>548</v>
      </c>
      <c r="AH313" t="s">
        <v>548</v>
      </c>
      <c r="AI313" t="s">
        <v>548</v>
      </c>
      <c r="AJ313">
        <v>0.8</v>
      </c>
      <c r="AK313">
        <v>0.8</v>
      </c>
      <c r="AL313">
        <v>0.8</v>
      </c>
      <c r="AM313">
        <v>0.8</v>
      </c>
      <c r="AN313">
        <v>0.8</v>
      </c>
      <c r="AO313">
        <v>0.25600000000000001</v>
      </c>
      <c r="AP313">
        <v>0.24199999999999999</v>
      </c>
      <c r="AQ313">
        <v>0.22800000000000001</v>
      </c>
      <c r="AR313">
        <v>0.214</v>
      </c>
      <c r="AS313">
        <v>0.2</v>
      </c>
      <c r="AT313">
        <v>0.25600000000000001</v>
      </c>
      <c r="AU313">
        <v>0.24199999999999999</v>
      </c>
      <c r="AV313">
        <v>0.22800000000000001</v>
      </c>
      <c r="AW313">
        <v>0.214</v>
      </c>
      <c r="AX313">
        <v>0.2</v>
      </c>
      <c r="AY313">
        <v>0.1</v>
      </c>
      <c r="AZ313">
        <v>0.1</v>
      </c>
      <c r="BA313">
        <v>0.1</v>
      </c>
      <c r="BB313">
        <v>0.1</v>
      </c>
      <c r="BC313">
        <v>0.1</v>
      </c>
      <c r="BD313">
        <v>5.5529999999999999</v>
      </c>
      <c r="BE313">
        <v>8.2240000000000002</v>
      </c>
      <c r="BH313">
        <v>6.5030000000000001</v>
      </c>
      <c r="BJ313">
        <v>1</v>
      </c>
      <c r="BK313" t="s">
        <v>1041</v>
      </c>
      <c r="BU313" t="s">
        <v>2584</v>
      </c>
      <c r="BV313" t="s">
        <v>1009</v>
      </c>
    </row>
    <row r="314" spans="1:74" x14ac:dyDescent="0.2">
      <c r="A314" t="s">
        <v>929</v>
      </c>
      <c r="B314" t="s">
        <v>2585</v>
      </c>
      <c r="C314" t="s">
        <v>913</v>
      </c>
      <c r="D314" t="s">
        <v>281</v>
      </c>
      <c r="E314" t="s">
        <v>1031</v>
      </c>
      <c r="F314" t="s">
        <v>2586</v>
      </c>
      <c r="G314" t="s">
        <v>1070</v>
      </c>
      <c r="H314" t="s">
        <v>2587</v>
      </c>
      <c r="I314" t="s">
        <v>2588</v>
      </c>
      <c r="J314" t="s">
        <v>1036</v>
      </c>
      <c r="K314" t="s">
        <v>1037</v>
      </c>
      <c r="L314" t="s">
        <v>548</v>
      </c>
      <c r="M314" t="s">
        <v>543</v>
      </c>
      <c r="N314" t="s">
        <v>1150</v>
      </c>
      <c r="O314" t="s">
        <v>1039</v>
      </c>
      <c r="P314" t="s">
        <v>2589</v>
      </c>
      <c r="Q314" t="s">
        <v>1088</v>
      </c>
      <c r="R314">
        <v>0</v>
      </c>
      <c r="S314">
        <v>0</v>
      </c>
      <c r="T314">
        <v>0</v>
      </c>
      <c r="U314">
        <v>0</v>
      </c>
      <c r="V314">
        <v>0</v>
      </c>
      <c r="W314">
        <v>0</v>
      </c>
      <c r="AE314" t="s">
        <v>548</v>
      </c>
      <c r="AF314" t="s">
        <v>548</v>
      </c>
      <c r="AG314" t="s">
        <v>548</v>
      </c>
      <c r="AH314" t="s">
        <v>548</v>
      </c>
      <c r="AI314" t="s">
        <v>548</v>
      </c>
      <c r="AN314">
        <v>2</v>
      </c>
      <c r="AS314">
        <v>1</v>
      </c>
      <c r="AT314">
        <v>0</v>
      </c>
      <c r="AU314">
        <v>0</v>
      </c>
      <c r="AV314">
        <v>0</v>
      </c>
      <c r="AW314">
        <v>0</v>
      </c>
      <c r="AX314">
        <v>0</v>
      </c>
      <c r="AY314">
        <v>0</v>
      </c>
      <c r="AZ314">
        <v>0</v>
      </c>
      <c r="BA314">
        <v>0</v>
      </c>
      <c r="BB314">
        <v>0</v>
      </c>
      <c r="BC314">
        <v>0</v>
      </c>
      <c r="BD314">
        <v>3.206</v>
      </c>
      <c r="BH314">
        <v>1.6240000000000001</v>
      </c>
      <c r="BJ314">
        <v>1</v>
      </c>
      <c r="BK314" t="s">
        <v>1041</v>
      </c>
      <c r="BU314" t="s">
        <v>2590</v>
      </c>
      <c r="BV314" t="s">
        <v>1042</v>
      </c>
    </row>
    <row r="315" spans="1:74" x14ac:dyDescent="0.2">
      <c r="A315" t="s">
        <v>929</v>
      </c>
      <c r="B315" t="s">
        <v>2591</v>
      </c>
      <c r="C315" t="s">
        <v>913</v>
      </c>
      <c r="D315" t="s">
        <v>281</v>
      </c>
      <c r="E315" t="s">
        <v>1031</v>
      </c>
      <c r="F315" t="s">
        <v>2586</v>
      </c>
      <c r="G315" t="s">
        <v>1077</v>
      </c>
      <c r="H315" t="s">
        <v>2592</v>
      </c>
      <c r="I315" t="s">
        <v>2593</v>
      </c>
      <c r="J315" t="s">
        <v>1066</v>
      </c>
      <c r="N315" t="s">
        <v>1144</v>
      </c>
      <c r="O315" t="s">
        <v>1295</v>
      </c>
      <c r="P315" t="s">
        <v>2594</v>
      </c>
      <c r="Q315" t="s">
        <v>1041</v>
      </c>
      <c r="R315" t="s">
        <v>2595</v>
      </c>
      <c r="W315" t="s">
        <v>2596</v>
      </c>
      <c r="BU315" t="s">
        <v>2597</v>
      </c>
      <c r="BV315" t="s">
        <v>1042</v>
      </c>
    </row>
    <row r="316" spans="1:74" x14ac:dyDescent="0.2">
      <c r="A316" t="s">
        <v>929</v>
      </c>
      <c r="B316" t="s">
        <v>2598</v>
      </c>
      <c r="C316" t="s">
        <v>913</v>
      </c>
      <c r="D316" t="s">
        <v>281</v>
      </c>
      <c r="E316" t="s">
        <v>1031</v>
      </c>
      <c r="F316" t="s">
        <v>2586</v>
      </c>
      <c r="G316" t="s">
        <v>1548</v>
      </c>
      <c r="H316" t="s">
        <v>2599</v>
      </c>
      <c r="I316" t="s">
        <v>2600</v>
      </c>
      <c r="J316" t="s">
        <v>1036</v>
      </c>
      <c r="K316" t="s">
        <v>1037</v>
      </c>
      <c r="L316" t="s">
        <v>548</v>
      </c>
      <c r="N316" t="s">
        <v>1038</v>
      </c>
      <c r="O316" t="s">
        <v>1039</v>
      </c>
      <c r="P316" t="s">
        <v>1040</v>
      </c>
      <c r="Q316" t="s">
        <v>1088</v>
      </c>
      <c r="R316">
        <v>84</v>
      </c>
      <c r="S316">
        <v>84</v>
      </c>
      <c r="T316">
        <v>84</v>
      </c>
      <c r="U316">
        <v>84</v>
      </c>
      <c r="V316">
        <v>84</v>
      </c>
      <c r="W316">
        <v>84</v>
      </c>
      <c r="AE316" t="s">
        <v>548</v>
      </c>
      <c r="AF316" t="s">
        <v>548</v>
      </c>
      <c r="AG316" t="s">
        <v>548</v>
      </c>
      <c r="AH316" t="s">
        <v>548</v>
      </c>
      <c r="AI316" t="s">
        <v>548</v>
      </c>
      <c r="AJ316">
        <v>97</v>
      </c>
      <c r="AK316">
        <v>97</v>
      </c>
      <c r="AL316">
        <v>97</v>
      </c>
      <c r="AM316">
        <v>97</v>
      </c>
      <c r="AN316">
        <v>97</v>
      </c>
      <c r="AO316">
        <v>84</v>
      </c>
      <c r="AP316">
        <v>84</v>
      </c>
      <c r="AQ316">
        <v>84</v>
      </c>
      <c r="AR316">
        <v>84</v>
      </c>
      <c r="AS316">
        <v>84</v>
      </c>
      <c r="AT316">
        <v>84</v>
      </c>
      <c r="AU316">
        <v>84</v>
      </c>
      <c r="AV316">
        <v>84</v>
      </c>
      <c r="AW316">
        <v>84</v>
      </c>
      <c r="AX316">
        <v>84</v>
      </c>
      <c r="AY316">
        <v>64</v>
      </c>
      <c r="AZ316">
        <v>64</v>
      </c>
      <c r="BA316">
        <v>64</v>
      </c>
      <c r="BB316">
        <v>64</v>
      </c>
      <c r="BC316">
        <v>64</v>
      </c>
      <c r="BD316">
        <v>0.57699999999999996</v>
      </c>
      <c r="BH316">
        <v>0.40300000000000002</v>
      </c>
      <c r="BJ316">
        <v>1</v>
      </c>
      <c r="BK316" t="s">
        <v>1041</v>
      </c>
      <c r="BU316" t="s">
        <v>2601</v>
      </c>
      <c r="BV316" t="s">
        <v>1042</v>
      </c>
    </row>
    <row r="317" spans="1:74" x14ac:dyDescent="0.2">
      <c r="A317" t="s">
        <v>929</v>
      </c>
      <c r="B317" t="s">
        <v>2602</v>
      </c>
      <c r="C317" t="s">
        <v>913</v>
      </c>
      <c r="D317" t="s">
        <v>281</v>
      </c>
      <c r="E317" t="s">
        <v>1031</v>
      </c>
      <c r="F317" t="s">
        <v>2586</v>
      </c>
      <c r="G317" t="s">
        <v>2388</v>
      </c>
      <c r="H317" t="s">
        <v>2603</v>
      </c>
      <c r="I317" t="s">
        <v>2604</v>
      </c>
      <c r="J317" t="s">
        <v>1066</v>
      </c>
      <c r="N317" t="s">
        <v>1038</v>
      </c>
      <c r="O317" t="s">
        <v>1039</v>
      </c>
      <c r="P317" t="s">
        <v>2605</v>
      </c>
      <c r="Q317" t="s">
        <v>1088</v>
      </c>
      <c r="R317" t="s">
        <v>2606</v>
      </c>
      <c r="W317" t="s">
        <v>2607</v>
      </c>
      <c r="BV317" t="s">
        <v>1042</v>
      </c>
    </row>
    <row r="318" spans="1:74" x14ac:dyDescent="0.2">
      <c r="A318" t="s">
        <v>929</v>
      </c>
      <c r="B318" t="s">
        <v>2608</v>
      </c>
      <c r="C318" t="s">
        <v>913</v>
      </c>
      <c r="D318" t="s">
        <v>281</v>
      </c>
      <c r="E318" t="s">
        <v>1031</v>
      </c>
      <c r="F318" t="s">
        <v>2586</v>
      </c>
      <c r="G318" t="s">
        <v>2392</v>
      </c>
      <c r="H318" t="s">
        <v>2609</v>
      </c>
      <c r="I318" t="s">
        <v>2610</v>
      </c>
      <c r="J318" t="s">
        <v>1066</v>
      </c>
      <c r="N318" t="s">
        <v>1055</v>
      </c>
      <c r="O318" t="s">
        <v>1113</v>
      </c>
      <c r="P318" t="s">
        <v>1157</v>
      </c>
      <c r="Q318" t="s">
        <v>1088</v>
      </c>
      <c r="R318">
        <v>100</v>
      </c>
      <c r="W318">
        <v>100</v>
      </c>
      <c r="BV318" t="s">
        <v>1042</v>
      </c>
    </row>
    <row r="319" spans="1:74" x14ac:dyDescent="0.2">
      <c r="A319" t="s">
        <v>929</v>
      </c>
      <c r="B319" t="s">
        <v>2611</v>
      </c>
      <c r="C319" t="s">
        <v>913</v>
      </c>
      <c r="D319" t="s">
        <v>281</v>
      </c>
      <c r="E319" t="s">
        <v>1031</v>
      </c>
      <c r="F319" t="s">
        <v>2612</v>
      </c>
      <c r="G319" t="s">
        <v>1083</v>
      </c>
      <c r="H319" t="s">
        <v>2613</v>
      </c>
      <c r="I319" t="s">
        <v>2614</v>
      </c>
      <c r="J319" t="s">
        <v>1036</v>
      </c>
      <c r="K319" t="s">
        <v>1338</v>
      </c>
      <c r="N319" t="s">
        <v>1144</v>
      </c>
      <c r="O319" t="s">
        <v>1039</v>
      </c>
      <c r="P319" t="s">
        <v>2615</v>
      </c>
      <c r="Q319" t="s">
        <v>1088</v>
      </c>
      <c r="R319">
        <v>0</v>
      </c>
      <c r="W319">
        <v>0</v>
      </c>
      <c r="AI319" t="s">
        <v>548</v>
      </c>
      <c r="AN319">
        <v>193035</v>
      </c>
      <c r="AS319">
        <v>38607</v>
      </c>
      <c r="AX319">
        <v>38607</v>
      </c>
      <c r="BC319">
        <v>0</v>
      </c>
      <c r="BD319">
        <v>6.2400000000000004E-6</v>
      </c>
      <c r="BH319">
        <v>6.2400000000000004E-6</v>
      </c>
      <c r="BJ319">
        <v>1</v>
      </c>
      <c r="BK319" t="s">
        <v>1041</v>
      </c>
      <c r="BU319" t="s">
        <v>2616</v>
      </c>
      <c r="BV319" t="s">
        <v>1042</v>
      </c>
    </row>
    <row r="320" spans="1:74" x14ac:dyDescent="0.2">
      <c r="A320" t="s">
        <v>929</v>
      </c>
      <c r="B320" t="s">
        <v>2617</v>
      </c>
      <c r="C320" t="s">
        <v>913</v>
      </c>
      <c r="D320" t="s">
        <v>281</v>
      </c>
      <c r="E320" t="s">
        <v>1031</v>
      </c>
      <c r="F320" t="s">
        <v>2618</v>
      </c>
      <c r="G320" t="s">
        <v>1154</v>
      </c>
      <c r="H320" t="s">
        <v>2619</v>
      </c>
      <c r="I320" t="s">
        <v>2620</v>
      </c>
      <c r="J320" t="s">
        <v>1036</v>
      </c>
      <c r="K320" t="s">
        <v>1037</v>
      </c>
      <c r="L320" t="s">
        <v>548</v>
      </c>
      <c r="N320" t="s">
        <v>1203</v>
      </c>
      <c r="O320" t="s">
        <v>253</v>
      </c>
      <c r="P320" t="s">
        <v>2264</v>
      </c>
      <c r="Q320">
        <v>1</v>
      </c>
      <c r="R320">
        <v>90</v>
      </c>
      <c r="S320">
        <v>91</v>
      </c>
      <c r="T320">
        <v>92</v>
      </c>
      <c r="U320">
        <v>93</v>
      </c>
      <c r="V320">
        <v>94</v>
      </c>
      <c r="W320">
        <v>95</v>
      </c>
      <c r="AE320" t="s">
        <v>548</v>
      </c>
      <c r="AF320" t="s">
        <v>548</v>
      </c>
      <c r="AG320" t="s">
        <v>548</v>
      </c>
      <c r="AH320" t="s">
        <v>548</v>
      </c>
      <c r="AI320" t="s">
        <v>548</v>
      </c>
      <c r="AJ320">
        <v>75</v>
      </c>
      <c r="AK320">
        <v>75</v>
      </c>
      <c r="AL320">
        <v>75</v>
      </c>
      <c r="AM320">
        <v>75</v>
      </c>
      <c r="AN320">
        <v>75</v>
      </c>
      <c r="AO320">
        <v>91</v>
      </c>
      <c r="AP320">
        <v>92</v>
      </c>
      <c r="AQ320">
        <v>93</v>
      </c>
      <c r="AR320">
        <v>94</v>
      </c>
      <c r="AS320">
        <v>95</v>
      </c>
      <c r="AT320">
        <v>91</v>
      </c>
      <c r="AU320">
        <v>92</v>
      </c>
      <c r="AV320">
        <v>93</v>
      </c>
      <c r="AW320">
        <v>94</v>
      </c>
      <c r="AX320">
        <v>95</v>
      </c>
      <c r="AY320">
        <v>100</v>
      </c>
      <c r="AZ320">
        <v>100</v>
      </c>
      <c r="BA320">
        <v>100</v>
      </c>
      <c r="BB320">
        <v>100</v>
      </c>
      <c r="BC320">
        <v>100</v>
      </c>
      <c r="BD320">
        <v>4.2999999999999997E-2</v>
      </c>
      <c r="BH320">
        <v>4.2999999999999997E-2</v>
      </c>
      <c r="BJ320">
        <v>1</v>
      </c>
      <c r="BK320" t="s">
        <v>1041</v>
      </c>
      <c r="BU320" t="s">
        <v>2359</v>
      </c>
      <c r="BV320" t="s">
        <v>1042</v>
      </c>
    </row>
    <row r="321" spans="1:74" x14ac:dyDescent="0.2">
      <c r="A321" t="s">
        <v>929</v>
      </c>
      <c r="B321" t="s">
        <v>2621</v>
      </c>
      <c r="C321" t="s">
        <v>913</v>
      </c>
      <c r="D321" t="s">
        <v>281</v>
      </c>
      <c r="E321" t="s">
        <v>1031</v>
      </c>
      <c r="F321" t="s">
        <v>2622</v>
      </c>
      <c r="G321" t="s">
        <v>1174</v>
      </c>
      <c r="H321" t="s">
        <v>2623</v>
      </c>
      <c r="I321" t="s">
        <v>2624</v>
      </c>
      <c r="J321" t="s">
        <v>1066</v>
      </c>
      <c r="N321" t="s">
        <v>1061</v>
      </c>
      <c r="O321" t="s">
        <v>1039</v>
      </c>
      <c r="P321" t="s">
        <v>2625</v>
      </c>
      <c r="Q321" t="s">
        <v>1088</v>
      </c>
      <c r="R321">
        <v>0</v>
      </c>
      <c r="W321">
        <v>0</v>
      </c>
      <c r="BV321" t="s">
        <v>1042</v>
      </c>
    </row>
    <row r="322" spans="1:74" x14ac:dyDescent="0.2">
      <c r="A322" t="s">
        <v>929</v>
      </c>
      <c r="B322" t="s">
        <v>2626</v>
      </c>
      <c r="C322" t="s">
        <v>913</v>
      </c>
      <c r="D322" t="s">
        <v>281</v>
      </c>
      <c r="E322" t="s">
        <v>1031</v>
      </c>
      <c r="F322" t="s">
        <v>2622</v>
      </c>
      <c r="G322" t="s">
        <v>1180</v>
      </c>
      <c r="H322" t="s">
        <v>2627</v>
      </c>
      <c r="I322" t="s">
        <v>2628</v>
      </c>
      <c r="J322" t="s">
        <v>1047</v>
      </c>
      <c r="K322" t="s">
        <v>1338</v>
      </c>
      <c r="M322" t="s">
        <v>543</v>
      </c>
      <c r="N322" t="s">
        <v>1061</v>
      </c>
      <c r="O322" t="s">
        <v>1211</v>
      </c>
      <c r="P322" t="s">
        <v>2629</v>
      </c>
      <c r="Q322" t="s">
        <v>1041</v>
      </c>
      <c r="R322" t="s">
        <v>2630</v>
      </c>
      <c r="S322" t="s">
        <v>2630</v>
      </c>
      <c r="T322" t="s">
        <v>2630</v>
      </c>
      <c r="U322" t="s">
        <v>2630</v>
      </c>
      <c r="V322" t="s">
        <v>2630</v>
      </c>
      <c r="W322" t="s">
        <v>2630</v>
      </c>
      <c r="AI322" t="s">
        <v>548</v>
      </c>
      <c r="AJ322" t="s">
        <v>2631</v>
      </c>
      <c r="AK322" t="s">
        <v>2631</v>
      </c>
      <c r="AL322" t="s">
        <v>2631</v>
      </c>
      <c r="AM322" t="s">
        <v>2631</v>
      </c>
      <c r="AN322" t="s">
        <v>2631</v>
      </c>
      <c r="AO322" t="s">
        <v>2630</v>
      </c>
      <c r="AP322" t="s">
        <v>2630</v>
      </c>
      <c r="AQ322" t="s">
        <v>2630</v>
      </c>
      <c r="AR322" t="s">
        <v>2630</v>
      </c>
      <c r="AS322" t="s">
        <v>2630</v>
      </c>
      <c r="BD322">
        <v>1.054</v>
      </c>
      <c r="BJ322">
        <v>1</v>
      </c>
      <c r="BK322" t="s">
        <v>1041</v>
      </c>
      <c r="BU322" t="s">
        <v>2632</v>
      </c>
      <c r="BV322" t="s">
        <v>1042</v>
      </c>
    </row>
    <row r="323" spans="1:74" x14ac:dyDescent="0.2">
      <c r="A323" t="s">
        <v>929</v>
      </c>
      <c r="B323" t="s">
        <v>2633</v>
      </c>
      <c r="C323" t="s">
        <v>913</v>
      </c>
      <c r="D323" t="s">
        <v>281</v>
      </c>
      <c r="E323" t="s">
        <v>1031</v>
      </c>
      <c r="F323" t="s">
        <v>2622</v>
      </c>
      <c r="G323" t="s">
        <v>2634</v>
      </c>
      <c r="H323" t="s">
        <v>2635</v>
      </c>
      <c r="I323" t="s">
        <v>2636</v>
      </c>
      <c r="J323" t="s">
        <v>1066</v>
      </c>
      <c r="N323" t="s">
        <v>2372</v>
      </c>
      <c r="O323" t="s">
        <v>1039</v>
      </c>
      <c r="P323" t="s">
        <v>2637</v>
      </c>
      <c r="Q323" t="s">
        <v>1088</v>
      </c>
      <c r="R323">
        <v>4942</v>
      </c>
      <c r="W323">
        <v>8154</v>
      </c>
      <c r="BV323" t="s">
        <v>1042</v>
      </c>
    </row>
    <row r="324" spans="1:74" x14ac:dyDescent="0.2">
      <c r="A324" t="s">
        <v>929</v>
      </c>
      <c r="B324" t="s">
        <v>2638</v>
      </c>
      <c r="C324" t="s">
        <v>913</v>
      </c>
      <c r="D324" t="s">
        <v>281</v>
      </c>
      <c r="E324" t="s">
        <v>1031</v>
      </c>
      <c r="F324" t="s">
        <v>2622</v>
      </c>
      <c r="G324" t="s">
        <v>2639</v>
      </c>
      <c r="H324" t="s">
        <v>2640</v>
      </c>
      <c r="I324" t="s">
        <v>2641</v>
      </c>
      <c r="J324" t="s">
        <v>1066</v>
      </c>
      <c r="N324" t="s">
        <v>2372</v>
      </c>
      <c r="O324" t="s">
        <v>1039</v>
      </c>
      <c r="P324" t="s">
        <v>2642</v>
      </c>
      <c r="Q324" t="s">
        <v>1088</v>
      </c>
      <c r="R324">
        <v>650</v>
      </c>
      <c r="W324">
        <v>1400</v>
      </c>
      <c r="BV324" t="s">
        <v>1042</v>
      </c>
    </row>
    <row r="325" spans="1:74" x14ac:dyDescent="0.2">
      <c r="A325" t="s">
        <v>929</v>
      </c>
      <c r="B325" t="s">
        <v>2643</v>
      </c>
      <c r="C325" t="s">
        <v>913</v>
      </c>
      <c r="D325" t="s">
        <v>281</v>
      </c>
      <c r="E325" t="s">
        <v>1031</v>
      </c>
      <c r="F325" t="s">
        <v>2622</v>
      </c>
      <c r="G325" t="s">
        <v>2644</v>
      </c>
      <c r="H325" t="s">
        <v>2645</v>
      </c>
      <c r="I325" t="s">
        <v>2646</v>
      </c>
      <c r="J325" t="s">
        <v>1047</v>
      </c>
      <c r="K325" t="s">
        <v>1037</v>
      </c>
      <c r="L325" t="s">
        <v>548</v>
      </c>
      <c r="N325" t="s">
        <v>1261</v>
      </c>
      <c r="O325" t="s">
        <v>1039</v>
      </c>
      <c r="P325" t="s">
        <v>2239</v>
      </c>
      <c r="Q325" t="s">
        <v>1088</v>
      </c>
      <c r="R325">
        <v>0</v>
      </c>
      <c r="S325">
        <v>0</v>
      </c>
      <c r="T325">
        <v>0</v>
      </c>
      <c r="U325">
        <v>0</v>
      </c>
      <c r="V325">
        <v>0</v>
      </c>
      <c r="W325">
        <v>0</v>
      </c>
      <c r="AE325" t="s">
        <v>548</v>
      </c>
      <c r="AF325" t="s">
        <v>548</v>
      </c>
      <c r="AG325" t="s">
        <v>548</v>
      </c>
      <c r="AH325" t="s">
        <v>548</v>
      </c>
      <c r="AI325" t="s">
        <v>548</v>
      </c>
      <c r="AJ325">
        <v>2</v>
      </c>
      <c r="AK325">
        <v>2</v>
      </c>
      <c r="AL325">
        <v>2</v>
      </c>
      <c r="AM325">
        <v>2</v>
      </c>
      <c r="AN325">
        <v>2</v>
      </c>
      <c r="AO325">
        <v>0</v>
      </c>
      <c r="AP325">
        <v>0</v>
      </c>
      <c r="AQ325">
        <v>0</v>
      </c>
      <c r="AR325">
        <v>0</v>
      </c>
      <c r="AS325">
        <v>0</v>
      </c>
      <c r="BD325">
        <v>0.35599999999999998</v>
      </c>
      <c r="BJ325">
        <v>1</v>
      </c>
      <c r="BK325" t="s">
        <v>1041</v>
      </c>
      <c r="BU325" t="s">
        <v>2359</v>
      </c>
      <c r="BV325" t="s">
        <v>1042</v>
      </c>
    </row>
    <row r="326" spans="1:74" x14ac:dyDescent="0.2">
      <c r="A326" t="s">
        <v>929</v>
      </c>
      <c r="B326" t="s">
        <v>2647</v>
      </c>
      <c r="C326" t="s">
        <v>913</v>
      </c>
      <c r="D326" t="s">
        <v>281</v>
      </c>
      <c r="E326" t="s">
        <v>1031</v>
      </c>
      <c r="F326" t="s">
        <v>2622</v>
      </c>
      <c r="G326" t="s">
        <v>2648</v>
      </c>
      <c r="H326" t="s">
        <v>2649</v>
      </c>
      <c r="I326" t="s">
        <v>2650</v>
      </c>
      <c r="J326" t="s">
        <v>1047</v>
      </c>
      <c r="K326" t="s">
        <v>1037</v>
      </c>
      <c r="L326" t="s">
        <v>548</v>
      </c>
      <c r="N326" t="s">
        <v>1261</v>
      </c>
      <c r="O326" t="s">
        <v>1039</v>
      </c>
      <c r="P326" t="s">
        <v>2651</v>
      </c>
      <c r="Q326" t="s">
        <v>1088</v>
      </c>
      <c r="R326">
        <v>2</v>
      </c>
      <c r="S326">
        <v>2</v>
      </c>
      <c r="T326">
        <v>2</v>
      </c>
      <c r="U326">
        <v>2</v>
      </c>
      <c r="V326">
        <v>2</v>
      </c>
      <c r="W326">
        <v>2</v>
      </c>
      <c r="AA326" t="s">
        <v>548</v>
      </c>
      <c r="AE326" t="s">
        <v>548</v>
      </c>
      <c r="AF326" t="s">
        <v>548</v>
      </c>
      <c r="AG326" t="s">
        <v>548</v>
      </c>
      <c r="AH326" t="s">
        <v>548</v>
      </c>
      <c r="AI326" t="s">
        <v>548</v>
      </c>
      <c r="AJ326">
        <v>4</v>
      </c>
      <c r="AK326">
        <v>4</v>
      </c>
      <c r="AL326">
        <v>4</v>
      </c>
      <c r="AM326">
        <v>4</v>
      </c>
      <c r="AN326">
        <v>4</v>
      </c>
      <c r="AO326">
        <v>2</v>
      </c>
      <c r="AP326">
        <v>2</v>
      </c>
      <c r="AQ326">
        <v>2</v>
      </c>
      <c r="AR326">
        <v>2</v>
      </c>
      <c r="AS326">
        <v>2</v>
      </c>
      <c r="BD326">
        <v>1.0999999999999999E-2</v>
      </c>
      <c r="BJ326">
        <v>1</v>
      </c>
      <c r="BK326" t="s">
        <v>1041</v>
      </c>
      <c r="BU326" t="s">
        <v>2359</v>
      </c>
      <c r="BV326" t="s">
        <v>1010</v>
      </c>
    </row>
    <row r="327" spans="1:74" x14ac:dyDescent="0.2">
      <c r="A327" t="s">
        <v>929</v>
      </c>
      <c r="B327" t="s">
        <v>2652</v>
      </c>
      <c r="C327" t="s">
        <v>913</v>
      </c>
      <c r="D327" t="s">
        <v>281</v>
      </c>
      <c r="E327" t="s">
        <v>1031</v>
      </c>
      <c r="F327" t="s">
        <v>2622</v>
      </c>
      <c r="G327" t="s">
        <v>2653</v>
      </c>
      <c r="H327" t="s">
        <v>2654</v>
      </c>
      <c r="I327" t="s">
        <v>2655</v>
      </c>
      <c r="J327" t="s">
        <v>1066</v>
      </c>
      <c r="N327" t="s">
        <v>1191</v>
      </c>
      <c r="O327" t="s">
        <v>1039</v>
      </c>
      <c r="P327" t="s">
        <v>1631</v>
      </c>
      <c r="Q327">
        <v>1</v>
      </c>
      <c r="R327">
        <v>49.5</v>
      </c>
      <c r="W327">
        <v>48</v>
      </c>
      <c r="BV327" t="s">
        <v>1042</v>
      </c>
    </row>
    <row r="328" spans="1:74" x14ac:dyDescent="0.2">
      <c r="A328" t="s">
        <v>929</v>
      </c>
      <c r="B328" t="s">
        <v>2656</v>
      </c>
      <c r="C328" t="s">
        <v>913</v>
      </c>
      <c r="D328" t="s">
        <v>281</v>
      </c>
      <c r="E328" t="s">
        <v>1031</v>
      </c>
      <c r="F328" t="s">
        <v>2622</v>
      </c>
      <c r="G328" t="s">
        <v>2657</v>
      </c>
      <c r="H328" t="s">
        <v>2658</v>
      </c>
      <c r="I328" t="s">
        <v>2659</v>
      </c>
      <c r="J328" t="s">
        <v>1066</v>
      </c>
      <c r="N328" t="s">
        <v>1191</v>
      </c>
      <c r="O328" t="s">
        <v>253</v>
      </c>
      <c r="P328" t="s">
        <v>2221</v>
      </c>
      <c r="Q328">
        <v>2</v>
      </c>
      <c r="R328">
        <v>8.36</v>
      </c>
      <c r="W328">
        <v>12.2</v>
      </c>
      <c r="BV328" t="s">
        <v>1042</v>
      </c>
    </row>
    <row r="329" spans="1:74" x14ac:dyDescent="0.2">
      <c r="A329" t="s">
        <v>929</v>
      </c>
      <c r="B329" t="s">
        <v>2660</v>
      </c>
      <c r="C329" t="s">
        <v>913</v>
      </c>
      <c r="D329" t="s">
        <v>281</v>
      </c>
      <c r="E329" t="s">
        <v>1031</v>
      </c>
      <c r="F329" t="s">
        <v>2661</v>
      </c>
      <c r="G329" t="s">
        <v>1188</v>
      </c>
      <c r="H329" t="s">
        <v>2662</v>
      </c>
      <c r="I329" t="s">
        <v>2663</v>
      </c>
      <c r="J329" t="s">
        <v>1047</v>
      </c>
      <c r="K329" t="s">
        <v>1338</v>
      </c>
      <c r="N329" t="s">
        <v>1386</v>
      </c>
      <c r="O329" t="s">
        <v>253</v>
      </c>
      <c r="P329" t="s">
        <v>2664</v>
      </c>
      <c r="Q329">
        <v>1</v>
      </c>
      <c r="R329">
        <v>79</v>
      </c>
      <c r="S329">
        <v>80.400000000000006</v>
      </c>
      <c r="T329">
        <v>81.599999999999994</v>
      </c>
      <c r="U329">
        <v>82.8</v>
      </c>
      <c r="V329">
        <v>83.8</v>
      </c>
      <c r="W329">
        <v>84.7</v>
      </c>
      <c r="AE329" t="s">
        <v>548</v>
      </c>
      <c r="AF329" t="s">
        <v>548</v>
      </c>
      <c r="AG329" t="s">
        <v>548</v>
      </c>
      <c r="AH329" t="s">
        <v>548</v>
      </c>
      <c r="AI329" t="s">
        <v>548</v>
      </c>
      <c r="AJ329">
        <v>79</v>
      </c>
      <c r="AK329">
        <v>79</v>
      </c>
      <c r="AL329">
        <v>79</v>
      </c>
      <c r="AM329">
        <v>79</v>
      </c>
      <c r="AN329">
        <v>79</v>
      </c>
      <c r="AO329">
        <v>79.400000000000006</v>
      </c>
      <c r="AP329">
        <v>80.599999999999994</v>
      </c>
      <c r="AQ329">
        <v>81.8</v>
      </c>
      <c r="AR329">
        <v>82.8</v>
      </c>
      <c r="AS329">
        <v>83.7</v>
      </c>
      <c r="BD329">
        <v>0.71199999999999997</v>
      </c>
      <c r="BJ329">
        <v>1</v>
      </c>
      <c r="BK329" t="s">
        <v>1041</v>
      </c>
      <c r="BU329" t="s">
        <v>2665</v>
      </c>
      <c r="BV329" t="s">
        <v>1042</v>
      </c>
    </row>
    <row r="330" spans="1:74" x14ac:dyDescent="0.2">
      <c r="A330" t="s">
        <v>929</v>
      </c>
      <c r="B330" t="s">
        <v>2666</v>
      </c>
      <c r="C330" t="s">
        <v>913</v>
      </c>
      <c r="D330" t="s">
        <v>282</v>
      </c>
      <c r="E330" t="s">
        <v>1227</v>
      </c>
      <c r="F330" t="s">
        <v>2667</v>
      </c>
      <c r="G330" t="s">
        <v>1636</v>
      </c>
      <c r="H330" t="s">
        <v>2668</v>
      </c>
      <c r="I330" t="s">
        <v>2669</v>
      </c>
      <c r="J330" t="s">
        <v>1036</v>
      </c>
      <c r="K330" t="s">
        <v>1338</v>
      </c>
      <c r="N330" t="s">
        <v>1231</v>
      </c>
      <c r="O330" t="s">
        <v>1039</v>
      </c>
      <c r="P330" t="s">
        <v>2196</v>
      </c>
      <c r="Q330" t="s">
        <v>1088</v>
      </c>
      <c r="R330">
        <v>157</v>
      </c>
      <c r="S330">
        <v>153</v>
      </c>
      <c r="T330">
        <v>148</v>
      </c>
      <c r="U330">
        <v>144</v>
      </c>
      <c r="V330">
        <v>139</v>
      </c>
      <c r="W330">
        <v>135</v>
      </c>
      <c r="AB330" t="s">
        <v>548</v>
      </c>
      <c r="AE330" t="s">
        <v>548</v>
      </c>
      <c r="AF330" t="s">
        <v>548</v>
      </c>
      <c r="AG330" t="s">
        <v>548</v>
      </c>
      <c r="AH330" t="s">
        <v>548</v>
      </c>
      <c r="AI330" t="s">
        <v>548</v>
      </c>
      <c r="AJ330">
        <v>212</v>
      </c>
      <c r="AK330">
        <v>212</v>
      </c>
      <c r="AL330">
        <v>212</v>
      </c>
      <c r="AM330">
        <v>212</v>
      </c>
      <c r="AN330">
        <v>212</v>
      </c>
      <c r="AO330">
        <v>193</v>
      </c>
      <c r="AP330">
        <v>188</v>
      </c>
      <c r="AQ330">
        <v>184</v>
      </c>
      <c r="AR330">
        <v>179</v>
      </c>
      <c r="AS330">
        <v>175</v>
      </c>
      <c r="AT330">
        <v>153</v>
      </c>
      <c r="AU330">
        <v>148</v>
      </c>
      <c r="AV330">
        <v>144</v>
      </c>
      <c r="AW330">
        <v>139</v>
      </c>
      <c r="AX330">
        <v>135</v>
      </c>
      <c r="AY330">
        <v>107</v>
      </c>
      <c r="AZ330">
        <v>107</v>
      </c>
      <c r="BA330">
        <v>107</v>
      </c>
      <c r="BB330">
        <v>107</v>
      </c>
      <c r="BC330">
        <v>107</v>
      </c>
      <c r="BD330">
        <v>8.8999999999999996E-2</v>
      </c>
      <c r="BH330">
        <v>6.8000000000000005E-2</v>
      </c>
      <c r="BJ330">
        <v>1</v>
      </c>
      <c r="BK330" t="s">
        <v>1041</v>
      </c>
      <c r="BV330" t="s">
        <v>1011</v>
      </c>
    </row>
    <row r="331" spans="1:74" x14ac:dyDescent="0.2">
      <c r="A331" t="s">
        <v>929</v>
      </c>
      <c r="B331" t="s">
        <v>2670</v>
      </c>
      <c r="C331" t="s">
        <v>913</v>
      </c>
      <c r="D331" t="s">
        <v>282</v>
      </c>
      <c r="E331" t="s">
        <v>1227</v>
      </c>
      <c r="F331" t="s">
        <v>2667</v>
      </c>
      <c r="G331" t="s">
        <v>1228</v>
      </c>
      <c r="H331" t="s">
        <v>2671</v>
      </c>
      <c r="I331" t="s">
        <v>2672</v>
      </c>
      <c r="J331" t="s">
        <v>1036</v>
      </c>
      <c r="K331" t="s">
        <v>1338</v>
      </c>
      <c r="N331" t="s">
        <v>1231</v>
      </c>
      <c r="O331" t="s">
        <v>1039</v>
      </c>
      <c r="P331" t="s">
        <v>2201</v>
      </c>
      <c r="Q331" t="s">
        <v>1088</v>
      </c>
      <c r="R331">
        <v>3500</v>
      </c>
      <c r="S331">
        <v>3440</v>
      </c>
      <c r="T331">
        <v>3380</v>
      </c>
      <c r="U331">
        <v>3320</v>
      </c>
      <c r="V331">
        <v>3260</v>
      </c>
      <c r="W331">
        <v>3200</v>
      </c>
      <c r="AE331" t="s">
        <v>548</v>
      </c>
      <c r="AF331" t="s">
        <v>548</v>
      </c>
      <c r="AG331" t="s">
        <v>548</v>
      </c>
      <c r="AH331" t="s">
        <v>548</v>
      </c>
      <c r="AI331" t="s">
        <v>548</v>
      </c>
      <c r="AJ331">
        <v>3800</v>
      </c>
      <c r="AK331">
        <v>3800</v>
      </c>
      <c r="AL331">
        <v>3800</v>
      </c>
      <c r="AM331">
        <v>3800</v>
      </c>
      <c r="AN331">
        <v>3800</v>
      </c>
      <c r="AO331">
        <v>3490</v>
      </c>
      <c r="AP331">
        <v>3430</v>
      </c>
      <c r="AQ331">
        <v>3370</v>
      </c>
      <c r="AR331">
        <v>3310</v>
      </c>
      <c r="AS331">
        <v>3250</v>
      </c>
      <c r="AT331">
        <v>3390</v>
      </c>
      <c r="AU331">
        <v>3330</v>
      </c>
      <c r="AV331">
        <v>3270</v>
      </c>
      <c r="AW331">
        <v>3210</v>
      </c>
      <c r="AX331">
        <v>3150</v>
      </c>
      <c r="AY331">
        <v>3150</v>
      </c>
      <c r="AZ331">
        <v>3150</v>
      </c>
      <c r="BA331">
        <v>3150</v>
      </c>
      <c r="BB331">
        <v>3150</v>
      </c>
      <c r="BC331">
        <v>3150</v>
      </c>
      <c r="BD331">
        <v>1E-3</v>
      </c>
      <c r="BE331">
        <v>4.0000000000000001E-3</v>
      </c>
      <c r="BH331">
        <v>2.3E-3</v>
      </c>
      <c r="BJ331">
        <v>1</v>
      </c>
      <c r="BK331" t="s">
        <v>1041</v>
      </c>
      <c r="BV331" t="s">
        <v>1042</v>
      </c>
    </row>
    <row r="332" spans="1:74" x14ac:dyDescent="0.2">
      <c r="A332" t="s">
        <v>929</v>
      </c>
      <c r="B332" t="s">
        <v>2673</v>
      </c>
      <c r="C332" t="s">
        <v>913</v>
      </c>
      <c r="D332" t="s">
        <v>282</v>
      </c>
      <c r="E332" t="s">
        <v>1227</v>
      </c>
      <c r="F332" t="s">
        <v>2667</v>
      </c>
      <c r="G332" t="s">
        <v>1234</v>
      </c>
      <c r="H332" t="s">
        <v>2674</v>
      </c>
      <c r="I332" t="s">
        <v>2675</v>
      </c>
      <c r="J332" t="s">
        <v>1036</v>
      </c>
      <c r="K332" t="s">
        <v>1338</v>
      </c>
      <c r="N332" t="s">
        <v>2210</v>
      </c>
      <c r="O332" t="s">
        <v>1039</v>
      </c>
      <c r="P332" t="s">
        <v>2676</v>
      </c>
      <c r="Q332" t="s">
        <v>1088</v>
      </c>
      <c r="R332">
        <v>410</v>
      </c>
      <c r="S332">
        <v>388</v>
      </c>
      <c r="T332">
        <v>366</v>
      </c>
      <c r="U332">
        <v>344</v>
      </c>
      <c r="V332">
        <v>322</v>
      </c>
      <c r="W332">
        <v>300</v>
      </c>
      <c r="AE332" t="s">
        <v>548</v>
      </c>
      <c r="AF332" t="s">
        <v>548</v>
      </c>
      <c r="AG332" t="s">
        <v>548</v>
      </c>
      <c r="AH332" t="s">
        <v>548</v>
      </c>
      <c r="AI332" t="s">
        <v>548</v>
      </c>
      <c r="AJ332">
        <v>500</v>
      </c>
      <c r="AK332">
        <v>500</v>
      </c>
      <c r="AL332">
        <v>500</v>
      </c>
      <c r="AM332">
        <v>500</v>
      </c>
      <c r="AN332">
        <v>500</v>
      </c>
      <c r="AO332">
        <v>388</v>
      </c>
      <c r="AP332">
        <v>366</v>
      </c>
      <c r="AQ332">
        <v>344</v>
      </c>
      <c r="AR332">
        <v>322</v>
      </c>
      <c r="AS332">
        <v>300</v>
      </c>
      <c r="AT332">
        <v>388</v>
      </c>
      <c r="AU332">
        <v>366</v>
      </c>
      <c r="AV332">
        <v>344</v>
      </c>
      <c r="AW332">
        <v>322</v>
      </c>
      <c r="AX332">
        <v>300</v>
      </c>
      <c r="AY332">
        <v>0</v>
      </c>
      <c r="AZ332">
        <v>0</v>
      </c>
      <c r="BA332">
        <v>0</v>
      </c>
      <c r="BB332">
        <v>0</v>
      </c>
      <c r="BC332">
        <v>0</v>
      </c>
      <c r="BD332">
        <v>5.3E-3</v>
      </c>
      <c r="BE332">
        <v>3.5999999999999999E-3</v>
      </c>
      <c r="BH332">
        <v>2.2000000000000001E-3</v>
      </c>
      <c r="BJ332">
        <v>1</v>
      </c>
      <c r="BK332" t="s">
        <v>1041</v>
      </c>
      <c r="BV332" t="s">
        <v>1042</v>
      </c>
    </row>
    <row r="333" spans="1:74" x14ac:dyDescent="0.2">
      <c r="A333" t="s">
        <v>929</v>
      </c>
      <c r="B333" t="s">
        <v>2677</v>
      </c>
      <c r="C333" t="s">
        <v>913</v>
      </c>
      <c r="D333" t="s">
        <v>282</v>
      </c>
      <c r="E333" t="s">
        <v>1227</v>
      </c>
      <c r="F333" t="s">
        <v>2667</v>
      </c>
      <c r="G333" t="s">
        <v>1239</v>
      </c>
      <c r="H333" t="s">
        <v>2678</v>
      </c>
      <c r="I333" t="s">
        <v>2679</v>
      </c>
      <c r="J333" t="s">
        <v>1047</v>
      </c>
      <c r="K333" t="s">
        <v>1338</v>
      </c>
      <c r="M333" t="s">
        <v>543</v>
      </c>
      <c r="N333" t="s">
        <v>1285</v>
      </c>
      <c r="O333" t="s">
        <v>1211</v>
      </c>
      <c r="P333" t="s">
        <v>1339</v>
      </c>
      <c r="Q333" t="s">
        <v>1041</v>
      </c>
      <c r="R333" t="s">
        <v>1213</v>
      </c>
      <c r="S333" t="s">
        <v>1213</v>
      </c>
      <c r="T333" t="s">
        <v>1213</v>
      </c>
      <c r="U333" t="s">
        <v>1213</v>
      </c>
      <c r="V333" t="s">
        <v>1213</v>
      </c>
      <c r="W333" t="s">
        <v>1213</v>
      </c>
      <c r="AE333" t="s">
        <v>548</v>
      </c>
      <c r="AF333" t="s">
        <v>548</v>
      </c>
      <c r="AG333" t="s">
        <v>548</v>
      </c>
      <c r="AH333" t="s">
        <v>548</v>
      </c>
      <c r="AI333" t="s">
        <v>548</v>
      </c>
      <c r="AJ333" t="s">
        <v>1340</v>
      </c>
      <c r="AK333" t="s">
        <v>1340</v>
      </c>
      <c r="AL333" t="s">
        <v>1340</v>
      </c>
      <c r="AM333" t="s">
        <v>1340</v>
      </c>
      <c r="AN333" t="s">
        <v>1340</v>
      </c>
      <c r="AO333" t="s">
        <v>1341</v>
      </c>
      <c r="AP333" t="s">
        <v>1341</v>
      </c>
      <c r="AQ333" t="s">
        <v>1341</v>
      </c>
      <c r="AR333" t="s">
        <v>1341</v>
      </c>
      <c r="AS333" t="s">
        <v>1341</v>
      </c>
      <c r="BD333">
        <v>0.68799999999999994</v>
      </c>
      <c r="BJ333">
        <v>1</v>
      </c>
      <c r="BK333" t="s">
        <v>1041</v>
      </c>
      <c r="BU333" t="s">
        <v>2680</v>
      </c>
      <c r="BV333" t="s">
        <v>1042</v>
      </c>
    </row>
    <row r="334" spans="1:74" x14ac:dyDescent="0.2">
      <c r="A334" t="s">
        <v>929</v>
      </c>
      <c r="B334" t="s">
        <v>2681</v>
      </c>
      <c r="C334" t="s">
        <v>913</v>
      </c>
      <c r="D334" t="s">
        <v>282</v>
      </c>
      <c r="E334" t="s">
        <v>1227</v>
      </c>
      <c r="F334" t="s">
        <v>2667</v>
      </c>
      <c r="G334" t="s">
        <v>2499</v>
      </c>
      <c r="H334" t="s">
        <v>2682</v>
      </c>
      <c r="I334" t="s">
        <v>2683</v>
      </c>
      <c r="J334" t="s">
        <v>1047</v>
      </c>
      <c r="K334" t="s">
        <v>1338</v>
      </c>
      <c r="M334" t="s">
        <v>543</v>
      </c>
      <c r="N334" t="s">
        <v>1285</v>
      </c>
      <c r="O334" t="s">
        <v>1211</v>
      </c>
      <c r="P334" t="s">
        <v>1339</v>
      </c>
      <c r="Q334" t="s">
        <v>1041</v>
      </c>
      <c r="R334" t="s">
        <v>1213</v>
      </c>
      <c r="S334" t="s">
        <v>1213</v>
      </c>
      <c r="T334" t="s">
        <v>1213</v>
      </c>
      <c r="U334" t="s">
        <v>1213</v>
      </c>
      <c r="V334" t="s">
        <v>1213</v>
      </c>
      <c r="W334" t="s">
        <v>1213</v>
      </c>
      <c r="AE334" t="s">
        <v>548</v>
      </c>
      <c r="AF334" t="s">
        <v>548</v>
      </c>
      <c r="AG334" t="s">
        <v>548</v>
      </c>
      <c r="AH334" t="s">
        <v>548</v>
      </c>
      <c r="AI334" t="s">
        <v>548</v>
      </c>
      <c r="AJ334" t="s">
        <v>1340</v>
      </c>
      <c r="AK334" t="s">
        <v>1340</v>
      </c>
      <c r="AL334" t="s">
        <v>1340</v>
      </c>
      <c r="AM334" t="s">
        <v>1340</v>
      </c>
      <c r="AN334" t="s">
        <v>1340</v>
      </c>
      <c r="AO334" t="s">
        <v>1341</v>
      </c>
      <c r="AP334" t="s">
        <v>1341</v>
      </c>
      <c r="AQ334" t="s">
        <v>1341</v>
      </c>
      <c r="AR334" t="s">
        <v>1341</v>
      </c>
      <c r="AS334" t="s">
        <v>1341</v>
      </c>
      <c r="BD334">
        <v>1.359</v>
      </c>
      <c r="BJ334">
        <v>1</v>
      </c>
      <c r="BK334" t="s">
        <v>1041</v>
      </c>
      <c r="BU334" t="s">
        <v>2684</v>
      </c>
      <c r="BV334" t="s">
        <v>1042</v>
      </c>
    </row>
    <row r="335" spans="1:74" x14ac:dyDescent="0.2">
      <c r="A335" t="s">
        <v>929</v>
      </c>
      <c r="B335" t="s">
        <v>2685</v>
      </c>
      <c r="C335" t="s">
        <v>913</v>
      </c>
      <c r="D335" t="s">
        <v>282</v>
      </c>
      <c r="E335" t="s">
        <v>1227</v>
      </c>
      <c r="F335" t="s">
        <v>2667</v>
      </c>
      <c r="G335" t="s">
        <v>2686</v>
      </c>
      <c r="H335" t="s">
        <v>2687</v>
      </c>
      <c r="I335" t="s">
        <v>2688</v>
      </c>
      <c r="J335" t="s">
        <v>1066</v>
      </c>
      <c r="N335" t="s">
        <v>678</v>
      </c>
      <c r="O335" t="s">
        <v>253</v>
      </c>
      <c r="P335" t="s">
        <v>2689</v>
      </c>
      <c r="Q335" t="s">
        <v>1041</v>
      </c>
      <c r="R335">
        <v>100</v>
      </c>
      <c r="S335">
        <v>100</v>
      </c>
      <c r="T335">
        <v>100</v>
      </c>
      <c r="U335">
        <v>100</v>
      </c>
      <c r="V335">
        <v>100</v>
      </c>
      <c r="W335">
        <v>100</v>
      </c>
      <c r="BV335" t="s">
        <v>1042</v>
      </c>
    </row>
    <row r="336" spans="1:74" x14ac:dyDescent="0.2">
      <c r="A336" t="s">
        <v>929</v>
      </c>
      <c r="B336" t="s">
        <v>2690</v>
      </c>
      <c r="C336" t="s">
        <v>913</v>
      </c>
      <c r="D336" t="s">
        <v>282</v>
      </c>
      <c r="E336" t="s">
        <v>1227</v>
      </c>
      <c r="F336" t="s">
        <v>2618</v>
      </c>
      <c r="G336" t="s">
        <v>1245</v>
      </c>
      <c r="H336" t="s">
        <v>2691</v>
      </c>
      <c r="I336" t="s">
        <v>2692</v>
      </c>
      <c r="J336" t="s">
        <v>1036</v>
      </c>
      <c r="K336" t="s">
        <v>1037</v>
      </c>
      <c r="L336" t="s">
        <v>548</v>
      </c>
      <c r="N336" t="s">
        <v>1203</v>
      </c>
      <c r="O336" t="s">
        <v>253</v>
      </c>
      <c r="P336" t="s">
        <v>2264</v>
      </c>
      <c r="Q336">
        <v>1</v>
      </c>
      <c r="R336">
        <v>90</v>
      </c>
      <c r="S336">
        <v>91</v>
      </c>
      <c r="T336">
        <v>92</v>
      </c>
      <c r="U336">
        <v>93</v>
      </c>
      <c r="V336">
        <v>94</v>
      </c>
      <c r="W336">
        <v>95</v>
      </c>
      <c r="AE336" t="s">
        <v>548</v>
      </c>
      <c r="AF336" t="s">
        <v>548</v>
      </c>
      <c r="AG336" t="s">
        <v>548</v>
      </c>
      <c r="AH336" t="s">
        <v>548</v>
      </c>
      <c r="AI336" t="s">
        <v>548</v>
      </c>
      <c r="AJ336">
        <v>75</v>
      </c>
      <c r="AK336">
        <v>75</v>
      </c>
      <c r="AL336">
        <v>75</v>
      </c>
      <c r="AM336">
        <v>75</v>
      </c>
      <c r="AN336">
        <v>75</v>
      </c>
      <c r="AO336">
        <v>91</v>
      </c>
      <c r="AP336">
        <v>92</v>
      </c>
      <c r="AQ336">
        <v>93</v>
      </c>
      <c r="AR336">
        <v>94</v>
      </c>
      <c r="AS336">
        <v>95</v>
      </c>
      <c r="AT336">
        <v>91</v>
      </c>
      <c r="AU336">
        <v>92</v>
      </c>
      <c r="AV336">
        <v>93</v>
      </c>
      <c r="AW336">
        <v>94</v>
      </c>
      <c r="AX336">
        <v>95</v>
      </c>
      <c r="AY336">
        <v>100</v>
      </c>
      <c r="AZ336">
        <v>100</v>
      </c>
      <c r="BA336">
        <v>100</v>
      </c>
      <c r="BB336">
        <v>100</v>
      </c>
      <c r="BC336">
        <v>100</v>
      </c>
      <c r="BD336">
        <v>5.0999999999999997E-2</v>
      </c>
      <c r="BH336">
        <v>4.2000000000000003E-2</v>
      </c>
      <c r="BJ336">
        <v>1</v>
      </c>
      <c r="BK336" t="s">
        <v>1041</v>
      </c>
      <c r="BU336" t="s">
        <v>2359</v>
      </c>
      <c r="BV336" t="s">
        <v>1042</v>
      </c>
    </row>
    <row r="337" spans="1:74" x14ac:dyDescent="0.2">
      <c r="A337" t="s">
        <v>929</v>
      </c>
      <c r="B337" t="s">
        <v>2693</v>
      </c>
      <c r="C337" t="s">
        <v>913</v>
      </c>
      <c r="D337" t="s">
        <v>282</v>
      </c>
      <c r="E337" t="s">
        <v>1227</v>
      </c>
      <c r="F337" t="s">
        <v>2622</v>
      </c>
      <c r="G337" t="s">
        <v>1249</v>
      </c>
      <c r="H337" t="s">
        <v>2694</v>
      </c>
      <c r="I337" t="s">
        <v>2695</v>
      </c>
      <c r="J337" t="s">
        <v>1047</v>
      </c>
      <c r="K337" t="s">
        <v>1037</v>
      </c>
      <c r="M337" t="s">
        <v>543</v>
      </c>
      <c r="N337" t="s">
        <v>1183</v>
      </c>
      <c r="O337" t="s">
        <v>253</v>
      </c>
      <c r="P337" t="s">
        <v>2696</v>
      </c>
      <c r="Q337">
        <v>1</v>
      </c>
      <c r="R337">
        <v>97.5</v>
      </c>
      <c r="S337">
        <v>98</v>
      </c>
      <c r="U337">
        <v>99</v>
      </c>
      <c r="W337">
        <v>100</v>
      </c>
      <c r="AI337" t="s">
        <v>548</v>
      </c>
      <c r="AN337">
        <v>80</v>
      </c>
      <c r="AS337">
        <v>99</v>
      </c>
      <c r="BD337">
        <v>1.4E-2</v>
      </c>
      <c r="BE337">
        <v>0.29599999999999999</v>
      </c>
      <c r="BJ337">
        <v>1</v>
      </c>
      <c r="BK337" t="s">
        <v>1041</v>
      </c>
      <c r="BU337" t="s">
        <v>2697</v>
      </c>
      <c r="BV337" t="s">
        <v>1042</v>
      </c>
    </row>
    <row r="338" spans="1:74" x14ac:dyDescent="0.2">
      <c r="A338" t="s">
        <v>929</v>
      </c>
      <c r="B338" t="s">
        <v>2698</v>
      </c>
      <c r="C338" t="s">
        <v>913</v>
      </c>
      <c r="D338" t="s">
        <v>282</v>
      </c>
      <c r="E338" t="s">
        <v>1227</v>
      </c>
      <c r="F338" t="s">
        <v>2622</v>
      </c>
      <c r="G338" t="s">
        <v>1254</v>
      </c>
      <c r="H338" t="s">
        <v>2699</v>
      </c>
      <c r="I338" t="s">
        <v>2700</v>
      </c>
      <c r="J338" t="s">
        <v>1066</v>
      </c>
      <c r="N338" t="s">
        <v>1183</v>
      </c>
      <c r="O338" t="s">
        <v>253</v>
      </c>
      <c r="P338" t="s">
        <v>2701</v>
      </c>
      <c r="Q338">
        <v>1</v>
      </c>
      <c r="R338">
        <v>99.9</v>
      </c>
      <c r="W338">
        <v>100</v>
      </c>
      <c r="BV338" t="s">
        <v>1042</v>
      </c>
    </row>
    <row r="339" spans="1:74" x14ac:dyDescent="0.2">
      <c r="A339" t="s">
        <v>929</v>
      </c>
      <c r="B339" t="s">
        <v>2702</v>
      </c>
      <c r="C339" t="s">
        <v>913</v>
      </c>
      <c r="D339" t="s">
        <v>282</v>
      </c>
      <c r="E339" t="s">
        <v>1227</v>
      </c>
      <c r="F339" t="s">
        <v>2622</v>
      </c>
      <c r="G339" t="s">
        <v>1258</v>
      </c>
      <c r="H339" t="s">
        <v>2703</v>
      </c>
      <c r="I339" t="s">
        <v>2704</v>
      </c>
      <c r="J339" t="s">
        <v>1047</v>
      </c>
      <c r="K339" t="s">
        <v>1037</v>
      </c>
      <c r="L339" t="s">
        <v>548</v>
      </c>
      <c r="M339" t="s">
        <v>543</v>
      </c>
      <c r="N339" t="s">
        <v>1183</v>
      </c>
      <c r="O339" t="s">
        <v>253</v>
      </c>
      <c r="P339" t="s">
        <v>2705</v>
      </c>
      <c r="Q339">
        <v>1</v>
      </c>
      <c r="R339">
        <v>95</v>
      </c>
      <c r="S339">
        <v>100</v>
      </c>
      <c r="T339">
        <v>100</v>
      </c>
      <c r="U339">
        <v>100</v>
      </c>
      <c r="V339">
        <v>100</v>
      </c>
      <c r="W339">
        <v>100</v>
      </c>
      <c r="AE339" t="s">
        <v>548</v>
      </c>
      <c r="AF339" t="s">
        <v>548</v>
      </c>
      <c r="AG339" t="s">
        <v>548</v>
      </c>
      <c r="AH339" t="s">
        <v>548</v>
      </c>
      <c r="AI339" t="s">
        <v>548</v>
      </c>
      <c r="AJ339" t="s">
        <v>2706</v>
      </c>
      <c r="AK339" t="s">
        <v>2706</v>
      </c>
      <c r="AL339" t="s">
        <v>2706</v>
      </c>
      <c r="AM339" t="s">
        <v>2706</v>
      </c>
      <c r="AN339" t="s">
        <v>2706</v>
      </c>
      <c r="AO339">
        <v>95</v>
      </c>
      <c r="AP339">
        <v>95</v>
      </c>
      <c r="AQ339">
        <v>95</v>
      </c>
      <c r="AR339">
        <v>95</v>
      </c>
      <c r="AS339">
        <v>95</v>
      </c>
      <c r="BD339">
        <v>0.25</v>
      </c>
      <c r="BJ339">
        <v>1</v>
      </c>
      <c r="BK339" t="s">
        <v>1041</v>
      </c>
      <c r="BU339" t="s">
        <v>2359</v>
      </c>
      <c r="BV339" t="s">
        <v>1042</v>
      </c>
    </row>
    <row r="340" spans="1:74" x14ac:dyDescent="0.2">
      <c r="A340" t="s">
        <v>929</v>
      </c>
      <c r="B340" t="s">
        <v>2707</v>
      </c>
      <c r="C340" t="s">
        <v>913</v>
      </c>
      <c r="D340" t="s">
        <v>282</v>
      </c>
      <c r="E340" t="s">
        <v>1227</v>
      </c>
      <c r="F340" t="s">
        <v>2622</v>
      </c>
      <c r="G340" t="s">
        <v>1264</v>
      </c>
      <c r="H340" t="s">
        <v>2708</v>
      </c>
      <c r="I340" t="s">
        <v>2709</v>
      </c>
      <c r="J340" t="s">
        <v>1047</v>
      </c>
      <c r="K340" t="s">
        <v>1037</v>
      </c>
      <c r="L340" t="s">
        <v>548</v>
      </c>
      <c r="N340" t="s">
        <v>1261</v>
      </c>
      <c r="O340" t="s">
        <v>1039</v>
      </c>
      <c r="P340" t="s">
        <v>2239</v>
      </c>
      <c r="Q340" t="s">
        <v>1088</v>
      </c>
      <c r="R340">
        <v>2</v>
      </c>
      <c r="S340">
        <v>0</v>
      </c>
      <c r="T340">
        <v>0</v>
      </c>
      <c r="U340">
        <v>0</v>
      </c>
      <c r="V340">
        <v>0</v>
      </c>
      <c r="W340">
        <v>0</v>
      </c>
      <c r="AE340" t="s">
        <v>548</v>
      </c>
      <c r="AF340" t="s">
        <v>548</v>
      </c>
      <c r="AG340" t="s">
        <v>548</v>
      </c>
      <c r="AH340" t="s">
        <v>548</v>
      </c>
      <c r="AI340" t="s">
        <v>548</v>
      </c>
      <c r="AJ340">
        <v>8</v>
      </c>
      <c r="AK340">
        <v>8</v>
      </c>
      <c r="AL340">
        <v>8</v>
      </c>
      <c r="AM340">
        <v>8</v>
      </c>
      <c r="AN340">
        <v>8</v>
      </c>
      <c r="AO340">
        <v>2</v>
      </c>
      <c r="AP340">
        <v>2</v>
      </c>
      <c r="AQ340">
        <v>2</v>
      </c>
      <c r="AR340">
        <v>2</v>
      </c>
      <c r="AS340">
        <v>2</v>
      </c>
      <c r="BD340">
        <v>0.34599999999999997</v>
      </c>
      <c r="BJ340">
        <v>1</v>
      </c>
      <c r="BK340" t="s">
        <v>1041</v>
      </c>
      <c r="BU340" t="s">
        <v>2359</v>
      </c>
      <c r="BV340" t="s">
        <v>1042</v>
      </c>
    </row>
    <row r="341" spans="1:74" x14ac:dyDescent="0.2">
      <c r="A341" t="s">
        <v>929</v>
      </c>
      <c r="B341" t="s">
        <v>2710</v>
      </c>
      <c r="C341" t="s">
        <v>913</v>
      </c>
      <c r="D341" t="s">
        <v>282</v>
      </c>
      <c r="E341" t="s">
        <v>1227</v>
      </c>
      <c r="F341" t="s">
        <v>2622</v>
      </c>
      <c r="G341" t="s">
        <v>2521</v>
      </c>
      <c r="H341" t="s">
        <v>2711</v>
      </c>
      <c r="I341" t="s">
        <v>2712</v>
      </c>
      <c r="J341" t="s">
        <v>1047</v>
      </c>
      <c r="K341" t="s">
        <v>1037</v>
      </c>
      <c r="L341" t="s">
        <v>548</v>
      </c>
      <c r="M341" t="s">
        <v>543</v>
      </c>
      <c r="N341" t="s">
        <v>1261</v>
      </c>
      <c r="O341" t="s">
        <v>1039</v>
      </c>
      <c r="P341" t="s">
        <v>2651</v>
      </c>
      <c r="Q341" t="s">
        <v>1088</v>
      </c>
      <c r="R341">
        <v>248</v>
      </c>
      <c r="S341">
        <v>238</v>
      </c>
      <c r="T341">
        <v>228</v>
      </c>
      <c r="U341">
        <v>218</v>
      </c>
      <c r="V341">
        <v>208</v>
      </c>
      <c r="W341">
        <v>198</v>
      </c>
      <c r="AE341" t="s">
        <v>548</v>
      </c>
      <c r="AF341" t="s">
        <v>548</v>
      </c>
      <c r="AG341" t="s">
        <v>548</v>
      </c>
      <c r="AH341" t="s">
        <v>548</v>
      </c>
      <c r="AI341" t="s">
        <v>548</v>
      </c>
      <c r="AJ341">
        <v>262</v>
      </c>
      <c r="AK341">
        <v>262</v>
      </c>
      <c r="AL341">
        <v>262</v>
      </c>
      <c r="AM341">
        <v>262</v>
      </c>
      <c r="AN341">
        <v>262</v>
      </c>
      <c r="AO341">
        <v>238</v>
      </c>
      <c r="AP341">
        <v>228</v>
      </c>
      <c r="AQ341">
        <v>218</v>
      </c>
      <c r="AR341">
        <v>208</v>
      </c>
      <c r="AS341">
        <v>198</v>
      </c>
      <c r="BD341">
        <v>1.03E-2</v>
      </c>
      <c r="BE341">
        <v>1.9300000000000001E-2</v>
      </c>
      <c r="BJ341">
        <v>1</v>
      </c>
      <c r="BK341" t="s">
        <v>1041</v>
      </c>
      <c r="BU341" t="s">
        <v>2359</v>
      </c>
      <c r="BV341" t="s">
        <v>1042</v>
      </c>
    </row>
    <row r="342" spans="1:74" x14ac:dyDescent="0.2">
      <c r="A342" t="s">
        <v>929</v>
      </c>
      <c r="B342" t="s">
        <v>2713</v>
      </c>
      <c r="C342" t="s">
        <v>913</v>
      </c>
      <c r="D342" t="s">
        <v>282</v>
      </c>
      <c r="E342" t="s">
        <v>1227</v>
      </c>
      <c r="F342" t="s">
        <v>2622</v>
      </c>
      <c r="G342" t="s">
        <v>2527</v>
      </c>
      <c r="H342" t="s">
        <v>2714</v>
      </c>
      <c r="I342" t="s">
        <v>2715</v>
      </c>
      <c r="J342" t="s">
        <v>1066</v>
      </c>
      <c r="N342" t="s">
        <v>1191</v>
      </c>
      <c r="O342" t="s">
        <v>1039</v>
      </c>
      <c r="P342" t="s">
        <v>1631</v>
      </c>
      <c r="Q342">
        <v>1</v>
      </c>
      <c r="R342">
        <v>100.5</v>
      </c>
      <c r="W342">
        <v>102</v>
      </c>
      <c r="BV342" t="s">
        <v>1042</v>
      </c>
    </row>
    <row r="343" spans="1:74" x14ac:dyDescent="0.2">
      <c r="A343" t="s">
        <v>929</v>
      </c>
      <c r="B343" t="s">
        <v>2716</v>
      </c>
      <c r="C343" t="s">
        <v>913</v>
      </c>
      <c r="D343" t="s">
        <v>282</v>
      </c>
      <c r="E343" t="s">
        <v>1227</v>
      </c>
      <c r="F343" t="s">
        <v>2622</v>
      </c>
      <c r="G343" t="s">
        <v>2531</v>
      </c>
      <c r="H343" t="s">
        <v>2717</v>
      </c>
      <c r="I343" t="s">
        <v>2718</v>
      </c>
      <c r="J343" t="s">
        <v>1066</v>
      </c>
      <c r="N343" t="s">
        <v>1191</v>
      </c>
      <c r="O343" t="s">
        <v>253</v>
      </c>
      <c r="P343" t="s">
        <v>2221</v>
      </c>
      <c r="Q343">
        <v>2</v>
      </c>
      <c r="R343">
        <v>2.64</v>
      </c>
      <c r="W343">
        <v>7.8</v>
      </c>
      <c r="BV343" t="s">
        <v>1042</v>
      </c>
    </row>
    <row r="344" spans="1:74" x14ac:dyDescent="0.2">
      <c r="A344" t="s">
        <v>929</v>
      </c>
      <c r="B344" t="s">
        <v>2719</v>
      </c>
      <c r="C344" t="s">
        <v>913</v>
      </c>
      <c r="D344" t="s">
        <v>282</v>
      </c>
      <c r="E344" t="s">
        <v>1227</v>
      </c>
      <c r="F344" t="s">
        <v>2720</v>
      </c>
      <c r="G344" t="s">
        <v>1268</v>
      </c>
      <c r="H344" t="s">
        <v>2721</v>
      </c>
      <c r="I344" t="s">
        <v>2722</v>
      </c>
      <c r="J344" t="s">
        <v>1036</v>
      </c>
      <c r="K344" t="s">
        <v>1338</v>
      </c>
      <c r="N344" t="s">
        <v>1183</v>
      </c>
      <c r="O344" t="s">
        <v>1039</v>
      </c>
      <c r="P344" t="s">
        <v>2723</v>
      </c>
      <c r="Q344" t="s">
        <v>1088</v>
      </c>
      <c r="R344">
        <v>-15</v>
      </c>
      <c r="S344">
        <v>-12</v>
      </c>
      <c r="T344">
        <v>-9</v>
      </c>
      <c r="U344">
        <v>-6</v>
      </c>
      <c r="V344">
        <v>-3</v>
      </c>
      <c r="W344">
        <v>0</v>
      </c>
      <c r="AE344" t="s">
        <v>548</v>
      </c>
      <c r="AF344" t="s">
        <v>548</v>
      </c>
      <c r="AG344" t="s">
        <v>548</v>
      </c>
      <c r="AH344" t="s">
        <v>548</v>
      </c>
      <c r="AI344" t="s">
        <v>548</v>
      </c>
      <c r="AJ344">
        <v>-15</v>
      </c>
      <c r="AK344">
        <v>-15</v>
      </c>
      <c r="AL344">
        <v>-15</v>
      </c>
      <c r="AM344">
        <v>-15</v>
      </c>
      <c r="AN344">
        <v>-15</v>
      </c>
      <c r="AO344">
        <v>-15</v>
      </c>
      <c r="AP344">
        <v>-13</v>
      </c>
      <c r="AQ344">
        <v>-10</v>
      </c>
      <c r="AR344">
        <v>-7</v>
      </c>
      <c r="AS344">
        <v>-4</v>
      </c>
      <c r="AT344">
        <v>-12</v>
      </c>
      <c r="AU344">
        <v>-9</v>
      </c>
      <c r="AV344">
        <v>-6</v>
      </c>
      <c r="AW344">
        <v>-3</v>
      </c>
      <c r="AX344">
        <v>0</v>
      </c>
      <c r="AY344">
        <v>20</v>
      </c>
      <c r="AZ344">
        <v>20</v>
      </c>
      <c r="BA344">
        <v>20</v>
      </c>
      <c r="BB344">
        <v>20</v>
      </c>
      <c r="BC344">
        <v>20</v>
      </c>
      <c r="BD344">
        <v>0.10299999999999999</v>
      </c>
      <c r="BH344">
        <v>0.249</v>
      </c>
      <c r="BJ344">
        <v>1</v>
      </c>
      <c r="BK344" t="s">
        <v>1041</v>
      </c>
      <c r="BV344" t="s">
        <v>1042</v>
      </c>
    </row>
    <row r="345" spans="1:74" x14ac:dyDescent="0.2">
      <c r="A345" t="s">
        <v>929</v>
      </c>
      <c r="B345" t="s">
        <v>2724</v>
      </c>
      <c r="C345" t="s">
        <v>913</v>
      </c>
      <c r="D345" t="s">
        <v>282</v>
      </c>
      <c r="E345" t="s">
        <v>1227</v>
      </c>
      <c r="F345" t="s">
        <v>2720</v>
      </c>
      <c r="G345" t="s">
        <v>1273</v>
      </c>
      <c r="H345" t="s">
        <v>2725</v>
      </c>
      <c r="I345" t="s">
        <v>2726</v>
      </c>
      <c r="J345" t="s">
        <v>1066</v>
      </c>
      <c r="N345" t="s">
        <v>1183</v>
      </c>
      <c r="O345" t="s">
        <v>1039</v>
      </c>
      <c r="P345" t="s">
        <v>2727</v>
      </c>
      <c r="Q345" t="s">
        <v>1088</v>
      </c>
      <c r="R345" t="s">
        <v>2728</v>
      </c>
      <c r="S345" t="s">
        <v>1790</v>
      </c>
      <c r="T345" t="s">
        <v>1790</v>
      </c>
      <c r="U345" t="s">
        <v>1790</v>
      </c>
      <c r="V345" t="s">
        <v>1790</v>
      </c>
      <c r="W345" t="s">
        <v>1790</v>
      </c>
      <c r="BV345" t="s">
        <v>1042</v>
      </c>
    </row>
    <row r="346" spans="1:74" x14ac:dyDescent="0.2">
      <c r="A346" t="s">
        <v>929</v>
      </c>
      <c r="B346" t="s">
        <v>2729</v>
      </c>
      <c r="C346" t="s">
        <v>913</v>
      </c>
      <c r="D346" t="s">
        <v>282</v>
      </c>
      <c r="E346" t="s">
        <v>1227</v>
      </c>
      <c r="F346" t="s">
        <v>2720</v>
      </c>
      <c r="G346" t="s">
        <v>1732</v>
      </c>
      <c r="H346" t="s">
        <v>2730</v>
      </c>
      <c r="I346" t="s">
        <v>2731</v>
      </c>
      <c r="J346" t="s">
        <v>1066</v>
      </c>
      <c r="N346" t="s">
        <v>1183</v>
      </c>
      <c r="O346" t="s">
        <v>1039</v>
      </c>
      <c r="P346" t="s">
        <v>2732</v>
      </c>
      <c r="Q346" t="s">
        <v>1088</v>
      </c>
      <c r="R346">
        <v>0</v>
      </c>
      <c r="W346">
        <v>650</v>
      </c>
      <c r="BV346" t="s">
        <v>1042</v>
      </c>
    </row>
    <row r="347" spans="1:74" x14ac:dyDescent="0.2">
      <c r="A347" t="s">
        <v>929</v>
      </c>
      <c r="B347" t="s">
        <v>2733</v>
      </c>
      <c r="C347" t="s">
        <v>913</v>
      </c>
      <c r="D347" t="s">
        <v>1106</v>
      </c>
      <c r="E347" t="s">
        <v>1107</v>
      </c>
      <c r="F347" t="s">
        <v>2618</v>
      </c>
      <c r="G347" t="s">
        <v>1109</v>
      </c>
      <c r="H347" t="s">
        <v>2734</v>
      </c>
      <c r="I347" t="s">
        <v>2735</v>
      </c>
      <c r="J347" t="s">
        <v>1066</v>
      </c>
      <c r="N347" t="s">
        <v>1203</v>
      </c>
      <c r="O347" t="s">
        <v>253</v>
      </c>
      <c r="P347" t="s">
        <v>1204</v>
      </c>
      <c r="Q347">
        <v>1</v>
      </c>
      <c r="R347">
        <v>86</v>
      </c>
      <c r="W347">
        <v>90</v>
      </c>
      <c r="BV347" t="s">
        <v>1042</v>
      </c>
    </row>
    <row r="348" spans="1:74" x14ac:dyDescent="0.2">
      <c r="A348" t="s">
        <v>929</v>
      </c>
      <c r="B348" t="s">
        <v>2736</v>
      </c>
      <c r="C348" t="s">
        <v>913</v>
      </c>
      <c r="D348" t="s">
        <v>1106</v>
      </c>
      <c r="E348" t="s">
        <v>1107</v>
      </c>
      <c r="F348" t="s">
        <v>2618</v>
      </c>
      <c r="G348" t="s">
        <v>1118</v>
      </c>
      <c r="H348" t="s">
        <v>2737</v>
      </c>
      <c r="I348" t="s">
        <v>2738</v>
      </c>
      <c r="J348" t="s">
        <v>1036</v>
      </c>
      <c r="K348" t="s">
        <v>1037</v>
      </c>
      <c r="M348" t="s">
        <v>543</v>
      </c>
      <c r="N348" t="s">
        <v>1112</v>
      </c>
      <c r="O348" t="s">
        <v>1113</v>
      </c>
      <c r="P348" t="s">
        <v>1114</v>
      </c>
      <c r="Q348">
        <v>1</v>
      </c>
      <c r="R348">
        <v>77</v>
      </c>
      <c r="W348">
        <v>85</v>
      </c>
      <c r="AE348" t="s">
        <v>548</v>
      </c>
      <c r="AF348" t="s">
        <v>548</v>
      </c>
      <c r="AG348" t="s">
        <v>548</v>
      </c>
      <c r="AH348" t="s">
        <v>548</v>
      </c>
      <c r="AI348" t="s">
        <v>548</v>
      </c>
      <c r="AJ348" t="s">
        <v>1115</v>
      </c>
      <c r="AK348" t="s">
        <v>1115</v>
      </c>
      <c r="AL348" t="s">
        <v>1115</v>
      </c>
      <c r="AM348" t="s">
        <v>1115</v>
      </c>
      <c r="AN348" t="s">
        <v>1115</v>
      </c>
      <c r="AO348" t="s">
        <v>1115</v>
      </c>
      <c r="AP348" t="s">
        <v>1115</v>
      </c>
      <c r="AQ348" t="s">
        <v>1115</v>
      </c>
      <c r="AR348" t="s">
        <v>1115</v>
      </c>
      <c r="AS348" t="s">
        <v>1115</v>
      </c>
      <c r="AT348" t="s">
        <v>1115</v>
      </c>
      <c r="AU348" t="s">
        <v>1115</v>
      </c>
      <c r="AV348" t="s">
        <v>1115</v>
      </c>
      <c r="AW348" t="s">
        <v>1115</v>
      </c>
      <c r="AX348" t="s">
        <v>1115</v>
      </c>
      <c r="AY348" t="s">
        <v>1115</v>
      </c>
      <c r="AZ348" t="s">
        <v>1115</v>
      </c>
      <c r="BA348" t="s">
        <v>1115</v>
      </c>
      <c r="BB348" t="s">
        <v>1115</v>
      </c>
      <c r="BC348" t="s">
        <v>1115</v>
      </c>
      <c r="BD348" t="s">
        <v>1115</v>
      </c>
      <c r="BH348" t="s">
        <v>1115</v>
      </c>
      <c r="BJ348">
        <v>1</v>
      </c>
      <c r="BK348" t="s">
        <v>1041</v>
      </c>
      <c r="BU348" t="s">
        <v>1116</v>
      </c>
      <c r="BV348" t="s">
        <v>1042</v>
      </c>
    </row>
    <row r="349" spans="1:74" x14ac:dyDescent="0.2">
      <c r="A349" t="s">
        <v>929</v>
      </c>
      <c r="B349" t="s">
        <v>2739</v>
      </c>
      <c r="C349" t="s">
        <v>913</v>
      </c>
      <c r="D349" t="s">
        <v>1106</v>
      </c>
      <c r="E349" t="s">
        <v>1107</v>
      </c>
      <c r="F349" t="s">
        <v>2618</v>
      </c>
      <c r="G349" t="s">
        <v>1302</v>
      </c>
      <c r="H349" t="s">
        <v>2740</v>
      </c>
      <c r="I349" t="s">
        <v>2741</v>
      </c>
      <c r="J349" t="s">
        <v>1066</v>
      </c>
      <c r="N349" t="s">
        <v>1121</v>
      </c>
      <c r="O349" t="s">
        <v>253</v>
      </c>
      <c r="P349" t="s">
        <v>1204</v>
      </c>
      <c r="Q349">
        <v>1</v>
      </c>
      <c r="R349">
        <v>47</v>
      </c>
      <c r="W349">
        <v>90</v>
      </c>
      <c r="BV349" t="s">
        <v>1042</v>
      </c>
    </row>
    <row r="350" spans="1:74" x14ac:dyDescent="0.2">
      <c r="A350" t="s">
        <v>929</v>
      </c>
      <c r="B350" t="s">
        <v>2742</v>
      </c>
      <c r="C350" t="s">
        <v>913</v>
      </c>
      <c r="D350" t="s">
        <v>1106</v>
      </c>
      <c r="E350" t="s">
        <v>1107</v>
      </c>
      <c r="F350" t="s">
        <v>2661</v>
      </c>
      <c r="G350" t="s">
        <v>1307</v>
      </c>
      <c r="H350" t="s">
        <v>2743</v>
      </c>
      <c r="I350" t="s">
        <v>2744</v>
      </c>
      <c r="J350" t="s">
        <v>1066</v>
      </c>
      <c r="N350" t="s">
        <v>1121</v>
      </c>
      <c r="O350" t="s">
        <v>1039</v>
      </c>
      <c r="P350" t="s">
        <v>2745</v>
      </c>
      <c r="Q350" t="s">
        <v>1088</v>
      </c>
      <c r="R350">
        <v>21500</v>
      </c>
      <c r="W350">
        <v>23210</v>
      </c>
      <c r="BV350" t="s">
        <v>1042</v>
      </c>
    </row>
    <row r="351" spans="1:74" x14ac:dyDescent="0.2">
      <c r="A351" t="s">
        <v>936</v>
      </c>
      <c r="B351" t="s">
        <v>2746</v>
      </c>
      <c r="C351" t="s">
        <v>913</v>
      </c>
      <c r="D351" t="s">
        <v>281</v>
      </c>
      <c r="E351" t="s">
        <v>1031</v>
      </c>
      <c r="F351" t="s">
        <v>2747</v>
      </c>
      <c r="G351" t="s">
        <v>2748</v>
      </c>
      <c r="H351" t="s">
        <v>2749</v>
      </c>
      <c r="I351" t="s">
        <v>2750</v>
      </c>
      <c r="J351" t="s">
        <v>1066</v>
      </c>
      <c r="N351" t="s">
        <v>1203</v>
      </c>
      <c r="O351" t="s">
        <v>253</v>
      </c>
      <c r="P351" t="s">
        <v>2751</v>
      </c>
      <c r="Q351" t="s">
        <v>1088</v>
      </c>
      <c r="R351">
        <v>90</v>
      </c>
      <c r="S351">
        <v>95</v>
      </c>
      <c r="T351">
        <v>95</v>
      </c>
      <c r="U351">
        <v>95</v>
      </c>
      <c r="V351">
        <v>95</v>
      </c>
      <c r="W351">
        <v>95</v>
      </c>
      <c r="BV351" t="s">
        <v>1042</v>
      </c>
    </row>
    <row r="352" spans="1:74" x14ac:dyDescent="0.2">
      <c r="A352" t="s">
        <v>936</v>
      </c>
      <c r="B352" t="s">
        <v>2752</v>
      </c>
      <c r="C352" t="s">
        <v>913</v>
      </c>
      <c r="D352" t="s">
        <v>281</v>
      </c>
      <c r="E352" t="s">
        <v>1031</v>
      </c>
      <c r="F352" t="s">
        <v>2747</v>
      </c>
      <c r="G352" t="s">
        <v>2753</v>
      </c>
      <c r="H352" t="s">
        <v>2754</v>
      </c>
      <c r="I352" t="s">
        <v>2755</v>
      </c>
      <c r="J352" t="s">
        <v>1066</v>
      </c>
      <c r="N352" t="s">
        <v>1203</v>
      </c>
      <c r="O352" t="s">
        <v>1039</v>
      </c>
      <c r="P352" t="s">
        <v>2756</v>
      </c>
      <c r="Q352">
        <v>2</v>
      </c>
      <c r="R352">
        <v>11.66</v>
      </c>
      <c r="S352">
        <v>10.64</v>
      </c>
      <c r="T352">
        <v>9.61</v>
      </c>
      <c r="U352">
        <v>8.58</v>
      </c>
      <c r="V352">
        <v>7.55</v>
      </c>
      <c r="W352">
        <v>6.53</v>
      </c>
      <c r="BV352" t="s">
        <v>1042</v>
      </c>
    </row>
    <row r="353" spans="1:74" x14ac:dyDescent="0.2">
      <c r="A353" t="s">
        <v>936</v>
      </c>
      <c r="B353" t="s">
        <v>2757</v>
      </c>
      <c r="C353" t="s">
        <v>913</v>
      </c>
      <c r="D353" t="s">
        <v>281</v>
      </c>
      <c r="E353" t="s">
        <v>1031</v>
      </c>
      <c r="F353" t="s">
        <v>2747</v>
      </c>
      <c r="G353" t="s">
        <v>2758</v>
      </c>
      <c r="H353" t="s">
        <v>2759</v>
      </c>
      <c r="I353" t="s">
        <v>2760</v>
      </c>
      <c r="J353" t="s">
        <v>1066</v>
      </c>
      <c r="N353" t="s">
        <v>1203</v>
      </c>
      <c r="O353" t="s">
        <v>1113</v>
      </c>
      <c r="P353" t="s">
        <v>2761</v>
      </c>
      <c r="Q353">
        <v>2</v>
      </c>
      <c r="R353">
        <v>4.0999999999999996</v>
      </c>
      <c r="S353">
        <v>4.3499999999999996</v>
      </c>
      <c r="T353">
        <v>4.45</v>
      </c>
      <c r="U353">
        <v>4.5</v>
      </c>
      <c r="V353">
        <v>4.55</v>
      </c>
      <c r="W353">
        <v>4.5999999999999996</v>
      </c>
      <c r="BV353" t="s">
        <v>1042</v>
      </c>
    </row>
    <row r="354" spans="1:74" x14ac:dyDescent="0.2">
      <c r="A354" t="s">
        <v>936</v>
      </c>
      <c r="B354" t="s">
        <v>2762</v>
      </c>
      <c r="C354" t="s">
        <v>913</v>
      </c>
      <c r="D354" t="s">
        <v>281</v>
      </c>
      <c r="E354" t="s">
        <v>1031</v>
      </c>
      <c r="F354" t="s">
        <v>2747</v>
      </c>
      <c r="G354" t="s">
        <v>2763</v>
      </c>
      <c r="H354" t="s">
        <v>2764</v>
      </c>
      <c r="I354" t="s">
        <v>2765</v>
      </c>
      <c r="J354" t="s">
        <v>1047</v>
      </c>
      <c r="K354" t="s">
        <v>1037</v>
      </c>
      <c r="N354" t="s">
        <v>1048</v>
      </c>
      <c r="O354" t="s">
        <v>1039</v>
      </c>
      <c r="P354" t="s">
        <v>2766</v>
      </c>
      <c r="Q354">
        <v>2</v>
      </c>
      <c r="R354">
        <v>4.24</v>
      </c>
      <c r="W354">
        <v>15.45</v>
      </c>
      <c r="AI354" t="s">
        <v>548</v>
      </c>
      <c r="AN354">
        <v>11.7</v>
      </c>
      <c r="AS354">
        <v>15.45</v>
      </c>
      <c r="BD354">
        <v>0.88500000000000001</v>
      </c>
      <c r="BJ354">
        <v>1</v>
      </c>
      <c r="BK354" t="s">
        <v>1041</v>
      </c>
      <c r="BU354" t="s">
        <v>2767</v>
      </c>
      <c r="BV354" t="s">
        <v>1042</v>
      </c>
    </row>
    <row r="355" spans="1:74" x14ac:dyDescent="0.2">
      <c r="A355" t="s">
        <v>936</v>
      </c>
      <c r="B355" t="s">
        <v>2768</v>
      </c>
      <c r="C355" t="s">
        <v>913</v>
      </c>
      <c r="D355" t="s">
        <v>281</v>
      </c>
      <c r="E355" t="s">
        <v>1031</v>
      </c>
      <c r="F355" t="s">
        <v>2747</v>
      </c>
      <c r="G355" t="s">
        <v>2769</v>
      </c>
      <c r="H355" t="s">
        <v>2770</v>
      </c>
      <c r="I355" t="s">
        <v>2771</v>
      </c>
      <c r="J355" t="s">
        <v>1066</v>
      </c>
      <c r="N355" t="s">
        <v>1038</v>
      </c>
      <c r="O355" t="s">
        <v>1039</v>
      </c>
      <c r="P355" t="s">
        <v>2772</v>
      </c>
      <c r="Q355" t="s">
        <v>1088</v>
      </c>
      <c r="R355" t="s">
        <v>2773</v>
      </c>
      <c r="S355">
        <v>1170</v>
      </c>
      <c r="T355">
        <v>1450</v>
      </c>
      <c r="U355">
        <v>1410</v>
      </c>
      <c r="V355">
        <v>900</v>
      </c>
      <c r="W355">
        <v>890</v>
      </c>
      <c r="BV355" t="s">
        <v>1042</v>
      </c>
    </row>
    <row r="356" spans="1:74" x14ac:dyDescent="0.2">
      <c r="A356" t="s">
        <v>936</v>
      </c>
      <c r="B356" t="s">
        <v>2774</v>
      </c>
      <c r="C356" t="s">
        <v>913</v>
      </c>
      <c r="D356" t="s">
        <v>281</v>
      </c>
      <c r="E356" t="s">
        <v>1031</v>
      </c>
      <c r="F356" t="s">
        <v>2775</v>
      </c>
      <c r="G356" t="s">
        <v>2776</v>
      </c>
      <c r="H356" t="s">
        <v>2777</v>
      </c>
      <c r="I356" t="s">
        <v>2778</v>
      </c>
      <c r="J356" t="s">
        <v>1047</v>
      </c>
      <c r="K356" t="s">
        <v>1037</v>
      </c>
      <c r="M356" t="s">
        <v>543</v>
      </c>
      <c r="N356" t="s">
        <v>1093</v>
      </c>
      <c r="O356" t="s">
        <v>1211</v>
      </c>
      <c r="P356" t="s">
        <v>1339</v>
      </c>
      <c r="Q356" t="s">
        <v>1041</v>
      </c>
      <c r="R356" t="s">
        <v>1213</v>
      </c>
      <c r="S356" t="s">
        <v>1213</v>
      </c>
      <c r="T356" t="s">
        <v>1213</v>
      </c>
      <c r="U356" t="s">
        <v>1213</v>
      </c>
      <c r="V356" t="s">
        <v>1213</v>
      </c>
      <c r="W356" t="s">
        <v>1213</v>
      </c>
      <c r="AE356" t="s">
        <v>548</v>
      </c>
      <c r="AF356" t="s">
        <v>548</v>
      </c>
      <c r="AG356" t="s">
        <v>548</v>
      </c>
      <c r="AH356" t="s">
        <v>548</v>
      </c>
      <c r="AI356" t="s">
        <v>548</v>
      </c>
      <c r="AJ356" t="s">
        <v>1340</v>
      </c>
      <c r="AK356" t="s">
        <v>1340</v>
      </c>
      <c r="AL356" t="s">
        <v>1340</v>
      </c>
      <c r="AM356" t="s">
        <v>1340</v>
      </c>
      <c r="AN356" t="s">
        <v>1340</v>
      </c>
      <c r="AO356" t="s">
        <v>1341</v>
      </c>
      <c r="AP356" t="s">
        <v>1341</v>
      </c>
      <c r="AQ356" t="s">
        <v>1341</v>
      </c>
      <c r="AR356" t="s">
        <v>1341</v>
      </c>
      <c r="AS356" t="s">
        <v>1341</v>
      </c>
      <c r="BD356">
        <v>4.6749999999999998</v>
      </c>
      <c r="BJ356">
        <v>1</v>
      </c>
      <c r="BK356" t="s">
        <v>1041</v>
      </c>
      <c r="BU356" t="s">
        <v>2779</v>
      </c>
      <c r="BV356" t="s">
        <v>1042</v>
      </c>
    </row>
    <row r="357" spans="1:74" x14ac:dyDescent="0.2">
      <c r="A357" t="s">
        <v>936</v>
      </c>
      <c r="B357" t="s">
        <v>2780</v>
      </c>
      <c r="C357" t="s">
        <v>913</v>
      </c>
      <c r="D357" t="s">
        <v>281</v>
      </c>
      <c r="E357" t="s">
        <v>1031</v>
      </c>
      <c r="F357" t="s">
        <v>2775</v>
      </c>
      <c r="G357" t="s">
        <v>2781</v>
      </c>
      <c r="H357" t="s">
        <v>2782</v>
      </c>
      <c r="I357" t="s">
        <v>2783</v>
      </c>
      <c r="J357" t="s">
        <v>1047</v>
      </c>
      <c r="K357" t="s">
        <v>1037</v>
      </c>
      <c r="M357" t="s">
        <v>543</v>
      </c>
      <c r="N357" t="s">
        <v>1093</v>
      </c>
      <c r="O357" t="s">
        <v>1211</v>
      </c>
      <c r="P357" t="s">
        <v>1339</v>
      </c>
      <c r="Q357" t="s">
        <v>1041</v>
      </c>
      <c r="R357" t="s">
        <v>1213</v>
      </c>
      <c r="S357" t="s">
        <v>1213</v>
      </c>
      <c r="T357" t="s">
        <v>1213</v>
      </c>
      <c r="U357" t="s">
        <v>1213</v>
      </c>
      <c r="V357" t="s">
        <v>1213</v>
      </c>
      <c r="W357" t="s">
        <v>1213</v>
      </c>
      <c r="AE357" t="s">
        <v>548</v>
      </c>
      <c r="AF357" t="s">
        <v>548</v>
      </c>
      <c r="AG357" t="s">
        <v>548</v>
      </c>
      <c r="AH357" t="s">
        <v>548</v>
      </c>
      <c r="AI357" t="s">
        <v>548</v>
      </c>
      <c r="AJ357" t="s">
        <v>1340</v>
      </c>
      <c r="AK357" t="s">
        <v>1340</v>
      </c>
      <c r="AL357" t="s">
        <v>1340</v>
      </c>
      <c r="AM357" t="s">
        <v>1340</v>
      </c>
      <c r="AN357" t="s">
        <v>1340</v>
      </c>
      <c r="AO357" t="s">
        <v>1341</v>
      </c>
      <c r="AP357" t="s">
        <v>1341</v>
      </c>
      <c r="AQ357" t="s">
        <v>1341</v>
      </c>
      <c r="AR357" t="s">
        <v>1341</v>
      </c>
      <c r="AS357" t="s">
        <v>1341</v>
      </c>
      <c r="BD357">
        <v>4.6749999999999998</v>
      </c>
      <c r="BJ357">
        <v>1</v>
      </c>
      <c r="BK357" t="s">
        <v>1041</v>
      </c>
      <c r="BU357" t="s">
        <v>2784</v>
      </c>
      <c r="BV357" t="s">
        <v>1042</v>
      </c>
    </row>
    <row r="358" spans="1:74" x14ac:dyDescent="0.2">
      <c r="A358" t="s">
        <v>936</v>
      </c>
      <c r="B358" t="s">
        <v>2785</v>
      </c>
      <c r="C358" t="s">
        <v>913</v>
      </c>
      <c r="D358" t="s">
        <v>281</v>
      </c>
      <c r="E358" t="s">
        <v>1031</v>
      </c>
      <c r="F358" t="s">
        <v>2775</v>
      </c>
      <c r="G358" t="s">
        <v>2786</v>
      </c>
      <c r="H358" t="s">
        <v>2787</v>
      </c>
      <c r="I358" t="s">
        <v>2788</v>
      </c>
      <c r="J358" t="s">
        <v>1047</v>
      </c>
      <c r="K358" t="s">
        <v>1037</v>
      </c>
      <c r="N358" t="s">
        <v>1073</v>
      </c>
      <c r="O358" t="s">
        <v>253</v>
      </c>
      <c r="P358" t="s">
        <v>1074</v>
      </c>
      <c r="Q358">
        <v>2</v>
      </c>
      <c r="R358">
        <v>99.94</v>
      </c>
      <c r="S358">
        <v>99.94</v>
      </c>
      <c r="T358">
        <v>99.94</v>
      </c>
      <c r="U358">
        <v>100</v>
      </c>
      <c r="V358">
        <v>100</v>
      </c>
      <c r="W358">
        <v>100</v>
      </c>
      <c r="X358" t="s">
        <v>548</v>
      </c>
      <c r="AE358" t="s">
        <v>548</v>
      </c>
      <c r="AF358" t="s">
        <v>548</v>
      </c>
      <c r="AG358" t="s">
        <v>548</v>
      </c>
      <c r="AH358" t="s">
        <v>548</v>
      </c>
      <c r="AI358" t="s">
        <v>548</v>
      </c>
      <c r="AJ358">
        <v>99.91</v>
      </c>
      <c r="AK358">
        <v>99.91</v>
      </c>
      <c r="AL358">
        <v>99.93</v>
      </c>
      <c r="AM358">
        <v>99.93</v>
      </c>
      <c r="AN358">
        <v>99.93</v>
      </c>
      <c r="AO358">
        <v>99.93</v>
      </c>
      <c r="AP358">
        <v>99.93</v>
      </c>
      <c r="AQ358">
        <v>99.95</v>
      </c>
      <c r="AR358">
        <v>99.95</v>
      </c>
      <c r="AS358">
        <v>99.95</v>
      </c>
      <c r="BD358">
        <v>3.915</v>
      </c>
      <c r="BJ358">
        <v>100</v>
      </c>
      <c r="BK358" t="s">
        <v>1368</v>
      </c>
      <c r="BV358" t="s">
        <v>1007</v>
      </c>
    </row>
    <row r="359" spans="1:74" x14ac:dyDescent="0.2">
      <c r="A359" t="s">
        <v>936</v>
      </c>
      <c r="B359" t="s">
        <v>2789</v>
      </c>
      <c r="C359" t="s">
        <v>913</v>
      </c>
      <c r="D359" t="s">
        <v>281</v>
      </c>
      <c r="E359" t="s">
        <v>1031</v>
      </c>
      <c r="F359" t="s">
        <v>2775</v>
      </c>
      <c r="G359" t="s">
        <v>2790</v>
      </c>
      <c r="H359" t="s">
        <v>2791</v>
      </c>
      <c r="I359" t="s">
        <v>2792</v>
      </c>
      <c r="J359" t="s">
        <v>1066</v>
      </c>
      <c r="N359" t="s">
        <v>1131</v>
      </c>
      <c r="O359" t="s">
        <v>1039</v>
      </c>
      <c r="P359" t="s">
        <v>2793</v>
      </c>
      <c r="Q359" t="s">
        <v>1088</v>
      </c>
      <c r="R359">
        <v>34</v>
      </c>
      <c r="S359">
        <v>34</v>
      </c>
      <c r="T359">
        <v>34</v>
      </c>
      <c r="U359">
        <v>34</v>
      </c>
      <c r="V359">
        <v>34</v>
      </c>
      <c r="W359">
        <v>34</v>
      </c>
      <c r="BV359" t="s">
        <v>1042</v>
      </c>
    </row>
    <row r="360" spans="1:74" x14ac:dyDescent="0.2">
      <c r="A360" t="s">
        <v>936</v>
      </c>
      <c r="B360" t="s">
        <v>2794</v>
      </c>
      <c r="C360" t="s">
        <v>913</v>
      </c>
      <c r="D360" t="s">
        <v>281</v>
      </c>
      <c r="E360" t="s">
        <v>1031</v>
      </c>
      <c r="F360" t="s">
        <v>2775</v>
      </c>
      <c r="G360" t="s">
        <v>2795</v>
      </c>
      <c r="H360" t="s">
        <v>2796</v>
      </c>
      <c r="I360" t="s">
        <v>2797</v>
      </c>
      <c r="J360" t="s">
        <v>1036</v>
      </c>
      <c r="K360" t="s">
        <v>1037</v>
      </c>
      <c r="N360" t="s">
        <v>1086</v>
      </c>
      <c r="O360" t="s">
        <v>1126</v>
      </c>
      <c r="P360" t="s">
        <v>2798</v>
      </c>
      <c r="Q360">
        <v>2</v>
      </c>
      <c r="R360">
        <v>0.13</v>
      </c>
      <c r="S360">
        <v>0.13</v>
      </c>
      <c r="T360">
        <v>0.13</v>
      </c>
      <c r="U360">
        <v>0.13</v>
      </c>
      <c r="V360">
        <v>0.13</v>
      </c>
      <c r="W360">
        <v>0.13</v>
      </c>
      <c r="Z360" t="s">
        <v>548</v>
      </c>
      <c r="AE360" t="s">
        <v>548</v>
      </c>
      <c r="AF360" t="s">
        <v>548</v>
      </c>
      <c r="AG360" t="s">
        <v>548</v>
      </c>
      <c r="AH360" t="s">
        <v>548</v>
      </c>
      <c r="AI360" t="s">
        <v>548</v>
      </c>
      <c r="AJ360">
        <v>0.15</v>
      </c>
      <c r="AK360">
        <v>0.15</v>
      </c>
      <c r="AL360">
        <v>0.15</v>
      </c>
      <c r="AM360">
        <v>0.15</v>
      </c>
      <c r="AN360">
        <v>0.15</v>
      </c>
      <c r="AO360">
        <v>0.13</v>
      </c>
      <c r="AP360">
        <v>0.13</v>
      </c>
      <c r="AQ360">
        <v>0.13</v>
      </c>
      <c r="AR360">
        <v>0.13</v>
      </c>
      <c r="AS360">
        <v>0.13</v>
      </c>
      <c r="AT360">
        <v>0.13</v>
      </c>
      <c r="AU360">
        <v>0.13</v>
      </c>
      <c r="AV360">
        <v>0.13</v>
      </c>
      <c r="AW360">
        <v>0.13</v>
      </c>
      <c r="AX360">
        <v>0.13</v>
      </c>
      <c r="AY360">
        <v>0.1</v>
      </c>
      <c r="AZ360">
        <v>0.1</v>
      </c>
      <c r="BA360">
        <v>0.1</v>
      </c>
      <c r="BB360">
        <v>0.1</v>
      </c>
      <c r="BC360">
        <v>0.1</v>
      </c>
      <c r="BD360">
        <v>5.335</v>
      </c>
      <c r="BH360">
        <v>3.125</v>
      </c>
      <c r="BJ360">
        <v>100</v>
      </c>
      <c r="BK360" t="s">
        <v>1476</v>
      </c>
      <c r="BV360" t="s">
        <v>1009</v>
      </c>
    </row>
    <row r="361" spans="1:74" x14ac:dyDescent="0.2">
      <c r="A361" t="s">
        <v>936</v>
      </c>
      <c r="B361" t="s">
        <v>2799</v>
      </c>
      <c r="C361" t="s">
        <v>913</v>
      </c>
      <c r="D361" t="s">
        <v>281</v>
      </c>
      <c r="E361" t="s">
        <v>1031</v>
      </c>
      <c r="F361" t="s">
        <v>2775</v>
      </c>
      <c r="G361" t="s">
        <v>2800</v>
      </c>
      <c r="H361" t="s">
        <v>2801</v>
      </c>
      <c r="I361" t="s">
        <v>2802</v>
      </c>
      <c r="J361" t="s">
        <v>1047</v>
      </c>
      <c r="K361" t="s">
        <v>1037</v>
      </c>
      <c r="N361" t="s">
        <v>1055</v>
      </c>
      <c r="O361" t="s">
        <v>1113</v>
      </c>
      <c r="P361" t="s">
        <v>1157</v>
      </c>
      <c r="Q361" t="s">
        <v>1088</v>
      </c>
      <c r="R361">
        <v>100</v>
      </c>
      <c r="S361">
        <v>100</v>
      </c>
      <c r="T361">
        <v>100</v>
      </c>
      <c r="U361">
        <v>100</v>
      </c>
      <c r="V361">
        <v>100</v>
      </c>
      <c r="W361">
        <v>100</v>
      </c>
      <c r="AE361" t="s">
        <v>548</v>
      </c>
      <c r="AF361" t="s">
        <v>548</v>
      </c>
      <c r="AG361" t="s">
        <v>548</v>
      </c>
      <c r="AH361" t="s">
        <v>548</v>
      </c>
      <c r="AI361" t="s">
        <v>548</v>
      </c>
      <c r="AJ361">
        <v>97</v>
      </c>
      <c r="AK361">
        <v>97</v>
      </c>
      <c r="AL361">
        <v>97</v>
      </c>
      <c r="AM361">
        <v>97</v>
      </c>
      <c r="AN361">
        <v>97</v>
      </c>
      <c r="AO361">
        <v>100</v>
      </c>
      <c r="AP361">
        <v>100</v>
      </c>
      <c r="AQ361">
        <v>100</v>
      </c>
      <c r="AR361">
        <v>100</v>
      </c>
      <c r="AS361">
        <v>100</v>
      </c>
      <c r="BD361">
        <v>2.2650000000000001</v>
      </c>
      <c r="BJ361">
        <v>1</v>
      </c>
      <c r="BK361" t="s">
        <v>1041</v>
      </c>
      <c r="BV361" t="s">
        <v>1042</v>
      </c>
    </row>
    <row r="362" spans="1:74" x14ac:dyDescent="0.2">
      <c r="A362" t="s">
        <v>936</v>
      </c>
      <c r="B362" t="s">
        <v>2803</v>
      </c>
      <c r="C362" t="s">
        <v>913</v>
      </c>
      <c r="D362" t="s">
        <v>281</v>
      </c>
      <c r="E362" t="s">
        <v>1031</v>
      </c>
      <c r="F362" t="s">
        <v>2775</v>
      </c>
      <c r="G362" t="s">
        <v>2804</v>
      </c>
      <c r="H362" t="s">
        <v>2805</v>
      </c>
      <c r="I362" t="s">
        <v>2806</v>
      </c>
      <c r="J362" t="s">
        <v>1047</v>
      </c>
      <c r="K362" t="s">
        <v>1037</v>
      </c>
      <c r="M362" t="s">
        <v>543</v>
      </c>
      <c r="N362" t="s">
        <v>2093</v>
      </c>
      <c r="O362" t="s">
        <v>253</v>
      </c>
      <c r="P362" t="s">
        <v>2807</v>
      </c>
      <c r="Q362" t="s">
        <v>1088</v>
      </c>
      <c r="R362">
        <v>100</v>
      </c>
      <c r="W362">
        <v>100</v>
      </c>
      <c r="AC362" t="s">
        <v>548</v>
      </c>
      <c r="AI362" t="s">
        <v>548</v>
      </c>
      <c r="AN362">
        <v>0</v>
      </c>
      <c r="AS362">
        <v>100</v>
      </c>
      <c r="BD362">
        <v>0.40939999999999999</v>
      </c>
      <c r="BJ362">
        <v>1</v>
      </c>
      <c r="BK362" t="s">
        <v>1041</v>
      </c>
      <c r="BU362" t="s">
        <v>2808</v>
      </c>
      <c r="BV362" t="s">
        <v>1042</v>
      </c>
    </row>
    <row r="363" spans="1:74" x14ac:dyDescent="0.2">
      <c r="A363" t="s">
        <v>936</v>
      </c>
      <c r="B363" t="s">
        <v>2809</v>
      </c>
      <c r="C363" t="s">
        <v>913</v>
      </c>
      <c r="D363" t="s">
        <v>281</v>
      </c>
      <c r="E363" t="s">
        <v>1031</v>
      </c>
      <c r="F363" t="s">
        <v>2775</v>
      </c>
      <c r="G363" t="s">
        <v>2810</v>
      </c>
      <c r="H363" t="s">
        <v>2811</v>
      </c>
      <c r="I363" t="s">
        <v>2812</v>
      </c>
      <c r="J363" t="s">
        <v>1036</v>
      </c>
      <c r="K363" t="s">
        <v>1037</v>
      </c>
      <c r="N363" t="s">
        <v>1144</v>
      </c>
      <c r="O363" t="s">
        <v>1039</v>
      </c>
      <c r="P363" t="s">
        <v>2813</v>
      </c>
      <c r="Q363" t="s">
        <v>1088</v>
      </c>
      <c r="R363" t="s">
        <v>1519</v>
      </c>
      <c r="W363">
        <v>1015</v>
      </c>
      <c r="AI363" t="s">
        <v>548</v>
      </c>
      <c r="AN363">
        <v>812</v>
      </c>
      <c r="AS363">
        <v>1015</v>
      </c>
      <c r="AX363">
        <v>1015</v>
      </c>
      <c r="BC363">
        <v>1218</v>
      </c>
      <c r="BD363">
        <v>5.0000000000000001E-3</v>
      </c>
      <c r="BH363">
        <v>5.0000000000000001E-3</v>
      </c>
      <c r="BJ363">
        <v>1</v>
      </c>
      <c r="BK363" t="s">
        <v>1041</v>
      </c>
      <c r="BV363" t="s">
        <v>1042</v>
      </c>
    </row>
    <row r="364" spans="1:74" x14ac:dyDescent="0.2">
      <c r="A364" t="s">
        <v>936</v>
      </c>
      <c r="B364" t="s">
        <v>2814</v>
      </c>
      <c r="C364" t="s">
        <v>913</v>
      </c>
      <c r="D364" t="s">
        <v>281</v>
      </c>
      <c r="E364" t="s">
        <v>1031</v>
      </c>
      <c r="F364" t="s">
        <v>2815</v>
      </c>
      <c r="G364" t="s">
        <v>2816</v>
      </c>
      <c r="H364" t="s">
        <v>2817</v>
      </c>
      <c r="I364" t="s">
        <v>2818</v>
      </c>
      <c r="J364" t="s">
        <v>1066</v>
      </c>
      <c r="N364" t="s">
        <v>1191</v>
      </c>
      <c r="O364" t="s">
        <v>1039</v>
      </c>
      <c r="P364" t="s">
        <v>1631</v>
      </c>
      <c r="Q364">
        <v>1</v>
      </c>
      <c r="R364">
        <v>247.8</v>
      </c>
      <c r="S364">
        <v>227</v>
      </c>
      <c r="T364">
        <v>185</v>
      </c>
      <c r="U364">
        <v>166.1</v>
      </c>
      <c r="V364">
        <v>146.6</v>
      </c>
      <c r="W364">
        <v>136.19999999999999</v>
      </c>
      <c r="BV364" t="s">
        <v>1042</v>
      </c>
    </row>
    <row r="365" spans="1:74" x14ac:dyDescent="0.2">
      <c r="A365" t="s">
        <v>936</v>
      </c>
      <c r="B365" t="s">
        <v>2819</v>
      </c>
      <c r="C365" t="s">
        <v>913</v>
      </c>
      <c r="D365" t="s">
        <v>281</v>
      </c>
      <c r="E365" t="s">
        <v>1031</v>
      </c>
      <c r="F365" t="s">
        <v>2815</v>
      </c>
      <c r="G365" t="s">
        <v>2820</v>
      </c>
      <c r="H365" t="s">
        <v>2821</v>
      </c>
      <c r="I365" t="s">
        <v>2822</v>
      </c>
      <c r="J365" t="s">
        <v>1036</v>
      </c>
      <c r="K365" t="s">
        <v>1037</v>
      </c>
      <c r="N365" t="s">
        <v>1038</v>
      </c>
      <c r="O365" t="s">
        <v>1039</v>
      </c>
      <c r="P365" t="s">
        <v>1040</v>
      </c>
      <c r="Q365" t="s">
        <v>1088</v>
      </c>
      <c r="R365">
        <v>665</v>
      </c>
      <c r="S365">
        <v>649</v>
      </c>
      <c r="T365">
        <v>630</v>
      </c>
      <c r="U365">
        <v>620</v>
      </c>
      <c r="V365">
        <v>612</v>
      </c>
      <c r="W365">
        <v>606</v>
      </c>
      <c r="AE365" t="s">
        <v>548</v>
      </c>
      <c r="AF365" t="s">
        <v>548</v>
      </c>
      <c r="AG365" t="s">
        <v>548</v>
      </c>
      <c r="AH365" t="s">
        <v>548</v>
      </c>
      <c r="AI365" t="s">
        <v>548</v>
      </c>
      <c r="AJ365">
        <v>657</v>
      </c>
      <c r="AK365">
        <v>649</v>
      </c>
      <c r="AL365">
        <v>649</v>
      </c>
      <c r="AM365">
        <v>649</v>
      </c>
      <c r="AN365">
        <v>649</v>
      </c>
      <c r="AO365">
        <v>649</v>
      </c>
      <c r="AP365">
        <v>630</v>
      </c>
      <c r="AQ365">
        <v>620</v>
      </c>
      <c r="AR365">
        <v>612</v>
      </c>
      <c r="AS365">
        <v>606</v>
      </c>
      <c r="AT365">
        <v>637</v>
      </c>
      <c r="AU365">
        <v>619</v>
      </c>
      <c r="AV365">
        <v>609</v>
      </c>
      <c r="AW365">
        <v>600</v>
      </c>
      <c r="AX365">
        <v>594</v>
      </c>
      <c r="AY365">
        <v>626</v>
      </c>
      <c r="AZ365">
        <v>607</v>
      </c>
      <c r="BA365">
        <v>596</v>
      </c>
      <c r="BB365">
        <v>588</v>
      </c>
      <c r="BC365">
        <v>582</v>
      </c>
      <c r="BD365">
        <v>0.45</v>
      </c>
      <c r="BH365">
        <v>0.27</v>
      </c>
      <c r="BJ365">
        <v>1</v>
      </c>
      <c r="BK365" t="s">
        <v>1041</v>
      </c>
      <c r="BV365" t="s">
        <v>1042</v>
      </c>
    </row>
    <row r="366" spans="1:74" x14ac:dyDescent="0.2">
      <c r="A366" t="s">
        <v>936</v>
      </c>
      <c r="B366" t="s">
        <v>2823</v>
      </c>
      <c r="C366" t="s">
        <v>913</v>
      </c>
      <c r="D366" t="s">
        <v>281</v>
      </c>
      <c r="E366" t="s">
        <v>1031</v>
      </c>
      <c r="F366" t="s">
        <v>2815</v>
      </c>
      <c r="G366" t="s">
        <v>2824</v>
      </c>
      <c r="H366" t="s">
        <v>2825</v>
      </c>
      <c r="I366" t="s">
        <v>2826</v>
      </c>
      <c r="J366" t="s">
        <v>1066</v>
      </c>
      <c r="N366" t="s">
        <v>1061</v>
      </c>
      <c r="O366" t="s">
        <v>1067</v>
      </c>
      <c r="P366" t="s">
        <v>2827</v>
      </c>
      <c r="Q366" t="s">
        <v>1067</v>
      </c>
      <c r="R366" t="s">
        <v>1519</v>
      </c>
      <c r="S366" t="s">
        <v>1067</v>
      </c>
      <c r="T366" t="s">
        <v>1067</v>
      </c>
      <c r="U366" t="s">
        <v>1067</v>
      </c>
      <c r="V366" t="s">
        <v>1067</v>
      </c>
      <c r="W366" t="s">
        <v>1067</v>
      </c>
      <c r="AD366" t="s">
        <v>548</v>
      </c>
      <c r="BV366" t="s">
        <v>1042</v>
      </c>
    </row>
    <row r="367" spans="1:74" x14ac:dyDescent="0.2">
      <c r="A367" t="s">
        <v>936</v>
      </c>
      <c r="B367" t="s">
        <v>2828</v>
      </c>
      <c r="C367" t="s">
        <v>913</v>
      </c>
      <c r="D367" t="s">
        <v>281</v>
      </c>
      <c r="E367" t="s">
        <v>1031</v>
      </c>
      <c r="F367" t="s">
        <v>2815</v>
      </c>
      <c r="G367" t="s">
        <v>2829</v>
      </c>
      <c r="H367" t="s">
        <v>2830</v>
      </c>
      <c r="I367" t="s">
        <v>2831</v>
      </c>
      <c r="J367" t="s">
        <v>1066</v>
      </c>
      <c r="N367" t="s">
        <v>1973</v>
      </c>
      <c r="O367" t="s">
        <v>1039</v>
      </c>
      <c r="P367" t="s">
        <v>2832</v>
      </c>
      <c r="Q367" t="s">
        <v>1088</v>
      </c>
      <c r="R367">
        <v>14000</v>
      </c>
      <c r="S367">
        <v>15000</v>
      </c>
      <c r="T367">
        <v>16000</v>
      </c>
      <c r="U367">
        <v>17000</v>
      </c>
      <c r="V367">
        <v>18000</v>
      </c>
      <c r="W367">
        <v>20000</v>
      </c>
      <c r="BV367" t="s">
        <v>1042</v>
      </c>
    </row>
    <row r="368" spans="1:74" x14ac:dyDescent="0.2">
      <c r="A368" t="s">
        <v>936</v>
      </c>
      <c r="B368" t="s">
        <v>2833</v>
      </c>
      <c r="C368" t="s">
        <v>913</v>
      </c>
      <c r="D368" t="s">
        <v>281</v>
      </c>
      <c r="E368" t="s">
        <v>1031</v>
      </c>
      <c r="F368" t="s">
        <v>2815</v>
      </c>
      <c r="G368" t="s">
        <v>2834</v>
      </c>
      <c r="H368" t="s">
        <v>2835</v>
      </c>
      <c r="I368" t="s">
        <v>2836</v>
      </c>
      <c r="J368" t="s">
        <v>1047</v>
      </c>
      <c r="K368" t="s">
        <v>1338</v>
      </c>
      <c r="M368" t="s">
        <v>543</v>
      </c>
      <c r="N368" t="s">
        <v>1183</v>
      </c>
      <c r="O368" t="s">
        <v>253</v>
      </c>
      <c r="P368" t="s">
        <v>2837</v>
      </c>
      <c r="Q368" t="s">
        <v>1088</v>
      </c>
      <c r="R368" t="s">
        <v>1519</v>
      </c>
      <c r="W368">
        <v>100</v>
      </c>
      <c r="AC368" t="s">
        <v>548</v>
      </c>
      <c r="AI368" t="s">
        <v>548</v>
      </c>
      <c r="AN368">
        <v>0</v>
      </c>
      <c r="AS368">
        <v>100</v>
      </c>
      <c r="BD368">
        <v>0.40939999999999999</v>
      </c>
      <c r="BJ368">
        <v>1</v>
      </c>
      <c r="BK368" t="s">
        <v>1041</v>
      </c>
      <c r="BU368" t="s">
        <v>2838</v>
      </c>
      <c r="BV368" t="s">
        <v>1042</v>
      </c>
    </row>
    <row r="369" spans="1:74" x14ac:dyDescent="0.2">
      <c r="A369" t="s">
        <v>936</v>
      </c>
      <c r="B369" t="s">
        <v>2839</v>
      </c>
      <c r="C369" t="s">
        <v>913</v>
      </c>
      <c r="D369" t="s">
        <v>281</v>
      </c>
      <c r="E369" t="s">
        <v>1031</v>
      </c>
      <c r="F369" t="s">
        <v>2840</v>
      </c>
      <c r="G369" t="s">
        <v>2841</v>
      </c>
      <c r="H369" t="s">
        <v>2842</v>
      </c>
      <c r="I369" t="s">
        <v>2843</v>
      </c>
      <c r="J369" t="s">
        <v>1066</v>
      </c>
      <c r="N369" t="s">
        <v>1191</v>
      </c>
      <c r="O369" t="s">
        <v>1039</v>
      </c>
      <c r="P369" t="s">
        <v>2844</v>
      </c>
      <c r="Q369" t="s">
        <v>1088</v>
      </c>
      <c r="R369">
        <v>505</v>
      </c>
      <c r="S369">
        <v>494</v>
      </c>
      <c r="T369">
        <v>483</v>
      </c>
      <c r="U369">
        <v>472</v>
      </c>
      <c r="V369">
        <v>472</v>
      </c>
      <c r="W369">
        <v>476</v>
      </c>
      <c r="BV369" t="s">
        <v>1042</v>
      </c>
    </row>
    <row r="370" spans="1:74" x14ac:dyDescent="0.2">
      <c r="A370" t="s">
        <v>936</v>
      </c>
      <c r="B370" t="s">
        <v>2845</v>
      </c>
      <c r="C370" t="s">
        <v>913</v>
      </c>
      <c r="D370" t="s">
        <v>282</v>
      </c>
      <c r="E370" t="s">
        <v>1227</v>
      </c>
      <c r="F370" t="s">
        <v>2747</v>
      </c>
      <c r="G370" t="s">
        <v>2846</v>
      </c>
      <c r="H370" t="s">
        <v>2847</v>
      </c>
      <c r="I370" t="s">
        <v>2848</v>
      </c>
      <c r="J370" t="s">
        <v>1066</v>
      </c>
      <c r="N370" t="s">
        <v>1203</v>
      </c>
      <c r="O370" t="s">
        <v>253</v>
      </c>
      <c r="P370" t="s">
        <v>2751</v>
      </c>
      <c r="Q370" t="s">
        <v>1088</v>
      </c>
      <c r="R370">
        <v>90</v>
      </c>
      <c r="S370">
        <v>95</v>
      </c>
      <c r="T370">
        <v>95</v>
      </c>
      <c r="U370">
        <v>95</v>
      </c>
      <c r="V370">
        <v>95</v>
      </c>
      <c r="W370">
        <v>95</v>
      </c>
      <c r="BV370" t="s">
        <v>1042</v>
      </c>
    </row>
    <row r="371" spans="1:74" x14ac:dyDescent="0.2">
      <c r="A371" t="s">
        <v>936</v>
      </c>
      <c r="B371" t="s">
        <v>2849</v>
      </c>
      <c r="C371" t="s">
        <v>913</v>
      </c>
      <c r="D371" t="s">
        <v>282</v>
      </c>
      <c r="E371" t="s">
        <v>1227</v>
      </c>
      <c r="F371" t="s">
        <v>2747</v>
      </c>
      <c r="G371" t="s">
        <v>2850</v>
      </c>
      <c r="H371" t="s">
        <v>2851</v>
      </c>
      <c r="I371" t="s">
        <v>2852</v>
      </c>
      <c r="J371" t="s">
        <v>1066</v>
      </c>
      <c r="N371" t="s">
        <v>1203</v>
      </c>
      <c r="O371" t="s">
        <v>1039</v>
      </c>
      <c r="P371" t="s">
        <v>2756</v>
      </c>
      <c r="Q371">
        <v>2</v>
      </c>
      <c r="R371">
        <v>8.0500000000000007</v>
      </c>
      <c r="S371">
        <v>7.6</v>
      </c>
      <c r="T371">
        <v>7.15</v>
      </c>
      <c r="U371">
        <v>6.7</v>
      </c>
      <c r="V371">
        <v>6.25</v>
      </c>
      <c r="W371">
        <v>5.8</v>
      </c>
      <c r="BV371" t="s">
        <v>1042</v>
      </c>
    </row>
    <row r="372" spans="1:74" x14ac:dyDescent="0.2">
      <c r="A372" t="s">
        <v>936</v>
      </c>
      <c r="B372" t="s">
        <v>2853</v>
      </c>
      <c r="C372" t="s">
        <v>913</v>
      </c>
      <c r="D372" t="s">
        <v>282</v>
      </c>
      <c r="E372" t="s">
        <v>1227</v>
      </c>
      <c r="F372" t="s">
        <v>2747</v>
      </c>
      <c r="G372" t="s">
        <v>2854</v>
      </c>
      <c r="H372" t="s">
        <v>2855</v>
      </c>
      <c r="I372" t="s">
        <v>2856</v>
      </c>
      <c r="J372" t="s">
        <v>1066</v>
      </c>
      <c r="N372" t="s">
        <v>1203</v>
      </c>
      <c r="O372" t="s">
        <v>1113</v>
      </c>
      <c r="P372" t="s">
        <v>2761</v>
      </c>
      <c r="Q372">
        <v>2</v>
      </c>
      <c r="R372">
        <v>4.3</v>
      </c>
      <c r="S372">
        <v>4.55</v>
      </c>
      <c r="T372">
        <v>4.5999999999999996</v>
      </c>
      <c r="U372">
        <v>4.6500000000000004</v>
      </c>
      <c r="V372">
        <v>4.6500000000000004</v>
      </c>
      <c r="W372">
        <v>4.7</v>
      </c>
      <c r="BV372" t="s">
        <v>1042</v>
      </c>
    </row>
    <row r="373" spans="1:74" x14ac:dyDescent="0.2">
      <c r="A373" t="s">
        <v>936</v>
      </c>
      <c r="B373" t="s">
        <v>2857</v>
      </c>
      <c r="C373" t="s">
        <v>913</v>
      </c>
      <c r="D373" t="s">
        <v>282</v>
      </c>
      <c r="E373" t="s">
        <v>1227</v>
      </c>
      <c r="F373" t="s">
        <v>2858</v>
      </c>
      <c r="G373" t="s">
        <v>2859</v>
      </c>
      <c r="H373" t="s">
        <v>2860</v>
      </c>
      <c r="I373" t="s">
        <v>2861</v>
      </c>
      <c r="J373" t="s">
        <v>1047</v>
      </c>
      <c r="K373" t="s">
        <v>1037</v>
      </c>
      <c r="M373" t="s">
        <v>543</v>
      </c>
      <c r="N373" t="s">
        <v>1285</v>
      </c>
      <c r="O373" t="s">
        <v>1211</v>
      </c>
      <c r="P373" t="s">
        <v>1339</v>
      </c>
      <c r="Q373" t="s">
        <v>1041</v>
      </c>
      <c r="R373" t="s">
        <v>1213</v>
      </c>
      <c r="S373" t="s">
        <v>1213</v>
      </c>
      <c r="T373" t="s">
        <v>1213</v>
      </c>
      <c r="U373" t="s">
        <v>1213</v>
      </c>
      <c r="V373" t="s">
        <v>1213</v>
      </c>
      <c r="W373" t="s">
        <v>1213</v>
      </c>
      <c r="AE373" t="s">
        <v>548</v>
      </c>
      <c r="AF373" t="s">
        <v>548</v>
      </c>
      <c r="AG373" t="s">
        <v>548</v>
      </c>
      <c r="AH373" t="s">
        <v>548</v>
      </c>
      <c r="AI373" t="s">
        <v>548</v>
      </c>
      <c r="AJ373" t="s">
        <v>1340</v>
      </c>
      <c r="AK373" t="s">
        <v>1340</v>
      </c>
      <c r="AL373" t="s">
        <v>1340</v>
      </c>
      <c r="AM373" t="s">
        <v>1340</v>
      </c>
      <c r="AN373" t="s">
        <v>1340</v>
      </c>
      <c r="AO373" t="s">
        <v>1341</v>
      </c>
      <c r="AP373" t="s">
        <v>1341</v>
      </c>
      <c r="AQ373" t="s">
        <v>1341</v>
      </c>
      <c r="AR373" t="s">
        <v>1341</v>
      </c>
      <c r="AS373" t="s">
        <v>1341</v>
      </c>
      <c r="BD373">
        <v>4.5350000000000001</v>
      </c>
      <c r="BJ373">
        <v>1</v>
      </c>
      <c r="BK373" t="s">
        <v>1041</v>
      </c>
      <c r="BU373" t="s">
        <v>2862</v>
      </c>
      <c r="BV373" t="s">
        <v>1042</v>
      </c>
    </row>
    <row r="374" spans="1:74" x14ac:dyDescent="0.2">
      <c r="A374" t="s">
        <v>936</v>
      </c>
      <c r="B374" t="s">
        <v>2863</v>
      </c>
      <c r="C374" t="s">
        <v>913</v>
      </c>
      <c r="D374" t="s">
        <v>282</v>
      </c>
      <c r="E374" t="s">
        <v>1227</v>
      </c>
      <c r="F374" t="s">
        <v>2858</v>
      </c>
      <c r="G374" t="s">
        <v>2864</v>
      </c>
      <c r="H374" t="s">
        <v>2865</v>
      </c>
      <c r="I374" t="s">
        <v>2866</v>
      </c>
      <c r="J374" t="s">
        <v>1047</v>
      </c>
      <c r="K374" t="s">
        <v>1037</v>
      </c>
      <c r="M374" t="s">
        <v>543</v>
      </c>
      <c r="N374" t="s">
        <v>1285</v>
      </c>
      <c r="O374" t="s">
        <v>1211</v>
      </c>
      <c r="P374" t="s">
        <v>1339</v>
      </c>
      <c r="Q374" t="s">
        <v>1041</v>
      </c>
      <c r="R374" t="s">
        <v>1213</v>
      </c>
      <c r="S374" t="s">
        <v>1213</v>
      </c>
      <c r="T374" t="s">
        <v>1213</v>
      </c>
      <c r="U374" t="s">
        <v>1213</v>
      </c>
      <c r="V374" t="s">
        <v>1213</v>
      </c>
      <c r="W374" t="s">
        <v>1213</v>
      </c>
      <c r="AE374" t="s">
        <v>548</v>
      </c>
      <c r="AF374" t="s">
        <v>548</v>
      </c>
      <c r="AG374" t="s">
        <v>548</v>
      </c>
      <c r="AH374" t="s">
        <v>548</v>
      </c>
      <c r="AI374" t="s">
        <v>548</v>
      </c>
      <c r="AJ374" t="s">
        <v>1340</v>
      </c>
      <c r="AK374" t="s">
        <v>1340</v>
      </c>
      <c r="AL374" t="s">
        <v>1340</v>
      </c>
      <c r="AM374" t="s">
        <v>1340</v>
      </c>
      <c r="AN374" t="s">
        <v>1340</v>
      </c>
      <c r="AO374" t="s">
        <v>1341</v>
      </c>
      <c r="AP374" t="s">
        <v>1341</v>
      </c>
      <c r="AQ374" t="s">
        <v>1341</v>
      </c>
      <c r="AR374" t="s">
        <v>1341</v>
      </c>
      <c r="AS374" t="s">
        <v>1341</v>
      </c>
      <c r="BD374">
        <v>4.5350000000000001</v>
      </c>
      <c r="BJ374">
        <v>1</v>
      </c>
      <c r="BK374" t="s">
        <v>1041</v>
      </c>
      <c r="BU374" t="s">
        <v>2867</v>
      </c>
      <c r="BV374" t="s">
        <v>1042</v>
      </c>
    </row>
    <row r="375" spans="1:74" x14ac:dyDescent="0.2">
      <c r="A375" t="s">
        <v>936</v>
      </c>
      <c r="B375" t="s">
        <v>2868</v>
      </c>
      <c r="C375" t="s">
        <v>913</v>
      </c>
      <c r="D375" t="s">
        <v>282</v>
      </c>
      <c r="E375" t="s">
        <v>1227</v>
      </c>
      <c r="F375" t="s">
        <v>2858</v>
      </c>
      <c r="G375" t="s">
        <v>2869</v>
      </c>
      <c r="H375" t="s">
        <v>2870</v>
      </c>
      <c r="I375" t="s">
        <v>2871</v>
      </c>
      <c r="J375" t="s">
        <v>1036</v>
      </c>
      <c r="K375" t="s">
        <v>1338</v>
      </c>
      <c r="M375" t="s">
        <v>543</v>
      </c>
      <c r="N375" t="s">
        <v>1231</v>
      </c>
      <c r="O375" t="s">
        <v>1039</v>
      </c>
      <c r="P375" t="s">
        <v>2872</v>
      </c>
      <c r="Q375" t="s">
        <v>1088</v>
      </c>
      <c r="R375" t="s">
        <v>1519</v>
      </c>
      <c r="W375">
        <v>2127</v>
      </c>
      <c r="AC375" t="s">
        <v>548</v>
      </c>
      <c r="AI375" t="s">
        <v>548</v>
      </c>
      <c r="AN375">
        <v>1459</v>
      </c>
      <c r="AS375">
        <v>2127</v>
      </c>
      <c r="AX375">
        <v>2127</v>
      </c>
      <c r="BC375">
        <v>2753</v>
      </c>
      <c r="BD375" t="s">
        <v>2110</v>
      </c>
      <c r="BH375" t="s">
        <v>2110</v>
      </c>
      <c r="BJ375">
        <v>1</v>
      </c>
      <c r="BK375" t="s">
        <v>1041</v>
      </c>
      <c r="BU375" t="s">
        <v>2873</v>
      </c>
      <c r="BV375" t="s">
        <v>1042</v>
      </c>
    </row>
    <row r="376" spans="1:74" x14ac:dyDescent="0.2">
      <c r="A376" t="s">
        <v>936</v>
      </c>
      <c r="B376" t="s">
        <v>2874</v>
      </c>
      <c r="C376" t="s">
        <v>913</v>
      </c>
      <c r="D376" t="s">
        <v>282</v>
      </c>
      <c r="E376" t="s">
        <v>1227</v>
      </c>
      <c r="F376" t="s">
        <v>2858</v>
      </c>
      <c r="G376" t="s">
        <v>2875</v>
      </c>
      <c r="H376" t="s">
        <v>2876</v>
      </c>
      <c r="I376" t="s">
        <v>2877</v>
      </c>
      <c r="J376" t="s">
        <v>1036</v>
      </c>
      <c r="K376" t="s">
        <v>1037</v>
      </c>
      <c r="N376" t="s">
        <v>1231</v>
      </c>
      <c r="O376" t="s">
        <v>1039</v>
      </c>
      <c r="P376" t="s">
        <v>2878</v>
      </c>
      <c r="Q376" t="s">
        <v>1088</v>
      </c>
      <c r="R376">
        <v>1209</v>
      </c>
      <c r="S376">
        <v>1168</v>
      </c>
      <c r="T376">
        <v>1126</v>
      </c>
      <c r="U376">
        <v>1085</v>
      </c>
      <c r="V376">
        <v>1085</v>
      </c>
      <c r="W376">
        <v>1085</v>
      </c>
      <c r="AB376" t="s">
        <v>548</v>
      </c>
      <c r="AE376" t="s">
        <v>548</v>
      </c>
      <c r="AF376" t="s">
        <v>548</v>
      </c>
      <c r="AG376" t="s">
        <v>548</v>
      </c>
      <c r="AH376" t="s">
        <v>548</v>
      </c>
      <c r="AI376" t="s">
        <v>548</v>
      </c>
      <c r="AJ376">
        <v>1339</v>
      </c>
      <c r="AK376">
        <v>1339</v>
      </c>
      <c r="AL376">
        <v>1215</v>
      </c>
      <c r="AM376">
        <v>1215</v>
      </c>
      <c r="AN376">
        <v>1215</v>
      </c>
      <c r="AO376">
        <v>1209</v>
      </c>
      <c r="AP376">
        <v>1209</v>
      </c>
      <c r="AQ376">
        <v>1085</v>
      </c>
      <c r="AR376">
        <v>1085</v>
      </c>
      <c r="AS376">
        <v>1085</v>
      </c>
      <c r="AT376">
        <v>1085</v>
      </c>
      <c r="AU376">
        <v>1085</v>
      </c>
      <c r="AV376">
        <v>1085</v>
      </c>
      <c r="AW376">
        <v>1085</v>
      </c>
      <c r="AX376">
        <v>1085</v>
      </c>
      <c r="AY376">
        <v>955</v>
      </c>
      <c r="AZ376">
        <v>955</v>
      </c>
      <c r="BA376">
        <v>955</v>
      </c>
      <c r="BB376">
        <v>955</v>
      </c>
      <c r="BC376">
        <v>955</v>
      </c>
      <c r="BD376">
        <v>0.09</v>
      </c>
      <c r="BH376">
        <v>5.5E-2</v>
      </c>
      <c r="BJ376">
        <v>1</v>
      </c>
      <c r="BK376" t="s">
        <v>1041</v>
      </c>
      <c r="BV376" t="s">
        <v>1011</v>
      </c>
    </row>
    <row r="377" spans="1:74" x14ac:dyDescent="0.2">
      <c r="A377" t="s">
        <v>936</v>
      </c>
      <c r="B377" t="s">
        <v>2879</v>
      </c>
      <c r="C377" t="s">
        <v>913</v>
      </c>
      <c r="D377" t="s">
        <v>282</v>
      </c>
      <c r="E377" t="s">
        <v>1227</v>
      </c>
      <c r="F377" t="s">
        <v>2858</v>
      </c>
      <c r="G377" t="s">
        <v>2880</v>
      </c>
      <c r="H377" t="s">
        <v>2881</v>
      </c>
      <c r="I377" t="s">
        <v>2882</v>
      </c>
      <c r="J377" t="s">
        <v>1036</v>
      </c>
      <c r="K377" t="s">
        <v>1037</v>
      </c>
      <c r="N377" t="s">
        <v>1242</v>
      </c>
      <c r="O377" t="s">
        <v>1039</v>
      </c>
      <c r="P377" t="s">
        <v>2883</v>
      </c>
      <c r="Q377" t="s">
        <v>1088</v>
      </c>
      <c r="R377" t="s">
        <v>1519</v>
      </c>
      <c r="W377">
        <v>20</v>
      </c>
      <c r="AI377" t="s">
        <v>548</v>
      </c>
      <c r="AN377">
        <v>10</v>
      </c>
      <c r="AS377">
        <v>20</v>
      </c>
      <c r="AX377">
        <v>20</v>
      </c>
      <c r="BC377">
        <v>50</v>
      </c>
      <c r="BD377">
        <v>0.51500000000000001</v>
      </c>
      <c r="BH377">
        <v>0.47499999999999998</v>
      </c>
      <c r="BJ377">
        <v>1</v>
      </c>
      <c r="BK377" t="s">
        <v>1041</v>
      </c>
      <c r="BV377" t="s">
        <v>1042</v>
      </c>
    </row>
    <row r="378" spans="1:74" x14ac:dyDescent="0.2">
      <c r="A378" t="s">
        <v>936</v>
      </c>
      <c r="B378" t="s">
        <v>2884</v>
      </c>
      <c r="C378" t="s">
        <v>913</v>
      </c>
      <c r="D378" t="s">
        <v>282</v>
      </c>
      <c r="E378" t="s">
        <v>1227</v>
      </c>
      <c r="F378" t="s">
        <v>2858</v>
      </c>
      <c r="G378" t="s">
        <v>2885</v>
      </c>
      <c r="H378" t="s">
        <v>2886</v>
      </c>
      <c r="I378" t="s">
        <v>2887</v>
      </c>
      <c r="J378" t="s">
        <v>1047</v>
      </c>
      <c r="K378" t="s">
        <v>1037</v>
      </c>
      <c r="M378" t="s">
        <v>543</v>
      </c>
      <c r="N378" t="s">
        <v>2093</v>
      </c>
      <c r="O378" t="s">
        <v>253</v>
      </c>
      <c r="P378" t="s">
        <v>2807</v>
      </c>
      <c r="Q378" t="s">
        <v>1088</v>
      </c>
      <c r="R378">
        <v>100</v>
      </c>
      <c r="W378">
        <v>100</v>
      </c>
      <c r="AC378" t="s">
        <v>548</v>
      </c>
      <c r="AI378" t="s">
        <v>548</v>
      </c>
      <c r="AN378">
        <v>0</v>
      </c>
      <c r="AS378">
        <v>100</v>
      </c>
      <c r="BD378">
        <v>0.40400000000000003</v>
      </c>
      <c r="BJ378">
        <v>1</v>
      </c>
      <c r="BK378" t="s">
        <v>1041</v>
      </c>
      <c r="BU378" t="s">
        <v>2888</v>
      </c>
      <c r="BV378" t="s">
        <v>1042</v>
      </c>
    </row>
    <row r="379" spans="1:74" x14ac:dyDescent="0.2">
      <c r="A379" t="s">
        <v>936</v>
      </c>
      <c r="B379" t="s">
        <v>2889</v>
      </c>
      <c r="C379" t="s">
        <v>913</v>
      </c>
      <c r="D379" t="s">
        <v>282</v>
      </c>
      <c r="E379" t="s">
        <v>1227</v>
      </c>
      <c r="F379" t="s">
        <v>2858</v>
      </c>
      <c r="G379" t="s">
        <v>2890</v>
      </c>
      <c r="H379" t="s">
        <v>2891</v>
      </c>
      <c r="I379" t="s">
        <v>2892</v>
      </c>
      <c r="J379" t="s">
        <v>1047</v>
      </c>
      <c r="K379" t="s">
        <v>1037</v>
      </c>
      <c r="N379" t="s">
        <v>1144</v>
      </c>
      <c r="O379" t="s">
        <v>1039</v>
      </c>
      <c r="P379" t="s">
        <v>2893</v>
      </c>
      <c r="Q379" t="s">
        <v>1088</v>
      </c>
      <c r="W379">
        <v>1700000</v>
      </c>
      <c r="AI379" t="s">
        <v>548</v>
      </c>
      <c r="AN379">
        <v>1360000</v>
      </c>
      <c r="AS379">
        <v>1700000</v>
      </c>
      <c r="BD379">
        <v>7.1999999999999999E-7</v>
      </c>
      <c r="BJ379">
        <v>1</v>
      </c>
      <c r="BK379" t="s">
        <v>1041</v>
      </c>
      <c r="BU379" t="s">
        <v>2894</v>
      </c>
      <c r="BV379" t="s">
        <v>1042</v>
      </c>
    </row>
    <row r="380" spans="1:74" x14ac:dyDescent="0.2">
      <c r="A380" t="s">
        <v>936</v>
      </c>
      <c r="B380" t="s">
        <v>2895</v>
      </c>
      <c r="C380" t="s">
        <v>913</v>
      </c>
      <c r="D380" t="s">
        <v>282</v>
      </c>
      <c r="E380" t="s">
        <v>1227</v>
      </c>
      <c r="F380" t="s">
        <v>2858</v>
      </c>
      <c r="G380" t="s">
        <v>2896</v>
      </c>
      <c r="H380" t="s">
        <v>2897</v>
      </c>
      <c r="I380" t="s">
        <v>2898</v>
      </c>
      <c r="J380" t="s">
        <v>1047</v>
      </c>
      <c r="K380" t="s">
        <v>1037</v>
      </c>
      <c r="M380" t="s">
        <v>543</v>
      </c>
      <c r="N380" t="s">
        <v>1183</v>
      </c>
      <c r="O380" t="s">
        <v>1295</v>
      </c>
      <c r="P380" t="s">
        <v>2248</v>
      </c>
      <c r="Q380" t="s">
        <v>1041</v>
      </c>
      <c r="S380" t="s">
        <v>1722</v>
      </c>
      <c r="AC380" t="s">
        <v>548</v>
      </c>
      <c r="AE380" t="s">
        <v>548</v>
      </c>
      <c r="AF380" t="s">
        <v>548</v>
      </c>
      <c r="AG380" t="s">
        <v>548</v>
      </c>
      <c r="AH380" t="s">
        <v>548</v>
      </c>
      <c r="AI380" t="s">
        <v>548</v>
      </c>
      <c r="AJ380" t="s">
        <v>2899</v>
      </c>
      <c r="AK380" t="s">
        <v>2899</v>
      </c>
      <c r="AL380" t="s">
        <v>2899</v>
      </c>
      <c r="AM380" t="s">
        <v>2899</v>
      </c>
      <c r="AN380" t="s">
        <v>2899</v>
      </c>
      <c r="AO380" t="s">
        <v>2899</v>
      </c>
      <c r="AP380" t="s">
        <v>2899</v>
      </c>
      <c r="AQ380" t="s">
        <v>2899</v>
      </c>
      <c r="AR380" t="s">
        <v>2899</v>
      </c>
      <c r="AS380" t="s">
        <v>2899</v>
      </c>
      <c r="BD380">
        <v>6.7</v>
      </c>
      <c r="BJ380">
        <v>1</v>
      </c>
      <c r="BK380" t="s">
        <v>1041</v>
      </c>
      <c r="BU380" t="s">
        <v>2900</v>
      </c>
      <c r="BV380" t="s">
        <v>1042</v>
      </c>
    </row>
    <row r="381" spans="1:74" x14ac:dyDescent="0.2">
      <c r="A381" t="s">
        <v>936</v>
      </c>
      <c r="B381" t="s">
        <v>2901</v>
      </c>
      <c r="C381" t="s">
        <v>913</v>
      </c>
      <c r="D381" t="s">
        <v>282</v>
      </c>
      <c r="E381" t="s">
        <v>1227</v>
      </c>
      <c r="F381" t="s">
        <v>2858</v>
      </c>
      <c r="G381" t="s">
        <v>2902</v>
      </c>
      <c r="H381" t="s">
        <v>2903</v>
      </c>
      <c r="I381" t="s">
        <v>2904</v>
      </c>
      <c r="J381" t="s">
        <v>1047</v>
      </c>
      <c r="K381" t="s">
        <v>1037</v>
      </c>
      <c r="M381" t="s">
        <v>543</v>
      </c>
      <c r="N381" t="s">
        <v>1183</v>
      </c>
      <c r="O381" t="s">
        <v>1295</v>
      </c>
      <c r="P381" t="s">
        <v>2248</v>
      </c>
      <c r="Q381" t="s">
        <v>1041</v>
      </c>
      <c r="T381" t="s">
        <v>1722</v>
      </c>
      <c r="AC381" t="s">
        <v>548</v>
      </c>
      <c r="AI381" t="s">
        <v>548</v>
      </c>
      <c r="AN381" t="s">
        <v>2899</v>
      </c>
      <c r="AS381" t="s">
        <v>2899</v>
      </c>
      <c r="BD381">
        <v>198</v>
      </c>
      <c r="BJ381">
        <v>1</v>
      </c>
      <c r="BK381" t="s">
        <v>1041</v>
      </c>
      <c r="BU381" t="s">
        <v>2905</v>
      </c>
      <c r="BV381" t="s">
        <v>1042</v>
      </c>
    </row>
    <row r="382" spans="1:74" x14ac:dyDescent="0.2">
      <c r="A382" t="s">
        <v>936</v>
      </c>
      <c r="B382" t="s">
        <v>2906</v>
      </c>
      <c r="C382" t="s">
        <v>913</v>
      </c>
      <c r="D382" t="s">
        <v>282</v>
      </c>
      <c r="E382" t="s">
        <v>1227</v>
      </c>
      <c r="F382" t="s">
        <v>2815</v>
      </c>
      <c r="G382" t="s">
        <v>2907</v>
      </c>
      <c r="H382" t="s">
        <v>2908</v>
      </c>
      <c r="I382" t="s">
        <v>2909</v>
      </c>
      <c r="J382" t="s">
        <v>1066</v>
      </c>
      <c r="N382" t="s">
        <v>1191</v>
      </c>
      <c r="O382" t="s">
        <v>1039</v>
      </c>
      <c r="P382" t="s">
        <v>1631</v>
      </c>
      <c r="Q382">
        <v>1</v>
      </c>
      <c r="R382">
        <v>394.6</v>
      </c>
      <c r="S382">
        <v>368.1</v>
      </c>
      <c r="T382">
        <v>322.5</v>
      </c>
      <c r="U382">
        <v>290.5</v>
      </c>
      <c r="V382">
        <v>269.60000000000002</v>
      </c>
      <c r="W382">
        <v>260.60000000000002</v>
      </c>
      <c r="BV382" t="s">
        <v>1042</v>
      </c>
    </row>
    <row r="383" spans="1:74" x14ac:dyDescent="0.2">
      <c r="A383" t="s">
        <v>936</v>
      </c>
      <c r="B383" t="s">
        <v>2910</v>
      </c>
      <c r="C383" t="s">
        <v>913</v>
      </c>
      <c r="D383" t="s">
        <v>282</v>
      </c>
      <c r="E383" t="s">
        <v>1227</v>
      </c>
      <c r="F383" t="s">
        <v>2815</v>
      </c>
      <c r="G383" t="s">
        <v>2911</v>
      </c>
      <c r="H383" t="s">
        <v>2912</v>
      </c>
      <c r="I383" t="s">
        <v>2913</v>
      </c>
      <c r="J383" t="s">
        <v>1036</v>
      </c>
      <c r="K383" t="s">
        <v>1037</v>
      </c>
      <c r="M383" t="s">
        <v>543</v>
      </c>
      <c r="N383" t="s">
        <v>1261</v>
      </c>
      <c r="O383" t="s">
        <v>1039</v>
      </c>
      <c r="P383" t="s">
        <v>1985</v>
      </c>
      <c r="Q383" t="s">
        <v>1088</v>
      </c>
      <c r="R383">
        <v>340</v>
      </c>
      <c r="S383">
        <v>340</v>
      </c>
      <c r="T383">
        <v>340</v>
      </c>
      <c r="U383">
        <v>340</v>
      </c>
      <c r="V383">
        <v>340</v>
      </c>
      <c r="W383">
        <v>340</v>
      </c>
      <c r="AA383" t="s">
        <v>548</v>
      </c>
      <c r="AE383" t="s">
        <v>548</v>
      </c>
      <c r="AF383" t="s">
        <v>548</v>
      </c>
      <c r="AG383" t="s">
        <v>548</v>
      </c>
      <c r="AH383" t="s">
        <v>548</v>
      </c>
      <c r="AI383" t="s">
        <v>548</v>
      </c>
      <c r="AJ383">
        <v>465</v>
      </c>
      <c r="AK383">
        <v>465</v>
      </c>
      <c r="AL383">
        <v>465</v>
      </c>
      <c r="AM383">
        <v>465</v>
      </c>
      <c r="AN383">
        <v>465</v>
      </c>
      <c r="AO383">
        <v>400</v>
      </c>
      <c r="AP383">
        <v>400</v>
      </c>
      <c r="AQ383">
        <v>400</v>
      </c>
      <c r="AR383">
        <v>400</v>
      </c>
      <c r="AS383">
        <v>400</v>
      </c>
      <c r="AT383">
        <v>263</v>
      </c>
      <c r="AU383">
        <v>263</v>
      </c>
      <c r="AV383">
        <v>263</v>
      </c>
      <c r="AW383">
        <v>263</v>
      </c>
      <c r="AX383">
        <v>263</v>
      </c>
      <c r="AY383">
        <v>229</v>
      </c>
      <c r="AZ383">
        <v>229</v>
      </c>
      <c r="BA383">
        <v>229</v>
      </c>
      <c r="BB383">
        <v>229</v>
      </c>
      <c r="BC383">
        <v>229</v>
      </c>
      <c r="BD383">
        <v>0.13</v>
      </c>
      <c r="BH383">
        <v>0.13</v>
      </c>
      <c r="BJ383">
        <v>1</v>
      </c>
      <c r="BK383" t="s">
        <v>1041</v>
      </c>
      <c r="BU383" t="s">
        <v>2914</v>
      </c>
      <c r="BV383" t="s">
        <v>1010</v>
      </c>
    </row>
    <row r="384" spans="1:74" x14ac:dyDescent="0.2">
      <c r="A384" t="s">
        <v>936</v>
      </c>
      <c r="B384" t="s">
        <v>2915</v>
      </c>
      <c r="C384" t="s">
        <v>913</v>
      </c>
      <c r="D384" t="s">
        <v>282</v>
      </c>
      <c r="E384" t="s">
        <v>1227</v>
      </c>
      <c r="F384" t="s">
        <v>2815</v>
      </c>
      <c r="G384" t="s">
        <v>2916</v>
      </c>
      <c r="H384" t="s">
        <v>2917</v>
      </c>
      <c r="I384" t="s">
        <v>2918</v>
      </c>
      <c r="J384" t="s">
        <v>1047</v>
      </c>
      <c r="K384" t="s">
        <v>1037</v>
      </c>
      <c r="N384" t="s">
        <v>1183</v>
      </c>
      <c r="O384" t="s">
        <v>253</v>
      </c>
      <c r="P384" t="s">
        <v>2919</v>
      </c>
      <c r="Q384">
        <v>2</v>
      </c>
      <c r="R384">
        <v>98.88</v>
      </c>
      <c r="S384">
        <v>100</v>
      </c>
      <c r="T384">
        <v>100</v>
      </c>
      <c r="U384">
        <v>100</v>
      </c>
      <c r="V384">
        <v>100</v>
      </c>
      <c r="W384">
        <v>100</v>
      </c>
      <c r="AE384" t="s">
        <v>548</v>
      </c>
      <c r="AF384" t="s">
        <v>548</v>
      </c>
      <c r="AG384" t="s">
        <v>548</v>
      </c>
      <c r="AH384" t="s">
        <v>548</v>
      </c>
      <c r="AI384" t="s">
        <v>548</v>
      </c>
      <c r="AJ384">
        <v>96.61</v>
      </c>
      <c r="AK384">
        <v>96.61</v>
      </c>
      <c r="AL384">
        <v>96.61</v>
      </c>
      <c r="AM384">
        <v>96.61</v>
      </c>
      <c r="AN384">
        <v>96.61</v>
      </c>
      <c r="AO384">
        <v>98.88</v>
      </c>
      <c r="AP384">
        <v>98.88</v>
      </c>
      <c r="AQ384">
        <v>98.88</v>
      </c>
      <c r="AR384">
        <v>98.88</v>
      </c>
      <c r="AS384">
        <v>98.88</v>
      </c>
      <c r="BD384">
        <v>3.8450000000000002</v>
      </c>
      <c r="BJ384">
        <v>1</v>
      </c>
      <c r="BK384" t="s">
        <v>1041</v>
      </c>
      <c r="BV384" t="s">
        <v>1042</v>
      </c>
    </row>
    <row r="385" spans="1:74" x14ac:dyDescent="0.2">
      <c r="A385" t="s">
        <v>936</v>
      </c>
      <c r="B385" t="s">
        <v>2920</v>
      </c>
      <c r="C385" t="s">
        <v>913</v>
      </c>
      <c r="D385" t="s">
        <v>282</v>
      </c>
      <c r="E385" t="s">
        <v>1227</v>
      </c>
      <c r="F385" t="s">
        <v>2815</v>
      </c>
      <c r="G385" t="s">
        <v>2921</v>
      </c>
      <c r="H385" t="s">
        <v>2922</v>
      </c>
      <c r="I385" t="s">
        <v>2923</v>
      </c>
      <c r="J385" t="s">
        <v>1066</v>
      </c>
      <c r="N385" t="s">
        <v>2372</v>
      </c>
      <c r="O385" t="s">
        <v>1039</v>
      </c>
      <c r="P385" t="s">
        <v>2924</v>
      </c>
      <c r="Q385" t="s">
        <v>1088</v>
      </c>
      <c r="R385" t="s">
        <v>1519</v>
      </c>
      <c r="W385">
        <v>13</v>
      </c>
      <c r="BV385" t="s">
        <v>1042</v>
      </c>
    </row>
    <row r="386" spans="1:74" x14ac:dyDescent="0.2">
      <c r="A386" t="s">
        <v>936</v>
      </c>
      <c r="B386" t="s">
        <v>2925</v>
      </c>
      <c r="C386" t="s">
        <v>913</v>
      </c>
      <c r="D386" t="s">
        <v>282</v>
      </c>
      <c r="E386" t="s">
        <v>1227</v>
      </c>
      <c r="F386" t="s">
        <v>2815</v>
      </c>
      <c r="G386" t="s">
        <v>2926</v>
      </c>
      <c r="H386" t="s">
        <v>2927</v>
      </c>
      <c r="I386" t="s">
        <v>2928</v>
      </c>
      <c r="J386" t="s">
        <v>1066</v>
      </c>
      <c r="N386" t="s">
        <v>678</v>
      </c>
      <c r="O386" t="s">
        <v>253</v>
      </c>
      <c r="P386" t="s">
        <v>2689</v>
      </c>
      <c r="Q386" t="s">
        <v>1088</v>
      </c>
      <c r="R386">
        <v>100</v>
      </c>
      <c r="S386">
        <v>100</v>
      </c>
      <c r="T386">
        <v>100</v>
      </c>
      <c r="U386">
        <v>100</v>
      </c>
      <c r="V386">
        <v>100</v>
      </c>
      <c r="W386">
        <v>100</v>
      </c>
      <c r="BV386" t="s">
        <v>1042</v>
      </c>
    </row>
    <row r="387" spans="1:74" x14ac:dyDescent="0.2">
      <c r="A387" t="s">
        <v>936</v>
      </c>
      <c r="B387" t="s">
        <v>2929</v>
      </c>
      <c r="C387" t="s">
        <v>913</v>
      </c>
      <c r="D387" t="s">
        <v>282</v>
      </c>
      <c r="E387" t="s">
        <v>1227</v>
      </c>
      <c r="F387" t="s">
        <v>2815</v>
      </c>
      <c r="G387" t="s">
        <v>2930</v>
      </c>
      <c r="H387" t="s">
        <v>2931</v>
      </c>
      <c r="I387" t="s">
        <v>2932</v>
      </c>
      <c r="J387" t="s">
        <v>1066</v>
      </c>
      <c r="N387" t="s">
        <v>1973</v>
      </c>
      <c r="O387" t="s">
        <v>1039</v>
      </c>
      <c r="P387" t="s">
        <v>2832</v>
      </c>
      <c r="Q387" t="s">
        <v>1088</v>
      </c>
      <c r="R387">
        <v>14000</v>
      </c>
      <c r="S387">
        <v>15000</v>
      </c>
      <c r="T387">
        <v>16000</v>
      </c>
      <c r="U387">
        <v>17000</v>
      </c>
      <c r="V387">
        <v>18000</v>
      </c>
      <c r="W387">
        <v>20000</v>
      </c>
      <c r="BV387" t="s">
        <v>1042</v>
      </c>
    </row>
    <row r="388" spans="1:74" x14ac:dyDescent="0.2">
      <c r="A388" t="s">
        <v>936</v>
      </c>
      <c r="B388" t="s">
        <v>2933</v>
      </c>
      <c r="C388" t="s">
        <v>913</v>
      </c>
      <c r="D388" t="s">
        <v>282</v>
      </c>
      <c r="E388" t="s">
        <v>1227</v>
      </c>
      <c r="F388" t="s">
        <v>2815</v>
      </c>
      <c r="G388" t="s">
        <v>2934</v>
      </c>
      <c r="H388" t="s">
        <v>2935</v>
      </c>
      <c r="I388" t="s">
        <v>2936</v>
      </c>
      <c r="J388" t="s">
        <v>1036</v>
      </c>
      <c r="K388" t="s">
        <v>1037</v>
      </c>
      <c r="M388" t="s">
        <v>543</v>
      </c>
      <c r="N388" t="s">
        <v>2210</v>
      </c>
      <c r="O388" t="s">
        <v>1039</v>
      </c>
      <c r="P388" t="s">
        <v>2937</v>
      </c>
      <c r="Q388" t="s">
        <v>1088</v>
      </c>
      <c r="R388">
        <v>14311</v>
      </c>
      <c r="S388">
        <v>0</v>
      </c>
      <c r="T388">
        <v>793</v>
      </c>
      <c r="U388">
        <v>1771</v>
      </c>
      <c r="V388">
        <v>6593</v>
      </c>
      <c r="W388">
        <v>6593</v>
      </c>
      <c r="AE388" t="s">
        <v>548</v>
      </c>
      <c r="AF388" t="s">
        <v>548</v>
      </c>
      <c r="AG388" t="s">
        <v>548</v>
      </c>
      <c r="AH388" t="s">
        <v>548</v>
      </c>
      <c r="AI388" t="s">
        <v>548</v>
      </c>
      <c r="AJ388">
        <v>0</v>
      </c>
      <c r="AK388">
        <v>0</v>
      </c>
      <c r="AL388">
        <v>0</v>
      </c>
      <c r="AM388">
        <v>0</v>
      </c>
      <c r="AN388">
        <v>3874</v>
      </c>
      <c r="AO388">
        <v>0</v>
      </c>
      <c r="AP388">
        <v>793</v>
      </c>
      <c r="AQ388">
        <v>1771</v>
      </c>
      <c r="AR388">
        <v>6593</v>
      </c>
      <c r="AS388">
        <v>6593</v>
      </c>
      <c r="AT388">
        <v>0</v>
      </c>
      <c r="AU388">
        <v>793</v>
      </c>
      <c r="AV388">
        <v>1771</v>
      </c>
      <c r="AW388">
        <v>6593</v>
      </c>
      <c r="AX388">
        <v>6593</v>
      </c>
      <c r="AY388">
        <v>0</v>
      </c>
      <c r="AZ388">
        <v>5807</v>
      </c>
      <c r="BA388">
        <v>11800</v>
      </c>
      <c r="BB388">
        <v>13636</v>
      </c>
      <c r="BC388">
        <v>18650</v>
      </c>
      <c r="BD388">
        <v>2.7E-4</v>
      </c>
      <c r="BH388">
        <v>2.2000000000000001E-4</v>
      </c>
      <c r="BJ388">
        <v>1</v>
      </c>
      <c r="BK388" t="s">
        <v>1041</v>
      </c>
      <c r="BU388" t="s">
        <v>2938</v>
      </c>
      <c r="BV388" t="s">
        <v>1042</v>
      </c>
    </row>
    <row r="389" spans="1:74" x14ac:dyDescent="0.2">
      <c r="A389" t="s">
        <v>936</v>
      </c>
      <c r="B389" t="s">
        <v>2939</v>
      </c>
      <c r="C389" t="s">
        <v>913</v>
      </c>
      <c r="D389" t="s">
        <v>282</v>
      </c>
      <c r="E389" t="s">
        <v>1227</v>
      </c>
      <c r="F389" t="s">
        <v>2815</v>
      </c>
      <c r="G389" t="s">
        <v>2940</v>
      </c>
      <c r="H389" t="s">
        <v>2941</v>
      </c>
      <c r="I389" t="s">
        <v>2942</v>
      </c>
      <c r="J389" t="s">
        <v>1047</v>
      </c>
      <c r="K389" t="s">
        <v>1338</v>
      </c>
      <c r="M389" t="s">
        <v>543</v>
      </c>
      <c r="N389" t="s">
        <v>1183</v>
      </c>
      <c r="O389" t="s">
        <v>253</v>
      </c>
      <c r="P389" t="s">
        <v>2837</v>
      </c>
      <c r="Q389" t="s">
        <v>1088</v>
      </c>
      <c r="R389" t="s">
        <v>1519</v>
      </c>
      <c r="W389">
        <v>100</v>
      </c>
      <c r="AC389" t="s">
        <v>548</v>
      </c>
      <c r="AI389" t="s">
        <v>548</v>
      </c>
      <c r="AN389" t="s">
        <v>2943</v>
      </c>
      <c r="AS389">
        <v>100</v>
      </c>
      <c r="BD389">
        <v>0.40400000000000003</v>
      </c>
      <c r="BJ389">
        <v>1</v>
      </c>
      <c r="BK389" t="s">
        <v>1041</v>
      </c>
      <c r="BU389" t="s">
        <v>2944</v>
      </c>
      <c r="BV389" t="s">
        <v>1042</v>
      </c>
    </row>
    <row r="390" spans="1:74" x14ac:dyDescent="0.2">
      <c r="A390" t="s">
        <v>936</v>
      </c>
      <c r="B390" t="s">
        <v>2945</v>
      </c>
      <c r="C390" t="s">
        <v>913</v>
      </c>
      <c r="D390" t="s">
        <v>282</v>
      </c>
      <c r="E390" t="s">
        <v>1227</v>
      </c>
      <c r="F390" t="s">
        <v>2815</v>
      </c>
      <c r="G390" t="s">
        <v>2946</v>
      </c>
      <c r="H390" t="s">
        <v>2947</v>
      </c>
      <c r="I390" t="s">
        <v>2948</v>
      </c>
      <c r="J390" t="s">
        <v>1036</v>
      </c>
      <c r="K390" t="s">
        <v>1338</v>
      </c>
      <c r="M390" t="s">
        <v>543</v>
      </c>
      <c r="N390" t="s">
        <v>1183</v>
      </c>
      <c r="O390" t="s">
        <v>1039</v>
      </c>
      <c r="P390" t="s">
        <v>2949</v>
      </c>
      <c r="Q390">
        <v>1</v>
      </c>
      <c r="R390" t="s">
        <v>1519</v>
      </c>
      <c r="W390">
        <v>151.80000000000001</v>
      </c>
      <c r="AC390" t="s">
        <v>548</v>
      </c>
      <c r="AI390" t="s">
        <v>548</v>
      </c>
      <c r="AN390">
        <v>0</v>
      </c>
      <c r="AS390">
        <v>151.80000000000001</v>
      </c>
      <c r="AX390">
        <v>151.80000000000001</v>
      </c>
      <c r="BC390">
        <v>199</v>
      </c>
      <c r="BD390" t="s">
        <v>2110</v>
      </c>
      <c r="BH390" t="s">
        <v>2110</v>
      </c>
      <c r="BJ390">
        <v>1</v>
      </c>
      <c r="BK390" t="s">
        <v>1041</v>
      </c>
      <c r="BU390" t="s">
        <v>2950</v>
      </c>
      <c r="BV390" t="s">
        <v>1042</v>
      </c>
    </row>
    <row r="391" spans="1:74" x14ac:dyDescent="0.2">
      <c r="A391" t="s">
        <v>936</v>
      </c>
      <c r="B391" t="s">
        <v>2951</v>
      </c>
      <c r="C391" t="s">
        <v>913</v>
      </c>
      <c r="D391" t="s">
        <v>282</v>
      </c>
      <c r="E391" t="s">
        <v>1227</v>
      </c>
      <c r="F391" t="s">
        <v>2840</v>
      </c>
      <c r="G391" t="s">
        <v>2952</v>
      </c>
      <c r="H391" t="s">
        <v>2953</v>
      </c>
      <c r="I391" t="s">
        <v>2954</v>
      </c>
      <c r="J391" t="s">
        <v>1066</v>
      </c>
      <c r="N391" t="s">
        <v>1191</v>
      </c>
      <c r="O391" t="s">
        <v>1039</v>
      </c>
      <c r="P391" t="s">
        <v>2844</v>
      </c>
      <c r="Q391" t="s">
        <v>1088</v>
      </c>
      <c r="R391">
        <v>457</v>
      </c>
      <c r="S391">
        <v>428</v>
      </c>
      <c r="T391">
        <v>392</v>
      </c>
      <c r="U391">
        <v>329</v>
      </c>
      <c r="V391">
        <v>303</v>
      </c>
      <c r="W391">
        <v>295</v>
      </c>
      <c r="BV391" t="s">
        <v>1042</v>
      </c>
    </row>
    <row r="392" spans="1:74" x14ac:dyDescent="0.2">
      <c r="A392" t="s">
        <v>936</v>
      </c>
      <c r="B392" t="s">
        <v>2955</v>
      </c>
      <c r="C392" t="s">
        <v>913</v>
      </c>
      <c r="D392" t="s">
        <v>2956</v>
      </c>
      <c r="E392" t="s">
        <v>972</v>
      </c>
      <c r="F392" t="s">
        <v>2957</v>
      </c>
      <c r="G392" t="s">
        <v>2958</v>
      </c>
      <c r="H392" t="s">
        <v>2959</v>
      </c>
      <c r="I392" t="s">
        <v>2960</v>
      </c>
      <c r="J392" t="s">
        <v>1066</v>
      </c>
      <c r="N392" t="s">
        <v>1183</v>
      </c>
      <c r="O392" t="s">
        <v>1295</v>
      </c>
      <c r="P392" t="s">
        <v>2961</v>
      </c>
      <c r="Q392" t="s">
        <v>1041</v>
      </c>
      <c r="S392" t="s">
        <v>2962</v>
      </c>
      <c r="AC392" t="s">
        <v>548</v>
      </c>
      <c r="BV392" t="s">
        <v>1042</v>
      </c>
    </row>
    <row r="393" spans="1:74" x14ac:dyDescent="0.2">
      <c r="A393" t="s">
        <v>936</v>
      </c>
      <c r="B393" t="s">
        <v>2963</v>
      </c>
      <c r="C393" t="s">
        <v>913</v>
      </c>
      <c r="D393" t="s">
        <v>2956</v>
      </c>
      <c r="E393" t="s">
        <v>972</v>
      </c>
      <c r="F393" t="s">
        <v>2957</v>
      </c>
      <c r="G393" t="s">
        <v>2964</v>
      </c>
      <c r="H393" t="s">
        <v>2965</v>
      </c>
      <c r="I393" t="s">
        <v>2966</v>
      </c>
      <c r="J393" t="s">
        <v>1066</v>
      </c>
      <c r="N393" t="s">
        <v>1183</v>
      </c>
      <c r="O393" t="s">
        <v>1295</v>
      </c>
      <c r="P393" t="s">
        <v>2967</v>
      </c>
      <c r="Q393" t="s">
        <v>1041</v>
      </c>
      <c r="S393" t="s">
        <v>2968</v>
      </c>
      <c r="T393" t="s">
        <v>2968</v>
      </c>
      <c r="U393" t="s">
        <v>2968</v>
      </c>
      <c r="V393" t="s">
        <v>2968</v>
      </c>
      <c r="W393" t="s">
        <v>2968</v>
      </c>
      <c r="AC393" t="s">
        <v>548</v>
      </c>
      <c r="BV393" t="s">
        <v>1042</v>
      </c>
    </row>
    <row r="394" spans="1:74" x14ac:dyDescent="0.2">
      <c r="A394" t="s">
        <v>936</v>
      </c>
      <c r="B394" t="s">
        <v>2969</v>
      </c>
      <c r="C394" t="s">
        <v>913</v>
      </c>
      <c r="D394" t="s">
        <v>2956</v>
      </c>
      <c r="E394" t="s">
        <v>972</v>
      </c>
      <c r="F394" t="s">
        <v>2957</v>
      </c>
      <c r="G394" t="s">
        <v>2970</v>
      </c>
      <c r="H394" t="s">
        <v>2971</v>
      </c>
      <c r="I394" t="s">
        <v>2972</v>
      </c>
      <c r="J394" t="s">
        <v>1047</v>
      </c>
      <c r="K394" t="s">
        <v>1338</v>
      </c>
      <c r="M394" t="s">
        <v>543</v>
      </c>
      <c r="N394" t="s">
        <v>1183</v>
      </c>
      <c r="O394" t="s">
        <v>1039</v>
      </c>
      <c r="P394" t="s">
        <v>2973</v>
      </c>
      <c r="Q394" t="s">
        <v>1088</v>
      </c>
      <c r="R394">
        <v>0</v>
      </c>
      <c r="S394">
        <v>0</v>
      </c>
      <c r="T394">
        <v>0</v>
      </c>
      <c r="U394">
        <v>5</v>
      </c>
      <c r="V394">
        <v>17</v>
      </c>
      <c r="W394">
        <v>24</v>
      </c>
      <c r="AC394" t="s">
        <v>548</v>
      </c>
      <c r="AE394" t="s">
        <v>548</v>
      </c>
      <c r="AF394" t="s">
        <v>548</v>
      </c>
      <c r="AG394" t="s">
        <v>548</v>
      </c>
      <c r="AH394" t="s">
        <v>548</v>
      </c>
      <c r="AI394" t="s">
        <v>548</v>
      </c>
      <c r="AJ394">
        <v>0</v>
      </c>
      <c r="AK394">
        <v>0</v>
      </c>
      <c r="AL394">
        <v>0</v>
      </c>
      <c r="AM394">
        <v>0</v>
      </c>
      <c r="AN394">
        <v>0</v>
      </c>
      <c r="AO394">
        <v>0</v>
      </c>
      <c r="AP394">
        <v>0</v>
      </c>
      <c r="AQ394">
        <v>5</v>
      </c>
      <c r="AR394">
        <v>17</v>
      </c>
      <c r="AS394">
        <v>24</v>
      </c>
      <c r="BD394">
        <v>3.4</v>
      </c>
      <c r="BJ394">
        <v>1</v>
      </c>
      <c r="BK394" t="s">
        <v>1041</v>
      </c>
      <c r="BU394" t="s">
        <v>2974</v>
      </c>
      <c r="BV394" t="s">
        <v>1042</v>
      </c>
    </row>
    <row r="395" spans="1:74" x14ac:dyDescent="0.2">
      <c r="A395" t="s">
        <v>936</v>
      </c>
      <c r="B395" t="s">
        <v>2975</v>
      </c>
      <c r="C395" t="s">
        <v>913</v>
      </c>
      <c r="D395" t="s">
        <v>2956</v>
      </c>
      <c r="E395" t="s">
        <v>972</v>
      </c>
      <c r="F395" t="s">
        <v>2957</v>
      </c>
      <c r="G395" t="s">
        <v>2976</v>
      </c>
      <c r="H395" t="s">
        <v>2977</v>
      </c>
      <c r="I395" t="s">
        <v>2978</v>
      </c>
      <c r="J395" t="s">
        <v>1066</v>
      </c>
      <c r="N395" t="s">
        <v>1183</v>
      </c>
      <c r="O395" t="s">
        <v>1295</v>
      </c>
      <c r="P395" t="s">
        <v>2979</v>
      </c>
      <c r="Q395" t="s">
        <v>1041</v>
      </c>
      <c r="R395" t="s">
        <v>1519</v>
      </c>
      <c r="S395" t="s">
        <v>2980</v>
      </c>
      <c r="T395" t="s">
        <v>2980</v>
      </c>
      <c r="U395" t="s">
        <v>2980</v>
      </c>
      <c r="V395" t="s">
        <v>2980</v>
      </c>
      <c r="W395" t="s">
        <v>2980</v>
      </c>
      <c r="AC395" t="s">
        <v>548</v>
      </c>
      <c r="BV395" t="s">
        <v>1042</v>
      </c>
    </row>
    <row r="396" spans="1:74" x14ac:dyDescent="0.2">
      <c r="A396" t="s">
        <v>936</v>
      </c>
      <c r="B396" t="s">
        <v>2981</v>
      </c>
      <c r="C396" t="s">
        <v>913</v>
      </c>
      <c r="D396" t="s">
        <v>2956</v>
      </c>
      <c r="E396" t="s">
        <v>972</v>
      </c>
      <c r="F396" t="s">
        <v>2957</v>
      </c>
      <c r="G396" t="s">
        <v>2982</v>
      </c>
      <c r="H396" t="s">
        <v>2983</v>
      </c>
      <c r="I396" t="s">
        <v>2984</v>
      </c>
      <c r="J396" t="s">
        <v>1066</v>
      </c>
      <c r="N396" t="s">
        <v>1183</v>
      </c>
      <c r="O396" t="s">
        <v>1295</v>
      </c>
      <c r="P396" t="s">
        <v>2985</v>
      </c>
      <c r="Q396" t="s">
        <v>1041</v>
      </c>
      <c r="S396" t="s">
        <v>2986</v>
      </c>
      <c r="T396" t="s">
        <v>2986</v>
      </c>
      <c r="U396" t="s">
        <v>2986</v>
      </c>
      <c r="V396" t="s">
        <v>2986</v>
      </c>
      <c r="W396" t="s">
        <v>2986</v>
      </c>
      <c r="AC396" t="s">
        <v>548</v>
      </c>
      <c r="BV396" t="s">
        <v>1042</v>
      </c>
    </row>
    <row r="397" spans="1:74" x14ac:dyDescent="0.2">
      <c r="A397" t="s">
        <v>936</v>
      </c>
      <c r="B397" t="s">
        <v>2987</v>
      </c>
      <c r="C397" t="s">
        <v>913</v>
      </c>
      <c r="D397" t="s">
        <v>1106</v>
      </c>
      <c r="E397" t="s">
        <v>1107</v>
      </c>
      <c r="F397" t="s">
        <v>2988</v>
      </c>
      <c r="G397" t="s">
        <v>2989</v>
      </c>
      <c r="H397" t="s">
        <v>2990</v>
      </c>
      <c r="I397" t="s">
        <v>2991</v>
      </c>
      <c r="J397" t="s">
        <v>1066</v>
      </c>
      <c r="N397" t="s">
        <v>1203</v>
      </c>
      <c r="O397" t="s">
        <v>1039</v>
      </c>
      <c r="P397" t="s">
        <v>2756</v>
      </c>
      <c r="Q397" t="s">
        <v>1088</v>
      </c>
      <c r="R397">
        <v>16</v>
      </c>
      <c r="S397">
        <v>16</v>
      </c>
      <c r="T397">
        <v>17</v>
      </c>
      <c r="U397">
        <v>18</v>
      </c>
      <c r="V397">
        <v>17</v>
      </c>
      <c r="W397">
        <v>15</v>
      </c>
      <c r="BV397" t="s">
        <v>1042</v>
      </c>
    </row>
    <row r="398" spans="1:74" x14ac:dyDescent="0.2">
      <c r="A398" t="s">
        <v>936</v>
      </c>
      <c r="B398" t="s">
        <v>2992</v>
      </c>
      <c r="C398" t="s">
        <v>913</v>
      </c>
      <c r="D398" t="s">
        <v>1106</v>
      </c>
      <c r="E398" t="s">
        <v>1107</v>
      </c>
      <c r="F398" t="s">
        <v>2988</v>
      </c>
      <c r="G398" t="s">
        <v>2993</v>
      </c>
      <c r="H398" t="s">
        <v>2994</v>
      </c>
      <c r="I398" t="s">
        <v>2995</v>
      </c>
      <c r="J398" t="s">
        <v>1066</v>
      </c>
      <c r="N398" t="s">
        <v>1203</v>
      </c>
      <c r="O398" t="s">
        <v>253</v>
      </c>
      <c r="P398" t="s">
        <v>2751</v>
      </c>
      <c r="Q398" t="s">
        <v>1088</v>
      </c>
      <c r="R398">
        <v>90</v>
      </c>
      <c r="S398">
        <v>95</v>
      </c>
      <c r="T398">
        <v>95</v>
      </c>
      <c r="U398">
        <v>95</v>
      </c>
      <c r="V398">
        <v>95</v>
      </c>
      <c r="W398">
        <v>95</v>
      </c>
      <c r="BV398" t="s">
        <v>1042</v>
      </c>
    </row>
    <row r="399" spans="1:74" x14ac:dyDescent="0.2">
      <c r="A399" t="s">
        <v>936</v>
      </c>
      <c r="B399" t="s">
        <v>2996</v>
      </c>
      <c r="C399" t="s">
        <v>913</v>
      </c>
      <c r="D399" t="s">
        <v>1106</v>
      </c>
      <c r="E399" t="s">
        <v>1107</v>
      </c>
      <c r="F399" t="s">
        <v>2988</v>
      </c>
      <c r="G399" t="s">
        <v>2997</v>
      </c>
      <c r="H399" t="s">
        <v>2998</v>
      </c>
      <c r="I399" t="s">
        <v>2999</v>
      </c>
      <c r="J399" t="s">
        <v>1066</v>
      </c>
      <c r="N399" t="s">
        <v>1203</v>
      </c>
      <c r="O399" t="s">
        <v>1113</v>
      </c>
      <c r="P399" t="s">
        <v>2761</v>
      </c>
      <c r="Q399">
        <v>2</v>
      </c>
      <c r="R399">
        <v>4.4000000000000004</v>
      </c>
      <c r="S399">
        <v>4.45</v>
      </c>
      <c r="T399">
        <v>4.55</v>
      </c>
      <c r="U399">
        <v>4.45</v>
      </c>
      <c r="V399">
        <v>4.5999999999999996</v>
      </c>
      <c r="W399">
        <v>4.6500000000000004</v>
      </c>
      <c r="BV399" t="s">
        <v>1042</v>
      </c>
    </row>
    <row r="400" spans="1:74" x14ac:dyDescent="0.2">
      <c r="A400" t="s">
        <v>936</v>
      </c>
      <c r="B400" t="s">
        <v>3000</v>
      </c>
      <c r="C400" t="s">
        <v>913</v>
      </c>
      <c r="D400" t="s">
        <v>1106</v>
      </c>
      <c r="E400" t="s">
        <v>1107</v>
      </c>
      <c r="F400" t="s">
        <v>2988</v>
      </c>
      <c r="G400" t="s">
        <v>3001</v>
      </c>
      <c r="H400" t="s">
        <v>3002</v>
      </c>
      <c r="I400" t="s">
        <v>3003</v>
      </c>
      <c r="J400" t="s">
        <v>1066</v>
      </c>
      <c r="N400" t="s">
        <v>1203</v>
      </c>
      <c r="O400" t="s">
        <v>1113</v>
      </c>
      <c r="P400" t="s">
        <v>2761</v>
      </c>
      <c r="Q400">
        <v>2</v>
      </c>
      <c r="R400">
        <v>4.4000000000000004</v>
      </c>
      <c r="S400">
        <v>4.45</v>
      </c>
      <c r="T400">
        <v>4.5199999999999996</v>
      </c>
      <c r="U400">
        <v>4.57</v>
      </c>
      <c r="V400">
        <v>4.5999999999999996</v>
      </c>
      <c r="W400">
        <v>4.6500000000000004</v>
      </c>
      <c r="BV400" t="s">
        <v>1042</v>
      </c>
    </row>
    <row r="401" spans="1:74" x14ac:dyDescent="0.2">
      <c r="A401" t="s">
        <v>936</v>
      </c>
      <c r="B401" t="s">
        <v>3004</v>
      </c>
      <c r="C401" t="s">
        <v>913</v>
      </c>
      <c r="D401" t="s">
        <v>1106</v>
      </c>
      <c r="E401" t="s">
        <v>1107</v>
      </c>
      <c r="F401" t="s">
        <v>2988</v>
      </c>
      <c r="G401" t="s">
        <v>3005</v>
      </c>
      <c r="H401" t="s">
        <v>3006</v>
      </c>
      <c r="I401" t="s">
        <v>3007</v>
      </c>
      <c r="J401" t="s">
        <v>1066</v>
      </c>
      <c r="N401" t="s">
        <v>1121</v>
      </c>
      <c r="O401" t="s">
        <v>253</v>
      </c>
      <c r="P401" t="s">
        <v>3008</v>
      </c>
      <c r="Q401" t="s">
        <v>1088</v>
      </c>
      <c r="R401">
        <v>85</v>
      </c>
      <c r="S401">
        <v>96</v>
      </c>
      <c r="T401">
        <v>96</v>
      </c>
      <c r="U401">
        <v>96</v>
      </c>
      <c r="V401">
        <v>96</v>
      </c>
      <c r="W401">
        <v>96</v>
      </c>
      <c r="BV401" t="s">
        <v>1042</v>
      </c>
    </row>
    <row r="402" spans="1:74" x14ac:dyDescent="0.2">
      <c r="A402" t="s">
        <v>936</v>
      </c>
      <c r="B402" t="s">
        <v>3009</v>
      </c>
      <c r="C402" t="s">
        <v>913</v>
      </c>
      <c r="D402" t="s">
        <v>1106</v>
      </c>
      <c r="E402" t="s">
        <v>1107</v>
      </c>
      <c r="F402" t="s">
        <v>2988</v>
      </c>
      <c r="G402" t="s">
        <v>3010</v>
      </c>
      <c r="H402" t="s">
        <v>3011</v>
      </c>
      <c r="I402" t="s">
        <v>3012</v>
      </c>
      <c r="J402" t="s">
        <v>1036</v>
      </c>
      <c r="K402" t="s">
        <v>1037</v>
      </c>
      <c r="M402" t="s">
        <v>543</v>
      </c>
      <c r="N402" t="s">
        <v>1112</v>
      </c>
      <c r="O402" t="s">
        <v>1113</v>
      </c>
      <c r="P402" t="s">
        <v>1114</v>
      </c>
      <c r="Q402">
        <v>1</v>
      </c>
      <c r="R402" t="s">
        <v>1067</v>
      </c>
      <c r="S402" t="s">
        <v>1067</v>
      </c>
      <c r="T402" t="s">
        <v>1067</v>
      </c>
      <c r="U402" t="s">
        <v>1067</v>
      </c>
      <c r="V402" t="s">
        <v>1067</v>
      </c>
      <c r="W402" t="s">
        <v>1067</v>
      </c>
      <c r="AE402" t="s">
        <v>548</v>
      </c>
      <c r="AF402" t="s">
        <v>548</v>
      </c>
      <c r="AG402" t="s">
        <v>548</v>
      </c>
      <c r="AH402" t="s">
        <v>548</v>
      </c>
      <c r="AI402" t="s">
        <v>548</v>
      </c>
      <c r="AJ402" t="s">
        <v>1115</v>
      </c>
      <c r="AK402" t="s">
        <v>1115</v>
      </c>
      <c r="AL402" t="s">
        <v>1115</v>
      </c>
      <c r="AM402" t="s">
        <v>1115</v>
      </c>
      <c r="AN402" t="s">
        <v>1115</v>
      </c>
      <c r="AO402" t="s">
        <v>1115</v>
      </c>
      <c r="AP402" t="s">
        <v>1115</v>
      </c>
      <c r="AQ402" t="s">
        <v>1115</v>
      </c>
      <c r="AR402" t="s">
        <v>1115</v>
      </c>
      <c r="AS402" t="s">
        <v>1115</v>
      </c>
      <c r="AT402" t="s">
        <v>1115</v>
      </c>
      <c r="AU402" t="s">
        <v>1115</v>
      </c>
      <c r="AV402" t="s">
        <v>1115</v>
      </c>
      <c r="AW402" t="s">
        <v>1115</v>
      </c>
      <c r="AX402" t="s">
        <v>1115</v>
      </c>
      <c r="AY402" t="s">
        <v>1115</v>
      </c>
      <c r="AZ402" t="s">
        <v>1115</v>
      </c>
      <c r="BA402" t="s">
        <v>1115</v>
      </c>
      <c r="BB402" t="s">
        <v>1115</v>
      </c>
      <c r="BC402" t="s">
        <v>1115</v>
      </c>
      <c r="BD402" t="s">
        <v>1115</v>
      </c>
      <c r="BH402" t="s">
        <v>1115</v>
      </c>
      <c r="BJ402">
        <v>1</v>
      </c>
      <c r="BK402" t="s">
        <v>1041</v>
      </c>
      <c r="BU402" t="s">
        <v>1116</v>
      </c>
      <c r="BV402" t="s">
        <v>1042</v>
      </c>
    </row>
    <row r="403" spans="1:74" x14ac:dyDescent="0.2">
      <c r="A403" t="s">
        <v>936</v>
      </c>
      <c r="B403" t="s">
        <v>3013</v>
      </c>
      <c r="C403" t="s">
        <v>913</v>
      </c>
      <c r="D403" t="s">
        <v>1106</v>
      </c>
      <c r="E403" t="s">
        <v>1107</v>
      </c>
      <c r="F403" t="s">
        <v>3014</v>
      </c>
      <c r="G403" t="s">
        <v>3015</v>
      </c>
      <c r="H403" t="s">
        <v>3016</v>
      </c>
      <c r="I403" t="s">
        <v>3017</v>
      </c>
      <c r="J403" t="s">
        <v>1047</v>
      </c>
      <c r="K403" t="s">
        <v>1037</v>
      </c>
      <c r="M403" t="s">
        <v>543</v>
      </c>
      <c r="N403" t="s">
        <v>1121</v>
      </c>
      <c r="O403" t="s">
        <v>1295</v>
      </c>
      <c r="P403" t="s">
        <v>3018</v>
      </c>
      <c r="Q403" t="s">
        <v>1041</v>
      </c>
      <c r="R403" t="s">
        <v>3019</v>
      </c>
      <c r="S403" t="s">
        <v>3019</v>
      </c>
      <c r="T403" t="s">
        <v>3019</v>
      </c>
      <c r="U403" t="s">
        <v>1830</v>
      </c>
      <c r="V403" t="s">
        <v>1830</v>
      </c>
      <c r="W403" t="s">
        <v>1830</v>
      </c>
      <c r="AC403" t="s">
        <v>548</v>
      </c>
      <c r="AH403" t="s">
        <v>548</v>
      </c>
      <c r="AI403" t="s">
        <v>548</v>
      </c>
      <c r="AN403" t="s">
        <v>2899</v>
      </c>
      <c r="AR403" t="s">
        <v>3020</v>
      </c>
      <c r="AS403" t="s">
        <v>3020</v>
      </c>
      <c r="BD403">
        <v>6.5</v>
      </c>
      <c r="BE403">
        <v>20.5</v>
      </c>
      <c r="BJ403">
        <v>1</v>
      </c>
      <c r="BK403" t="s">
        <v>1041</v>
      </c>
      <c r="BU403" t="s">
        <v>3021</v>
      </c>
      <c r="BV403" t="s">
        <v>1042</v>
      </c>
    </row>
    <row r="404" spans="1:74" x14ac:dyDescent="0.2">
      <c r="A404" t="s">
        <v>936</v>
      </c>
      <c r="B404" t="s">
        <v>3022</v>
      </c>
      <c r="C404" t="s">
        <v>913</v>
      </c>
      <c r="D404" t="s">
        <v>1106</v>
      </c>
      <c r="E404" t="s">
        <v>1107</v>
      </c>
      <c r="F404" t="s">
        <v>3023</v>
      </c>
      <c r="G404" t="s">
        <v>3024</v>
      </c>
      <c r="H404" t="s">
        <v>3025</v>
      </c>
      <c r="I404" t="s">
        <v>3026</v>
      </c>
      <c r="J404" t="s">
        <v>1066</v>
      </c>
      <c r="N404" t="s">
        <v>1121</v>
      </c>
      <c r="O404" t="s">
        <v>253</v>
      </c>
      <c r="P404" t="s">
        <v>3027</v>
      </c>
      <c r="Q404" t="s">
        <v>1088</v>
      </c>
      <c r="R404">
        <v>52</v>
      </c>
      <c r="S404">
        <v>53</v>
      </c>
      <c r="T404">
        <v>54</v>
      </c>
      <c r="U404">
        <v>54</v>
      </c>
      <c r="V404">
        <v>57</v>
      </c>
      <c r="W404">
        <v>60</v>
      </c>
      <c r="BV404" t="s">
        <v>1042</v>
      </c>
    </row>
    <row r="405" spans="1:74" x14ac:dyDescent="0.2">
      <c r="A405" t="s">
        <v>936</v>
      </c>
      <c r="B405" t="s">
        <v>3028</v>
      </c>
      <c r="C405" t="s">
        <v>913</v>
      </c>
      <c r="D405" t="s">
        <v>1106</v>
      </c>
      <c r="E405" t="s">
        <v>1107</v>
      </c>
      <c r="F405" t="s">
        <v>3023</v>
      </c>
      <c r="G405" t="s">
        <v>3029</v>
      </c>
      <c r="H405" t="s">
        <v>3030</v>
      </c>
      <c r="I405" t="s">
        <v>3031</v>
      </c>
      <c r="J405" t="s">
        <v>1066</v>
      </c>
      <c r="N405" t="s">
        <v>1121</v>
      </c>
      <c r="O405" t="s">
        <v>253</v>
      </c>
      <c r="P405" t="s">
        <v>3032</v>
      </c>
      <c r="Q405">
        <v>1</v>
      </c>
      <c r="R405">
        <v>88.6</v>
      </c>
      <c r="S405">
        <v>89</v>
      </c>
      <c r="T405">
        <v>89.4</v>
      </c>
      <c r="U405">
        <v>89.7</v>
      </c>
      <c r="V405">
        <v>89.6</v>
      </c>
      <c r="W405">
        <v>90.4</v>
      </c>
      <c r="BV405" t="s">
        <v>1042</v>
      </c>
    </row>
    <row r="406" spans="1:74" x14ac:dyDescent="0.2">
      <c r="A406" t="s">
        <v>3033</v>
      </c>
      <c r="B406" t="s">
        <v>3034</v>
      </c>
      <c r="C406" t="s">
        <v>913</v>
      </c>
      <c r="D406" t="s">
        <v>281</v>
      </c>
      <c r="E406" t="s">
        <v>1031</v>
      </c>
      <c r="F406" t="s">
        <v>3035</v>
      </c>
      <c r="G406" t="s">
        <v>1330</v>
      </c>
      <c r="H406" t="s">
        <v>3036</v>
      </c>
      <c r="I406" t="s">
        <v>3037</v>
      </c>
      <c r="J406" t="s">
        <v>1066</v>
      </c>
      <c r="N406" t="s">
        <v>1073</v>
      </c>
      <c r="O406" t="s">
        <v>1113</v>
      </c>
      <c r="P406" t="s">
        <v>3038</v>
      </c>
      <c r="Q406">
        <v>1</v>
      </c>
      <c r="R406">
        <v>3.9</v>
      </c>
      <c r="S406">
        <v>3.9</v>
      </c>
      <c r="T406">
        <v>3.9</v>
      </c>
      <c r="U406">
        <v>3.9</v>
      </c>
      <c r="V406">
        <v>3.9</v>
      </c>
      <c r="W406">
        <v>3.9</v>
      </c>
      <c r="BV406" t="s">
        <v>1042</v>
      </c>
    </row>
    <row r="407" spans="1:74" x14ac:dyDescent="0.2">
      <c r="A407" t="s">
        <v>3033</v>
      </c>
      <c r="B407" t="s">
        <v>3039</v>
      </c>
      <c r="C407" t="s">
        <v>913</v>
      </c>
      <c r="D407" t="s">
        <v>281</v>
      </c>
      <c r="E407" t="s">
        <v>1031</v>
      </c>
      <c r="F407" t="s">
        <v>3035</v>
      </c>
      <c r="G407" t="s">
        <v>1335</v>
      </c>
      <c r="H407" t="s">
        <v>3040</v>
      </c>
      <c r="I407" t="s">
        <v>3041</v>
      </c>
      <c r="J407" t="s">
        <v>1047</v>
      </c>
      <c r="K407" t="s">
        <v>3042</v>
      </c>
      <c r="N407" t="s">
        <v>1073</v>
      </c>
      <c r="O407" t="s">
        <v>1039</v>
      </c>
      <c r="P407" t="s">
        <v>3043</v>
      </c>
      <c r="Q407" t="s">
        <v>1088</v>
      </c>
      <c r="R407">
        <v>13</v>
      </c>
      <c r="S407">
        <v>12</v>
      </c>
      <c r="T407">
        <v>11</v>
      </c>
      <c r="U407">
        <v>10</v>
      </c>
      <c r="V407">
        <v>9</v>
      </c>
      <c r="W407">
        <v>7</v>
      </c>
      <c r="AE407" t="s">
        <v>548</v>
      </c>
      <c r="AF407" t="s">
        <v>548</v>
      </c>
      <c r="AG407" t="s">
        <v>548</v>
      </c>
      <c r="AH407" t="s">
        <v>548</v>
      </c>
      <c r="AI407" t="s">
        <v>548</v>
      </c>
      <c r="AJ407">
        <v>15</v>
      </c>
      <c r="AK407">
        <v>15</v>
      </c>
      <c r="AL407">
        <v>15</v>
      </c>
      <c r="AM407">
        <v>15</v>
      </c>
      <c r="AN407">
        <v>15</v>
      </c>
      <c r="AO407">
        <v>12</v>
      </c>
      <c r="AP407">
        <v>11</v>
      </c>
      <c r="AQ407">
        <v>10</v>
      </c>
      <c r="AR407">
        <v>9</v>
      </c>
      <c r="AS407">
        <v>7</v>
      </c>
      <c r="BD407">
        <v>0.14899999999999999</v>
      </c>
      <c r="BJ407">
        <v>1</v>
      </c>
      <c r="BK407" t="s">
        <v>1041</v>
      </c>
      <c r="BV407" t="s">
        <v>1042</v>
      </c>
    </row>
    <row r="408" spans="1:74" x14ac:dyDescent="0.2">
      <c r="A408" t="s">
        <v>3033</v>
      </c>
      <c r="B408" t="s">
        <v>3044</v>
      </c>
      <c r="C408" t="s">
        <v>913</v>
      </c>
      <c r="D408" t="s">
        <v>281</v>
      </c>
      <c r="E408" t="s">
        <v>1031</v>
      </c>
      <c r="F408" t="s">
        <v>3035</v>
      </c>
      <c r="G408" t="s">
        <v>1343</v>
      </c>
      <c r="H408" t="s">
        <v>3045</v>
      </c>
      <c r="I408" t="s">
        <v>3046</v>
      </c>
      <c r="J408" t="s">
        <v>1036</v>
      </c>
      <c r="K408" t="s">
        <v>3042</v>
      </c>
      <c r="M408" t="s">
        <v>543</v>
      </c>
      <c r="N408" t="s">
        <v>1073</v>
      </c>
      <c r="O408" t="s">
        <v>1113</v>
      </c>
      <c r="P408" t="s">
        <v>3047</v>
      </c>
      <c r="Q408">
        <v>1</v>
      </c>
      <c r="R408">
        <v>107.2</v>
      </c>
      <c r="S408">
        <v>119.3</v>
      </c>
      <c r="T408">
        <v>130.30000000000001</v>
      </c>
      <c r="U408">
        <v>145.9</v>
      </c>
      <c r="V408">
        <v>145.9</v>
      </c>
      <c r="W408">
        <v>145.9</v>
      </c>
      <c r="X408" t="s">
        <v>548</v>
      </c>
      <c r="Y408" t="s">
        <v>548</v>
      </c>
      <c r="AE408" t="s">
        <v>548</v>
      </c>
      <c r="AF408" t="s">
        <v>548</v>
      </c>
      <c r="AG408" t="s">
        <v>548</v>
      </c>
      <c r="AH408" t="s">
        <v>548</v>
      </c>
      <c r="AI408" t="s">
        <v>548</v>
      </c>
      <c r="AJ408">
        <v>114.6</v>
      </c>
      <c r="AK408">
        <v>125.6</v>
      </c>
      <c r="AL408">
        <v>141.19999999999999</v>
      </c>
      <c r="AM408">
        <v>141.19999999999999</v>
      </c>
      <c r="AN408">
        <v>141.19999999999999</v>
      </c>
      <c r="AO408">
        <v>119.3</v>
      </c>
      <c r="AP408">
        <v>130.30000000000001</v>
      </c>
      <c r="AQ408">
        <v>145.9</v>
      </c>
      <c r="AR408">
        <v>145.9</v>
      </c>
      <c r="AS408">
        <v>145.9</v>
      </c>
      <c r="AT408">
        <v>119.3</v>
      </c>
      <c r="AU408">
        <v>130.30000000000001</v>
      </c>
      <c r="AV408">
        <v>145.9</v>
      </c>
      <c r="AW408">
        <v>145.9</v>
      </c>
      <c r="AX408">
        <v>145.9</v>
      </c>
      <c r="AY408">
        <v>124</v>
      </c>
      <c r="AZ408">
        <v>135</v>
      </c>
      <c r="BA408">
        <v>150.6</v>
      </c>
      <c r="BB408">
        <v>150.6</v>
      </c>
      <c r="BC408">
        <v>150.6</v>
      </c>
      <c r="BD408">
        <v>0.77</v>
      </c>
      <c r="BH408">
        <v>0.41699999999999998</v>
      </c>
      <c r="BJ408">
        <v>1</v>
      </c>
      <c r="BK408" t="s">
        <v>1041</v>
      </c>
      <c r="BU408" t="s">
        <v>3048</v>
      </c>
      <c r="BV408" t="s">
        <v>1007</v>
      </c>
    </row>
    <row r="409" spans="1:74" x14ac:dyDescent="0.2">
      <c r="A409" t="s">
        <v>3033</v>
      </c>
      <c r="B409" t="s">
        <v>3049</v>
      </c>
      <c r="C409" t="s">
        <v>913</v>
      </c>
      <c r="D409" t="s">
        <v>281</v>
      </c>
      <c r="E409" t="s">
        <v>1031</v>
      </c>
      <c r="F409" t="s">
        <v>3050</v>
      </c>
      <c r="G409" t="s">
        <v>1348</v>
      </c>
      <c r="H409" t="s">
        <v>3051</v>
      </c>
      <c r="I409" t="s">
        <v>3052</v>
      </c>
      <c r="J409" t="s">
        <v>1036</v>
      </c>
      <c r="K409" t="s">
        <v>3042</v>
      </c>
      <c r="N409" t="s">
        <v>1086</v>
      </c>
      <c r="O409" t="s">
        <v>1126</v>
      </c>
      <c r="P409" t="s">
        <v>3053</v>
      </c>
      <c r="Q409" t="s">
        <v>1566</v>
      </c>
      <c r="R409">
        <v>0.75</v>
      </c>
      <c r="S409">
        <v>0.66666666666666663</v>
      </c>
      <c r="T409">
        <v>0.58333333333333337</v>
      </c>
      <c r="U409">
        <v>0.5</v>
      </c>
      <c r="V409">
        <v>0.5</v>
      </c>
      <c r="W409">
        <v>0.5</v>
      </c>
      <c r="Z409" t="s">
        <v>548</v>
      </c>
      <c r="AE409" t="s">
        <v>548</v>
      </c>
      <c r="AF409" t="s">
        <v>548</v>
      </c>
      <c r="AG409" t="s">
        <v>548</v>
      </c>
      <c r="AH409" t="s">
        <v>548</v>
      </c>
      <c r="AI409" t="s">
        <v>548</v>
      </c>
      <c r="AJ409">
        <v>0.83333333333333337</v>
      </c>
      <c r="AK409">
        <v>0.83333333333333337</v>
      </c>
      <c r="AL409">
        <v>0.58333333333333337</v>
      </c>
      <c r="AM409">
        <v>0.58333333333333337</v>
      </c>
      <c r="AN409">
        <v>0.58333333333333337</v>
      </c>
      <c r="AO409">
        <v>0.75</v>
      </c>
      <c r="AP409">
        <v>0.75</v>
      </c>
      <c r="AQ409">
        <v>0.5</v>
      </c>
      <c r="AR409">
        <v>0.5</v>
      </c>
      <c r="AS409">
        <v>0.5</v>
      </c>
      <c r="AT409">
        <v>0.5</v>
      </c>
      <c r="AU409">
        <v>0.5</v>
      </c>
      <c r="AV409">
        <v>0.5</v>
      </c>
      <c r="AW409">
        <v>0.5</v>
      </c>
      <c r="AX409">
        <v>0.5</v>
      </c>
      <c r="AY409">
        <v>0.375</v>
      </c>
      <c r="AZ409">
        <v>0.375</v>
      </c>
      <c r="BA409">
        <v>0.375</v>
      </c>
      <c r="BB409">
        <v>0.375</v>
      </c>
      <c r="BC409">
        <v>0.375</v>
      </c>
      <c r="BD409">
        <v>5.1840000000000002</v>
      </c>
      <c r="BH409">
        <v>3.9780000000000002</v>
      </c>
      <c r="BJ409">
        <v>1</v>
      </c>
      <c r="BK409" t="s">
        <v>1041</v>
      </c>
      <c r="BU409" t="s">
        <v>3054</v>
      </c>
      <c r="BV409" t="s">
        <v>1009</v>
      </c>
    </row>
    <row r="410" spans="1:74" x14ac:dyDescent="0.2">
      <c r="A410" t="s">
        <v>3033</v>
      </c>
      <c r="B410" t="s">
        <v>3055</v>
      </c>
      <c r="C410" t="s">
        <v>913</v>
      </c>
      <c r="D410" t="s">
        <v>281</v>
      </c>
      <c r="E410" t="s">
        <v>1031</v>
      </c>
      <c r="F410" t="s">
        <v>3050</v>
      </c>
      <c r="G410" t="s">
        <v>1478</v>
      </c>
      <c r="H410" t="s">
        <v>3056</v>
      </c>
      <c r="I410" t="s">
        <v>3057</v>
      </c>
      <c r="J410" t="s">
        <v>1036</v>
      </c>
      <c r="K410" t="s">
        <v>3042</v>
      </c>
      <c r="N410" t="s">
        <v>1093</v>
      </c>
      <c r="O410" t="s">
        <v>1113</v>
      </c>
      <c r="P410" t="s">
        <v>3058</v>
      </c>
      <c r="Q410">
        <v>1</v>
      </c>
      <c r="R410">
        <v>100</v>
      </c>
      <c r="S410">
        <v>100</v>
      </c>
      <c r="T410">
        <v>100</v>
      </c>
      <c r="U410">
        <v>100</v>
      </c>
      <c r="V410">
        <v>100</v>
      </c>
      <c r="W410">
        <v>100</v>
      </c>
      <c r="AE410" t="s">
        <v>548</v>
      </c>
      <c r="AF410" t="s">
        <v>548</v>
      </c>
      <c r="AG410" t="s">
        <v>548</v>
      </c>
      <c r="AH410" t="s">
        <v>548</v>
      </c>
      <c r="AI410" t="s">
        <v>548</v>
      </c>
      <c r="AJ410">
        <v>94</v>
      </c>
      <c r="AK410">
        <v>94.5</v>
      </c>
      <c r="AL410">
        <v>95</v>
      </c>
      <c r="AM410">
        <v>95.5</v>
      </c>
      <c r="AN410">
        <v>96</v>
      </c>
      <c r="AO410">
        <v>95</v>
      </c>
      <c r="AP410">
        <v>95.5</v>
      </c>
      <c r="AQ410">
        <v>96</v>
      </c>
      <c r="AR410">
        <v>96.5</v>
      </c>
      <c r="AS410">
        <v>97</v>
      </c>
      <c r="AT410">
        <v>103</v>
      </c>
      <c r="AU410">
        <v>103</v>
      </c>
      <c r="AV410">
        <v>103</v>
      </c>
      <c r="AW410">
        <v>103</v>
      </c>
      <c r="AX410">
        <v>103</v>
      </c>
      <c r="AY410">
        <v>104</v>
      </c>
      <c r="AZ410">
        <v>104</v>
      </c>
      <c r="BA410">
        <v>104</v>
      </c>
      <c r="BB410">
        <v>104</v>
      </c>
      <c r="BC410">
        <v>104</v>
      </c>
      <c r="BD410">
        <v>7.9740000000000002</v>
      </c>
      <c r="BH410">
        <v>5.97</v>
      </c>
      <c r="BJ410">
        <v>1</v>
      </c>
      <c r="BK410" t="s">
        <v>1041</v>
      </c>
      <c r="BU410" t="s">
        <v>3059</v>
      </c>
      <c r="BV410" t="s">
        <v>1042</v>
      </c>
    </row>
    <row r="411" spans="1:74" x14ac:dyDescent="0.2">
      <c r="A411" t="s">
        <v>3033</v>
      </c>
      <c r="B411" t="s">
        <v>3060</v>
      </c>
      <c r="C411" t="s">
        <v>913</v>
      </c>
      <c r="D411" t="s">
        <v>281</v>
      </c>
      <c r="E411" t="s">
        <v>1031</v>
      </c>
      <c r="F411" t="s">
        <v>3050</v>
      </c>
      <c r="G411" t="s">
        <v>1483</v>
      </c>
      <c r="H411" t="s">
        <v>3061</v>
      </c>
      <c r="I411" t="s">
        <v>3062</v>
      </c>
      <c r="J411" t="s">
        <v>1047</v>
      </c>
      <c r="K411" t="s">
        <v>3042</v>
      </c>
      <c r="N411" t="s">
        <v>1055</v>
      </c>
      <c r="O411" t="s">
        <v>1113</v>
      </c>
      <c r="P411" t="s">
        <v>1157</v>
      </c>
      <c r="Q411">
        <v>3</v>
      </c>
      <c r="R411">
        <v>100</v>
      </c>
      <c r="S411">
        <v>100</v>
      </c>
      <c r="T411">
        <v>100</v>
      </c>
      <c r="U411">
        <v>100</v>
      </c>
      <c r="V411">
        <v>100</v>
      </c>
      <c r="W411">
        <v>100</v>
      </c>
      <c r="AE411" t="s">
        <v>548</v>
      </c>
      <c r="AF411" t="s">
        <v>548</v>
      </c>
      <c r="AG411" t="s">
        <v>548</v>
      </c>
      <c r="AH411" t="s">
        <v>548</v>
      </c>
      <c r="AI411" t="s">
        <v>548</v>
      </c>
      <c r="AJ411">
        <v>96</v>
      </c>
      <c r="AK411">
        <v>96</v>
      </c>
      <c r="AL411">
        <v>96</v>
      </c>
      <c r="AM411">
        <v>96</v>
      </c>
      <c r="AN411">
        <v>96</v>
      </c>
      <c r="AO411">
        <v>100</v>
      </c>
      <c r="AP411">
        <v>100</v>
      </c>
      <c r="AQ411">
        <v>100</v>
      </c>
      <c r="AR411">
        <v>100</v>
      </c>
      <c r="AS411">
        <v>100</v>
      </c>
      <c r="BD411">
        <v>3.33</v>
      </c>
      <c r="BJ411">
        <v>1</v>
      </c>
      <c r="BK411" t="s">
        <v>1041</v>
      </c>
      <c r="BU411" t="s">
        <v>3063</v>
      </c>
      <c r="BV411" t="s">
        <v>1042</v>
      </c>
    </row>
    <row r="412" spans="1:74" x14ac:dyDescent="0.2">
      <c r="A412" t="s">
        <v>3033</v>
      </c>
      <c r="B412" t="s">
        <v>3064</v>
      </c>
      <c r="C412" t="s">
        <v>913</v>
      </c>
      <c r="D412" t="s">
        <v>281</v>
      </c>
      <c r="E412" t="s">
        <v>1031</v>
      </c>
      <c r="F412" t="s">
        <v>3050</v>
      </c>
      <c r="G412" t="s">
        <v>1487</v>
      </c>
      <c r="H412" t="s">
        <v>3065</v>
      </c>
      <c r="I412" t="s">
        <v>3066</v>
      </c>
      <c r="J412" t="s">
        <v>1036</v>
      </c>
      <c r="K412" t="s">
        <v>3042</v>
      </c>
      <c r="N412" t="s">
        <v>1038</v>
      </c>
      <c r="O412" t="s">
        <v>1039</v>
      </c>
      <c r="P412" t="s">
        <v>3067</v>
      </c>
      <c r="Q412">
        <v>2</v>
      </c>
      <c r="R412">
        <v>0</v>
      </c>
      <c r="S412">
        <v>0</v>
      </c>
      <c r="T412">
        <v>0</v>
      </c>
      <c r="U412">
        <v>0</v>
      </c>
      <c r="V412">
        <v>0</v>
      </c>
      <c r="W412">
        <v>0</v>
      </c>
      <c r="AE412" t="s">
        <v>548</v>
      </c>
      <c r="AF412" t="s">
        <v>548</v>
      </c>
      <c r="AG412" t="s">
        <v>548</v>
      </c>
      <c r="AH412" t="s">
        <v>548</v>
      </c>
      <c r="AI412" t="s">
        <v>548</v>
      </c>
      <c r="AJ412">
        <v>-30</v>
      </c>
      <c r="AK412">
        <v>-30</v>
      </c>
      <c r="AL412">
        <v>-30</v>
      </c>
      <c r="AM412">
        <v>-30</v>
      </c>
      <c r="AN412">
        <v>-30</v>
      </c>
      <c r="AO412">
        <v>0</v>
      </c>
      <c r="AP412">
        <v>0</v>
      </c>
      <c r="AQ412">
        <v>0</v>
      </c>
      <c r="AR412">
        <v>0</v>
      </c>
      <c r="AS412">
        <v>0</v>
      </c>
      <c r="AT412">
        <v>11.2</v>
      </c>
      <c r="AU412">
        <v>11.2</v>
      </c>
      <c r="AV412">
        <v>11.2</v>
      </c>
      <c r="AW412">
        <v>11.2</v>
      </c>
      <c r="AX412">
        <v>11.2</v>
      </c>
      <c r="AY412">
        <v>30</v>
      </c>
      <c r="AZ412">
        <v>30</v>
      </c>
      <c r="BA412">
        <v>30</v>
      </c>
      <c r="BB412">
        <v>30</v>
      </c>
      <c r="BC412">
        <v>30</v>
      </c>
      <c r="BD412">
        <v>1.458</v>
      </c>
      <c r="BH412">
        <v>0.748</v>
      </c>
      <c r="BJ412">
        <v>1</v>
      </c>
      <c r="BK412" t="s">
        <v>1041</v>
      </c>
      <c r="BU412" t="s">
        <v>3068</v>
      </c>
      <c r="BV412" t="s">
        <v>1042</v>
      </c>
    </row>
    <row r="413" spans="1:74" x14ac:dyDescent="0.2">
      <c r="A413" t="s">
        <v>3033</v>
      </c>
      <c r="B413" t="s">
        <v>3069</v>
      </c>
      <c r="C413" t="s">
        <v>913</v>
      </c>
      <c r="D413" t="s">
        <v>281</v>
      </c>
      <c r="E413" t="s">
        <v>1031</v>
      </c>
      <c r="F413" t="s">
        <v>3050</v>
      </c>
      <c r="G413" t="s">
        <v>1880</v>
      </c>
      <c r="H413" t="s">
        <v>3070</v>
      </c>
      <c r="I413" t="s">
        <v>3071</v>
      </c>
      <c r="J413" t="s">
        <v>1047</v>
      </c>
      <c r="K413" t="s">
        <v>3042</v>
      </c>
      <c r="N413" t="s">
        <v>1144</v>
      </c>
      <c r="O413" t="s">
        <v>1039</v>
      </c>
      <c r="P413" t="s">
        <v>3072</v>
      </c>
      <c r="Q413">
        <v>2</v>
      </c>
      <c r="R413">
        <v>152.51</v>
      </c>
      <c r="S413">
        <v>161.19999999999999</v>
      </c>
      <c r="T413">
        <v>163.21</v>
      </c>
      <c r="U413">
        <v>164.44</v>
      </c>
      <c r="V413">
        <v>164.87</v>
      </c>
      <c r="W413">
        <v>165.27</v>
      </c>
      <c r="AE413" t="s">
        <v>548</v>
      </c>
      <c r="AF413" t="s">
        <v>548</v>
      </c>
      <c r="AG413" t="s">
        <v>548</v>
      </c>
      <c r="AH413" t="s">
        <v>548</v>
      </c>
      <c r="AI413" t="s">
        <v>548</v>
      </c>
      <c r="AJ413">
        <v>152.51</v>
      </c>
      <c r="AK413">
        <v>152.51</v>
      </c>
      <c r="AL413">
        <v>152.51</v>
      </c>
      <c r="AM413">
        <v>152.51</v>
      </c>
      <c r="AN413">
        <v>152.51</v>
      </c>
      <c r="AO413">
        <v>161.19999999999999</v>
      </c>
      <c r="AP413">
        <v>163.21</v>
      </c>
      <c r="AQ413">
        <v>164.44</v>
      </c>
      <c r="AR413">
        <v>164.87</v>
      </c>
      <c r="AS413">
        <v>165.27</v>
      </c>
      <c r="BD413">
        <v>0.25</v>
      </c>
      <c r="BJ413">
        <v>1</v>
      </c>
      <c r="BK413" t="s">
        <v>1041</v>
      </c>
      <c r="BU413" t="s">
        <v>3073</v>
      </c>
      <c r="BV413" t="s">
        <v>1042</v>
      </c>
    </row>
    <row r="414" spans="1:74" x14ac:dyDescent="0.2">
      <c r="A414" t="s">
        <v>3033</v>
      </c>
      <c r="B414" t="s">
        <v>3074</v>
      </c>
      <c r="C414" t="s">
        <v>913</v>
      </c>
      <c r="D414" t="s">
        <v>281</v>
      </c>
      <c r="E414" t="s">
        <v>1031</v>
      </c>
      <c r="F414" t="s">
        <v>3050</v>
      </c>
      <c r="G414" t="s">
        <v>1885</v>
      </c>
      <c r="H414" t="s">
        <v>3075</v>
      </c>
      <c r="I414" t="s">
        <v>3076</v>
      </c>
      <c r="J414" t="s">
        <v>1036</v>
      </c>
      <c r="K414" t="s">
        <v>3042</v>
      </c>
      <c r="M414" t="s">
        <v>543</v>
      </c>
      <c r="N414" t="s">
        <v>1061</v>
      </c>
      <c r="O414" t="s">
        <v>253</v>
      </c>
      <c r="P414" t="s">
        <v>3077</v>
      </c>
      <c r="Q414" t="s">
        <v>1088</v>
      </c>
      <c r="R414">
        <v>0</v>
      </c>
      <c r="S414">
        <v>2</v>
      </c>
      <c r="T414">
        <v>5</v>
      </c>
      <c r="U414">
        <v>21</v>
      </c>
      <c r="V414">
        <v>53</v>
      </c>
      <c r="W414">
        <v>82</v>
      </c>
      <c r="AC414" t="s">
        <v>548</v>
      </c>
      <c r="AD414" t="s">
        <v>548</v>
      </c>
      <c r="AI414" t="s">
        <v>548</v>
      </c>
      <c r="AJ414">
        <v>2</v>
      </c>
      <c r="AK414">
        <v>5</v>
      </c>
      <c r="AL414">
        <v>21</v>
      </c>
      <c r="AM414">
        <v>53</v>
      </c>
      <c r="AN414">
        <v>0</v>
      </c>
      <c r="AO414">
        <v>2</v>
      </c>
      <c r="AP414">
        <v>5</v>
      </c>
      <c r="AQ414">
        <v>21</v>
      </c>
      <c r="AR414">
        <v>53</v>
      </c>
      <c r="AS414">
        <v>82</v>
      </c>
      <c r="AT414">
        <v>2</v>
      </c>
      <c r="AU414">
        <v>5</v>
      </c>
      <c r="AV414">
        <v>21</v>
      </c>
      <c r="AW414">
        <v>53</v>
      </c>
      <c r="AX414">
        <v>82</v>
      </c>
      <c r="AY414">
        <v>2</v>
      </c>
      <c r="AZ414">
        <v>5</v>
      </c>
      <c r="BA414">
        <v>21</v>
      </c>
      <c r="BB414">
        <v>53</v>
      </c>
      <c r="BC414">
        <v>100</v>
      </c>
      <c r="BD414">
        <v>2.34</v>
      </c>
      <c r="BH414">
        <v>1.2709999999999999</v>
      </c>
      <c r="BJ414">
        <v>1</v>
      </c>
      <c r="BK414" t="s">
        <v>1041</v>
      </c>
      <c r="BU414" t="s">
        <v>3078</v>
      </c>
      <c r="BV414" t="s">
        <v>1042</v>
      </c>
    </row>
    <row r="415" spans="1:74" x14ac:dyDescent="0.2">
      <c r="A415" t="s">
        <v>3033</v>
      </c>
      <c r="B415" t="s">
        <v>3079</v>
      </c>
      <c r="C415" t="s">
        <v>913</v>
      </c>
      <c r="D415" t="s">
        <v>281</v>
      </c>
      <c r="E415" t="s">
        <v>1031</v>
      </c>
      <c r="F415" t="s">
        <v>3080</v>
      </c>
      <c r="G415" t="s">
        <v>1354</v>
      </c>
      <c r="H415" t="s">
        <v>3081</v>
      </c>
      <c r="I415" t="s">
        <v>3082</v>
      </c>
      <c r="J415" t="s">
        <v>1036</v>
      </c>
      <c r="K415" t="s">
        <v>3042</v>
      </c>
      <c r="N415" t="s">
        <v>1183</v>
      </c>
      <c r="O415" t="s">
        <v>1039</v>
      </c>
      <c r="P415" t="s">
        <v>3083</v>
      </c>
      <c r="Q415">
        <v>1</v>
      </c>
      <c r="R415">
        <v>50.4</v>
      </c>
      <c r="S415">
        <v>0</v>
      </c>
      <c r="T415">
        <v>6.6</v>
      </c>
      <c r="U415">
        <v>6.6</v>
      </c>
      <c r="V415">
        <v>6.6</v>
      </c>
      <c r="W415">
        <v>159.5</v>
      </c>
      <c r="AD415" t="s">
        <v>548</v>
      </c>
      <c r="AE415" t="s">
        <v>548</v>
      </c>
      <c r="AF415" t="s">
        <v>548</v>
      </c>
      <c r="AG415" t="s">
        <v>548</v>
      </c>
      <c r="AH415" t="s">
        <v>548</v>
      </c>
      <c r="AI415" t="s">
        <v>548</v>
      </c>
      <c r="AJ415">
        <v>-2</v>
      </c>
      <c r="AK415">
        <v>-2</v>
      </c>
      <c r="AL415">
        <v>-2</v>
      </c>
      <c r="AM415">
        <v>-2</v>
      </c>
      <c r="AN415">
        <v>-2</v>
      </c>
      <c r="AO415">
        <v>0</v>
      </c>
      <c r="AP415">
        <v>6.6</v>
      </c>
      <c r="AQ415">
        <v>6.6</v>
      </c>
      <c r="AR415">
        <v>6.6</v>
      </c>
      <c r="AS415">
        <v>159.5</v>
      </c>
      <c r="AT415">
        <v>0</v>
      </c>
      <c r="AU415">
        <v>6.6</v>
      </c>
      <c r="AV415">
        <v>6.6</v>
      </c>
      <c r="AW415">
        <v>6.6</v>
      </c>
      <c r="AX415">
        <v>159.5</v>
      </c>
      <c r="AY415">
        <v>2</v>
      </c>
      <c r="AZ415">
        <v>13.2</v>
      </c>
      <c r="BA415">
        <v>13.2</v>
      </c>
      <c r="BB415">
        <v>13.2</v>
      </c>
      <c r="BC415">
        <v>234</v>
      </c>
      <c r="BD415">
        <v>0.111</v>
      </c>
      <c r="BH415">
        <v>2.8000000000000001E-2</v>
      </c>
      <c r="BJ415">
        <v>1</v>
      </c>
      <c r="BK415" t="s">
        <v>1041</v>
      </c>
      <c r="BU415" t="s">
        <v>3084</v>
      </c>
      <c r="BV415" t="s">
        <v>1042</v>
      </c>
    </row>
    <row r="416" spans="1:74" x14ac:dyDescent="0.2">
      <c r="A416" t="s">
        <v>3033</v>
      </c>
      <c r="B416" t="s">
        <v>3085</v>
      </c>
      <c r="C416" t="s">
        <v>913</v>
      </c>
      <c r="D416" t="s">
        <v>281</v>
      </c>
      <c r="E416" t="s">
        <v>1031</v>
      </c>
      <c r="F416" t="s">
        <v>3086</v>
      </c>
      <c r="G416" t="s">
        <v>1365</v>
      </c>
      <c r="H416" t="s">
        <v>3087</v>
      </c>
      <c r="I416" t="s">
        <v>3088</v>
      </c>
      <c r="J416" t="s">
        <v>1066</v>
      </c>
      <c r="N416" t="s">
        <v>1203</v>
      </c>
      <c r="O416" t="s">
        <v>253</v>
      </c>
      <c r="P416" t="s">
        <v>3089</v>
      </c>
      <c r="Q416" t="s">
        <v>1088</v>
      </c>
      <c r="R416">
        <v>90</v>
      </c>
      <c r="S416">
        <v>91</v>
      </c>
      <c r="T416">
        <v>92</v>
      </c>
      <c r="U416">
        <v>93</v>
      </c>
      <c r="V416">
        <v>94</v>
      </c>
      <c r="W416">
        <v>95</v>
      </c>
      <c r="BV416" t="s">
        <v>1042</v>
      </c>
    </row>
    <row r="417" spans="1:74" x14ac:dyDescent="0.2">
      <c r="A417" t="s">
        <v>3033</v>
      </c>
      <c r="B417" t="s">
        <v>3090</v>
      </c>
      <c r="C417" t="s">
        <v>913</v>
      </c>
      <c r="D417" t="s">
        <v>281</v>
      </c>
      <c r="E417" t="s">
        <v>1031</v>
      </c>
      <c r="F417" t="s">
        <v>3091</v>
      </c>
      <c r="G417" t="s">
        <v>1372</v>
      </c>
      <c r="H417" t="s">
        <v>3092</v>
      </c>
      <c r="I417" t="s">
        <v>3093</v>
      </c>
      <c r="J417" t="s">
        <v>1066</v>
      </c>
      <c r="N417" t="s">
        <v>1386</v>
      </c>
      <c r="O417" t="s">
        <v>1039</v>
      </c>
      <c r="P417" t="s">
        <v>3094</v>
      </c>
      <c r="Q417" t="s">
        <v>1088</v>
      </c>
      <c r="R417">
        <v>53544</v>
      </c>
      <c r="S417">
        <v>61644</v>
      </c>
      <c r="T417">
        <v>59325</v>
      </c>
      <c r="U417">
        <v>57393</v>
      </c>
      <c r="V417">
        <v>47421</v>
      </c>
      <c r="W417">
        <v>46054</v>
      </c>
      <c r="BV417" t="s">
        <v>1042</v>
      </c>
    </row>
    <row r="418" spans="1:74" x14ac:dyDescent="0.2">
      <c r="A418" t="s">
        <v>3033</v>
      </c>
      <c r="B418" t="s">
        <v>3095</v>
      </c>
      <c r="C418" t="s">
        <v>913</v>
      </c>
      <c r="D418" t="s">
        <v>282</v>
      </c>
      <c r="E418" t="s">
        <v>1227</v>
      </c>
      <c r="F418" t="s">
        <v>3096</v>
      </c>
      <c r="G418" t="s">
        <v>1636</v>
      </c>
      <c r="H418" t="s">
        <v>3097</v>
      </c>
      <c r="I418" t="s">
        <v>3098</v>
      </c>
      <c r="J418" t="s">
        <v>1036</v>
      </c>
      <c r="K418" t="s">
        <v>3042</v>
      </c>
      <c r="N418" t="s">
        <v>1231</v>
      </c>
      <c r="O418" t="s">
        <v>1113</v>
      </c>
      <c r="P418" t="s">
        <v>3099</v>
      </c>
      <c r="Q418">
        <v>1</v>
      </c>
      <c r="R418">
        <v>105.8</v>
      </c>
      <c r="S418">
        <v>100</v>
      </c>
      <c r="T418">
        <v>100</v>
      </c>
      <c r="U418">
        <v>100</v>
      </c>
      <c r="V418">
        <v>100</v>
      </c>
      <c r="W418">
        <v>100</v>
      </c>
      <c r="AE418" t="s">
        <v>548</v>
      </c>
      <c r="AF418" t="s">
        <v>548</v>
      </c>
      <c r="AG418" t="s">
        <v>548</v>
      </c>
      <c r="AH418" t="s">
        <v>548</v>
      </c>
      <c r="AI418" t="s">
        <v>548</v>
      </c>
      <c r="AJ418">
        <v>102</v>
      </c>
      <c r="AK418">
        <v>102</v>
      </c>
      <c r="AL418">
        <v>102</v>
      </c>
      <c r="AM418">
        <v>102</v>
      </c>
      <c r="AN418">
        <v>102</v>
      </c>
      <c r="AO418">
        <v>101.2</v>
      </c>
      <c r="AP418">
        <v>101.2</v>
      </c>
      <c r="AQ418">
        <v>101.2</v>
      </c>
      <c r="AR418">
        <v>101.2</v>
      </c>
      <c r="AS418">
        <v>101.2</v>
      </c>
      <c r="AT418">
        <v>98.8</v>
      </c>
      <c r="AU418">
        <v>98.8</v>
      </c>
      <c r="AV418">
        <v>98.8</v>
      </c>
      <c r="AW418">
        <v>98.8</v>
      </c>
      <c r="AX418">
        <v>98.8</v>
      </c>
      <c r="AY418">
        <v>91.9</v>
      </c>
      <c r="AZ418">
        <v>91.9</v>
      </c>
      <c r="BA418">
        <v>91.9</v>
      </c>
      <c r="BB418">
        <v>91.9</v>
      </c>
      <c r="BC418">
        <v>91.9</v>
      </c>
      <c r="BD418">
        <v>4.2039999999999997</v>
      </c>
      <c r="BH418">
        <v>1.069</v>
      </c>
      <c r="BJ418">
        <v>1</v>
      </c>
      <c r="BK418" t="s">
        <v>1041</v>
      </c>
      <c r="BU418" t="s">
        <v>3100</v>
      </c>
      <c r="BV418" t="s">
        <v>1042</v>
      </c>
    </row>
    <row r="419" spans="1:74" x14ac:dyDescent="0.2">
      <c r="A419" t="s">
        <v>3033</v>
      </c>
      <c r="B419" t="s">
        <v>3101</v>
      </c>
      <c r="C419" t="s">
        <v>913</v>
      </c>
      <c r="D419" t="s">
        <v>282</v>
      </c>
      <c r="E419" t="s">
        <v>1227</v>
      </c>
      <c r="F419" t="s">
        <v>3096</v>
      </c>
      <c r="G419" t="s">
        <v>1228</v>
      </c>
      <c r="H419" t="s">
        <v>3102</v>
      </c>
      <c r="I419" t="s">
        <v>3103</v>
      </c>
      <c r="J419" t="s">
        <v>1047</v>
      </c>
      <c r="K419" t="s">
        <v>3042</v>
      </c>
      <c r="N419" t="s">
        <v>1285</v>
      </c>
      <c r="O419" t="s">
        <v>1113</v>
      </c>
      <c r="P419" t="s">
        <v>3104</v>
      </c>
      <c r="Q419">
        <v>1</v>
      </c>
      <c r="R419">
        <v>108.4</v>
      </c>
      <c r="S419">
        <v>106.2</v>
      </c>
      <c r="T419">
        <v>103.2</v>
      </c>
      <c r="U419">
        <v>99.4</v>
      </c>
      <c r="V419">
        <v>95.6</v>
      </c>
      <c r="W419">
        <v>93.4</v>
      </c>
      <c r="AE419" t="s">
        <v>548</v>
      </c>
      <c r="AF419" t="s">
        <v>548</v>
      </c>
      <c r="AG419" t="s">
        <v>548</v>
      </c>
      <c r="AH419" t="s">
        <v>548</v>
      </c>
      <c r="AI419" t="s">
        <v>548</v>
      </c>
      <c r="AJ419">
        <v>115.4</v>
      </c>
      <c r="AK419">
        <v>112.4</v>
      </c>
      <c r="AL419">
        <v>108.6</v>
      </c>
      <c r="AM419">
        <v>104.8</v>
      </c>
      <c r="AN419">
        <v>102.6</v>
      </c>
      <c r="AO419">
        <v>108.9</v>
      </c>
      <c r="AP419">
        <v>105.8</v>
      </c>
      <c r="AQ419">
        <v>101.9</v>
      </c>
      <c r="AR419">
        <v>98</v>
      </c>
      <c r="AS419">
        <v>95.7</v>
      </c>
      <c r="BD419">
        <v>2.298</v>
      </c>
      <c r="BJ419">
        <v>1</v>
      </c>
      <c r="BK419" t="s">
        <v>1041</v>
      </c>
      <c r="BU419" t="s">
        <v>3105</v>
      </c>
      <c r="BV419" t="s">
        <v>1042</v>
      </c>
    </row>
    <row r="420" spans="1:74" x14ac:dyDescent="0.2">
      <c r="A420" t="s">
        <v>3033</v>
      </c>
      <c r="B420" t="s">
        <v>3106</v>
      </c>
      <c r="C420" t="s">
        <v>913</v>
      </c>
      <c r="D420" t="s">
        <v>282</v>
      </c>
      <c r="E420" t="s">
        <v>1227</v>
      </c>
      <c r="F420" t="s">
        <v>3107</v>
      </c>
      <c r="G420" t="s">
        <v>1245</v>
      </c>
      <c r="H420" t="s">
        <v>3108</v>
      </c>
      <c r="I420" t="s">
        <v>3109</v>
      </c>
      <c r="J420" t="s">
        <v>1066</v>
      </c>
      <c r="N420" t="s">
        <v>1231</v>
      </c>
      <c r="O420" t="s">
        <v>1039</v>
      </c>
      <c r="P420" t="s">
        <v>3110</v>
      </c>
      <c r="Q420" t="s">
        <v>1088</v>
      </c>
      <c r="R420">
        <v>16568</v>
      </c>
      <c r="S420">
        <v>16511</v>
      </c>
      <c r="T420">
        <v>16436</v>
      </c>
      <c r="U420">
        <v>16341</v>
      </c>
      <c r="V420">
        <v>16247</v>
      </c>
      <c r="W420">
        <v>16190</v>
      </c>
      <c r="BV420" t="s">
        <v>1042</v>
      </c>
    </row>
    <row r="421" spans="1:74" x14ac:dyDescent="0.2">
      <c r="A421" t="s">
        <v>3033</v>
      </c>
      <c r="B421" t="s">
        <v>3111</v>
      </c>
      <c r="C421" t="s">
        <v>913</v>
      </c>
      <c r="D421" t="s">
        <v>282</v>
      </c>
      <c r="E421" t="s">
        <v>1227</v>
      </c>
      <c r="F421" t="s">
        <v>3107</v>
      </c>
      <c r="G421" t="s">
        <v>1650</v>
      </c>
      <c r="H421" t="s">
        <v>3112</v>
      </c>
      <c r="I421" t="s">
        <v>3113</v>
      </c>
      <c r="J421" t="s">
        <v>1036</v>
      </c>
      <c r="K421" t="s">
        <v>3042</v>
      </c>
      <c r="N421" t="s">
        <v>1231</v>
      </c>
      <c r="O421" t="s">
        <v>1113</v>
      </c>
      <c r="P421" t="s">
        <v>3114</v>
      </c>
      <c r="Q421">
        <v>1</v>
      </c>
      <c r="R421">
        <v>101.6</v>
      </c>
      <c r="S421">
        <v>93.1</v>
      </c>
      <c r="T421">
        <v>83.9</v>
      </c>
      <c r="U421">
        <v>73.900000000000006</v>
      </c>
      <c r="V421">
        <v>70.3</v>
      </c>
      <c r="W421">
        <v>68.099999999999994</v>
      </c>
      <c r="AB421" t="s">
        <v>548</v>
      </c>
      <c r="AE421" t="s">
        <v>548</v>
      </c>
      <c r="AF421" t="s">
        <v>548</v>
      </c>
      <c r="AG421" t="s">
        <v>548</v>
      </c>
      <c r="AH421" t="s">
        <v>548</v>
      </c>
      <c r="AI421" t="s">
        <v>548</v>
      </c>
      <c r="AJ421">
        <v>114.1</v>
      </c>
      <c r="AK421">
        <v>104.1</v>
      </c>
      <c r="AL421">
        <v>93.2</v>
      </c>
      <c r="AM421">
        <v>88.8</v>
      </c>
      <c r="AN421">
        <v>86.1</v>
      </c>
      <c r="AO421">
        <v>103.7</v>
      </c>
      <c r="AP421">
        <v>93.7</v>
      </c>
      <c r="AQ421">
        <v>82.8</v>
      </c>
      <c r="AR421">
        <v>78.400000000000006</v>
      </c>
      <c r="AS421">
        <v>75.7</v>
      </c>
      <c r="AT421">
        <v>82.6</v>
      </c>
      <c r="AU421">
        <v>74</v>
      </c>
      <c r="AV421">
        <v>65</v>
      </c>
      <c r="AW421">
        <v>62.2</v>
      </c>
      <c r="AX421">
        <v>60.5</v>
      </c>
      <c r="AY421">
        <v>70.400000000000006</v>
      </c>
      <c r="AZ421">
        <v>61.4</v>
      </c>
      <c r="BA421">
        <v>51.9</v>
      </c>
      <c r="BB421">
        <v>48.7</v>
      </c>
      <c r="BC421">
        <v>46.8</v>
      </c>
      <c r="BD421">
        <v>2.032</v>
      </c>
      <c r="BH421">
        <v>1.05</v>
      </c>
      <c r="BJ421">
        <v>1</v>
      </c>
      <c r="BK421" t="s">
        <v>1041</v>
      </c>
      <c r="BU421" t="s">
        <v>3115</v>
      </c>
      <c r="BV421" t="s">
        <v>1011</v>
      </c>
    </row>
    <row r="422" spans="1:74" x14ac:dyDescent="0.2">
      <c r="A422" t="s">
        <v>3033</v>
      </c>
      <c r="B422" t="s">
        <v>3116</v>
      </c>
      <c r="C422" t="s">
        <v>913</v>
      </c>
      <c r="D422" t="s">
        <v>282</v>
      </c>
      <c r="E422" t="s">
        <v>1227</v>
      </c>
      <c r="F422" t="s">
        <v>3117</v>
      </c>
      <c r="G422" t="s">
        <v>1249</v>
      </c>
      <c r="H422" t="s">
        <v>3118</v>
      </c>
      <c r="I422" t="s">
        <v>3119</v>
      </c>
      <c r="J422" t="s">
        <v>1047</v>
      </c>
      <c r="K422" t="s">
        <v>3042</v>
      </c>
      <c r="M422" t="s">
        <v>543</v>
      </c>
      <c r="N422" t="s">
        <v>1183</v>
      </c>
      <c r="O422" t="s">
        <v>1039</v>
      </c>
      <c r="P422" t="s">
        <v>3120</v>
      </c>
      <c r="Q422">
        <v>2</v>
      </c>
      <c r="R422">
        <v>0</v>
      </c>
      <c r="S422">
        <v>0.36</v>
      </c>
      <c r="T422">
        <v>0.66</v>
      </c>
      <c r="U422">
        <v>1.49</v>
      </c>
      <c r="V422">
        <v>3.78</v>
      </c>
      <c r="W422">
        <v>6.56</v>
      </c>
      <c r="AC422" t="s">
        <v>548</v>
      </c>
      <c r="AE422" t="s">
        <v>548</v>
      </c>
      <c r="AF422" t="s">
        <v>548</v>
      </c>
      <c r="AG422" t="s">
        <v>548</v>
      </c>
      <c r="AH422" t="s">
        <v>548</v>
      </c>
      <c r="AI422" t="s">
        <v>548</v>
      </c>
      <c r="AJ422">
        <v>0</v>
      </c>
      <c r="AK422">
        <v>0</v>
      </c>
      <c r="AL422">
        <v>0</v>
      </c>
      <c r="AM422">
        <v>0</v>
      </c>
      <c r="AN422">
        <v>0</v>
      </c>
      <c r="AO422">
        <v>0.36</v>
      </c>
      <c r="AP422">
        <v>0.66</v>
      </c>
      <c r="AQ422">
        <v>1.49</v>
      </c>
      <c r="AR422">
        <v>3.78</v>
      </c>
      <c r="AS422">
        <v>6.56</v>
      </c>
      <c r="BD422">
        <v>10</v>
      </c>
      <c r="BJ422">
        <v>1</v>
      </c>
      <c r="BK422" t="s">
        <v>1041</v>
      </c>
      <c r="BU422" t="s">
        <v>3121</v>
      </c>
      <c r="BV422" t="s">
        <v>1042</v>
      </c>
    </row>
    <row r="423" spans="1:74" x14ac:dyDescent="0.2">
      <c r="A423" t="s">
        <v>3033</v>
      </c>
      <c r="B423" t="s">
        <v>3122</v>
      </c>
      <c r="C423" t="s">
        <v>913</v>
      </c>
      <c r="D423" t="s">
        <v>282</v>
      </c>
      <c r="E423" t="s">
        <v>1227</v>
      </c>
      <c r="F423" t="s">
        <v>3080</v>
      </c>
      <c r="G423" t="s">
        <v>1268</v>
      </c>
      <c r="H423" t="s">
        <v>3123</v>
      </c>
      <c r="I423" t="s">
        <v>3124</v>
      </c>
      <c r="J423" t="s">
        <v>1047</v>
      </c>
      <c r="K423" t="s">
        <v>3042</v>
      </c>
      <c r="M423" t="s">
        <v>543</v>
      </c>
      <c r="N423" t="s">
        <v>1183</v>
      </c>
      <c r="O423" t="s">
        <v>1039</v>
      </c>
      <c r="P423" t="s">
        <v>3125</v>
      </c>
      <c r="Q423">
        <v>1</v>
      </c>
      <c r="R423">
        <v>0</v>
      </c>
      <c r="S423">
        <v>1.8</v>
      </c>
      <c r="T423">
        <v>1.8</v>
      </c>
      <c r="U423">
        <v>190.1</v>
      </c>
      <c r="V423">
        <v>316.7</v>
      </c>
      <c r="W423">
        <v>346.6</v>
      </c>
      <c r="AC423" t="s">
        <v>548</v>
      </c>
      <c r="AE423" t="s">
        <v>548</v>
      </c>
      <c r="AF423" t="s">
        <v>548</v>
      </c>
      <c r="AG423" t="s">
        <v>548</v>
      </c>
      <c r="AH423" t="s">
        <v>548</v>
      </c>
      <c r="AI423" t="s">
        <v>548</v>
      </c>
      <c r="AJ423">
        <v>0</v>
      </c>
      <c r="AK423">
        <v>0</v>
      </c>
      <c r="AL423">
        <v>0</v>
      </c>
      <c r="AM423">
        <v>0</v>
      </c>
      <c r="AN423">
        <v>0</v>
      </c>
      <c r="AO423">
        <v>1.8</v>
      </c>
      <c r="AP423">
        <v>1.8</v>
      </c>
      <c r="AQ423">
        <v>190.1</v>
      </c>
      <c r="AR423">
        <v>316.7</v>
      </c>
      <c r="AS423">
        <v>346.6</v>
      </c>
      <c r="BD423">
        <v>5.8000000000000003E-2</v>
      </c>
      <c r="BJ423">
        <v>1</v>
      </c>
      <c r="BK423" t="s">
        <v>1041</v>
      </c>
      <c r="BU423" t="s">
        <v>3126</v>
      </c>
      <c r="BV423" t="s">
        <v>1042</v>
      </c>
    </row>
    <row r="424" spans="1:74" x14ac:dyDescent="0.2">
      <c r="A424" t="s">
        <v>3033</v>
      </c>
      <c r="B424" t="s">
        <v>3127</v>
      </c>
      <c r="C424" t="s">
        <v>913</v>
      </c>
      <c r="D424" t="s">
        <v>282</v>
      </c>
      <c r="E424" t="s">
        <v>1227</v>
      </c>
      <c r="F424" t="s">
        <v>3080</v>
      </c>
      <c r="G424" t="s">
        <v>1273</v>
      </c>
      <c r="H424" t="s">
        <v>3128</v>
      </c>
      <c r="I424" t="s">
        <v>3129</v>
      </c>
      <c r="J424" t="s">
        <v>1047</v>
      </c>
      <c r="K424" t="s">
        <v>3042</v>
      </c>
      <c r="N424" t="s">
        <v>1183</v>
      </c>
      <c r="O424" t="s">
        <v>1113</v>
      </c>
      <c r="P424" t="s">
        <v>3130</v>
      </c>
      <c r="Q424">
        <v>2</v>
      </c>
      <c r="R424">
        <v>113.97</v>
      </c>
      <c r="S424">
        <v>83</v>
      </c>
      <c r="T424">
        <v>83</v>
      </c>
      <c r="U424">
        <v>83</v>
      </c>
      <c r="V424">
        <v>54.32</v>
      </c>
      <c r="W424">
        <v>46.13</v>
      </c>
      <c r="AC424" t="s">
        <v>548</v>
      </c>
      <c r="AE424" t="s">
        <v>548</v>
      </c>
      <c r="AF424" t="s">
        <v>548</v>
      </c>
      <c r="AG424" t="s">
        <v>548</v>
      </c>
      <c r="AH424" t="s">
        <v>548</v>
      </c>
      <c r="AI424" t="s">
        <v>548</v>
      </c>
      <c r="AJ424">
        <v>155.4</v>
      </c>
      <c r="AK424">
        <v>155.4</v>
      </c>
      <c r="AL424">
        <v>155.4</v>
      </c>
      <c r="AM424">
        <v>126.72</v>
      </c>
      <c r="AN424">
        <v>118.53</v>
      </c>
      <c r="AO424">
        <v>113.3</v>
      </c>
      <c r="AP424">
        <v>113.3</v>
      </c>
      <c r="AQ424">
        <v>113.3</v>
      </c>
      <c r="AR424">
        <v>84.62</v>
      </c>
      <c r="AS424">
        <v>76.430000000000007</v>
      </c>
      <c r="BD424">
        <v>0.57199999999999995</v>
      </c>
      <c r="BJ424">
        <v>1</v>
      </c>
      <c r="BK424" t="s">
        <v>1041</v>
      </c>
      <c r="BU424" t="s">
        <v>3131</v>
      </c>
      <c r="BV424" t="s">
        <v>1042</v>
      </c>
    </row>
    <row r="425" spans="1:74" x14ac:dyDescent="0.2">
      <c r="A425" t="s">
        <v>3033</v>
      </c>
      <c r="B425" t="s">
        <v>3132</v>
      </c>
      <c r="C425" t="s">
        <v>913</v>
      </c>
      <c r="D425" t="s">
        <v>282</v>
      </c>
      <c r="E425" t="s">
        <v>1227</v>
      </c>
      <c r="F425" t="s">
        <v>3080</v>
      </c>
      <c r="G425" t="s">
        <v>1732</v>
      </c>
      <c r="H425" t="s">
        <v>3133</v>
      </c>
      <c r="I425" t="s">
        <v>3134</v>
      </c>
      <c r="J425" t="s">
        <v>1036</v>
      </c>
      <c r="K425" t="s">
        <v>3042</v>
      </c>
      <c r="M425" t="s">
        <v>543</v>
      </c>
      <c r="N425" t="s">
        <v>1183</v>
      </c>
      <c r="O425" t="s">
        <v>1039</v>
      </c>
      <c r="P425" t="s">
        <v>3083</v>
      </c>
      <c r="Q425">
        <v>2</v>
      </c>
      <c r="R425">
        <v>0</v>
      </c>
      <c r="S425">
        <v>0.75</v>
      </c>
      <c r="T425">
        <v>25.47</v>
      </c>
      <c r="U425">
        <v>104.58</v>
      </c>
      <c r="V425">
        <v>151.83000000000001</v>
      </c>
      <c r="W425">
        <v>355.22</v>
      </c>
      <c r="AC425" t="s">
        <v>548</v>
      </c>
      <c r="AE425" t="s">
        <v>548</v>
      </c>
      <c r="AF425" t="s">
        <v>548</v>
      </c>
      <c r="AG425" t="s">
        <v>548</v>
      </c>
      <c r="AH425" t="s">
        <v>548</v>
      </c>
      <c r="AI425" t="s">
        <v>548</v>
      </c>
      <c r="AJ425">
        <v>0</v>
      </c>
      <c r="AK425">
        <v>0</v>
      </c>
      <c r="AL425">
        <v>0</v>
      </c>
      <c r="AM425">
        <v>0</v>
      </c>
      <c r="AN425">
        <v>0</v>
      </c>
      <c r="AO425">
        <v>0.75</v>
      </c>
      <c r="AP425">
        <v>25.47</v>
      </c>
      <c r="AQ425">
        <v>104.58</v>
      </c>
      <c r="AR425">
        <v>151.83000000000001</v>
      </c>
      <c r="AS425">
        <v>355.22</v>
      </c>
      <c r="AT425">
        <v>0.75</v>
      </c>
      <c r="AU425">
        <v>25.47</v>
      </c>
      <c r="AV425">
        <v>104.58</v>
      </c>
      <c r="AW425">
        <v>151.83000000000001</v>
      </c>
      <c r="AX425">
        <v>355.22</v>
      </c>
      <c r="AY425">
        <v>1.5</v>
      </c>
      <c r="AZ425">
        <v>50.95</v>
      </c>
      <c r="BA425">
        <v>209.17</v>
      </c>
      <c r="BB425">
        <v>303.67</v>
      </c>
      <c r="BC425">
        <v>710.44</v>
      </c>
      <c r="BD425">
        <v>0.111</v>
      </c>
      <c r="BH425">
        <v>2.8000000000000001E-2</v>
      </c>
      <c r="BJ425">
        <v>1</v>
      </c>
      <c r="BK425" t="s">
        <v>1041</v>
      </c>
      <c r="BU425" t="s">
        <v>3135</v>
      </c>
      <c r="BV425" t="s">
        <v>1042</v>
      </c>
    </row>
    <row r="426" spans="1:74" x14ac:dyDescent="0.2">
      <c r="A426" t="s">
        <v>3033</v>
      </c>
      <c r="B426" t="s">
        <v>3136</v>
      </c>
      <c r="C426" t="s">
        <v>913</v>
      </c>
      <c r="D426" t="s">
        <v>282</v>
      </c>
      <c r="E426" t="s">
        <v>1227</v>
      </c>
      <c r="F426" t="s">
        <v>3080</v>
      </c>
      <c r="G426" t="s">
        <v>3137</v>
      </c>
      <c r="H426" t="s">
        <v>3138</v>
      </c>
      <c r="I426" t="s">
        <v>3139</v>
      </c>
      <c r="J426" t="s">
        <v>1047</v>
      </c>
      <c r="K426" t="s">
        <v>3042</v>
      </c>
      <c r="N426" t="s">
        <v>1261</v>
      </c>
      <c r="O426" t="s">
        <v>1039</v>
      </c>
      <c r="P426" t="s">
        <v>2239</v>
      </c>
      <c r="Q426" t="s">
        <v>1088</v>
      </c>
      <c r="R426">
        <v>4</v>
      </c>
      <c r="S426">
        <v>4</v>
      </c>
      <c r="T426">
        <v>4</v>
      </c>
      <c r="U426">
        <v>3</v>
      </c>
      <c r="V426">
        <v>3</v>
      </c>
      <c r="W426">
        <v>0</v>
      </c>
      <c r="AE426" t="s">
        <v>548</v>
      </c>
      <c r="AF426" t="s">
        <v>548</v>
      </c>
      <c r="AG426" t="s">
        <v>548</v>
      </c>
      <c r="AH426" t="s">
        <v>548</v>
      </c>
      <c r="AI426" t="s">
        <v>548</v>
      </c>
      <c r="AJ426">
        <v>7</v>
      </c>
      <c r="AK426">
        <v>7</v>
      </c>
      <c r="AL426">
        <v>6</v>
      </c>
      <c r="AM426">
        <v>6</v>
      </c>
      <c r="AN426">
        <v>5</v>
      </c>
      <c r="AO426">
        <v>6</v>
      </c>
      <c r="AP426">
        <v>6</v>
      </c>
      <c r="AQ426">
        <v>5</v>
      </c>
      <c r="AR426">
        <v>5</v>
      </c>
      <c r="AS426">
        <v>4</v>
      </c>
      <c r="BD426">
        <v>0.42</v>
      </c>
      <c r="BJ426">
        <v>1</v>
      </c>
      <c r="BK426" t="s">
        <v>1041</v>
      </c>
      <c r="BU426" t="s">
        <v>3140</v>
      </c>
      <c r="BV426" t="s">
        <v>1042</v>
      </c>
    </row>
    <row r="427" spans="1:74" x14ac:dyDescent="0.2">
      <c r="A427" t="s">
        <v>3033</v>
      </c>
      <c r="B427" t="s">
        <v>3141</v>
      </c>
      <c r="C427" t="s">
        <v>913</v>
      </c>
      <c r="D427" t="s">
        <v>282</v>
      </c>
      <c r="E427" t="s">
        <v>1227</v>
      </c>
      <c r="F427" t="s">
        <v>3080</v>
      </c>
      <c r="G427" t="s">
        <v>3142</v>
      </c>
      <c r="H427" t="s">
        <v>3143</v>
      </c>
      <c r="I427" t="s">
        <v>3144</v>
      </c>
      <c r="J427" t="s">
        <v>1036</v>
      </c>
      <c r="K427" t="s">
        <v>3042</v>
      </c>
      <c r="N427" t="s">
        <v>1261</v>
      </c>
      <c r="O427" t="s">
        <v>1039</v>
      </c>
      <c r="P427" t="s">
        <v>1262</v>
      </c>
      <c r="Q427" t="s">
        <v>1088</v>
      </c>
      <c r="R427">
        <v>207</v>
      </c>
      <c r="S427">
        <v>204</v>
      </c>
      <c r="T427">
        <v>201</v>
      </c>
      <c r="U427">
        <v>198</v>
      </c>
      <c r="V427">
        <v>195</v>
      </c>
      <c r="W427">
        <v>191</v>
      </c>
      <c r="AA427" t="s">
        <v>548</v>
      </c>
      <c r="AE427" t="s">
        <v>548</v>
      </c>
      <c r="AF427" t="s">
        <v>548</v>
      </c>
      <c r="AG427" t="s">
        <v>548</v>
      </c>
      <c r="AH427" t="s">
        <v>548</v>
      </c>
      <c r="AI427" t="s">
        <v>548</v>
      </c>
      <c r="AJ427">
        <v>223</v>
      </c>
      <c r="AK427">
        <v>220</v>
      </c>
      <c r="AL427">
        <v>217</v>
      </c>
      <c r="AM427">
        <v>214</v>
      </c>
      <c r="AN427">
        <v>210</v>
      </c>
      <c r="AO427">
        <v>211</v>
      </c>
      <c r="AP427">
        <v>208</v>
      </c>
      <c r="AQ427">
        <v>205</v>
      </c>
      <c r="AR427">
        <v>202</v>
      </c>
      <c r="AS427">
        <v>198</v>
      </c>
      <c r="AT427">
        <v>197</v>
      </c>
      <c r="AU427">
        <v>194</v>
      </c>
      <c r="AV427">
        <v>191</v>
      </c>
      <c r="AW427">
        <v>188</v>
      </c>
      <c r="AX427">
        <v>184</v>
      </c>
      <c r="AY427">
        <v>175</v>
      </c>
      <c r="AZ427">
        <v>172</v>
      </c>
      <c r="BA427">
        <v>169</v>
      </c>
      <c r="BB427">
        <v>166</v>
      </c>
      <c r="BC427">
        <v>162</v>
      </c>
      <c r="BD427">
        <v>0.28199999999999997</v>
      </c>
      <c r="BH427">
        <v>0.14899999999999999</v>
      </c>
      <c r="BJ427">
        <v>1</v>
      </c>
      <c r="BK427" t="s">
        <v>1041</v>
      </c>
      <c r="BU427" t="s">
        <v>3145</v>
      </c>
      <c r="BV427" t="s">
        <v>1010</v>
      </c>
    </row>
    <row r="428" spans="1:74" x14ac:dyDescent="0.2">
      <c r="A428" t="s">
        <v>3033</v>
      </c>
      <c r="B428" t="s">
        <v>3146</v>
      </c>
      <c r="C428" t="s">
        <v>913</v>
      </c>
      <c r="D428" t="s">
        <v>282</v>
      </c>
      <c r="E428" t="s">
        <v>1227</v>
      </c>
      <c r="F428" t="s">
        <v>3080</v>
      </c>
      <c r="G428" t="s">
        <v>3147</v>
      </c>
      <c r="H428" t="s">
        <v>3148</v>
      </c>
      <c r="I428" t="s">
        <v>3149</v>
      </c>
      <c r="J428" t="s">
        <v>1047</v>
      </c>
      <c r="K428" t="s">
        <v>3042</v>
      </c>
      <c r="N428" t="s">
        <v>678</v>
      </c>
      <c r="O428" t="s">
        <v>253</v>
      </c>
      <c r="P428" t="s">
        <v>2689</v>
      </c>
      <c r="Q428">
        <v>2</v>
      </c>
      <c r="R428">
        <v>100</v>
      </c>
      <c r="S428">
        <v>100</v>
      </c>
      <c r="T428">
        <v>100</v>
      </c>
      <c r="U428">
        <v>100</v>
      </c>
      <c r="V428">
        <v>100</v>
      </c>
      <c r="W428">
        <v>100</v>
      </c>
      <c r="AE428" t="s">
        <v>548</v>
      </c>
      <c r="AF428" t="s">
        <v>548</v>
      </c>
      <c r="AG428" t="s">
        <v>548</v>
      </c>
      <c r="AH428" t="s">
        <v>548</v>
      </c>
      <c r="AI428" t="s">
        <v>548</v>
      </c>
      <c r="AJ428">
        <v>96.72</v>
      </c>
      <c r="AK428">
        <v>96.72</v>
      </c>
      <c r="AL428">
        <v>96.72</v>
      </c>
      <c r="AM428">
        <v>96.72</v>
      </c>
      <c r="AN428">
        <v>96.72</v>
      </c>
      <c r="AO428">
        <v>99.85</v>
      </c>
      <c r="AP428">
        <v>99.85</v>
      </c>
      <c r="AQ428">
        <v>99.85</v>
      </c>
      <c r="AR428">
        <v>99.85</v>
      </c>
      <c r="AS428">
        <v>99.85</v>
      </c>
      <c r="BD428">
        <v>5.1079999999999997</v>
      </c>
      <c r="BJ428">
        <v>1</v>
      </c>
      <c r="BK428" t="s">
        <v>1041</v>
      </c>
      <c r="BU428" t="s">
        <v>3150</v>
      </c>
      <c r="BV428" t="s">
        <v>1042</v>
      </c>
    </row>
    <row r="429" spans="1:74" x14ac:dyDescent="0.2">
      <c r="A429" t="s">
        <v>3033</v>
      </c>
      <c r="B429" t="s">
        <v>3151</v>
      </c>
      <c r="C429" t="s">
        <v>913</v>
      </c>
      <c r="D429" t="s">
        <v>1106</v>
      </c>
      <c r="E429" t="s">
        <v>1107</v>
      </c>
      <c r="F429" t="s">
        <v>3152</v>
      </c>
      <c r="G429" t="s">
        <v>3153</v>
      </c>
      <c r="H429" t="s">
        <v>3154</v>
      </c>
      <c r="I429" t="s">
        <v>3155</v>
      </c>
      <c r="J429" t="s">
        <v>1036</v>
      </c>
      <c r="K429" t="s">
        <v>1037</v>
      </c>
      <c r="M429" t="s">
        <v>543</v>
      </c>
      <c r="N429" t="s">
        <v>1112</v>
      </c>
      <c r="O429" t="s">
        <v>1295</v>
      </c>
      <c r="P429" t="s">
        <v>1427</v>
      </c>
      <c r="Q429" t="s">
        <v>1041</v>
      </c>
      <c r="R429" t="s">
        <v>3156</v>
      </c>
      <c r="S429" t="s">
        <v>1847</v>
      </c>
      <c r="T429" t="s">
        <v>1847</v>
      </c>
      <c r="U429" t="s">
        <v>1847</v>
      </c>
      <c r="V429" t="s">
        <v>1847</v>
      </c>
      <c r="W429" t="s">
        <v>1847</v>
      </c>
      <c r="AE429" t="s">
        <v>548</v>
      </c>
      <c r="AF429" t="s">
        <v>548</v>
      </c>
      <c r="AG429" t="s">
        <v>548</v>
      </c>
      <c r="AH429" t="s">
        <v>548</v>
      </c>
      <c r="AI429" t="s">
        <v>548</v>
      </c>
      <c r="AJ429" t="s">
        <v>1115</v>
      </c>
      <c r="AK429" t="s">
        <v>1115</v>
      </c>
      <c r="AL429" t="s">
        <v>1115</v>
      </c>
      <c r="AM429" t="s">
        <v>1115</v>
      </c>
      <c r="AN429" t="s">
        <v>1115</v>
      </c>
      <c r="AO429" t="s">
        <v>1115</v>
      </c>
      <c r="AP429" t="s">
        <v>1115</v>
      </c>
      <c r="AQ429" t="s">
        <v>1115</v>
      </c>
      <c r="AR429" t="s">
        <v>1115</v>
      </c>
      <c r="AS429" t="s">
        <v>1115</v>
      </c>
      <c r="AT429" t="s">
        <v>1115</v>
      </c>
      <c r="AU429" t="s">
        <v>1115</v>
      </c>
      <c r="AV429" t="s">
        <v>1115</v>
      </c>
      <c r="AW429" t="s">
        <v>1115</v>
      </c>
      <c r="AX429" t="s">
        <v>1115</v>
      </c>
      <c r="AY429" t="s">
        <v>1115</v>
      </c>
      <c r="AZ429" t="s">
        <v>1115</v>
      </c>
      <c r="BA429" t="s">
        <v>1115</v>
      </c>
      <c r="BB429" t="s">
        <v>1115</v>
      </c>
      <c r="BC429" t="s">
        <v>1115</v>
      </c>
      <c r="BD429" t="s">
        <v>1115</v>
      </c>
      <c r="BH429" t="s">
        <v>1115</v>
      </c>
      <c r="BJ429">
        <v>1</v>
      </c>
      <c r="BK429" t="s">
        <v>1041</v>
      </c>
      <c r="BU429" t="s">
        <v>1116</v>
      </c>
      <c r="BV429" t="s">
        <v>1042</v>
      </c>
    </row>
    <row r="430" spans="1:74" x14ac:dyDescent="0.2">
      <c r="A430" t="s">
        <v>3033</v>
      </c>
      <c r="B430" t="s">
        <v>3157</v>
      </c>
      <c r="C430" t="s">
        <v>913</v>
      </c>
      <c r="D430" t="s">
        <v>1106</v>
      </c>
      <c r="E430" t="s">
        <v>1107</v>
      </c>
      <c r="F430" t="s">
        <v>3152</v>
      </c>
      <c r="G430" t="s">
        <v>1118</v>
      </c>
      <c r="H430" t="s">
        <v>3158</v>
      </c>
      <c r="I430" t="s">
        <v>3159</v>
      </c>
      <c r="J430" t="s">
        <v>1047</v>
      </c>
      <c r="K430" t="s">
        <v>1037</v>
      </c>
      <c r="M430" t="s">
        <v>543</v>
      </c>
      <c r="N430" t="s">
        <v>1203</v>
      </c>
      <c r="O430" t="s">
        <v>76</v>
      </c>
      <c r="P430" t="s">
        <v>1789</v>
      </c>
      <c r="Q430">
        <v>3</v>
      </c>
      <c r="R430">
        <v>0</v>
      </c>
      <c r="S430">
        <v>1.0529999999999999</v>
      </c>
      <c r="T430">
        <v>3.37</v>
      </c>
      <c r="U430">
        <v>6.3959999999999999</v>
      </c>
      <c r="V430">
        <v>10.86</v>
      </c>
      <c r="W430">
        <v>17.768999999999998</v>
      </c>
      <c r="AC430" t="s">
        <v>548</v>
      </c>
      <c r="AH430" t="s">
        <v>548</v>
      </c>
      <c r="AI430" t="s">
        <v>548</v>
      </c>
      <c r="AN430">
        <v>0</v>
      </c>
      <c r="AS430">
        <v>17.768999999999998</v>
      </c>
      <c r="BD430" t="s">
        <v>2110</v>
      </c>
      <c r="BE430">
        <v>8.8800000000000008</v>
      </c>
      <c r="BJ430">
        <v>1</v>
      </c>
      <c r="BK430" t="s">
        <v>1041</v>
      </c>
      <c r="BU430" t="s">
        <v>3160</v>
      </c>
      <c r="BV430" t="s">
        <v>1042</v>
      </c>
    </row>
    <row r="431" spans="1:74" x14ac:dyDescent="0.2">
      <c r="A431" t="s">
        <v>3033</v>
      </c>
      <c r="B431" t="s">
        <v>3161</v>
      </c>
      <c r="C431" t="s">
        <v>913</v>
      </c>
      <c r="D431" t="s">
        <v>1106</v>
      </c>
      <c r="E431" t="s">
        <v>1107</v>
      </c>
      <c r="F431" t="s">
        <v>3091</v>
      </c>
      <c r="G431" t="s">
        <v>1348</v>
      </c>
      <c r="H431" t="s">
        <v>3162</v>
      </c>
      <c r="I431" t="s">
        <v>3163</v>
      </c>
      <c r="J431" t="s">
        <v>1066</v>
      </c>
      <c r="N431" t="s">
        <v>1121</v>
      </c>
      <c r="O431" t="s">
        <v>253</v>
      </c>
      <c r="P431" t="s">
        <v>1204</v>
      </c>
      <c r="Q431" t="s">
        <v>1088</v>
      </c>
      <c r="R431">
        <v>48</v>
      </c>
      <c r="S431">
        <v>49</v>
      </c>
      <c r="T431">
        <v>50</v>
      </c>
      <c r="U431">
        <v>51</v>
      </c>
      <c r="V431">
        <v>52</v>
      </c>
      <c r="W431">
        <v>53</v>
      </c>
      <c r="BV431" t="s">
        <v>1042</v>
      </c>
    </row>
    <row r="432" spans="1:74" x14ac:dyDescent="0.2">
      <c r="A432" t="s">
        <v>3033</v>
      </c>
      <c r="B432" t="s">
        <v>3164</v>
      </c>
      <c r="C432" t="s">
        <v>913</v>
      </c>
      <c r="D432" t="s">
        <v>1106</v>
      </c>
      <c r="E432" t="s">
        <v>1107</v>
      </c>
      <c r="F432" t="s">
        <v>3091</v>
      </c>
      <c r="G432" t="s">
        <v>1478</v>
      </c>
      <c r="H432" t="s">
        <v>3165</v>
      </c>
      <c r="I432" t="s">
        <v>3166</v>
      </c>
      <c r="J432" t="s">
        <v>1066</v>
      </c>
      <c r="N432" t="s">
        <v>1048</v>
      </c>
      <c r="O432" t="s">
        <v>1039</v>
      </c>
      <c r="P432" t="s">
        <v>1166</v>
      </c>
      <c r="Q432" t="s">
        <v>1088</v>
      </c>
      <c r="R432">
        <v>297</v>
      </c>
      <c r="S432">
        <v>294</v>
      </c>
      <c r="T432">
        <v>292</v>
      </c>
      <c r="U432">
        <v>289</v>
      </c>
      <c r="V432">
        <v>286</v>
      </c>
      <c r="W432">
        <v>284</v>
      </c>
      <c r="BV432" t="s">
        <v>1042</v>
      </c>
    </row>
    <row r="433" spans="1:74" x14ac:dyDescent="0.2">
      <c r="A433" t="s">
        <v>920</v>
      </c>
      <c r="B433" t="s">
        <v>3167</v>
      </c>
      <c r="C433" t="s">
        <v>913</v>
      </c>
      <c r="D433" t="s">
        <v>281</v>
      </c>
      <c r="E433" t="s">
        <v>1031</v>
      </c>
      <c r="F433" t="s">
        <v>1364</v>
      </c>
      <c r="G433" t="s">
        <v>1330</v>
      </c>
      <c r="H433" t="s">
        <v>3168</v>
      </c>
      <c r="I433" t="s">
        <v>3169</v>
      </c>
      <c r="J433" t="s">
        <v>1047</v>
      </c>
      <c r="K433" t="s">
        <v>1037</v>
      </c>
      <c r="N433" t="s">
        <v>1073</v>
      </c>
      <c r="O433" t="s">
        <v>253</v>
      </c>
      <c r="P433" t="s">
        <v>1074</v>
      </c>
      <c r="Q433">
        <v>2</v>
      </c>
      <c r="R433">
        <v>99.98</v>
      </c>
      <c r="S433">
        <v>99.98</v>
      </c>
      <c r="T433">
        <v>99.98</v>
      </c>
      <c r="U433">
        <v>100</v>
      </c>
      <c r="V433">
        <v>100</v>
      </c>
      <c r="W433">
        <v>100</v>
      </c>
      <c r="X433" t="s">
        <v>548</v>
      </c>
      <c r="AE433" t="s">
        <v>548</v>
      </c>
      <c r="AF433" t="s">
        <v>548</v>
      </c>
      <c r="AG433" t="s">
        <v>548</v>
      </c>
      <c r="AH433" t="s">
        <v>548</v>
      </c>
      <c r="AI433" t="s">
        <v>548</v>
      </c>
      <c r="AJ433">
        <v>99.91</v>
      </c>
      <c r="AK433">
        <v>99.91</v>
      </c>
      <c r="AL433">
        <v>99.91</v>
      </c>
      <c r="AM433">
        <v>99.91</v>
      </c>
      <c r="AN433">
        <v>99.91</v>
      </c>
      <c r="AO433">
        <v>99.95</v>
      </c>
      <c r="AP433">
        <v>99.95</v>
      </c>
      <c r="AQ433">
        <v>99.95</v>
      </c>
      <c r="AR433">
        <v>99.95</v>
      </c>
      <c r="AS433">
        <v>99.95</v>
      </c>
      <c r="BD433">
        <v>2.5</v>
      </c>
      <c r="BJ433">
        <v>100</v>
      </c>
      <c r="BK433" t="s">
        <v>1368</v>
      </c>
      <c r="BV433" t="s">
        <v>1007</v>
      </c>
    </row>
    <row r="434" spans="1:74" x14ac:dyDescent="0.2">
      <c r="A434" t="s">
        <v>920</v>
      </c>
      <c r="B434" t="s">
        <v>3170</v>
      </c>
      <c r="C434" t="s">
        <v>913</v>
      </c>
      <c r="D434" t="s">
        <v>281</v>
      </c>
      <c r="E434" t="s">
        <v>1031</v>
      </c>
      <c r="F434" t="s">
        <v>1364</v>
      </c>
      <c r="G434" t="s">
        <v>1335</v>
      </c>
      <c r="H434" t="s">
        <v>3171</v>
      </c>
      <c r="I434" t="s">
        <v>3172</v>
      </c>
      <c r="J434" t="s">
        <v>1036</v>
      </c>
      <c r="K434" t="s">
        <v>1037</v>
      </c>
      <c r="N434" t="s">
        <v>1008</v>
      </c>
      <c r="O434" t="s">
        <v>1039</v>
      </c>
      <c r="P434" t="s">
        <v>2571</v>
      </c>
      <c r="Q434">
        <v>2</v>
      </c>
      <c r="R434">
        <v>3.2</v>
      </c>
      <c r="S434">
        <v>2.54</v>
      </c>
      <c r="T434">
        <v>1.89</v>
      </c>
      <c r="U434">
        <v>1.23</v>
      </c>
      <c r="V434">
        <v>1.23</v>
      </c>
      <c r="W434">
        <v>1.23</v>
      </c>
      <c r="Y434" t="s">
        <v>548</v>
      </c>
      <c r="AE434" t="s">
        <v>548</v>
      </c>
      <c r="AF434" t="s">
        <v>548</v>
      </c>
      <c r="AG434" t="s">
        <v>548</v>
      </c>
      <c r="AH434" t="s">
        <v>548</v>
      </c>
      <c r="AI434" t="s">
        <v>548</v>
      </c>
      <c r="AJ434">
        <v>3.4</v>
      </c>
      <c r="AK434">
        <v>3.4</v>
      </c>
      <c r="AL434">
        <v>1.43</v>
      </c>
      <c r="AM434">
        <v>1.43</v>
      </c>
      <c r="AN434">
        <v>1.43</v>
      </c>
      <c r="AO434">
        <v>3.2</v>
      </c>
      <c r="AP434">
        <v>3.2</v>
      </c>
      <c r="AQ434">
        <v>1.23</v>
      </c>
      <c r="AR434">
        <v>1.23</v>
      </c>
      <c r="AS434">
        <v>1.23</v>
      </c>
      <c r="AT434">
        <v>1.23</v>
      </c>
      <c r="AU434">
        <v>1.23</v>
      </c>
      <c r="AV434">
        <v>1.23</v>
      </c>
      <c r="AW434">
        <v>1.23</v>
      </c>
      <c r="AX434">
        <v>1.23</v>
      </c>
      <c r="AY434">
        <v>1.03</v>
      </c>
      <c r="AZ434">
        <v>1.03</v>
      </c>
      <c r="BA434">
        <v>1.03</v>
      </c>
      <c r="BB434">
        <v>1.03</v>
      </c>
      <c r="BC434">
        <v>1.03</v>
      </c>
      <c r="BD434">
        <v>9.3000000000000007</v>
      </c>
      <c r="BH434">
        <v>9.3000000000000007</v>
      </c>
      <c r="BJ434">
        <v>1</v>
      </c>
      <c r="BK434" t="s">
        <v>1041</v>
      </c>
      <c r="BV434" t="s">
        <v>1008</v>
      </c>
    </row>
    <row r="435" spans="1:74" x14ac:dyDescent="0.2">
      <c r="A435" t="s">
        <v>920</v>
      </c>
      <c r="B435" t="s">
        <v>3173</v>
      </c>
      <c r="C435" t="s">
        <v>913</v>
      </c>
      <c r="D435" t="s">
        <v>281</v>
      </c>
      <c r="E435" t="s">
        <v>1031</v>
      </c>
      <c r="F435" t="s">
        <v>1364</v>
      </c>
      <c r="G435" t="s">
        <v>1343</v>
      </c>
      <c r="H435" t="s">
        <v>3174</v>
      </c>
      <c r="I435" t="s">
        <v>3175</v>
      </c>
      <c r="J435" t="s">
        <v>1036</v>
      </c>
      <c r="K435" t="s">
        <v>1037</v>
      </c>
      <c r="N435" t="s">
        <v>1086</v>
      </c>
      <c r="O435" t="s">
        <v>1126</v>
      </c>
      <c r="P435" t="s">
        <v>3176</v>
      </c>
      <c r="Q435">
        <v>1</v>
      </c>
      <c r="R435">
        <v>48</v>
      </c>
      <c r="S435">
        <v>36</v>
      </c>
      <c r="T435">
        <v>24</v>
      </c>
      <c r="U435">
        <v>12</v>
      </c>
      <c r="V435">
        <v>12</v>
      </c>
      <c r="W435">
        <v>12</v>
      </c>
      <c r="Z435" t="s">
        <v>548</v>
      </c>
      <c r="AE435" t="s">
        <v>548</v>
      </c>
      <c r="AF435" t="s">
        <v>548</v>
      </c>
      <c r="AG435" t="s">
        <v>548</v>
      </c>
      <c r="AH435" t="s">
        <v>548</v>
      </c>
      <c r="AI435" t="s">
        <v>548</v>
      </c>
      <c r="AJ435">
        <v>68</v>
      </c>
      <c r="AK435">
        <v>68</v>
      </c>
      <c r="AL435">
        <v>32</v>
      </c>
      <c r="AM435">
        <v>32</v>
      </c>
      <c r="AN435">
        <v>32</v>
      </c>
      <c r="AO435">
        <v>48</v>
      </c>
      <c r="AP435">
        <v>48</v>
      </c>
      <c r="AQ435">
        <v>12</v>
      </c>
      <c r="AR435">
        <v>12</v>
      </c>
      <c r="AS435">
        <v>12</v>
      </c>
      <c r="AT435">
        <v>12</v>
      </c>
      <c r="AU435">
        <v>12</v>
      </c>
      <c r="AV435">
        <v>12</v>
      </c>
      <c r="AW435">
        <v>12</v>
      </c>
      <c r="AX435">
        <v>12</v>
      </c>
      <c r="AY435">
        <v>0</v>
      </c>
      <c r="AZ435">
        <v>0</v>
      </c>
      <c r="BA435">
        <v>0</v>
      </c>
      <c r="BB435">
        <v>0</v>
      </c>
      <c r="BC435">
        <v>0</v>
      </c>
      <c r="BD435">
        <v>0.19500000000000001</v>
      </c>
      <c r="BH435">
        <v>0.19500000000000001</v>
      </c>
      <c r="BJ435">
        <v>1</v>
      </c>
      <c r="BK435" t="s">
        <v>1041</v>
      </c>
      <c r="BV435" t="s">
        <v>1009</v>
      </c>
    </row>
    <row r="436" spans="1:74" x14ac:dyDescent="0.2">
      <c r="A436" t="s">
        <v>920</v>
      </c>
      <c r="B436" t="s">
        <v>3177</v>
      </c>
      <c r="C436" t="s">
        <v>913</v>
      </c>
      <c r="D436" t="s">
        <v>281</v>
      </c>
      <c r="E436" t="s">
        <v>1031</v>
      </c>
      <c r="F436" t="s">
        <v>3178</v>
      </c>
      <c r="G436" t="s">
        <v>1348</v>
      </c>
      <c r="H436" t="s">
        <v>3179</v>
      </c>
      <c r="I436" t="s">
        <v>3180</v>
      </c>
      <c r="J436" t="s">
        <v>1066</v>
      </c>
      <c r="N436" t="s">
        <v>1061</v>
      </c>
      <c r="O436" t="s">
        <v>253</v>
      </c>
      <c r="P436" t="s">
        <v>3181</v>
      </c>
      <c r="Q436" t="s">
        <v>1088</v>
      </c>
      <c r="R436">
        <v>100</v>
      </c>
      <c r="S436">
        <v>100</v>
      </c>
      <c r="T436">
        <v>100</v>
      </c>
      <c r="U436">
        <v>100</v>
      </c>
      <c r="V436">
        <v>100</v>
      </c>
      <c r="W436">
        <v>100</v>
      </c>
      <c r="BV436" t="s">
        <v>1042</v>
      </c>
    </row>
    <row r="437" spans="1:74" x14ac:dyDescent="0.2">
      <c r="A437" t="s">
        <v>920</v>
      </c>
      <c r="B437" t="s">
        <v>3182</v>
      </c>
      <c r="C437" t="s">
        <v>913</v>
      </c>
      <c r="D437" t="s">
        <v>281</v>
      </c>
      <c r="E437" t="s">
        <v>1031</v>
      </c>
      <c r="F437" t="s">
        <v>3183</v>
      </c>
      <c r="G437" t="s">
        <v>1358</v>
      </c>
      <c r="H437" t="s">
        <v>3184</v>
      </c>
      <c r="I437" t="s">
        <v>3185</v>
      </c>
      <c r="J437" t="s">
        <v>1066</v>
      </c>
      <c r="N437" t="s">
        <v>1191</v>
      </c>
      <c r="O437" t="s">
        <v>1039</v>
      </c>
      <c r="P437" t="s">
        <v>2844</v>
      </c>
      <c r="Q437">
        <v>2</v>
      </c>
      <c r="R437">
        <v>7.11</v>
      </c>
      <c r="S437">
        <v>7.11</v>
      </c>
      <c r="T437">
        <v>9.7799999999999994</v>
      </c>
      <c r="U437">
        <v>12.45</v>
      </c>
      <c r="V437">
        <v>15.11</v>
      </c>
      <c r="W437">
        <v>17.78</v>
      </c>
      <c r="BV437" t="s">
        <v>1042</v>
      </c>
    </row>
    <row r="438" spans="1:74" x14ac:dyDescent="0.2">
      <c r="A438" t="s">
        <v>920</v>
      </c>
      <c r="B438" t="s">
        <v>3186</v>
      </c>
      <c r="C438" t="s">
        <v>913</v>
      </c>
      <c r="D438" t="s">
        <v>281</v>
      </c>
      <c r="E438" t="s">
        <v>1031</v>
      </c>
      <c r="F438" t="s">
        <v>3187</v>
      </c>
      <c r="G438" t="s">
        <v>1365</v>
      </c>
      <c r="H438" t="s">
        <v>3188</v>
      </c>
      <c r="I438" t="s">
        <v>3189</v>
      </c>
      <c r="J438" t="s">
        <v>1036</v>
      </c>
      <c r="K438" t="s">
        <v>1037</v>
      </c>
      <c r="M438" t="s">
        <v>543</v>
      </c>
      <c r="N438" t="s">
        <v>1112</v>
      </c>
      <c r="O438" t="s">
        <v>1295</v>
      </c>
      <c r="P438" t="s">
        <v>1427</v>
      </c>
      <c r="Q438" t="s">
        <v>1041</v>
      </c>
      <c r="R438" t="s">
        <v>3156</v>
      </c>
      <c r="S438" t="s">
        <v>1847</v>
      </c>
      <c r="T438" t="s">
        <v>1847</v>
      </c>
      <c r="U438" t="s">
        <v>1847</v>
      </c>
      <c r="V438" t="s">
        <v>1847</v>
      </c>
      <c r="W438" t="s">
        <v>1847</v>
      </c>
      <c r="AE438" t="s">
        <v>548</v>
      </c>
      <c r="AF438" t="s">
        <v>548</v>
      </c>
      <c r="AG438" t="s">
        <v>548</v>
      </c>
      <c r="AH438" t="s">
        <v>548</v>
      </c>
      <c r="AI438" t="s">
        <v>548</v>
      </c>
      <c r="AJ438" t="s">
        <v>1115</v>
      </c>
      <c r="AK438" t="s">
        <v>1115</v>
      </c>
      <c r="AL438" t="s">
        <v>1115</v>
      </c>
      <c r="AM438" t="s">
        <v>1115</v>
      </c>
      <c r="AN438" t="s">
        <v>1115</v>
      </c>
      <c r="AO438" t="s">
        <v>1115</v>
      </c>
      <c r="AP438" t="s">
        <v>1115</v>
      </c>
      <c r="AQ438" t="s">
        <v>1115</v>
      </c>
      <c r="AR438" t="s">
        <v>1115</v>
      </c>
      <c r="AS438" t="s">
        <v>1115</v>
      </c>
      <c r="AT438" t="s">
        <v>1115</v>
      </c>
      <c r="AU438" t="s">
        <v>1115</v>
      </c>
      <c r="AV438" t="s">
        <v>1115</v>
      </c>
      <c r="AW438" t="s">
        <v>1115</v>
      </c>
      <c r="AX438" t="s">
        <v>1115</v>
      </c>
      <c r="AY438" t="s">
        <v>1115</v>
      </c>
      <c r="AZ438" t="s">
        <v>1115</v>
      </c>
      <c r="BA438" t="s">
        <v>1115</v>
      </c>
      <c r="BB438" t="s">
        <v>1115</v>
      </c>
      <c r="BC438" t="s">
        <v>1115</v>
      </c>
      <c r="BD438" t="s">
        <v>1115</v>
      </c>
      <c r="BH438" t="s">
        <v>1115</v>
      </c>
      <c r="BJ438">
        <v>1</v>
      </c>
      <c r="BK438" t="s">
        <v>1041</v>
      </c>
      <c r="BU438" t="s">
        <v>1116</v>
      </c>
      <c r="BV438" t="s">
        <v>1042</v>
      </c>
    </row>
    <row r="439" spans="1:74" x14ac:dyDescent="0.2">
      <c r="A439" t="s">
        <v>920</v>
      </c>
      <c r="B439" t="s">
        <v>3190</v>
      </c>
      <c r="C439" t="s">
        <v>913</v>
      </c>
      <c r="D439" t="s">
        <v>281</v>
      </c>
      <c r="E439" t="s">
        <v>1031</v>
      </c>
      <c r="F439" t="s">
        <v>3187</v>
      </c>
      <c r="G439" t="s">
        <v>1825</v>
      </c>
      <c r="H439" t="s">
        <v>3191</v>
      </c>
      <c r="I439" t="s">
        <v>3192</v>
      </c>
      <c r="J439" t="s">
        <v>1066</v>
      </c>
      <c r="N439" t="s">
        <v>1203</v>
      </c>
      <c r="O439" t="s">
        <v>1039</v>
      </c>
      <c r="P439" t="s">
        <v>3193</v>
      </c>
      <c r="Q439" t="s">
        <v>1088</v>
      </c>
      <c r="R439">
        <v>850</v>
      </c>
      <c r="S439">
        <v>850</v>
      </c>
      <c r="T439">
        <v>750</v>
      </c>
      <c r="U439">
        <v>650</v>
      </c>
      <c r="V439">
        <v>550</v>
      </c>
      <c r="W439">
        <v>425</v>
      </c>
      <c r="BV439" t="s">
        <v>1042</v>
      </c>
    </row>
    <row r="440" spans="1:74" x14ac:dyDescent="0.2">
      <c r="A440" t="s">
        <v>920</v>
      </c>
      <c r="B440" t="s">
        <v>3194</v>
      </c>
      <c r="C440" t="s">
        <v>913</v>
      </c>
      <c r="D440" t="s">
        <v>281</v>
      </c>
      <c r="E440" t="s">
        <v>1031</v>
      </c>
      <c r="F440" t="s">
        <v>3187</v>
      </c>
      <c r="G440" t="s">
        <v>3195</v>
      </c>
      <c r="H440" t="s">
        <v>3196</v>
      </c>
      <c r="I440" t="s">
        <v>3197</v>
      </c>
      <c r="J440" t="s">
        <v>1066</v>
      </c>
      <c r="N440" t="s">
        <v>1203</v>
      </c>
      <c r="O440" t="s">
        <v>253</v>
      </c>
      <c r="P440" t="s">
        <v>1204</v>
      </c>
      <c r="Q440" t="s">
        <v>1088</v>
      </c>
      <c r="R440">
        <v>63</v>
      </c>
      <c r="S440">
        <v>63</v>
      </c>
      <c r="T440">
        <v>66</v>
      </c>
      <c r="U440">
        <v>68</v>
      </c>
      <c r="V440">
        <v>71</v>
      </c>
      <c r="W440">
        <v>75</v>
      </c>
      <c r="BV440" t="s">
        <v>1042</v>
      </c>
    </row>
    <row r="441" spans="1:74" x14ac:dyDescent="0.2">
      <c r="A441" t="s">
        <v>920</v>
      </c>
      <c r="B441" t="s">
        <v>3198</v>
      </c>
      <c r="C441" t="s">
        <v>913</v>
      </c>
      <c r="D441" t="s">
        <v>281</v>
      </c>
      <c r="E441" t="s">
        <v>1031</v>
      </c>
      <c r="F441" t="s">
        <v>3199</v>
      </c>
      <c r="G441" t="s">
        <v>1372</v>
      </c>
      <c r="H441" t="s">
        <v>3200</v>
      </c>
      <c r="I441" t="s">
        <v>3201</v>
      </c>
      <c r="J441" t="s">
        <v>1066</v>
      </c>
      <c r="N441" t="s">
        <v>1121</v>
      </c>
      <c r="O441" t="s">
        <v>253</v>
      </c>
      <c r="P441" t="s">
        <v>3202</v>
      </c>
      <c r="Q441">
        <v>1</v>
      </c>
      <c r="R441" t="s">
        <v>3203</v>
      </c>
      <c r="S441" t="s">
        <v>3204</v>
      </c>
      <c r="T441" t="s">
        <v>3204</v>
      </c>
      <c r="U441" t="s">
        <v>3204</v>
      </c>
      <c r="V441" t="s">
        <v>3204</v>
      </c>
      <c r="W441" t="s">
        <v>3204</v>
      </c>
      <c r="BV441" t="s">
        <v>1042</v>
      </c>
    </row>
    <row r="442" spans="1:74" x14ac:dyDescent="0.2">
      <c r="A442" t="s">
        <v>920</v>
      </c>
      <c r="B442" t="s">
        <v>3205</v>
      </c>
      <c r="C442" t="s">
        <v>913</v>
      </c>
      <c r="D442" t="s">
        <v>281</v>
      </c>
      <c r="E442" t="s">
        <v>1031</v>
      </c>
      <c r="F442" t="s">
        <v>3206</v>
      </c>
      <c r="G442" t="s">
        <v>1378</v>
      </c>
      <c r="H442" t="s">
        <v>3207</v>
      </c>
      <c r="I442" t="s">
        <v>3208</v>
      </c>
      <c r="J442" t="s">
        <v>1047</v>
      </c>
      <c r="K442" t="s">
        <v>1037</v>
      </c>
      <c r="M442" t="s">
        <v>543</v>
      </c>
      <c r="N442" t="s">
        <v>1093</v>
      </c>
      <c r="O442" t="s">
        <v>1211</v>
      </c>
      <c r="P442" t="s">
        <v>1339</v>
      </c>
      <c r="Q442" t="s">
        <v>1041</v>
      </c>
      <c r="R442" t="s">
        <v>1213</v>
      </c>
      <c r="S442" t="s">
        <v>1213</v>
      </c>
      <c r="T442" t="s">
        <v>1213</v>
      </c>
      <c r="U442" t="s">
        <v>1213</v>
      </c>
      <c r="V442" t="s">
        <v>1213</v>
      </c>
      <c r="W442" t="s">
        <v>1213</v>
      </c>
      <c r="AE442" t="s">
        <v>548</v>
      </c>
      <c r="AF442" t="s">
        <v>548</v>
      </c>
      <c r="AG442" t="s">
        <v>548</v>
      </c>
      <c r="AH442" t="s">
        <v>548</v>
      </c>
      <c r="AI442" t="s">
        <v>548</v>
      </c>
      <c r="AJ442" t="s">
        <v>1340</v>
      </c>
      <c r="AK442" t="s">
        <v>1340</v>
      </c>
      <c r="AL442" t="s">
        <v>1340</v>
      </c>
      <c r="AM442" t="s">
        <v>1340</v>
      </c>
      <c r="AN442" t="s">
        <v>1340</v>
      </c>
      <c r="AO442" t="s">
        <v>1341</v>
      </c>
      <c r="AP442" t="s">
        <v>1341</v>
      </c>
      <c r="AQ442" t="s">
        <v>1341</v>
      </c>
      <c r="AR442" t="s">
        <v>1341</v>
      </c>
      <c r="AS442" t="s">
        <v>1341</v>
      </c>
      <c r="BD442">
        <v>20</v>
      </c>
      <c r="BJ442">
        <v>1</v>
      </c>
      <c r="BK442" t="s">
        <v>1041</v>
      </c>
      <c r="BU442" t="s">
        <v>3209</v>
      </c>
      <c r="BV442" t="s">
        <v>1042</v>
      </c>
    </row>
    <row r="443" spans="1:74" x14ac:dyDescent="0.2">
      <c r="A443" t="s">
        <v>920</v>
      </c>
      <c r="B443" t="s">
        <v>3210</v>
      </c>
      <c r="C443" t="s">
        <v>913</v>
      </c>
      <c r="D443" t="s">
        <v>281</v>
      </c>
      <c r="E443" t="s">
        <v>1031</v>
      </c>
      <c r="F443" t="s">
        <v>3206</v>
      </c>
      <c r="G443" t="s">
        <v>2051</v>
      </c>
      <c r="H443" t="s">
        <v>3211</v>
      </c>
      <c r="I443" t="s">
        <v>3212</v>
      </c>
      <c r="J443" t="s">
        <v>1036</v>
      </c>
      <c r="K443" t="s">
        <v>1037</v>
      </c>
      <c r="N443" t="s">
        <v>1038</v>
      </c>
      <c r="O443" t="s">
        <v>1039</v>
      </c>
      <c r="P443" t="s">
        <v>1040</v>
      </c>
      <c r="Q443" t="s">
        <v>1088</v>
      </c>
      <c r="R443">
        <v>184</v>
      </c>
      <c r="S443">
        <v>181</v>
      </c>
      <c r="T443">
        <v>177</v>
      </c>
      <c r="U443">
        <v>173</v>
      </c>
      <c r="V443">
        <v>171</v>
      </c>
      <c r="W443">
        <v>169</v>
      </c>
      <c r="AE443" t="s">
        <v>548</v>
      </c>
      <c r="AF443" t="s">
        <v>548</v>
      </c>
      <c r="AG443" t="s">
        <v>548</v>
      </c>
      <c r="AH443" t="s">
        <v>548</v>
      </c>
      <c r="AI443" t="s">
        <v>548</v>
      </c>
      <c r="AJ443">
        <v>191</v>
      </c>
      <c r="AK443">
        <v>187</v>
      </c>
      <c r="AL443">
        <v>183</v>
      </c>
      <c r="AM443">
        <v>181</v>
      </c>
      <c r="AN443">
        <v>179</v>
      </c>
      <c r="AO443">
        <v>186</v>
      </c>
      <c r="AP443">
        <v>182</v>
      </c>
      <c r="AQ443">
        <v>178</v>
      </c>
      <c r="AR443">
        <v>176</v>
      </c>
      <c r="AS443">
        <v>174</v>
      </c>
      <c r="AT443">
        <v>176</v>
      </c>
      <c r="AU443">
        <v>172</v>
      </c>
      <c r="AV443">
        <v>168</v>
      </c>
      <c r="AW443">
        <v>166</v>
      </c>
      <c r="AX443">
        <v>164</v>
      </c>
      <c r="AY443">
        <v>171</v>
      </c>
      <c r="AZ443">
        <v>167</v>
      </c>
      <c r="BA443">
        <v>163</v>
      </c>
      <c r="BB443">
        <v>161</v>
      </c>
      <c r="BC443">
        <v>159</v>
      </c>
      <c r="BD443">
        <v>1.84</v>
      </c>
      <c r="BH443">
        <v>0.92</v>
      </c>
      <c r="BJ443">
        <v>1</v>
      </c>
      <c r="BK443" t="s">
        <v>1041</v>
      </c>
      <c r="BU443" t="s">
        <v>3213</v>
      </c>
      <c r="BV443" t="s">
        <v>1042</v>
      </c>
    </row>
    <row r="444" spans="1:74" x14ac:dyDescent="0.2">
      <c r="A444" t="s">
        <v>920</v>
      </c>
      <c r="B444" t="s">
        <v>3214</v>
      </c>
      <c r="C444" t="s">
        <v>913</v>
      </c>
      <c r="D444" t="s">
        <v>281</v>
      </c>
      <c r="E444" t="s">
        <v>1031</v>
      </c>
      <c r="F444" t="s">
        <v>3206</v>
      </c>
      <c r="G444" t="s">
        <v>3215</v>
      </c>
      <c r="H444" t="s">
        <v>3216</v>
      </c>
      <c r="I444" t="s">
        <v>3217</v>
      </c>
      <c r="J444" t="s">
        <v>1047</v>
      </c>
      <c r="K444" t="s">
        <v>1037</v>
      </c>
      <c r="N444" t="s">
        <v>1144</v>
      </c>
      <c r="O444" t="s">
        <v>253</v>
      </c>
      <c r="P444" t="s">
        <v>3218</v>
      </c>
      <c r="Q444" t="s">
        <v>1088</v>
      </c>
      <c r="R444">
        <v>80</v>
      </c>
      <c r="S444">
        <v>80</v>
      </c>
      <c r="T444">
        <v>81</v>
      </c>
      <c r="U444">
        <v>83</v>
      </c>
      <c r="V444">
        <v>85</v>
      </c>
      <c r="W444">
        <v>87</v>
      </c>
      <c r="AI444" t="s">
        <v>548</v>
      </c>
      <c r="AN444">
        <v>80</v>
      </c>
      <c r="AS444">
        <v>85</v>
      </c>
      <c r="BD444">
        <v>3.1</v>
      </c>
      <c r="BJ444">
        <v>1</v>
      </c>
      <c r="BK444" t="s">
        <v>1041</v>
      </c>
      <c r="BU444" t="s">
        <v>3219</v>
      </c>
      <c r="BV444" t="s">
        <v>1042</v>
      </c>
    </row>
    <row r="445" spans="1:74" x14ac:dyDescent="0.2">
      <c r="A445" t="s">
        <v>920</v>
      </c>
      <c r="B445" t="s">
        <v>3220</v>
      </c>
      <c r="C445" t="s">
        <v>913</v>
      </c>
      <c r="D445" t="s">
        <v>282</v>
      </c>
      <c r="E445" t="s">
        <v>1227</v>
      </c>
      <c r="F445" t="s">
        <v>3178</v>
      </c>
      <c r="G445" t="s">
        <v>1478</v>
      </c>
      <c r="H445" t="s">
        <v>3221</v>
      </c>
      <c r="I445" t="s">
        <v>3222</v>
      </c>
      <c r="J445" t="s">
        <v>1066</v>
      </c>
      <c r="N445" t="s">
        <v>1183</v>
      </c>
      <c r="O445" t="s">
        <v>253</v>
      </c>
      <c r="P445" t="s">
        <v>3223</v>
      </c>
      <c r="Q445">
        <v>1</v>
      </c>
      <c r="R445">
        <v>97.1</v>
      </c>
      <c r="S445">
        <v>100</v>
      </c>
      <c r="T445">
        <v>100</v>
      </c>
      <c r="U445">
        <v>100</v>
      </c>
      <c r="V445">
        <v>100</v>
      </c>
      <c r="W445">
        <v>100</v>
      </c>
      <c r="BV445" t="s">
        <v>1042</v>
      </c>
    </row>
    <row r="446" spans="1:74" x14ac:dyDescent="0.2">
      <c r="A446" t="s">
        <v>920</v>
      </c>
      <c r="B446" t="s">
        <v>3224</v>
      </c>
      <c r="C446" t="s">
        <v>913</v>
      </c>
      <c r="D446" t="s">
        <v>282</v>
      </c>
      <c r="E446" t="s">
        <v>1227</v>
      </c>
      <c r="F446" t="s">
        <v>3178</v>
      </c>
      <c r="G446" t="s">
        <v>1483</v>
      </c>
      <c r="H446" t="s">
        <v>3225</v>
      </c>
      <c r="I446" t="s">
        <v>3226</v>
      </c>
      <c r="J446" t="s">
        <v>1036</v>
      </c>
      <c r="K446" t="s">
        <v>1037</v>
      </c>
      <c r="N446" t="s">
        <v>1261</v>
      </c>
      <c r="O446" t="s">
        <v>1039</v>
      </c>
      <c r="P446" t="s">
        <v>1262</v>
      </c>
      <c r="Q446" t="s">
        <v>1088</v>
      </c>
      <c r="R446">
        <v>224</v>
      </c>
      <c r="S446">
        <v>161</v>
      </c>
      <c r="T446">
        <v>154</v>
      </c>
      <c r="U446">
        <v>131</v>
      </c>
      <c r="V446">
        <v>131</v>
      </c>
      <c r="W446">
        <v>131</v>
      </c>
      <c r="AA446" t="s">
        <v>548</v>
      </c>
      <c r="AE446" t="s">
        <v>548</v>
      </c>
      <c r="AF446" t="s">
        <v>548</v>
      </c>
      <c r="AG446" t="s">
        <v>548</v>
      </c>
      <c r="AH446" t="s">
        <v>548</v>
      </c>
      <c r="AI446" t="s">
        <v>548</v>
      </c>
      <c r="AJ446">
        <v>249</v>
      </c>
      <c r="AK446">
        <v>249</v>
      </c>
      <c r="AL446">
        <v>156</v>
      </c>
      <c r="AM446">
        <v>156</v>
      </c>
      <c r="AN446">
        <v>156</v>
      </c>
      <c r="AO446">
        <v>224</v>
      </c>
      <c r="AP446">
        <v>224</v>
      </c>
      <c r="AQ446">
        <v>131</v>
      </c>
      <c r="AR446">
        <v>131</v>
      </c>
      <c r="AS446">
        <v>131</v>
      </c>
      <c r="AT446">
        <v>131</v>
      </c>
      <c r="AU446">
        <v>131</v>
      </c>
      <c r="AV446">
        <v>131</v>
      </c>
      <c r="AW446">
        <v>131</v>
      </c>
      <c r="AX446">
        <v>131</v>
      </c>
      <c r="AY446">
        <v>106</v>
      </c>
      <c r="AZ446">
        <v>106</v>
      </c>
      <c r="BA446">
        <v>106</v>
      </c>
      <c r="BB446">
        <v>106</v>
      </c>
      <c r="BC446">
        <v>106</v>
      </c>
      <c r="BD446">
        <v>0.4</v>
      </c>
      <c r="BH446">
        <v>4.7E-2</v>
      </c>
      <c r="BJ446">
        <v>1</v>
      </c>
      <c r="BK446" t="s">
        <v>1041</v>
      </c>
      <c r="BV446" t="s">
        <v>1010</v>
      </c>
    </row>
    <row r="447" spans="1:74" x14ac:dyDescent="0.2">
      <c r="A447" t="s">
        <v>920</v>
      </c>
      <c r="B447" t="s">
        <v>3227</v>
      </c>
      <c r="C447" t="s">
        <v>913</v>
      </c>
      <c r="D447" t="s">
        <v>282</v>
      </c>
      <c r="E447" t="s">
        <v>1227</v>
      </c>
      <c r="F447" t="s">
        <v>3183</v>
      </c>
      <c r="G447" t="s">
        <v>1354</v>
      </c>
      <c r="H447" t="s">
        <v>3228</v>
      </c>
      <c r="I447" t="s">
        <v>3229</v>
      </c>
      <c r="J447" t="s">
        <v>1047</v>
      </c>
      <c r="K447" t="s">
        <v>1037</v>
      </c>
      <c r="N447" t="s">
        <v>1242</v>
      </c>
      <c r="O447" t="s">
        <v>1039</v>
      </c>
      <c r="P447" t="s">
        <v>3230</v>
      </c>
      <c r="Q447" t="s">
        <v>1088</v>
      </c>
      <c r="R447">
        <v>1000</v>
      </c>
      <c r="S447">
        <v>1000</v>
      </c>
      <c r="T447">
        <v>1000</v>
      </c>
      <c r="U447">
        <v>15000</v>
      </c>
      <c r="V447">
        <v>20000</v>
      </c>
      <c r="W447">
        <v>25000</v>
      </c>
      <c r="AE447" t="s">
        <v>548</v>
      </c>
      <c r="AF447" t="s">
        <v>548</v>
      </c>
      <c r="AG447" t="s">
        <v>548</v>
      </c>
      <c r="AH447" t="s">
        <v>548</v>
      </c>
      <c r="AI447" t="s">
        <v>548</v>
      </c>
      <c r="AJ447">
        <v>1000</v>
      </c>
      <c r="AK447">
        <v>1000</v>
      </c>
      <c r="AL447">
        <v>1000</v>
      </c>
      <c r="AM447">
        <v>1000</v>
      </c>
      <c r="AN447">
        <v>1000</v>
      </c>
      <c r="AO447">
        <v>1000</v>
      </c>
      <c r="AP447">
        <v>1000</v>
      </c>
      <c r="AQ447">
        <v>8000</v>
      </c>
      <c r="AR447">
        <v>10500</v>
      </c>
      <c r="AS447">
        <v>13000</v>
      </c>
      <c r="BD447">
        <v>2.0000000000000001E-4</v>
      </c>
      <c r="BJ447">
        <v>1</v>
      </c>
      <c r="BK447" t="s">
        <v>1041</v>
      </c>
      <c r="BV447" t="s">
        <v>1042</v>
      </c>
    </row>
    <row r="448" spans="1:74" x14ac:dyDescent="0.2">
      <c r="A448" t="s">
        <v>920</v>
      </c>
      <c r="B448" t="s">
        <v>3231</v>
      </c>
      <c r="C448" t="s">
        <v>913</v>
      </c>
      <c r="D448" t="s">
        <v>282</v>
      </c>
      <c r="E448" t="s">
        <v>1227</v>
      </c>
      <c r="F448" t="s">
        <v>3183</v>
      </c>
      <c r="G448" t="s">
        <v>1358</v>
      </c>
      <c r="H448" t="s">
        <v>3232</v>
      </c>
      <c r="I448" t="s">
        <v>3185</v>
      </c>
      <c r="J448" t="s">
        <v>1066</v>
      </c>
      <c r="N448" t="s">
        <v>1191</v>
      </c>
      <c r="O448" t="s">
        <v>1039</v>
      </c>
      <c r="P448" t="s">
        <v>2844</v>
      </c>
      <c r="Q448">
        <v>2</v>
      </c>
      <c r="R448">
        <v>32.89</v>
      </c>
      <c r="S448">
        <v>32.89</v>
      </c>
      <c r="T448">
        <v>45.22</v>
      </c>
      <c r="U448">
        <v>57.55</v>
      </c>
      <c r="V448">
        <v>69.89</v>
      </c>
      <c r="W448">
        <v>82.22</v>
      </c>
      <c r="BV448" t="s">
        <v>1042</v>
      </c>
    </row>
    <row r="449" spans="1:74" x14ac:dyDescent="0.2">
      <c r="A449" t="s">
        <v>920</v>
      </c>
      <c r="B449" t="s">
        <v>3233</v>
      </c>
      <c r="C449" t="s">
        <v>913</v>
      </c>
      <c r="D449" t="s">
        <v>282</v>
      </c>
      <c r="E449" t="s">
        <v>1227</v>
      </c>
      <c r="F449" t="s">
        <v>3234</v>
      </c>
      <c r="G449" t="s">
        <v>1365</v>
      </c>
      <c r="H449" t="s">
        <v>3235</v>
      </c>
      <c r="I449" t="s">
        <v>3236</v>
      </c>
      <c r="J449" t="s">
        <v>1036</v>
      </c>
      <c r="K449" t="s">
        <v>1037</v>
      </c>
      <c r="M449" t="s">
        <v>543</v>
      </c>
      <c r="N449" t="s">
        <v>1112</v>
      </c>
      <c r="O449" t="s">
        <v>1295</v>
      </c>
      <c r="P449" t="s">
        <v>1427</v>
      </c>
      <c r="Q449" t="s">
        <v>1041</v>
      </c>
      <c r="R449" t="s">
        <v>3156</v>
      </c>
      <c r="S449" t="s">
        <v>1847</v>
      </c>
      <c r="T449" t="s">
        <v>1847</v>
      </c>
      <c r="U449" t="s">
        <v>1847</v>
      </c>
      <c r="V449" t="s">
        <v>1847</v>
      </c>
      <c r="W449" t="s">
        <v>1847</v>
      </c>
      <c r="AE449" t="s">
        <v>548</v>
      </c>
      <c r="AF449" t="s">
        <v>548</v>
      </c>
      <c r="AG449" t="s">
        <v>548</v>
      </c>
      <c r="AH449" t="s">
        <v>548</v>
      </c>
      <c r="AI449" t="s">
        <v>548</v>
      </c>
      <c r="AJ449" t="s">
        <v>1115</v>
      </c>
      <c r="AK449" t="s">
        <v>1115</v>
      </c>
      <c r="AL449" t="s">
        <v>1115</v>
      </c>
      <c r="AM449" t="s">
        <v>1115</v>
      </c>
      <c r="AN449" t="s">
        <v>1115</v>
      </c>
      <c r="AO449" t="s">
        <v>1115</v>
      </c>
      <c r="AP449" t="s">
        <v>1115</v>
      </c>
      <c r="AQ449" t="s">
        <v>1115</v>
      </c>
      <c r="AR449" t="s">
        <v>1115</v>
      </c>
      <c r="AS449" t="s">
        <v>1115</v>
      </c>
      <c r="AT449" t="s">
        <v>1115</v>
      </c>
      <c r="AU449" t="s">
        <v>1115</v>
      </c>
      <c r="AV449" t="s">
        <v>1115</v>
      </c>
      <c r="AW449" t="s">
        <v>1115</v>
      </c>
      <c r="AX449" t="s">
        <v>1115</v>
      </c>
      <c r="AY449" t="s">
        <v>1115</v>
      </c>
      <c r="AZ449" t="s">
        <v>1115</v>
      </c>
      <c r="BA449" t="s">
        <v>1115</v>
      </c>
      <c r="BB449" t="s">
        <v>1115</v>
      </c>
      <c r="BC449" t="s">
        <v>1115</v>
      </c>
      <c r="BD449" t="s">
        <v>1115</v>
      </c>
      <c r="BH449" t="s">
        <v>1115</v>
      </c>
      <c r="BJ449">
        <v>1</v>
      </c>
      <c r="BK449" t="s">
        <v>1041</v>
      </c>
      <c r="BU449" t="s">
        <v>1116</v>
      </c>
      <c r="BV449" t="s">
        <v>1042</v>
      </c>
    </row>
    <row r="450" spans="1:74" x14ac:dyDescent="0.2">
      <c r="A450" t="s">
        <v>920</v>
      </c>
      <c r="B450" t="s">
        <v>3237</v>
      </c>
      <c r="C450" t="s">
        <v>913</v>
      </c>
      <c r="D450" t="s">
        <v>282</v>
      </c>
      <c r="E450" t="s">
        <v>1227</v>
      </c>
      <c r="F450" t="s">
        <v>3234</v>
      </c>
      <c r="G450" t="s">
        <v>1825</v>
      </c>
      <c r="H450" t="s">
        <v>3238</v>
      </c>
      <c r="I450" t="s">
        <v>3192</v>
      </c>
      <c r="J450" t="s">
        <v>1066</v>
      </c>
      <c r="N450" t="s">
        <v>1203</v>
      </c>
      <c r="O450" t="s">
        <v>1039</v>
      </c>
      <c r="P450" t="s">
        <v>3193</v>
      </c>
      <c r="Q450" t="s">
        <v>1088</v>
      </c>
      <c r="R450">
        <v>850</v>
      </c>
      <c r="S450">
        <v>850</v>
      </c>
      <c r="T450">
        <v>750</v>
      </c>
      <c r="U450">
        <v>650</v>
      </c>
      <c r="V450">
        <v>550</v>
      </c>
      <c r="W450">
        <v>425</v>
      </c>
      <c r="BV450" t="s">
        <v>1042</v>
      </c>
    </row>
    <row r="451" spans="1:74" x14ac:dyDescent="0.2">
      <c r="A451" t="s">
        <v>920</v>
      </c>
      <c r="B451" t="s">
        <v>3239</v>
      </c>
      <c r="C451" t="s">
        <v>913</v>
      </c>
      <c r="D451" t="s">
        <v>282</v>
      </c>
      <c r="E451" t="s">
        <v>1227</v>
      </c>
      <c r="F451" t="s">
        <v>3234</v>
      </c>
      <c r="G451" t="s">
        <v>1833</v>
      </c>
      <c r="H451" t="s">
        <v>3240</v>
      </c>
      <c r="I451" t="s">
        <v>3241</v>
      </c>
      <c r="J451" t="s">
        <v>1036</v>
      </c>
      <c r="K451" t="s">
        <v>1037</v>
      </c>
      <c r="N451" t="s">
        <v>1231</v>
      </c>
      <c r="O451" t="s">
        <v>1039</v>
      </c>
      <c r="P451" t="s">
        <v>3242</v>
      </c>
      <c r="Q451" t="s">
        <v>1088</v>
      </c>
      <c r="R451">
        <v>313</v>
      </c>
      <c r="S451">
        <v>310</v>
      </c>
      <c r="T451">
        <v>300</v>
      </c>
      <c r="U451">
        <v>292</v>
      </c>
      <c r="V451">
        <v>282</v>
      </c>
      <c r="W451">
        <v>269</v>
      </c>
      <c r="AB451" t="s">
        <v>548</v>
      </c>
      <c r="AE451" t="s">
        <v>548</v>
      </c>
      <c r="AF451" t="s">
        <v>548</v>
      </c>
      <c r="AG451" t="s">
        <v>548</v>
      </c>
      <c r="AH451" t="s">
        <v>548</v>
      </c>
      <c r="AI451" t="s">
        <v>548</v>
      </c>
      <c r="AJ451">
        <v>388</v>
      </c>
      <c r="AK451">
        <v>374</v>
      </c>
      <c r="AL451">
        <v>363</v>
      </c>
      <c r="AM451">
        <v>349</v>
      </c>
      <c r="AN451">
        <v>331</v>
      </c>
      <c r="AO451">
        <v>313</v>
      </c>
      <c r="AP451">
        <v>313</v>
      </c>
      <c r="AQ451">
        <v>313</v>
      </c>
      <c r="AR451">
        <v>313</v>
      </c>
      <c r="AS451">
        <v>313</v>
      </c>
      <c r="AT451">
        <v>271</v>
      </c>
      <c r="AU451">
        <v>263</v>
      </c>
      <c r="AV451">
        <v>256</v>
      </c>
      <c r="AW451">
        <v>248</v>
      </c>
      <c r="AX451">
        <v>238</v>
      </c>
      <c r="AY451">
        <v>232</v>
      </c>
      <c r="AZ451">
        <v>226</v>
      </c>
      <c r="BA451">
        <v>221</v>
      </c>
      <c r="BB451">
        <v>215</v>
      </c>
      <c r="BC451">
        <v>207</v>
      </c>
      <c r="BD451">
        <v>0.161</v>
      </c>
      <c r="BH451">
        <v>6.2E-2</v>
      </c>
      <c r="BJ451">
        <v>1</v>
      </c>
      <c r="BK451" t="s">
        <v>1041</v>
      </c>
      <c r="BV451" t="s">
        <v>1011</v>
      </c>
    </row>
    <row r="452" spans="1:74" x14ac:dyDescent="0.2">
      <c r="A452" t="s">
        <v>920</v>
      </c>
      <c r="B452" t="s">
        <v>3243</v>
      </c>
      <c r="C452" t="s">
        <v>913</v>
      </c>
      <c r="D452" t="s">
        <v>282</v>
      </c>
      <c r="E452" t="s">
        <v>1227</v>
      </c>
      <c r="F452" t="s">
        <v>3234</v>
      </c>
      <c r="G452" t="s">
        <v>3195</v>
      </c>
      <c r="H452" t="s">
        <v>3244</v>
      </c>
      <c r="I452" t="s">
        <v>3245</v>
      </c>
      <c r="J452" t="s">
        <v>1066</v>
      </c>
      <c r="N452" t="s">
        <v>1203</v>
      </c>
      <c r="O452" t="s">
        <v>253</v>
      </c>
      <c r="P452" t="s">
        <v>1204</v>
      </c>
      <c r="Q452" t="s">
        <v>1088</v>
      </c>
      <c r="R452">
        <v>63</v>
      </c>
      <c r="S452">
        <v>63</v>
      </c>
      <c r="T452">
        <v>66</v>
      </c>
      <c r="U452">
        <v>68</v>
      </c>
      <c r="V452">
        <v>71</v>
      </c>
      <c r="W452">
        <v>75</v>
      </c>
      <c r="BV452" t="s">
        <v>1042</v>
      </c>
    </row>
    <row r="453" spans="1:74" x14ac:dyDescent="0.2">
      <c r="A453" t="s">
        <v>920</v>
      </c>
      <c r="B453" t="s">
        <v>3246</v>
      </c>
      <c r="C453" t="s">
        <v>913</v>
      </c>
      <c r="D453" t="s">
        <v>282</v>
      </c>
      <c r="E453" t="s">
        <v>1227</v>
      </c>
      <c r="F453" t="s">
        <v>3199</v>
      </c>
      <c r="G453" t="s">
        <v>1372</v>
      </c>
      <c r="H453" t="s">
        <v>3247</v>
      </c>
      <c r="I453" t="s">
        <v>3201</v>
      </c>
      <c r="J453" t="s">
        <v>1066</v>
      </c>
      <c r="N453" t="s">
        <v>1121</v>
      </c>
      <c r="O453" t="s">
        <v>253</v>
      </c>
      <c r="P453" t="s">
        <v>3202</v>
      </c>
      <c r="Q453" t="s">
        <v>1041</v>
      </c>
      <c r="R453" t="s">
        <v>3203</v>
      </c>
      <c r="S453" t="s">
        <v>3204</v>
      </c>
      <c r="T453" t="s">
        <v>3204</v>
      </c>
      <c r="U453" t="s">
        <v>3204</v>
      </c>
      <c r="V453" t="s">
        <v>3204</v>
      </c>
      <c r="W453" t="s">
        <v>3204</v>
      </c>
      <c r="BV453" t="s">
        <v>1042</v>
      </c>
    </row>
    <row r="454" spans="1:74" x14ac:dyDescent="0.2">
      <c r="A454" t="s">
        <v>920</v>
      </c>
      <c r="B454" t="s">
        <v>3248</v>
      </c>
      <c r="C454" t="s">
        <v>913</v>
      </c>
      <c r="D454" t="s">
        <v>282</v>
      </c>
      <c r="E454" t="s">
        <v>1227</v>
      </c>
      <c r="F454" t="s">
        <v>3206</v>
      </c>
      <c r="G454" t="s">
        <v>1378</v>
      </c>
      <c r="H454" t="s">
        <v>3249</v>
      </c>
      <c r="I454" t="s">
        <v>3208</v>
      </c>
      <c r="J454" t="s">
        <v>1047</v>
      </c>
      <c r="K454" t="s">
        <v>1037</v>
      </c>
      <c r="M454" t="s">
        <v>543</v>
      </c>
      <c r="N454" t="s">
        <v>1285</v>
      </c>
      <c r="O454" t="s">
        <v>1211</v>
      </c>
      <c r="P454" t="s">
        <v>1339</v>
      </c>
      <c r="Q454" t="s">
        <v>1041</v>
      </c>
      <c r="R454" t="s">
        <v>1213</v>
      </c>
      <c r="S454" t="s">
        <v>1213</v>
      </c>
      <c r="T454" t="s">
        <v>1213</v>
      </c>
      <c r="U454" t="s">
        <v>1213</v>
      </c>
      <c r="V454" t="s">
        <v>1213</v>
      </c>
      <c r="W454" t="s">
        <v>1213</v>
      </c>
      <c r="AE454" t="s">
        <v>548</v>
      </c>
      <c r="AF454" t="s">
        <v>548</v>
      </c>
      <c r="AG454" t="s">
        <v>548</v>
      </c>
      <c r="AH454" t="s">
        <v>548</v>
      </c>
      <c r="AI454" t="s">
        <v>548</v>
      </c>
      <c r="AJ454" t="s">
        <v>1340</v>
      </c>
      <c r="AK454" t="s">
        <v>1340</v>
      </c>
      <c r="AL454" t="s">
        <v>1340</v>
      </c>
      <c r="AM454" t="s">
        <v>1340</v>
      </c>
      <c r="AN454" t="s">
        <v>1340</v>
      </c>
      <c r="AO454" t="s">
        <v>1341</v>
      </c>
      <c r="AP454" t="s">
        <v>1341</v>
      </c>
      <c r="AQ454" t="s">
        <v>1341</v>
      </c>
      <c r="AR454" t="s">
        <v>1341</v>
      </c>
      <c r="AS454" t="s">
        <v>1341</v>
      </c>
      <c r="BD454">
        <v>20</v>
      </c>
      <c r="BJ454">
        <v>1</v>
      </c>
      <c r="BK454" t="s">
        <v>1041</v>
      </c>
      <c r="BU454" t="s">
        <v>3250</v>
      </c>
      <c r="BV454" t="s">
        <v>1042</v>
      </c>
    </row>
    <row r="455" spans="1:74" x14ac:dyDescent="0.2">
      <c r="A455" t="s">
        <v>920</v>
      </c>
      <c r="B455" t="s">
        <v>3251</v>
      </c>
      <c r="C455" t="s">
        <v>913</v>
      </c>
      <c r="D455" t="s">
        <v>282</v>
      </c>
      <c r="E455" t="s">
        <v>1227</v>
      </c>
      <c r="F455" t="s">
        <v>3206</v>
      </c>
      <c r="G455" t="s">
        <v>3215</v>
      </c>
      <c r="H455" t="s">
        <v>3252</v>
      </c>
      <c r="I455" t="s">
        <v>3217</v>
      </c>
      <c r="J455" t="s">
        <v>1047</v>
      </c>
      <c r="K455" t="s">
        <v>1037</v>
      </c>
      <c r="N455" t="s">
        <v>1144</v>
      </c>
      <c r="O455" t="s">
        <v>253</v>
      </c>
      <c r="P455" t="s">
        <v>3218</v>
      </c>
      <c r="Q455" t="s">
        <v>1088</v>
      </c>
      <c r="R455">
        <v>71</v>
      </c>
      <c r="S455">
        <v>71</v>
      </c>
      <c r="T455">
        <v>72</v>
      </c>
      <c r="U455">
        <v>74</v>
      </c>
      <c r="V455">
        <v>76</v>
      </c>
      <c r="W455">
        <v>78</v>
      </c>
      <c r="AI455" t="s">
        <v>548</v>
      </c>
      <c r="AN455">
        <v>71</v>
      </c>
      <c r="AS455">
        <v>76</v>
      </c>
      <c r="BD455">
        <v>2.2000000000000002</v>
      </c>
      <c r="BJ455">
        <v>1</v>
      </c>
      <c r="BK455" t="s">
        <v>1041</v>
      </c>
      <c r="BU455" t="s">
        <v>3253</v>
      </c>
      <c r="BV455" t="s">
        <v>1042</v>
      </c>
    </row>
    <row r="456" spans="1:74" x14ac:dyDescent="0.2">
      <c r="A456" t="s">
        <v>920</v>
      </c>
      <c r="B456" t="s">
        <v>3254</v>
      </c>
      <c r="C456" t="s">
        <v>913</v>
      </c>
      <c r="D456" t="s">
        <v>1501</v>
      </c>
      <c r="E456" t="s">
        <v>1502</v>
      </c>
      <c r="F456" t="s">
        <v>3255</v>
      </c>
      <c r="G456" t="s">
        <v>1365</v>
      </c>
      <c r="H456" t="s">
        <v>3256</v>
      </c>
      <c r="I456" t="s">
        <v>3189</v>
      </c>
      <c r="J456" t="s">
        <v>1036</v>
      </c>
      <c r="K456" t="s">
        <v>1037</v>
      </c>
      <c r="M456" t="s">
        <v>543</v>
      </c>
      <c r="N456" t="s">
        <v>1112</v>
      </c>
      <c r="O456" t="s">
        <v>1295</v>
      </c>
      <c r="P456" t="s">
        <v>1427</v>
      </c>
      <c r="Q456" t="s">
        <v>1041</v>
      </c>
      <c r="R456" t="s">
        <v>3156</v>
      </c>
      <c r="S456" t="s">
        <v>1847</v>
      </c>
      <c r="T456" t="s">
        <v>1847</v>
      </c>
      <c r="U456" t="s">
        <v>1847</v>
      </c>
      <c r="V456" t="s">
        <v>1847</v>
      </c>
      <c r="W456" t="s">
        <v>1847</v>
      </c>
      <c r="AE456" t="s">
        <v>548</v>
      </c>
      <c r="AF456" t="s">
        <v>548</v>
      </c>
      <c r="AG456" t="s">
        <v>548</v>
      </c>
      <c r="AH456" t="s">
        <v>548</v>
      </c>
      <c r="AI456" t="s">
        <v>548</v>
      </c>
      <c r="AJ456" t="s">
        <v>1115</v>
      </c>
      <c r="AK456" t="s">
        <v>1115</v>
      </c>
      <c r="AL456" t="s">
        <v>1115</v>
      </c>
      <c r="AM456" t="s">
        <v>1115</v>
      </c>
      <c r="AN456" t="s">
        <v>1115</v>
      </c>
      <c r="AO456" t="s">
        <v>1115</v>
      </c>
      <c r="AP456" t="s">
        <v>1115</v>
      </c>
      <c r="AQ456" t="s">
        <v>1115</v>
      </c>
      <c r="AR456" t="s">
        <v>1115</v>
      </c>
      <c r="AS456" t="s">
        <v>1115</v>
      </c>
      <c r="AT456" t="s">
        <v>1115</v>
      </c>
      <c r="AU456" t="s">
        <v>1115</v>
      </c>
      <c r="AV456" t="s">
        <v>1115</v>
      </c>
      <c r="AW456" t="s">
        <v>1115</v>
      </c>
      <c r="AX456" t="s">
        <v>1115</v>
      </c>
      <c r="AY456" t="s">
        <v>1115</v>
      </c>
      <c r="AZ456" t="s">
        <v>1115</v>
      </c>
      <c r="BA456" t="s">
        <v>1115</v>
      </c>
      <c r="BB456" t="s">
        <v>1115</v>
      </c>
      <c r="BC456" t="s">
        <v>1115</v>
      </c>
      <c r="BD456" t="s">
        <v>1115</v>
      </c>
      <c r="BH456" t="s">
        <v>1115</v>
      </c>
      <c r="BJ456">
        <v>1</v>
      </c>
      <c r="BK456" t="s">
        <v>1041</v>
      </c>
      <c r="BU456" t="s">
        <v>1116</v>
      </c>
      <c r="BV456" t="s">
        <v>1042</v>
      </c>
    </row>
    <row r="457" spans="1:74" x14ac:dyDescent="0.2">
      <c r="A457" t="s">
        <v>920</v>
      </c>
      <c r="B457" t="s">
        <v>3257</v>
      </c>
      <c r="C457" t="s">
        <v>913</v>
      </c>
      <c r="D457" t="s">
        <v>1501</v>
      </c>
      <c r="E457" t="s">
        <v>1502</v>
      </c>
      <c r="F457" t="s">
        <v>3255</v>
      </c>
      <c r="G457" t="s">
        <v>3258</v>
      </c>
      <c r="H457" t="s">
        <v>3259</v>
      </c>
      <c r="I457" t="s">
        <v>3260</v>
      </c>
      <c r="J457" t="s">
        <v>1047</v>
      </c>
      <c r="K457" t="s">
        <v>1037</v>
      </c>
      <c r="N457" t="s">
        <v>1203</v>
      </c>
      <c r="O457" t="s">
        <v>253</v>
      </c>
      <c r="P457" t="s">
        <v>1204</v>
      </c>
      <c r="Q457" t="s">
        <v>1088</v>
      </c>
      <c r="R457">
        <v>87</v>
      </c>
      <c r="S457">
        <v>87</v>
      </c>
      <c r="T457">
        <v>88</v>
      </c>
      <c r="U457">
        <v>89</v>
      </c>
      <c r="V457">
        <v>90</v>
      </c>
      <c r="W457">
        <v>90</v>
      </c>
      <c r="AE457" t="s">
        <v>548</v>
      </c>
      <c r="AF457" t="s">
        <v>548</v>
      </c>
      <c r="AG457" t="s">
        <v>548</v>
      </c>
      <c r="AH457" t="s">
        <v>548</v>
      </c>
      <c r="AI457" t="s">
        <v>548</v>
      </c>
      <c r="AJ457">
        <v>70</v>
      </c>
      <c r="AK457">
        <v>70</v>
      </c>
      <c r="AL457">
        <v>70</v>
      </c>
      <c r="AM457">
        <v>70</v>
      </c>
      <c r="AN457">
        <v>70</v>
      </c>
      <c r="AO457">
        <v>80</v>
      </c>
      <c r="AP457">
        <v>80</v>
      </c>
      <c r="AQ457">
        <v>80</v>
      </c>
      <c r="AR457">
        <v>80</v>
      </c>
      <c r="AS457">
        <v>80</v>
      </c>
      <c r="BD457">
        <v>0.5</v>
      </c>
      <c r="BJ457">
        <v>1</v>
      </c>
      <c r="BK457" t="s">
        <v>1041</v>
      </c>
      <c r="BV457" t="s">
        <v>1042</v>
      </c>
    </row>
    <row r="458" spans="1:74" x14ac:dyDescent="0.2">
      <c r="A458" t="s">
        <v>920</v>
      </c>
      <c r="B458" t="s">
        <v>3261</v>
      </c>
      <c r="C458" t="s">
        <v>913</v>
      </c>
      <c r="D458" t="s">
        <v>1501</v>
      </c>
      <c r="E458" t="s">
        <v>1502</v>
      </c>
      <c r="F458" t="s">
        <v>3255</v>
      </c>
      <c r="G458" t="s">
        <v>3195</v>
      </c>
      <c r="H458" t="s">
        <v>3262</v>
      </c>
      <c r="I458" t="s">
        <v>3197</v>
      </c>
      <c r="J458" t="s">
        <v>1066</v>
      </c>
      <c r="N458" t="s">
        <v>1203</v>
      </c>
      <c r="O458" t="s">
        <v>253</v>
      </c>
      <c r="P458" t="s">
        <v>1204</v>
      </c>
      <c r="Q458" t="s">
        <v>1088</v>
      </c>
      <c r="R458">
        <v>63</v>
      </c>
      <c r="S458">
        <v>63</v>
      </c>
      <c r="T458">
        <v>66</v>
      </c>
      <c r="U458">
        <v>68</v>
      </c>
      <c r="V458">
        <v>71</v>
      </c>
      <c r="W458">
        <v>75</v>
      </c>
      <c r="BV458" t="s">
        <v>1042</v>
      </c>
    </row>
    <row r="459" spans="1:74" x14ac:dyDescent="0.2">
      <c r="A459" t="s">
        <v>920</v>
      </c>
      <c r="B459" t="s">
        <v>3263</v>
      </c>
      <c r="C459" t="s">
        <v>913</v>
      </c>
      <c r="D459" t="s">
        <v>1501</v>
      </c>
      <c r="E459" t="s">
        <v>1502</v>
      </c>
      <c r="F459" t="s">
        <v>3199</v>
      </c>
      <c r="G459" t="s">
        <v>1372</v>
      </c>
      <c r="H459" t="s">
        <v>3264</v>
      </c>
      <c r="I459" t="s">
        <v>3201</v>
      </c>
      <c r="J459" t="s">
        <v>1066</v>
      </c>
      <c r="N459" t="s">
        <v>1121</v>
      </c>
      <c r="O459" t="s">
        <v>253</v>
      </c>
      <c r="P459" t="s">
        <v>3202</v>
      </c>
      <c r="Q459">
        <v>1</v>
      </c>
      <c r="R459" t="s">
        <v>3203</v>
      </c>
      <c r="S459" t="s">
        <v>3204</v>
      </c>
      <c r="T459" t="s">
        <v>3204</v>
      </c>
      <c r="U459" t="s">
        <v>3204</v>
      </c>
      <c r="V459" t="s">
        <v>3204</v>
      </c>
      <c r="W459" t="s">
        <v>3204</v>
      </c>
      <c r="BV459" t="s">
        <v>1042</v>
      </c>
    </row>
    <row r="460" spans="1:74" x14ac:dyDescent="0.2">
      <c r="A460" t="s">
        <v>920</v>
      </c>
      <c r="B460" t="s">
        <v>3265</v>
      </c>
      <c r="C460" t="s">
        <v>913</v>
      </c>
      <c r="D460" t="s">
        <v>1106</v>
      </c>
      <c r="E460" t="s">
        <v>1107</v>
      </c>
      <c r="F460" t="s">
        <v>3234</v>
      </c>
      <c r="G460" t="s">
        <v>1365</v>
      </c>
      <c r="H460" t="s">
        <v>3266</v>
      </c>
      <c r="I460" t="s">
        <v>3189</v>
      </c>
      <c r="J460" t="s">
        <v>1036</v>
      </c>
      <c r="K460" t="s">
        <v>1037</v>
      </c>
      <c r="M460" t="s">
        <v>543</v>
      </c>
      <c r="N460" t="s">
        <v>1112</v>
      </c>
      <c r="O460" t="s">
        <v>1295</v>
      </c>
      <c r="P460" t="s">
        <v>1427</v>
      </c>
      <c r="Q460" t="s">
        <v>1041</v>
      </c>
      <c r="R460" t="s">
        <v>3156</v>
      </c>
      <c r="S460" t="s">
        <v>1847</v>
      </c>
      <c r="T460" t="s">
        <v>1847</v>
      </c>
      <c r="U460" t="s">
        <v>1847</v>
      </c>
      <c r="V460" t="s">
        <v>1847</v>
      </c>
      <c r="W460" t="s">
        <v>1847</v>
      </c>
      <c r="AE460" t="s">
        <v>548</v>
      </c>
      <c r="AF460" t="s">
        <v>548</v>
      </c>
      <c r="AG460" t="s">
        <v>548</v>
      </c>
      <c r="AH460" t="s">
        <v>548</v>
      </c>
      <c r="AI460" t="s">
        <v>548</v>
      </c>
      <c r="AJ460" t="s">
        <v>1115</v>
      </c>
      <c r="AK460" t="s">
        <v>1115</v>
      </c>
      <c r="AL460" t="s">
        <v>1115</v>
      </c>
      <c r="AM460" t="s">
        <v>1115</v>
      </c>
      <c r="AN460" t="s">
        <v>1115</v>
      </c>
      <c r="AO460" t="s">
        <v>1115</v>
      </c>
      <c r="AP460" t="s">
        <v>1115</v>
      </c>
      <c r="AQ460" t="s">
        <v>1115</v>
      </c>
      <c r="AR460" t="s">
        <v>1115</v>
      </c>
      <c r="AS460" t="s">
        <v>1115</v>
      </c>
      <c r="AT460" t="s">
        <v>1115</v>
      </c>
      <c r="AU460" t="s">
        <v>1115</v>
      </c>
      <c r="AV460" t="s">
        <v>1115</v>
      </c>
      <c r="AW460" t="s">
        <v>1115</v>
      </c>
      <c r="AX460" t="s">
        <v>1115</v>
      </c>
      <c r="AY460" t="s">
        <v>1115</v>
      </c>
      <c r="AZ460" t="s">
        <v>1115</v>
      </c>
      <c r="BA460" t="s">
        <v>1115</v>
      </c>
      <c r="BB460" t="s">
        <v>1115</v>
      </c>
      <c r="BC460" t="s">
        <v>1115</v>
      </c>
      <c r="BD460" t="s">
        <v>1115</v>
      </c>
      <c r="BH460" t="s">
        <v>1115</v>
      </c>
      <c r="BJ460">
        <v>1</v>
      </c>
      <c r="BK460" t="s">
        <v>1041</v>
      </c>
      <c r="BU460" t="s">
        <v>1116</v>
      </c>
      <c r="BV460" t="s">
        <v>1042</v>
      </c>
    </row>
    <row r="461" spans="1:74" x14ac:dyDescent="0.2">
      <c r="A461" t="s">
        <v>920</v>
      </c>
      <c r="B461" t="s">
        <v>3267</v>
      </c>
      <c r="C461" t="s">
        <v>913</v>
      </c>
      <c r="D461" t="s">
        <v>1106</v>
      </c>
      <c r="E461" t="s">
        <v>1107</v>
      </c>
      <c r="F461" t="s">
        <v>3234</v>
      </c>
      <c r="G461" t="s">
        <v>3195</v>
      </c>
      <c r="H461" t="s">
        <v>3268</v>
      </c>
      <c r="I461" t="s">
        <v>3197</v>
      </c>
      <c r="J461" t="s">
        <v>1066</v>
      </c>
      <c r="N461" t="s">
        <v>1203</v>
      </c>
      <c r="O461" t="s">
        <v>253</v>
      </c>
      <c r="P461" t="s">
        <v>1204</v>
      </c>
      <c r="Q461" t="s">
        <v>1088</v>
      </c>
      <c r="R461">
        <v>63</v>
      </c>
      <c r="S461">
        <v>63</v>
      </c>
      <c r="T461">
        <v>66</v>
      </c>
      <c r="U461">
        <v>68</v>
      </c>
      <c r="V461">
        <v>71</v>
      </c>
      <c r="W461">
        <v>75</v>
      </c>
      <c r="BV461" t="s">
        <v>1042</v>
      </c>
    </row>
    <row r="462" spans="1:74" x14ac:dyDescent="0.2">
      <c r="A462" t="s">
        <v>920</v>
      </c>
      <c r="B462" t="s">
        <v>3269</v>
      </c>
      <c r="C462" t="s">
        <v>913</v>
      </c>
      <c r="D462" t="s">
        <v>1106</v>
      </c>
      <c r="E462" t="s">
        <v>1107</v>
      </c>
      <c r="F462" t="s">
        <v>3199</v>
      </c>
      <c r="G462" t="s">
        <v>1372</v>
      </c>
      <c r="H462" t="s">
        <v>3270</v>
      </c>
      <c r="I462" t="s">
        <v>3201</v>
      </c>
      <c r="J462" t="s">
        <v>1066</v>
      </c>
      <c r="N462" t="s">
        <v>1121</v>
      </c>
      <c r="O462" t="s">
        <v>253</v>
      </c>
      <c r="P462" t="s">
        <v>3202</v>
      </c>
      <c r="Q462">
        <v>1</v>
      </c>
      <c r="R462" t="s">
        <v>3203</v>
      </c>
      <c r="S462" t="s">
        <v>3204</v>
      </c>
      <c r="T462" t="s">
        <v>3204</v>
      </c>
      <c r="U462" t="s">
        <v>3204</v>
      </c>
      <c r="V462" t="s">
        <v>3204</v>
      </c>
      <c r="W462" t="s">
        <v>3204</v>
      </c>
      <c r="BV462" t="s">
        <v>1042</v>
      </c>
    </row>
    <row r="463" spans="1:74" x14ac:dyDescent="0.2">
      <c r="A463" t="s">
        <v>920</v>
      </c>
      <c r="B463" t="s">
        <v>3271</v>
      </c>
      <c r="C463" t="s">
        <v>913</v>
      </c>
      <c r="D463" t="s">
        <v>1106</v>
      </c>
      <c r="E463" t="s">
        <v>1107</v>
      </c>
      <c r="F463" t="s">
        <v>3199</v>
      </c>
      <c r="G463" t="s">
        <v>1512</v>
      </c>
      <c r="H463" t="s">
        <v>3272</v>
      </c>
      <c r="I463" t="s">
        <v>3273</v>
      </c>
      <c r="J463" t="s">
        <v>1066</v>
      </c>
      <c r="N463" t="s">
        <v>1121</v>
      </c>
      <c r="O463" t="s">
        <v>1039</v>
      </c>
      <c r="P463" t="s">
        <v>3274</v>
      </c>
      <c r="Q463" t="s">
        <v>1088</v>
      </c>
      <c r="R463">
        <v>52000</v>
      </c>
      <c r="S463">
        <v>52000</v>
      </c>
      <c r="T463">
        <v>65000</v>
      </c>
      <c r="U463">
        <v>75000</v>
      </c>
      <c r="V463">
        <v>85000</v>
      </c>
      <c r="W463">
        <v>100000</v>
      </c>
      <c r="BV463" t="s">
        <v>1042</v>
      </c>
    </row>
    <row r="464" spans="1:74" x14ac:dyDescent="0.2">
      <c r="A464" t="s">
        <v>942</v>
      </c>
      <c r="B464" t="s">
        <v>3275</v>
      </c>
      <c r="C464" t="s">
        <v>913</v>
      </c>
      <c r="D464" t="s">
        <v>281</v>
      </c>
      <c r="E464" t="s">
        <v>1031</v>
      </c>
      <c r="F464" t="s">
        <v>3276</v>
      </c>
      <c r="G464" t="s">
        <v>1487</v>
      </c>
      <c r="H464" t="s">
        <v>3277</v>
      </c>
      <c r="I464" t="s">
        <v>3278</v>
      </c>
      <c r="J464" t="s">
        <v>1066</v>
      </c>
      <c r="N464" t="s">
        <v>1061</v>
      </c>
      <c r="O464" t="s">
        <v>253</v>
      </c>
      <c r="P464" t="s">
        <v>3279</v>
      </c>
      <c r="Q464">
        <v>1</v>
      </c>
      <c r="R464">
        <v>100</v>
      </c>
      <c r="S464">
        <v>100</v>
      </c>
      <c r="T464">
        <v>100</v>
      </c>
      <c r="U464">
        <v>100</v>
      </c>
      <c r="V464">
        <v>100</v>
      </c>
      <c r="W464">
        <v>100</v>
      </c>
      <c r="BV464" t="s">
        <v>1042</v>
      </c>
    </row>
    <row r="465" spans="1:74" x14ac:dyDescent="0.2">
      <c r="A465" t="s">
        <v>942</v>
      </c>
      <c r="B465" t="s">
        <v>3280</v>
      </c>
      <c r="C465" t="s">
        <v>913</v>
      </c>
      <c r="D465" t="s">
        <v>281</v>
      </c>
      <c r="E465" t="s">
        <v>1031</v>
      </c>
      <c r="F465" t="s">
        <v>3276</v>
      </c>
      <c r="G465" t="s">
        <v>1880</v>
      </c>
      <c r="H465" t="s">
        <v>3281</v>
      </c>
      <c r="I465" t="s">
        <v>3282</v>
      </c>
      <c r="J465" t="s">
        <v>1047</v>
      </c>
      <c r="K465" t="s">
        <v>1037</v>
      </c>
      <c r="N465" t="s">
        <v>1061</v>
      </c>
      <c r="O465" t="s">
        <v>1039</v>
      </c>
      <c r="P465" t="s">
        <v>3283</v>
      </c>
      <c r="Q465" t="s">
        <v>1088</v>
      </c>
      <c r="R465">
        <v>100</v>
      </c>
      <c r="S465">
        <v>100</v>
      </c>
      <c r="T465">
        <v>100</v>
      </c>
      <c r="U465">
        <v>100</v>
      </c>
      <c r="V465">
        <v>100</v>
      </c>
      <c r="W465">
        <v>100</v>
      </c>
      <c r="AD465" t="s">
        <v>548</v>
      </c>
      <c r="AE465" t="s">
        <v>548</v>
      </c>
      <c r="AF465" t="s">
        <v>548</v>
      </c>
      <c r="AG465" t="s">
        <v>548</v>
      </c>
      <c r="AH465" t="s">
        <v>548</v>
      </c>
      <c r="AI465" t="s">
        <v>548</v>
      </c>
      <c r="AJ465">
        <v>1350</v>
      </c>
      <c r="AK465">
        <v>1350</v>
      </c>
      <c r="AL465">
        <v>1350</v>
      </c>
      <c r="AM465">
        <v>1350</v>
      </c>
      <c r="AN465">
        <v>1350</v>
      </c>
      <c r="AO465">
        <v>100</v>
      </c>
      <c r="AP465">
        <v>100</v>
      </c>
      <c r="AQ465">
        <v>100</v>
      </c>
      <c r="AR465">
        <v>100</v>
      </c>
      <c r="AS465">
        <v>100</v>
      </c>
      <c r="BD465">
        <v>2.5000000000000001E-5</v>
      </c>
      <c r="BJ465">
        <v>1</v>
      </c>
      <c r="BK465" t="s">
        <v>1041</v>
      </c>
      <c r="BU465" t="s">
        <v>3284</v>
      </c>
      <c r="BV465" t="s">
        <v>1042</v>
      </c>
    </row>
    <row r="466" spans="1:74" x14ac:dyDescent="0.2">
      <c r="A466" t="s">
        <v>942</v>
      </c>
      <c r="B466" t="s">
        <v>3285</v>
      </c>
      <c r="C466" t="s">
        <v>913</v>
      </c>
      <c r="D466" t="s">
        <v>281</v>
      </c>
      <c r="E466" t="s">
        <v>1031</v>
      </c>
      <c r="F466" t="s">
        <v>3276</v>
      </c>
      <c r="G466" t="s">
        <v>1885</v>
      </c>
      <c r="H466" t="s">
        <v>3286</v>
      </c>
      <c r="I466" t="s">
        <v>3287</v>
      </c>
      <c r="J466" t="s">
        <v>1047</v>
      </c>
      <c r="K466" t="s">
        <v>1338</v>
      </c>
      <c r="N466" t="s">
        <v>1177</v>
      </c>
      <c r="O466" t="s">
        <v>253</v>
      </c>
      <c r="P466" t="s">
        <v>3288</v>
      </c>
      <c r="Q466" t="s">
        <v>1088</v>
      </c>
      <c r="R466">
        <v>47</v>
      </c>
      <c r="S466">
        <v>60</v>
      </c>
      <c r="T466">
        <v>70</v>
      </c>
      <c r="U466">
        <v>80</v>
      </c>
      <c r="V466">
        <v>90</v>
      </c>
      <c r="W466">
        <v>100</v>
      </c>
      <c r="AE466" t="s">
        <v>548</v>
      </c>
      <c r="AF466" t="s">
        <v>548</v>
      </c>
      <c r="AG466" t="s">
        <v>548</v>
      </c>
      <c r="AH466" t="s">
        <v>548</v>
      </c>
      <c r="AI466" t="s">
        <v>548</v>
      </c>
      <c r="AJ466">
        <v>50</v>
      </c>
      <c r="AK466">
        <v>50</v>
      </c>
      <c r="AL466">
        <v>50</v>
      </c>
      <c r="AM466">
        <v>50</v>
      </c>
      <c r="AN466">
        <v>50</v>
      </c>
      <c r="AO466">
        <v>60</v>
      </c>
      <c r="AP466">
        <v>70</v>
      </c>
      <c r="AQ466">
        <v>80</v>
      </c>
      <c r="AR466">
        <v>90</v>
      </c>
      <c r="AS466">
        <v>100</v>
      </c>
      <c r="BD466">
        <v>4.0000000000000001E-3</v>
      </c>
      <c r="BJ466">
        <v>1</v>
      </c>
      <c r="BK466" t="s">
        <v>1041</v>
      </c>
      <c r="BV466" t="s">
        <v>1042</v>
      </c>
    </row>
    <row r="467" spans="1:74" x14ac:dyDescent="0.2">
      <c r="A467" t="s">
        <v>942</v>
      </c>
      <c r="B467" t="s">
        <v>3289</v>
      </c>
      <c r="C467" t="s">
        <v>913</v>
      </c>
      <c r="D467" t="s">
        <v>281</v>
      </c>
      <c r="E467" t="s">
        <v>1031</v>
      </c>
      <c r="F467" t="s">
        <v>3276</v>
      </c>
      <c r="G467" t="s">
        <v>3290</v>
      </c>
      <c r="H467" t="s">
        <v>3291</v>
      </c>
      <c r="I467" t="s">
        <v>3292</v>
      </c>
      <c r="J467" t="s">
        <v>1036</v>
      </c>
      <c r="K467" t="s">
        <v>1338</v>
      </c>
      <c r="N467" t="s">
        <v>1183</v>
      </c>
      <c r="O467" t="s">
        <v>1039</v>
      </c>
      <c r="P467" t="s">
        <v>3293</v>
      </c>
      <c r="Q467" t="s">
        <v>1088</v>
      </c>
      <c r="R467">
        <v>0</v>
      </c>
      <c r="S467">
        <v>0</v>
      </c>
      <c r="T467">
        <v>0</v>
      </c>
      <c r="U467">
        <v>0</v>
      </c>
      <c r="V467">
        <v>99</v>
      </c>
      <c r="W467">
        <v>99</v>
      </c>
      <c r="AE467" t="s">
        <v>548</v>
      </c>
      <c r="AF467" t="s">
        <v>548</v>
      </c>
      <c r="AG467" t="s">
        <v>548</v>
      </c>
      <c r="AH467" t="s">
        <v>548</v>
      </c>
      <c r="AI467" t="s">
        <v>548</v>
      </c>
      <c r="AJ467">
        <v>0</v>
      </c>
      <c r="AK467">
        <v>0</v>
      </c>
      <c r="AL467">
        <v>0</v>
      </c>
      <c r="AM467">
        <v>0</v>
      </c>
      <c r="AN467">
        <v>0</v>
      </c>
      <c r="AO467">
        <v>0</v>
      </c>
      <c r="AP467">
        <v>0</v>
      </c>
      <c r="AQ467">
        <v>0</v>
      </c>
      <c r="AR467">
        <v>99</v>
      </c>
      <c r="AS467">
        <v>99</v>
      </c>
      <c r="AT467">
        <v>0</v>
      </c>
      <c r="AU467">
        <v>0</v>
      </c>
      <c r="AV467">
        <v>0</v>
      </c>
      <c r="AW467">
        <v>99</v>
      </c>
      <c r="AX467">
        <v>99</v>
      </c>
      <c r="AY467">
        <v>999999</v>
      </c>
      <c r="AZ467">
        <v>999999</v>
      </c>
      <c r="BA467">
        <v>999999</v>
      </c>
      <c r="BB467">
        <v>999999</v>
      </c>
      <c r="BC467">
        <v>999999</v>
      </c>
      <c r="BD467">
        <v>1.9E-2</v>
      </c>
      <c r="BH467">
        <v>1.9E-2</v>
      </c>
      <c r="BJ467">
        <v>1</v>
      </c>
      <c r="BK467" t="s">
        <v>1041</v>
      </c>
      <c r="BV467" t="s">
        <v>1042</v>
      </c>
    </row>
    <row r="468" spans="1:74" x14ac:dyDescent="0.2">
      <c r="A468" t="s">
        <v>942</v>
      </c>
      <c r="B468" t="s">
        <v>3294</v>
      </c>
      <c r="C468" t="s">
        <v>913</v>
      </c>
      <c r="D468" t="s">
        <v>281</v>
      </c>
      <c r="E468" t="s">
        <v>1031</v>
      </c>
      <c r="F468" t="s">
        <v>3295</v>
      </c>
      <c r="G468" t="s">
        <v>1825</v>
      </c>
      <c r="H468" t="s">
        <v>3296</v>
      </c>
      <c r="I468" t="s">
        <v>3297</v>
      </c>
      <c r="J468" t="s">
        <v>1047</v>
      </c>
      <c r="K468" t="s">
        <v>1037</v>
      </c>
      <c r="M468" t="s">
        <v>543</v>
      </c>
      <c r="N468" t="s">
        <v>1150</v>
      </c>
      <c r="O468" t="s">
        <v>1039</v>
      </c>
      <c r="P468" t="s">
        <v>3298</v>
      </c>
      <c r="Q468" t="s">
        <v>1088</v>
      </c>
      <c r="R468">
        <v>0</v>
      </c>
      <c r="S468">
        <v>0</v>
      </c>
      <c r="T468">
        <v>0</v>
      </c>
      <c r="U468">
        <v>0</v>
      </c>
      <c r="V468">
        <v>0</v>
      </c>
      <c r="W468">
        <v>0</v>
      </c>
      <c r="AE468" t="s">
        <v>548</v>
      </c>
      <c r="AF468" t="s">
        <v>548</v>
      </c>
      <c r="AG468" t="s">
        <v>548</v>
      </c>
      <c r="AH468" t="s">
        <v>548</v>
      </c>
      <c r="AI468" t="s">
        <v>548</v>
      </c>
      <c r="AJ468">
        <v>1</v>
      </c>
      <c r="AK468">
        <v>1</v>
      </c>
      <c r="AL468">
        <v>1</v>
      </c>
      <c r="AM468">
        <v>1</v>
      </c>
      <c r="AN468">
        <v>1</v>
      </c>
      <c r="AO468">
        <v>0</v>
      </c>
      <c r="AP468">
        <v>0</v>
      </c>
      <c r="AQ468">
        <v>0</v>
      </c>
      <c r="AR468">
        <v>0</v>
      </c>
      <c r="AS468">
        <v>0</v>
      </c>
      <c r="BD468">
        <v>10.1</v>
      </c>
      <c r="BJ468">
        <v>1</v>
      </c>
      <c r="BK468" t="s">
        <v>1041</v>
      </c>
      <c r="BU468" t="s">
        <v>3299</v>
      </c>
      <c r="BV468" t="s">
        <v>1042</v>
      </c>
    </row>
    <row r="469" spans="1:74" x14ac:dyDescent="0.2">
      <c r="A469" t="s">
        <v>942</v>
      </c>
      <c r="B469" t="s">
        <v>3300</v>
      </c>
      <c r="C469" t="s">
        <v>913</v>
      </c>
      <c r="D469" t="s">
        <v>281</v>
      </c>
      <c r="E469" t="s">
        <v>1031</v>
      </c>
      <c r="F469" t="s">
        <v>3295</v>
      </c>
      <c r="G469" t="s">
        <v>1833</v>
      </c>
      <c r="H469" t="s">
        <v>3301</v>
      </c>
      <c r="I469" t="s">
        <v>3302</v>
      </c>
      <c r="J469" t="s">
        <v>1036</v>
      </c>
      <c r="K469" t="s">
        <v>1037</v>
      </c>
      <c r="N469" t="s">
        <v>1086</v>
      </c>
      <c r="O469" t="s">
        <v>1126</v>
      </c>
      <c r="P469" t="s">
        <v>1127</v>
      </c>
      <c r="Q469">
        <v>1</v>
      </c>
      <c r="R469">
        <v>24</v>
      </c>
      <c r="S469">
        <v>21.3</v>
      </c>
      <c r="T469">
        <v>16</v>
      </c>
      <c r="U469">
        <v>12</v>
      </c>
      <c r="V469">
        <v>12</v>
      </c>
      <c r="W469">
        <v>12</v>
      </c>
      <c r="Z469" t="s">
        <v>548</v>
      </c>
      <c r="AE469" t="s">
        <v>548</v>
      </c>
      <c r="AF469" t="s">
        <v>548</v>
      </c>
      <c r="AG469" t="s">
        <v>548</v>
      </c>
      <c r="AH469" t="s">
        <v>548</v>
      </c>
      <c r="AI469" t="s">
        <v>548</v>
      </c>
      <c r="AJ469">
        <v>44</v>
      </c>
      <c r="AK469">
        <v>44</v>
      </c>
      <c r="AL469">
        <v>32</v>
      </c>
      <c r="AM469">
        <v>32</v>
      </c>
      <c r="AN469">
        <v>32</v>
      </c>
      <c r="AO469">
        <v>24</v>
      </c>
      <c r="AP469">
        <v>24</v>
      </c>
      <c r="AQ469">
        <v>12</v>
      </c>
      <c r="AR469">
        <v>12</v>
      </c>
      <c r="AS469">
        <v>12</v>
      </c>
      <c r="AT469">
        <v>12</v>
      </c>
      <c r="AU469">
        <v>12</v>
      </c>
      <c r="AV469">
        <v>12</v>
      </c>
      <c r="AW469">
        <v>12</v>
      </c>
      <c r="AX469">
        <v>12</v>
      </c>
      <c r="AY469">
        <v>4.5</v>
      </c>
      <c r="AZ469">
        <v>4.5</v>
      </c>
      <c r="BA469">
        <v>4.5</v>
      </c>
      <c r="BB469">
        <v>4.5</v>
      </c>
      <c r="BC469">
        <v>4.5</v>
      </c>
      <c r="BD469">
        <v>4.19E-2</v>
      </c>
      <c r="BH469">
        <v>6.4000000000000003E-3</v>
      </c>
      <c r="BJ469">
        <v>1</v>
      </c>
      <c r="BK469" t="s">
        <v>1041</v>
      </c>
      <c r="BV469" t="s">
        <v>1009</v>
      </c>
    </row>
    <row r="470" spans="1:74" x14ac:dyDescent="0.2">
      <c r="A470" t="s">
        <v>942</v>
      </c>
      <c r="B470" t="s">
        <v>3303</v>
      </c>
      <c r="C470" t="s">
        <v>913</v>
      </c>
      <c r="D470" t="s">
        <v>281</v>
      </c>
      <c r="E470" t="s">
        <v>1031</v>
      </c>
      <c r="F470" t="s">
        <v>3295</v>
      </c>
      <c r="G470" t="s">
        <v>3258</v>
      </c>
      <c r="H470" t="s">
        <v>3304</v>
      </c>
      <c r="I470" t="s">
        <v>3305</v>
      </c>
      <c r="J470" t="s">
        <v>1047</v>
      </c>
      <c r="K470" t="s">
        <v>1338</v>
      </c>
      <c r="M470" t="s">
        <v>543</v>
      </c>
      <c r="N470" t="s">
        <v>1144</v>
      </c>
      <c r="O470" t="s">
        <v>1039</v>
      </c>
      <c r="P470" t="s">
        <v>3306</v>
      </c>
      <c r="Q470" t="s">
        <v>1088</v>
      </c>
      <c r="R470">
        <v>106000</v>
      </c>
      <c r="S470">
        <v>78000</v>
      </c>
      <c r="T470">
        <v>78000</v>
      </c>
      <c r="U470">
        <v>78000</v>
      </c>
      <c r="V470">
        <v>42000</v>
      </c>
      <c r="W470">
        <v>42000</v>
      </c>
      <c r="AC470" t="s">
        <v>548</v>
      </c>
      <c r="AE470" t="s">
        <v>548</v>
      </c>
      <c r="AF470" t="s">
        <v>548</v>
      </c>
      <c r="AG470" t="s">
        <v>548</v>
      </c>
      <c r="AH470" t="s">
        <v>548</v>
      </c>
      <c r="AI470" t="s">
        <v>548</v>
      </c>
      <c r="AJ470">
        <v>106000</v>
      </c>
      <c r="AK470">
        <v>106000</v>
      </c>
      <c r="AL470">
        <v>106000</v>
      </c>
      <c r="AM470">
        <v>106000</v>
      </c>
      <c r="AN470">
        <v>106000</v>
      </c>
      <c r="AO470">
        <v>78000</v>
      </c>
      <c r="AP470">
        <v>78000</v>
      </c>
      <c r="AQ470">
        <v>78000</v>
      </c>
      <c r="AR470">
        <v>42000</v>
      </c>
      <c r="AS470">
        <v>42000</v>
      </c>
      <c r="BD470">
        <v>7.6600000000000005E-5</v>
      </c>
      <c r="BE470">
        <v>2.4450000000000001E-3</v>
      </c>
      <c r="BJ470">
        <v>1</v>
      </c>
      <c r="BK470" t="s">
        <v>1041</v>
      </c>
      <c r="BU470" t="s">
        <v>3307</v>
      </c>
      <c r="BV470" t="s">
        <v>1042</v>
      </c>
    </row>
    <row r="471" spans="1:74" x14ac:dyDescent="0.2">
      <c r="A471" t="s">
        <v>942</v>
      </c>
      <c r="B471" t="s">
        <v>3308</v>
      </c>
      <c r="C471" t="s">
        <v>913</v>
      </c>
      <c r="D471" t="s">
        <v>281</v>
      </c>
      <c r="E471" t="s">
        <v>1031</v>
      </c>
      <c r="F471" t="s">
        <v>3295</v>
      </c>
      <c r="G471" t="s">
        <v>3195</v>
      </c>
      <c r="H471" t="s">
        <v>3309</v>
      </c>
      <c r="I471" t="s">
        <v>3310</v>
      </c>
      <c r="J471" t="s">
        <v>1047</v>
      </c>
      <c r="K471" t="s">
        <v>1338</v>
      </c>
      <c r="N471" t="s">
        <v>1093</v>
      </c>
      <c r="O471" t="s">
        <v>1039</v>
      </c>
      <c r="P471" t="s">
        <v>3311</v>
      </c>
      <c r="Q471" t="s">
        <v>1088</v>
      </c>
      <c r="R471" t="s">
        <v>3312</v>
      </c>
      <c r="S471" t="s">
        <v>3313</v>
      </c>
      <c r="T471" t="s">
        <v>3313</v>
      </c>
      <c r="U471" t="s">
        <v>3313</v>
      </c>
      <c r="V471" t="s">
        <v>3313</v>
      </c>
      <c r="W471" t="s">
        <v>3313</v>
      </c>
      <c r="AE471" t="s">
        <v>548</v>
      </c>
      <c r="AF471" t="s">
        <v>548</v>
      </c>
      <c r="AG471" t="s">
        <v>548</v>
      </c>
      <c r="AH471" t="s">
        <v>548</v>
      </c>
      <c r="AI471" t="s">
        <v>548</v>
      </c>
      <c r="AJ471">
        <v>999999</v>
      </c>
      <c r="AK471">
        <v>999999</v>
      </c>
      <c r="AL471">
        <v>999999</v>
      </c>
      <c r="AM471">
        <v>999999</v>
      </c>
      <c r="AN471">
        <v>999999</v>
      </c>
      <c r="AO471">
        <v>1993</v>
      </c>
      <c r="AP471">
        <v>1993</v>
      </c>
      <c r="AQ471">
        <v>1993</v>
      </c>
      <c r="AR471">
        <v>1993</v>
      </c>
      <c r="AS471">
        <v>1993</v>
      </c>
      <c r="BD471">
        <v>4.8999999999999998E-3</v>
      </c>
      <c r="BJ471">
        <v>1</v>
      </c>
      <c r="BK471" t="s">
        <v>1041</v>
      </c>
      <c r="BV471" t="s">
        <v>1042</v>
      </c>
    </row>
    <row r="472" spans="1:74" x14ac:dyDescent="0.2">
      <c r="A472" t="s">
        <v>942</v>
      </c>
      <c r="B472" t="s">
        <v>3314</v>
      </c>
      <c r="C472" t="s">
        <v>913</v>
      </c>
      <c r="D472" t="s">
        <v>281</v>
      </c>
      <c r="E472" t="s">
        <v>1031</v>
      </c>
      <c r="F472" t="s">
        <v>1038</v>
      </c>
      <c r="G472" t="s">
        <v>1378</v>
      </c>
      <c r="H472" t="s">
        <v>3315</v>
      </c>
      <c r="I472" t="s">
        <v>3316</v>
      </c>
      <c r="J472" t="s">
        <v>1036</v>
      </c>
      <c r="K472" t="s">
        <v>1037</v>
      </c>
      <c r="N472" t="s">
        <v>1038</v>
      </c>
      <c r="O472" t="s">
        <v>1039</v>
      </c>
      <c r="P472" t="s">
        <v>1040</v>
      </c>
      <c r="Q472">
        <v>1</v>
      </c>
      <c r="R472">
        <v>70</v>
      </c>
      <c r="S472">
        <v>69.3</v>
      </c>
      <c r="T472">
        <v>68.599999999999994</v>
      </c>
      <c r="U472">
        <v>67.900000000000006</v>
      </c>
      <c r="V472">
        <v>67.2</v>
      </c>
      <c r="W472">
        <v>66.5</v>
      </c>
      <c r="AE472" t="s">
        <v>548</v>
      </c>
      <c r="AF472" t="s">
        <v>548</v>
      </c>
      <c r="AG472" t="s">
        <v>548</v>
      </c>
      <c r="AH472" t="s">
        <v>548</v>
      </c>
      <c r="AI472" t="s">
        <v>548</v>
      </c>
      <c r="AJ472">
        <v>76.2</v>
      </c>
      <c r="AK472">
        <v>75.400000000000006</v>
      </c>
      <c r="AL472">
        <v>74.7</v>
      </c>
      <c r="AM472">
        <v>73.900000000000006</v>
      </c>
      <c r="AN472">
        <v>73.099999999999994</v>
      </c>
      <c r="AO472">
        <v>69.3</v>
      </c>
      <c r="AP472">
        <v>68.599999999999994</v>
      </c>
      <c r="AQ472">
        <v>67.900000000000006</v>
      </c>
      <c r="AR472">
        <v>67.2</v>
      </c>
      <c r="AS472">
        <v>66.5</v>
      </c>
      <c r="AT472">
        <v>68.3</v>
      </c>
      <c r="AU472">
        <v>67.599999999999994</v>
      </c>
      <c r="AV472">
        <v>66.900000000000006</v>
      </c>
      <c r="AW472">
        <v>66.2</v>
      </c>
      <c r="AX472">
        <v>65.5</v>
      </c>
      <c r="AY472">
        <v>65.3</v>
      </c>
      <c r="AZ472">
        <v>64.599999999999994</v>
      </c>
      <c r="BA472">
        <v>63.9</v>
      </c>
      <c r="BB472">
        <v>63.2</v>
      </c>
      <c r="BC472">
        <v>62.5</v>
      </c>
      <c r="BD472">
        <v>0.30499999999999999</v>
      </c>
      <c r="BH472">
        <v>0.11</v>
      </c>
      <c r="BJ472">
        <v>1</v>
      </c>
      <c r="BK472" t="s">
        <v>1041</v>
      </c>
      <c r="BU472" t="s">
        <v>3317</v>
      </c>
      <c r="BV472" t="s">
        <v>1042</v>
      </c>
    </row>
    <row r="473" spans="1:74" x14ac:dyDescent="0.2">
      <c r="A473" t="s">
        <v>942</v>
      </c>
      <c r="B473" t="s">
        <v>3318</v>
      </c>
      <c r="C473" t="s">
        <v>913</v>
      </c>
      <c r="D473" t="s">
        <v>281</v>
      </c>
      <c r="E473" t="s">
        <v>1031</v>
      </c>
      <c r="F473" t="s">
        <v>1038</v>
      </c>
      <c r="G473" t="s">
        <v>2051</v>
      </c>
      <c r="H473" t="s">
        <v>3319</v>
      </c>
      <c r="I473" t="s">
        <v>3320</v>
      </c>
      <c r="J473" t="s">
        <v>1066</v>
      </c>
      <c r="N473" t="s">
        <v>1038</v>
      </c>
      <c r="O473" t="s">
        <v>253</v>
      </c>
      <c r="P473" t="s">
        <v>3321</v>
      </c>
      <c r="Q473" t="s">
        <v>1088</v>
      </c>
      <c r="R473" t="s">
        <v>1626</v>
      </c>
      <c r="S473">
        <v>66</v>
      </c>
      <c r="T473">
        <v>70</v>
      </c>
      <c r="U473">
        <v>75</v>
      </c>
      <c r="V473">
        <v>80</v>
      </c>
      <c r="W473">
        <v>90</v>
      </c>
      <c r="BV473" t="s">
        <v>1042</v>
      </c>
    </row>
    <row r="474" spans="1:74" x14ac:dyDescent="0.2">
      <c r="A474" t="s">
        <v>942</v>
      </c>
      <c r="B474" t="s">
        <v>3322</v>
      </c>
      <c r="C474" t="s">
        <v>913</v>
      </c>
      <c r="D474" t="s">
        <v>281</v>
      </c>
      <c r="E474" t="s">
        <v>1031</v>
      </c>
      <c r="F474" t="s">
        <v>3323</v>
      </c>
      <c r="G474" t="s">
        <v>1383</v>
      </c>
      <c r="H474" t="s">
        <v>3324</v>
      </c>
      <c r="I474" t="s">
        <v>3325</v>
      </c>
      <c r="J474" t="s">
        <v>1036</v>
      </c>
      <c r="K474" t="s">
        <v>1338</v>
      </c>
      <c r="N474" t="s">
        <v>1008</v>
      </c>
      <c r="O474" t="s">
        <v>1039</v>
      </c>
      <c r="P474" t="s">
        <v>3326</v>
      </c>
      <c r="Q474" t="s">
        <v>1088</v>
      </c>
      <c r="R474">
        <v>3000</v>
      </c>
      <c r="S474">
        <v>2536</v>
      </c>
      <c r="T474">
        <v>2072</v>
      </c>
      <c r="U474">
        <v>1608</v>
      </c>
      <c r="V474">
        <v>1608</v>
      </c>
      <c r="W474">
        <v>1608</v>
      </c>
      <c r="Y474" t="s">
        <v>548</v>
      </c>
      <c r="AE474" t="s">
        <v>548</v>
      </c>
      <c r="AF474" t="s">
        <v>548</v>
      </c>
      <c r="AG474" t="s">
        <v>548</v>
      </c>
      <c r="AH474" t="s">
        <v>548</v>
      </c>
      <c r="AI474" t="s">
        <v>548</v>
      </c>
      <c r="AJ474">
        <v>3400</v>
      </c>
      <c r="AK474">
        <v>3400</v>
      </c>
      <c r="AL474">
        <v>2008</v>
      </c>
      <c r="AM474">
        <v>2008</v>
      </c>
      <c r="AN474">
        <v>2008</v>
      </c>
      <c r="AO474">
        <v>3000</v>
      </c>
      <c r="AP474">
        <v>2950</v>
      </c>
      <c r="AQ474">
        <v>1608</v>
      </c>
      <c r="AR474">
        <v>1608</v>
      </c>
      <c r="AS474">
        <v>1608</v>
      </c>
      <c r="AT474">
        <v>1608</v>
      </c>
      <c r="AU474">
        <v>1608</v>
      </c>
      <c r="AV474">
        <v>1608</v>
      </c>
      <c r="AW474">
        <v>1608</v>
      </c>
      <c r="AX474">
        <v>1608</v>
      </c>
      <c r="AY474">
        <v>1208</v>
      </c>
      <c r="AZ474">
        <v>1208</v>
      </c>
      <c r="BA474">
        <v>1208</v>
      </c>
      <c r="BB474">
        <v>1208</v>
      </c>
      <c r="BC474">
        <v>1208</v>
      </c>
      <c r="BD474">
        <v>1E-3</v>
      </c>
      <c r="BH474">
        <v>1.75E-4</v>
      </c>
      <c r="BJ474">
        <v>1</v>
      </c>
      <c r="BK474" t="s">
        <v>1041</v>
      </c>
      <c r="BV474" t="s">
        <v>1008</v>
      </c>
    </row>
    <row r="475" spans="1:74" x14ac:dyDescent="0.2">
      <c r="A475" t="s">
        <v>942</v>
      </c>
      <c r="B475" t="s">
        <v>3327</v>
      </c>
      <c r="C475" t="s">
        <v>913</v>
      </c>
      <c r="D475" t="s">
        <v>281</v>
      </c>
      <c r="E475" t="s">
        <v>1031</v>
      </c>
      <c r="F475" t="s">
        <v>3323</v>
      </c>
      <c r="G475" t="s">
        <v>1413</v>
      </c>
      <c r="H475" t="s">
        <v>3328</v>
      </c>
      <c r="I475" t="s">
        <v>3329</v>
      </c>
      <c r="J475" t="s">
        <v>1047</v>
      </c>
      <c r="K475" t="s">
        <v>1338</v>
      </c>
      <c r="M475" t="s">
        <v>543</v>
      </c>
      <c r="N475" t="s">
        <v>1073</v>
      </c>
      <c r="O475" t="s">
        <v>253</v>
      </c>
      <c r="P475" t="s">
        <v>1074</v>
      </c>
      <c r="Q475">
        <v>2</v>
      </c>
      <c r="R475">
        <v>99.98</v>
      </c>
      <c r="S475">
        <v>99.98</v>
      </c>
      <c r="T475">
        <v>99.98</v>
      </c>
      <c r="U475">
        <v>100</v>
      </c>
      <c r="V475">
        <v>100</v>
      </c>
      <c r="W475">
        <v>100</v>
      </c>
      <c r="X475" t="s">
        <v>548</v>
      </c>
      <c r="AE475" t="s">
        <v>548</v>
      </c>
      <c r="AF475" t="s">
        <v>548</v>
      </c>
      <c r="AG475" t="s">
        <v>548</v>
      </c>
      <c r="AH475" t="s">
        <v>548</v>
      </c>
      <c r="AI475" t="s">
        <v>548</v>
      </c>
      <c r="AJ475" t="s">
        <v>3330</v>
      </c>
      <c r="AK475" t="s">
        <v>3330</v>
      </c>
      <c r="AL475" t="s">
        <v>3330</v>
      </c>
      <c r="AM475" t="s">
        <v>3330</v>
      </c>
      <c r="AN475" t="s">
        <v>3330</v>
      </c>
      <c r="AO475">
        <v>99.95</v>
      </c>
      <c r="AP475">
        <v>99.95</v>
      </c>
      <c r="AQ475">
        <v>99.95</v>
      </c>
      <c r="AR475">
        <v>99.95</v>
      </c>
      <c r="AS475">
        <v>99.95</v>
      </c>
      <c r="BD475">
        <v>0.77</v>
      </c>
      <c r="BJ475">
        <v>1</v>
      </c>
      <c r="BK475" t="s">
        <v>1041</v>
      </c>
      <c r="BU475" t="s">
        <v>3331</v>
      </c>
      <c r="BV475" t="s">
        <v>1007</v>
      </c>
    </row>
    <row r="476" spans="1:74" x14ac:dyDescent="0.2">
      <c r="A476" t="s">
        <v>942</v>
      </c>
      <c r="B476" t="s">
        <v>3332</v>
      </c>
      <c r="C476" t="s">
        <v>913</v>
      </c>
      <c r="D476" t="s">
        <v>282</v>
      </c>
      <c r="E476" t="s">
        <v>1227</v>
      </c>
      <c r="F476" t="s">
        <v>3333</v>
      </c>
      <c r="G476" t="s">
        <v>1330</v>
      </c>
      <c r="H476" t="s">
        <v>3334</v>
      </c>
      <c r="I476" t="s">
        <v>3335</v>
      </c>
      <c r="J476" t="s">
        <v>1047</v>
      </c>
      <c r="K476" t="s">
        <v>1338</v>
      </c>
      <c r="N476" t="s">
        <v>1183</v>
      </c>
      <c r="O476" t="s">
        <v>253</v>
      </c>
      <c r="P476" t="s">
        <v>3336</v>
      </c>
      <c r="Q476" t="s">
        <v>1088</v>
      </c>
      <c r="R476" t="s">
        <v>3337</v>
      </c>
      <c r="S476">
        <v>100</v>
      </c>
      <c r="T476">
        <v>100</v>
      </c>
      <c r="U476">
        <v>100</v>
      </c>
      <c r="V476">
        <v>100</v>
      </c>
      <c r="W476">
        <v>100</v>
      </c>
      <c r="AE476" t="s">
        <v>548</v>
      </c>
      <c r="AF476" t="s">
        <v>548</v>
      </c>
      <c r="AG476" t="s">
        <v>548</v>
      </c>
      <c r="AH476" t="s">
        <v>548</v>
      </c>
      <c r="AI476" t="s">
        <v>548</v>
      </c>
      <c r="AJ476">
        <v>0</v>
      </c>
      <c r="AK476">
        <v>0</v>
      </c>
      <c r="AL476">
        <v>0</v>
      </c>
      <c r="AM476">
        <v>0</v>
      </c>
      <c r="AN476">
        <v>0</v>
      </c>
      <c r="AO476">
        <v>100</v>
      </c>
      <c r="AP476">
        <v>100</v>
      </c>
      <c r="AQ476">
        <v>100</v>
      </c>
      <c r="AR476">
        <v>100</v>
      </c>
      <c r="AS476">
        <v>100</v>
      </c>
      <c r="BD476">
        <v>8.9999999999999993E-3</v>
      </c>
      <c r="BJ476">
        <v>1</v>
      </c>
      <c r="BK476" t="s">
        <v>1041</v>
      </c>
      <c r="BU476" t="s">
        <v>3338</v>
      </c>
      <c r="BV476" t="s">
        <v>1042</v>
      </c>
    </row>
    <row r="477" spans="1:74" x14ac:dyDescent="0.2">
      <c r="A477" t="s">
        <v>942</v>
      </c>
      <c r="B477" t="s">
        <v>3339</v>
      </c>
      <c r="C477" t="s">
        <v>913</v>
      </c>
      <c r="D477" t="s">
        <v>282</v>
      </c>
      <c r="E477" t="s">
        <v>1227</v>
      </c>
      <c r="F477" t="s">
        <v>3333</v>
      </c>
      <c r="G477" t="s">
        <v>1335</v>
      </c>
      <c r="H477" t="s">
        <v>3340</v>
      </c>
      <c r="I477" t="s">
        <v>3341</v>
      </c>
      <c r="J477" t="s">
        <v>1066</v>
      </c>
      <c r="N477" t="s">
        <v>1183</v>
      </c>
      <c r="O477" t="s">
        <v>253</v>
      </c>
      <c r="P477" t="s">
        <v>3342</v>
      </c>
      <c r="Q477" t="s">
        <v>1088</v>
      </c>
      <c r="R477" t="s">
        <v>1626</v>
      </c>
      <c r="S477">
        <v>100</v>
      </c>
      <c r="T477">
        <v>100</v>
      </c>
      <c r="U477">
        <v>100</v>
      </c>
      <c r="V477">
        <v>100</v>
      </c>
      <c r="W477">
        <v>100</v>
      </c>
      <c r="BV477" t="s">
        <v>1042</v>
      </c>
    </row>
    <row r="478" spans="1:74" x14ac:dyDescent="0.2">
      <c r="A478" t="s">
        <v>942</v>
      </c>
      <c r="B478" t="s">
        <v>3343</v>
      </c>
      <c r="C478" t="s">
        <v>913</v>
      </c>
      <c r="D478" t="s">
        <v>282</v>
      </c>
      <c r="E478" t="s">
        <v>1227</v>
      </c>
      <c r="F478" t="s">
        <v>3276</v>
      </c>
      <c r="G478" t="s">
        <v>1348</v>
      </c>
      <c r="H478" t="s">
        <v>3344</v>
      </c>
      <c r="I478" t="s">
        <v>3345</v>
      </c>
      <c r="J478" t="s">
        <v>1036</v>
      </c>
      <c r="K478" t="s">
        <v>1037</v>
      </c>
      <c r="M478" t="s">
        <v>543</v>
      </c>
      <c r="N478" t="s">
        <v>1261</v>
      </c>
      <c r="O478" t="s">
        <v>1295</v>
      </c>
      <c r="P478" t="s">
        <v>3346</v>
      </c>
      <c r="Q478" t="s">
        <v>1041</v>
      </c>
      <c r="R478" t="s">
        <v>3347</v>
      </c>
      <c r="S478" t="s">
        <v>3348</v>
      </c>
      <c r="T478" t="s">
        <v>3348</v>
      </c>
      <c r="U478" t="s">
        <v>3348</v>
      </c>
      <c r="V478" t="s">
        <v>3348</v>
      </c>
      <c r="W478" t="s">
        <v>3348</v>
      </c>
      <c r="AA478" t="s">
        <v>548</v>
      </c>
      <c r="AE478" t="s">
        <v>548</v>
      </c>
      <c r="AF478" t="s">
        <v>548</v>
      </c>
      <c r="AG478" t="s">
        <v>548</v>
      </c>
      <c r="AH478" t="s">
        <v>548</v>
      </c>
      <c r="AI478" t="s">
        <v>548</v>
      </c>
      <c r="AJ478" t="s">
        <v>3349</v>
      </c>
      <c r="AK478" t="s">
        <v>3349</v>
      </c>
      <c r="AL478" t="s">
        <v>3349</v>
      </c>
      <c r="AM478" t="s">
        <v>3349</v>
      </c>
      <c r="AN478" t="s">
        <v>3349</v>
      </c>
      <c r="AO478" t="s">
        <v>3350</v>
      </c>
      <c r="AP478" t="s">
        <v>3350</v>
      </c>
      <c r="AQ478" t="s">
        <v>3350</v>
      </c>
      <c r="AR478" t="s">
        <v>3350</v>
      </c>
      <c r="AS478" t="s">
        <v>3350</v>
      </c>
      <c r="AT478" t="s">
        <v>3351</v>
      </c>
      <c r="AU478" t="s">
        <v>3351</v>
      </c>
      <c r="AV478" t="s">
        <v>3351</v>
      </c>
      <c r="AW478" t="s">
        <v>3351</v>
      </c>
      <c r="AX478" t="s">
        <v>3351</v>
      </c>
      <c r="AY478" t="s">
        <v>3352</v>
      </c>
      <c r="AZ478" t="s">
        <v>3352</v>
      </c>
      <c r="BA478" t="s">
        <v>3352</v>
      </c>
      <c r="BB478" t="s">
        <v>3352</v>
      </c>
      <c r="BC478" t="s">
        <v>3352</v>
      </c>
      <c r="BD478">
        <v>5.9</v>
      </c>
      <c r="BH478">
        <v>0.19</v>
      </c>
      <c r="BJ478">
        <v>1</v>
      </c>
      <c r="BK478" t="s">
        <v>1041</v>
      </c>
      <c r="BU478" t="s">
        <v>3353</v>
      </c>
      <c r="BV478" t="s">
        <v>1010</v>
      </c>
    </row>
    <row r="479" spans="1:74" x14ac:dyDescent="0.2">
      <c r="A479" t="s">
        <v>942</v>
      </c>
      <c r="B479" t="s">
        <v>3354</v>
      </c>
      <c r="C479" t="s">
        <v>913</v>
      </c>
      <c r="D479" t="s">
        <v>282</v>
      </c>
      <c r="E479" t="s">
        <v>1227</v>
      </c>
      <c r="F479" t="s">
        <v>3276</v>
      </c>
      <c r="G479" t="s">
        <v>1478</v>
      </c>
      <c r="H479" t="s">
        <v>3355</v>
      </c>
      <c r="I479" t="s">
        <v>3356</v>
      </c>
      <c r="J479" t="s">
        <v>1047</v>
      </c>
      <c r="K479" t="s">
        <v>1338</v>
      </c>
      <c r="N479" t="s">
        <v>1183</v>
      </c>
      <c r="O479" t="s">
        <v>253</v>
      </c>
      <c r="P479" t="s">
        <v>3357</v>
      </c>
      <c r="Q479" t="s">
        <v>1088</v>
      </c>
      <c r="R479">
        <v>33</v>
      </c>
      <c r="S479">
        <v>40</v>
      </c>
      <c r="T479">
        <v>40</v>
      </c>
      <c r="U479">
        <v>43</v>
      </c>
      <c r="V479">
        <v>43</v>
      </c>
      <c r="W479">
        <v>100</v>
      </c>
      <c r="AE479" t="s">
        <v>548</v>
      </c>
      <c r="AF479" t="s">
        <v>548</v>
      </c>
      <c r="AG479" t="s">
        <v>548</v>
      </c>
      <c r="AH479" t="s">
        <v>548</v>
      </c>
      <c r="AI479" t="s">
        <v>548</v>
      </c>
      <c r="AJ479">
        <v>33</v>
      </c>
      <c r="AK479">
        <v>33</v>
      </c>
      <c r="AL479">
        <v>33</v>
      </c>
      <c r="AM479">
        <v>33</v>
      </c>
      <c r="AN479">
        <v>33</v>
      </c>
      <c r="AO479">
        <v>40</v>
      </c>
      <c r="AP479">
        <v>40</v>
      </c>
      <c r="AQ479">
        <v>43</v>
      </c>
      <c r="AR479">
        <v>43</v>
      </c>
      <c r="AS479">
        <v>100</v>
      </c>
      <c r="BD479">
        <v>0.01</v>
      </c>
      <c r="BJ479">
        <v>1</v>
      </c>
      <c r="BK479" t="s">
        <v>1041</v>
      </c>
      <c r="BU479" t="s">
        <v>3358</v>
      </c>
      <c r="BV479" t="s">
        <v>1042</v>
      </c>
    </row>
    <row r="480" spans="1:74" x14ac:dyDescent="0.2">
      <c r="A480" t="s">
        <v>942</v>
      </c>
      <c r="B480" t="s">
        <v>3359</v>
      </c>
      <c r="C480" t="s">
        <v>913</v>
      </c>
      <c r="D480" t="s">
        <v>282</v>
      </c>
      <c r="E480" t="s">
        <v>1227</v>
      </c>
      <c r="F480" t="s">
        <v>3276</v>
      </c>
      <c r="G480" t="s">
        <v>1483</v>
      </c>
      <c r="H480" t="s">
        <v>3360</v>
      </c>
      <c r="I480" t="s">
        <v>3361</v>
      </c>
      <c r="J480" t="s">
        <v>1036</v>
      </c>
      <c r="K480" t="s">
        <v>1037</v>
      </c>
      <c r="N480" t="s">
        <v>1183</v>
      </c>
      <c r="O480" t="s">
        <v>1039</v>
      </c>
      <c r="P480" t="s">
        <v>3362</v>
      </c>
      <c r="Q480" t="s">
        <v>1088</v>
      </c>
      <c r="R480">
        <v>0</v>
      </c>
      <c r="S480">
        <v>0</v>
      </c>
      <c r="T480">
        <v>0</v>
      </c>
      <c r="U480">
        <v>8</v>
      </c>
      <c r="V480">
        <v>11</v>
      </c>
      <c r="W480">
        <v>70</v>
      </c>
      <c r="AI480" t="s">
        <v>548</v>
      </c>
      <c r="AN480">
        <v>0</v>
      </c>
      <c r="AS480">
        <v>70</v>
      </c>
      <c r="AX480">
        <v>70</v>
      </c>
      <c r="BC480">
        <v>131</v>
      </c>
      <c r="BD480">
        <v>1.6739999999999999</v>
      </c>
      <c r="BH480">
        <v>1.29</v>
      </c>
      <c r="BJ480">
        <v>1</v>
      </c>
      <c r="BK480" t="s">
        <v>1041</v>
      </c>
      <c r="BU480" t="s">
        <v>3363</v>
      </c>
      <c r="BV480" t="s">
        <v>1042</v>
      </c>
    </row>
    <row r="481" spans="1:74" x14ac:dyDescent="0.2">
      <c r="A481" t="s">
        <v>942</v>
      </c>
      <c r="B481" t="s">
        <v>3364</v>
      </c>
      <c r="C481" t="s">
        <v>913</v>
      </c>
      <c r="D481" t="s">
        <v>282</v>
      </c>
      <c r="E481" t="s">
        <v>1227</v>
      </c>
      <c r="F481" t="s">
        <v>3365</v>
      </c>
      <c r="G481" t="s">
        <v>1354</v>
      </c>
      <c r="H481" t="s">
        <v>3366</v>
      </c>
      <c r="I481" t="s">
        <v>3367</v>
      </c>
      <c r="J481" t="s">
        <v>1036</v>
      </c>
      <c r="K481" t="s">
        <v>1037</v>
      </c>
      <c r="N481" t="s">
        <v>1231</v>
      </c>
      <c r="O481" t="s">
        <v>1039</v>
      </c>
      <c r="P481" t="s">
        <v>3368</v>
      </c>
      <c r="Q481">
        <v>2</v>
      </c>
      <c r="R481">
        <v>1.77</v>
      </c>
      <c r="S481">
        <v>1.75</v>
      </c>
      <c r="T481">
        <v>1.72</v>
      </c>
      <c r="U481">
        <v>1.7</v>
      </c>
      <c r="V481">
        <v>1.68</v>
      </c>
      <c r="W481">
        <v>1.66</v>
      </c>
      <c r="AB481" t="s">
        <v>548</v>
      </c>
      <c r="AE481" t="s">
        <v>548</v>
      </c>
      <c r="AF481" t="s">
        <v>548</v>
      </c>
      <c r="AG481" t="s">
        <v>548</v>
      </c>
      <c r="AH481" t="s">
        <v>548</v>
      </c>
      <c r="AI481" t="s">
        <v>548</v>
      </c>
      <c r="AJ481">
        <v>2.0699999999999998</v>
      </c>
      <c r="AK481">
        <v>2.04</v>
      </c>
      <c r="AL481">
        <v>2.02</v>
      </c>
      <c r="AM481">
        <v>2</v>
      </c>
      <c r="AN481">
        <v>1.98</v>
      </c>
      <c r="AO481">
        <v>1.95</v>
      </c>
      <c r="AP481">
        <v>1.92</v>
      </c>
      <c r="AQ481">
        <v>1.9</v>
      </c>
      <c r="AR481">
        <v>1.88</v>
      </c>
      <c r="AS481">
        <v>1.86</v>
      </c>
      <c r="AT481">
        <v>1.61</v>
      </c>
      <c r="AU481">
        <v>1.59</v>
      </c>
      <c r="AV481">
        <v>1.57</v>
      </c>
      <c r="AW481">
        <v>1.55</v>
      </c>
      <c r="AX481">
        <v>1.53</v>
      </c>
      <c r="AY481">
        <v>1.35</v>
      </c>
      <c r="AZ481">
        <v>1.32</v>
      </c>
      <c r="BA481">
        <v>1.3</v>
      </c>
      <c r="BB481">
        <v>1.28</v>
      </c>
      <c r="BC481">
        <v>1.26</v>
      </c>
      <c r="BD481">
        <v>0.31510500000000002</v>
      </c>
      <c r="BH481">
        <v>0.20399999999999999</v>
      </c>
      <c r="BJ481">
        <v>100</v>
      </c>
      <c r="BK481" t="s">
        <v>3369</v>
      </c>
      <c r="BU481" t="s">
        <v>3370</v>
      </c>
      <c r="BV481" t="s">
        <v>1011</v>
      </c>
    </row>
    <row r="482" spans="1:74" x14ac:dyDescent="0.2">
      <c r="A482" t="s">
        <v>942</v>
      </c>
      <c r="B482" t="s">
        <v>3371</v>
      </c>
      <c r="C482" t="s">
        <v>913</v>
      </c>
      <c r="D482" t="s">
        <v>282</v>
      </c>
      <c r="E482" t="s">
        <v>1227</v>
      </c>
      <c r="F482" t="s">
        <v>3365</v>
      </c>
      <c r="G482" t="s">
        <v>1358</v>
      </c>
      <c r="H482" t="s">
        <v>3372</v>
      </c>
      <c r="I482" t="s">
        <v>3373</v>
      </c>
      <c r="J482" t="s">
        <v>1036</v>
      </c>
      <c r="K482" t="s">
        <v>1338</v>
      </c>
      <c r="M482" t="s">
        <v>543</v>
      </c>
      <c r="N482" t="s">
        <v>1231</v>
      </c>
      <c r="O482" t="s">
        <v>1039</v>
      </c>
      <c r="P482" t="s">
        <v>3374</v>
      </c>
      <c r="Q482" t="s">
        <v>1088</v>
      </c>
      <c r="R482">
        <v>50000</v>
      </c>
      <c r="S482">
        <v>50651</v>
      </c>
      <c r="T482">
        <v>50651</v>
      </c>
      <c r="U482">
        <v>50651</v>
      </c>
      <c r="V482">
        <v>50651</v>
      </c>
      <c r="W482">
        <v>50651</v>
      </c>
      <c r="AE482" t="s">
        <v>548</v>
      </c>
      <c r="AF482" t="s">
        <v>548</v>
      </c>
      <c r="AG482" t="s">
        <v>548</v>
      </c>
      <c r="AH482" t="s">
        <v>548</v>
      </c>
      <c r="AI482" t="s">
        <v>548</v>
      </c>
      <c r="AJ482" t="s">
        <v>3375</v>
      </c>
      <c r="AK482" t="s">
        <v>3375</v>
      </c>
      <c r="AL482" t="s">
        <v>3375</v>
      </c>
      <c r="AM482" t="s">
        <v>3375</v>
      </c>
      <c r="AN482" t="s">
        <v>3375</v>
      </c>
      <c r="AO482">
        <v>60781</v>
      </c>
      <c r="AP482">
        <v>60781</v>
      </c>
      <c r="AQ482">
        <v>60781</v>
      </c>
      <c r="AR482">
        <v>60781</v>
      </c>
      <c r="AS482">
        <v>60781</v>
      </c>
      <c r="AT482">
        <v>40521</v>
      </c>
      <c r="AU482">
        <v>40521</v>
      </c>
      <c r="AV482">
        <v>40521</v>
      </c>
      <c r="AW482">
        <v>40521</v>
      </c>
      <c r="AX482">
        <v>40521</v>
      </c>
      <c r="AY482">
        <v>0</v>
      </c>
      <c r="AZ482">
        <v>0</v>
      </c>
      <c r="BA482">
        <v>0</v>
      </c>
      <c r="BB482">
        <v>0</v>
      </c>
      <c r="BC482">
        <v>0</v>
      </c>
      <c r="BD482">
        <v>10.4</v>
      </c>
      <c r="BH482">
        <v>7.4000000000000003E-3</v>
      </c>
      <c r="BJ482">
        <v>1</v>
      </c>
      <c r="BK482" t="s">
        <v>1041</v>
      </c>
      <c r="BU482" t="s">
        <v>3376</v>
      </c>
      <c r="BV482" t="s">
        <v>1042</v>
      </c>
    </row>
    <row r="483" spans="1:74" x14ac:dyDescent="0.2">
      <c r="A483" t="s">
        <v>942</v>
      </c>
      <c r="B483" t="s">
        <v>3377</v>
      </c>
      <c r="C483" t="s">
        <v>913</v>
      </c>
      <c r="D483" t="s">
        <v>282</v>
      </c>
      <c r="E483" t="s">
        <v>1227</v>
      </c>
      <c r="F483" t="s">
        <v>3365</v>
      </c>
      <c r="G483" t="s">
        <v>3378</v>
      </c>
      <c r="H483" t="s">
        <v>3379</v>
      </c>
      <c r="I483" t="s">
        <v>3380</v>
      </c>
      <c r="J483" t="s">
        <v>1047</v>
      </c>
      <c r="K483" t="s">
        <v>1338</v>
      </c>
      <c r="M483" t="s">
        <v>543</v>
      </c>
      <c r="N483" t="s">
        <v>1231</v>
      </c>
      <c r="O483" t="s">
        <v>1295</v>
      </c>
      <c r="P483" t="s">
        <v>3381</v>
      </c>
      <c r="Q483" t="s">
        <v>1041</v>
      </c>
      <c r="W483" t="s">
        <v>1830</v>
      </c>
      <c r="AC483" t="s">
        <v>548</v>
      </c>
      <c r="AI483" t="s">
        <v>548</v>
      </c>
      <c r="BD483">
        <v>1.86</v>
      </c>
      <c r="BE483">
        <v>24.917000000000002</v>
      </c>
      <c r="BJ483">
        <v>1</v>
      </c>
      <c r="BK483" t="s">
        <v>1041</v>
      </c>
      <c r="BU483" t="s">
        <v>3382</v>
      </c>
      <c r="BV483" t="s">
        <v>1042</v>
      </c>
    </row>
    <row r="484" spans="1:74" x14ac:dyDescent="0.2">
      <c r="A484" t="s">
        <v>942</v>
      </c>
      <c r="B484" t="s">
        <v>3383</v>
      </c>
      <c r="C484" t="s">
        <v>913</v>
      </c>
      <c r="D484" t="s">
        <v>282</v>
      </c>
      <c r="E484" t="s">
        <v>1227</v>
      </c>
      <c r="F484" t="s">
        <v>3365</v>
      </c>
      <c r="G484" t="s">
        <v>3384</v>
      </c>
      <c r="H484" t="s">
        <v>3385</v>
      </c>
      <c r="I484" t="s">
        <v>3386</v>
      </c>
      <c r="J484" t="s">
        <v>1047</v>
      </c>
      <c r="K484" t="s">
        <v>1338</v>
      </c>
      <c r="M484" t="s">
        <v>543</v>
      </c>
      <c r="N484" t="s">
        <v>1231</v>
      </c>
      <c r="O484" t="s">
        <v>1295</v>
      </c>
      <c r="P484" t="s">
        <v>3387</v>
      </c>
      <c r="Q484" t="s">
        <v>1041</v>
      </c>
      <c r="U484" t="s">
        <v>1468</v>
      </c>
      <c r="AG484" t="s">
        <v>548</v>
      </c>
      <c r="AH484" t="s">
        <v>548</v>
      </c>
      <c r="AI484" t="s">
        <v>548</v>
      </c>
      <c r="BD484">
        <v>0.97</v>
      </c>
      <c r="BE484">
        <v>14.083</v>
      </c>
      <c r="BJ484">
        <v>1</v>
      </c>
      <c r="BK484" t="s">
        <v>1041</v>
      </c>
      <c r="BU484" t="s">
        <v>3388</v>
      </c>
      <c r="BV484" t="s">
        <v>1042</v>
      </c>
    </row>
    <row r="485" spans="1:74" x14ac:dyDescent="0.2">
      <c r="A485" t="s">
        <v>942</v>
      </c>
      <c r="B485" t="s">
        <v>3389</v>
      </c>
      <c r="C485" t="s">
        <v>913</v>
      </c>
      <c r="D485" t="s">
        <v>282</v>
      </c>
      <c r="E485" t="s">
        <v>1227</v>
      </c>
      <c r="F485" t="s">
        <v>3295</v>
      </c>
      <c r="G485" t="s">
        <v>1365</v>
      </c>
      <c r="H485" t="s">
        <v>3390</v>
      </c>
      <c r="I485" t="s">
        <v>3391</v>
      </c>
      <c r="J485" t="s">
        <v>1047</v>
      </c>
      <c r="K485" t="s">
        <v>1338</v>
      </c>
      <c r="N485" t="s">
        <v>1285</v>
      </c>
      <c r="O485" t="s">
        <v>1039</v>
      </c>
      <c r="P485" t="s">
        <v>3392</v>
      </c>
      <c r="Q485" t="s">
        <v>1088</v>
      </c>
      <c r="R485" t="s">
        <v>3393</v>
      </c>
      <c r="S485" t="s">
        <v>3393</v>
      </c>
      <c r="T485" t="s">
        <v>3393</v>
      </c>
      <c r="U485" t="s">
        <v>3393</v>
      </c>
      <c r="V485" t="s">
        <v>3393</v>
      </c>
      <c r="W485" t="s">
        <v>3393</v>
      </c>
      <c r="AE485" t="s">
        <v>548</v>
      </c>
      <c r="AF485" t="s">
        <v>548</v>
      </c>
      <c r="AG485" t="s">
        <v>548</v>
      </c>
      <c r="AH485" t="s">
        <v>548</v>
      </c>
      <c r="AI485" t="s">
        <v>548</v>
      </c>
      <c r="AJ485">
        <v>999999</v>
      </c>
      <c r="AK485">
        <v>999999</v>
      </c>
      <c r="AL485">
        <v>999999</v>
      </c>
      <c r="AM485">
        <v>999999</v>
      </c>
      <c r="AN485">
        <v>999999</v>
      </c>
      <c r="AO485">
        <v>300</v>
      </c>
      <c r="AP485">
        <v>300</v>
      </c>
      <c r="AQ485">
        <v>300</v>
      </c>
      <c r="AR485">
        <v>300</v>
      </c>
      <c r="AS485">
        <v>300</v>
      </c>
      <c r="BD485">
        <v>8.3999999999999995E-3</v>
      </c>
      <c r="BJ485">
        <v>1</v>
      </c>
      <c r="BK485" t="s">
        <v>1041</v>
      </c>
      <c r="BU485" t="s">
        <v>3394</v>
      </c>
      <c r="BV485" t="s">
        <v>1042</v>
      </c>
    </row>
    <row r="486" spans="1:74" x14ac:dyDescent="0.2">
      <c r="A486" t="s">
        <v>942</v>
      </c>
      <c r="B486" t="s">
        <v>3395</v>
      </c>
      <c r="C486" t="s">
        <v>913</v>
      </c>
      <c r="D486" t="s">
        <v>282</v>
      </c>
      <c r="E486" t="s">
        <v>1227</v>
      </c>
      <c r="F486" t="s">
        <v>3396</v>
      </c>
      <c r="G486" t="s">
        <v>1372</v>
      </c>
      <c r="H486" t="s">
        <v>3397</v>
      </c>
      <c r="I486" t="s">
        <v>3398</v>
      </c>
      <c r="J486" t="s">
        <v>1066</v>
      </c>
      <c r="N486" t="s">
        <v>1191</v>
      </c>
      <c r="O486" t="s">
        <v>1039</v>
      </c>
      <c r="P486" t="s">
        <v>1631</v>
      </c>
      <c r="Q486" t="s">
        <v>1088</v>
      </c>
      <c r="R486">
        <v>152</v>
      </c>
      <c r="S486">
        <v>133</v>
      </c>
      <c r="T486">
        <v>124</v>
      </c>
      <c r="U486">
        <v>122</v>
      </c>
      <c r="V486">
        <v>121</v>
      </c>
      <c r="W486">
        <v>119</v>
      </c>
      <c r="BV486" t="s">
        <v>1042</v>
      </c>
    </row>
    <row r="487" spans="1:74" x14ac:dyDescent="0.2">
      <c r="A487" t="s">
        <v>942</v>
      </c>
      <c r="B487" t="s">
        <v>3399</v>
      </c>
      <c r="C487" t="s">
        <v>913</v>
      </c>
      <c r="D487" t="s">
        <v>282</v>
      </c>
      <c r="E487" t="s">
        <v>1227</v>
      </c>
      <c r="F487" t="s">
        <v>3396</v>
      </c>
      <c r="G487" t="s">
        <v>1512</v>
      </c>
      <c r="H487" t="s">
        <v>3400</v>
      </c>
      <c r="I487" t="s">
        <v>3401</v>
      </c>
      <c r="J487" t="s">
        <v>1047</v>
      </c>
      <c r="K487" t="s">
        <v>1338</v>
      </c>
      <c r="N487" t="s">
        <v>1191</v>
      </c>
      <c r="O487" t="s">
        <v>253</v>
      </c>
      <c r="P487" t="s">
        <v>3402</v>
      </c>
      <c r="Q487" t="s">
        <v>1088</v>
      </c>
      <c r="R487">
        <v>20</v>
      </c>
      <c r="S487">
        <v>21</v>
      </c>
      <c r="T487">
        <v>22</v>
      </c>
      <c r="U487">
        <v>22</v>
      </c>
      <c r="V487">
        <v>21</v>
      </c>
      <c r="W487">
        <v>24</v>
      </c>
      <c r="AE487" t="s">
        <v>548</v>
      </c>
      <c r="AF487" t="s">
        <v>548</v>
      </c>
      <c r="AG487" t="s">
        <v>548</v>
      </c>
      <c r="AH487" t="s">
        <v>548</v>
      </c>
      <c r="AI487" t="s">
        <v>548</v>
      </c>
      <c r="AJ487">
        <v>0</v>
      </c>
      <c r="AK487">
        <v>0</v>
      </c>
      <c r="AL487">
        <v>0</v>
      </c>
      <c r="AM487">
        <v>0</v>
      </c>
      <c r="AN487">
        <v>0</v>
      </c>
      <c r="AO487">
        <v>21</v>
      </c>
      <c r="AP487">
        <v>22</v>
      </c>
      <c r="AQ487">
        <v>22</v>
      </c>
      <c r="AR487">
        <v>21</v>
      </c>
      <c r="AS487">
        <v>24</v>
      </c>
      <c r="BD487">
        <v>9.9000000000000005E-2</v>
      </c>
      <c r="BJ487">
        <v>1</v>
      </c>
      <c r="BK487" t="s">
        <v>1041</v>
      </c>
      <c r="BU487" t="s">
        <v>3403</v>
      </c>
      <c r="BV487" t="s">
        <v>1042</v>
      </c>
    </row>
    <row r="488" spans="1:74" x14ac:dyDescent="0.2">
      <c r="A488" t="s">
        <v>942</v>
      </c>
      <c r="B488" t="s">
        <v>3404</v>
      </c>
      <c r="C488" t="s">
        <v>913</v>
      </c>
      <c r="D488" t="s">
        <v>1106</v>
      </c>
      <c r="E488" t="s">
        <v>1107</v>
      </c>
      <c r="F488" t="s">
        <v>3405</v>
      </c>
      <c r="G488" t="s">
        <v>1330</v>
      </c>
      <c r="H488" t="s">
        <v>3406</v>
      </c>
      <c r="I488" t="s">
        <v>3407</v>
      </c>
      <c r="J488" t="s">
        <v>1036</v>
      </c>
      <c r="K488" t="s">
        <v>1037</v>
      </c>
      <c r="M488" t="s">
        <v>543</v>
      </c>
      <c r="N488" t="s">
        <v>1112</v>
      </c>
      <c r="O488" t="s">
        <v>1113</v>
      </c>
      <c r="P488" t="s">
        <v>1114</v>
      </c>
      <c r="Q488" t="s">
        <v>1088</v>
      </c>
      <c r="R488" t="s">
        <v>3408</v>
      </c>
      <c r="S488" t="s">
        <v>3408</v>
      </c>
      <c r="T488" t="s">
        <v>3408</v>
      </c>
      <c r="U488" t="s">
        <v>3408</v>
      </c>
      <c r="V488" t="s">
        <v>3408</v>
      </c>
      <c r="W488" t="s">
        <v>3408</v>
      </c>
      <c r="AE488" t="s">
        <v>548</v>
      </c>
      <c r="AF488" t="s">
        <v>548</v>
      </c>
      <c r="AG488" t="s">
        <v>548</v>
      </c>
      <c r="AH488" t="s">
        <v>548</v>
      </c>
      <c r="AI488" t="s">
        <v>548</v>
      </c>
      <c r="AJ488" t="s">
        <v>1115</v>
      </c>
      <c r="AK488" t="s">
        <v>1115</v>
      </c>
      <c r="AL488" t="s">
        <v>1115</v>
      </c>
      <c r="AM488" t="s">
        <v>1115</v>
      </c>
      <c r="AN488" t="s">
        <v>1115</v>
      </c>
      <c r="AO488" t="s">
        <v>1115</v>
      </c>
      <c r="AP488" t="s">
        <v>1115</v>
      </c>
      <c r="AQ488" t="s">
        <v>1115</v>
      </c>
      <c r="AR488" t="s">
        <v>1115</v>
      </c>
      <c r="AS488" t="s">
        <v>1115</v>
      </c>
      <c r="AT488" t="s">
        <v>1115</v>
      </c>
      <c r="AU488" t="s">
        <v>1115</v>
      </c>
      <c r="AV488" t="s">
        <v>1115</v>
      </c>
      <c r="AW488" t="s">
        <v>1115</v>
      </c>
      <c r="AX488" t="s">
        <v>1115</v>
      </c>
      <c r="AY488" t="s">
        <v>1115</v>
      </c>
      <c r="AZ488" t="s">
        <v>1115</v>
      </c>
      <c r="BA488" t="s">
        <v>1115</v>
      </c>
      <c r="BB488" t="s">
        <v>1115</v>
      </c>
      <c r="BC488" t="s">
        <v>1115</v>
      </c>
      <c r="BD488" t="s">
        <v>1115</v>
      </c>
      <c r="BH488" t="s">
        <v>1115</v>
      </c>
      <c r="BJ488">
        <v>1</v>
      </c>
      <c r="BK488" t="s">
        <v>1041</v>
      </c>
      <c r="BU488" t="s">
        <v>1116</v>
      </c>
      <c r="BV488" t="s">
        <v>1042</v>
      </c>
    </row>
    <row r="489" spans="1:74" x14ac:dyDescent="0.2">
      <c r="A489" t="s">
        <v>942</v>
      </c>
      <c r="B489" t="s">
        <v>3409</v>
      </c>
      <c r="C489" t="s">
        <v>913</v>
      </c>
      <c r="D489" t="s">
        <v>1106</v>
      </c>
      <c r="E489" t="s">
        <v>1107</v>
      </c>
      <c r="F489" t="s">
        <v>3405</v>
      </c>
      <c r="G489" t="s">
        <v>1335</v>
      </c>
      <c r="H489" t="s">
        <v>3410</v>
      </c>
      <c r="I489" t="s">
        <v>3411</v>
      </c>
      <c r="J489" t="s">
        <v>1066</v>
      </c>
      <c r="N489" t="s">
        <v>1203</v>
      </c>
      <c r="O489" t="s">
        <v>253</v>
      </c>
      <c r="P489" t="s">
        <v>1204</v>
      </c>
      <c r="Q489" t="s">
        <v>1088</v>
      </c>
      <c r="R489" t="s">
        <v>3412</v>
      </c>
      <c r="S489" t="s">
        <v>3412</v>
      </c>
      <c r="T489" t="s">
        <v>3412</v>
      </c>
      <c r="U489" t="s">
        <v>3412</v>
      </c>
      <c r="V489" t="s">
        <v>3412</v>
      </c>
      <c r="W489" t="s">
        <v>3412</v>
      </c>
      <c r="BV489" t="s">
        <v>1042</v>
      </c>
    </row>
    <row r="490" spans="1:74" x14ac:dyDescent="0.2">
      <c r="A490" t="s">
        <v>942</v>
      </c>
      <c r="B490" t="s">
        <v>3413</v>
      </c>
      <c r="C490" t="s">
        <v>913</v>
      </c>
      <c r="D490" t="s">
        <v>1106</v>
      </c>
      <c r="E490" t="s">
        <v>1107</v>
      </c>
      <c r="F490" t="s">
        <v>3405</v>
      </c>
      <c r="G490" t="s">
        <v>1343</v>
      </c>
      <c r="H490" t="s">
        <v>3414</v>
      </c>
      <c r="I490" t="s">
        <v>3415</v>
      </c>
      <c r="J490" t="s">
        <v>1066</v>
      </c>
      <c r="N490" t="s">
        <v>1121</v>
      </c>
      <c r="O490" t="s">
        <v>253</v>
      </c>
      <c r="P490" t="s">
        <v>1204</v>
      </c>
      <c r="Q490" t="s">
        <v>1088</v>
      </c>
      <c r="R490">
        <v>70</v>
      </c>
      <c r="S490">
        <v>71</v>
      </c>
      <c r="T490">
        <v>72</v>
      </c>
      <c r="U490">
        <v>73</v>
      </c>
      <c r="V490">
        <v>74</v>
      </c>
      <c r="W490">
        <v>75</v>
      </c>
      <c r="BV490" t="s">
        <v>1042</v>
      </c>
    </row>
    <row r="491" spans="1:74" x14ac:dyDescent="0.2">
      <c r="A491" t="s">
        <v>942</v>
      </c>
      <c r="B491" t="s">
        <v>3416</v>
      </c>
      <c r="C491" t="s">
        <v>913</v>
      </c>
      <c r="D491" t="s">
        <v>1106</v>
      </c>
      <c r="E491" t="s">
        <v>1107</v>
      </c>
      <c r="F491" t="s">
        <v>3405</v>
      </c>
      <c r="G491" t="s">
        <v>1464</v>
      </c>
      <c r="H491" t="s">
        <v>3417</v>
      </c>
      <c r="I491" t="s">
        <v>3418</v>
      </c>
      <c r="J491" t="s">
        <v>1066</v>
      </c>
      <c r="N491" t="s">
        <v>1203</v>
      </c>
      <c r="O491" t="s">
        <v>253</v>
      </c>
      <c r="P491" t="s">
        <v>1204</v>
      </c>
      <c r="Q491" t="s">
        <v>1088</v>
      </c>
      <c r="R491" t="s">
        <v>1626</v>
      </c>
      <c r="S491" t="s">
        <v>3419</v>
      </c>
      <c r="T491" t="s">
        <v>3419</v>
      </c>
      <c r="U491" t="s">
        <v>3419</v>
      </c>
      <c r="V491" t="s">
        <v>3419</v>
      </c>
      <c r="W491" t="s">
        <v>3419</v>
      </c>
      <c r="BV491" t="s">
        <v>1042</v>
      </c>
    </row>
    <row r="492" spans="1:74" x14ac:dyDescent="0.2">
      <c r="A492" t="s">
        <v>942</v>
      </c>
      <c r="B492" t="s">
        <v>3420</v>
      </c>
      <c r="C492" t="s">
        <v>913</v>
      </c>
      <c r="D492" t="s">
        <v>1106</v>
      </c>
      <c r="E492" t="s">
        <v>1107</v>
      </c>
      <c r="F492" t="s">
        <v>3405</v>
      </c>
      <c r="G492" t="s">
        <v>1940</v>
      </c>
      <c r="H492" t="s">
        <v>3421</v>
      </c>
      <c r="I492" t="s">
        <v>3422</v>
      </c>
      <c r="J492" t="s">
        <v>1066</v>
      </c>
      <c r="N492" t="s">
        <v>1203</v>
      </c>
      <c r="O492" t="s">
        <v>1295</v>
      </c>
      <c r="P492" t="s">
        <v>3423</v>
      </c>
      <c r="Q492" t="s">
        <v>1041</v>
      </c>
      <c r="R492" t="s">
        <v>1626</v>
      </c>
      <c r="S492" t="s">
        <v>1519</v>
      </c>
      <c r="T492" t="s">
        <v>1519</v>
      </c>
      <c r="U492" t="s">
        <v>1519</v>
      </c>
      <c r="V492" t="s">
        <v>1519</v>
      </c>
      <c r="W492" t="s">
        <v>3424</v>
      </c>
      <c r="BV492" t="s">
        <v>1042</v>
      </c>
    </row>
    <row r="493" spans="1:74" x14ac:dyDescent="0.2">
      <c r="A493" t="s">
        <v>942</v>
      </c>
      <c r="B493" t="s">
        <v>3425</v>
      </c>
      <c r="C493" t="s">
        <v>913</v>
      </c>
      <c r="D493" t="s">
        <v>1106</v>
      </c>
      <c r="E493" t="s">
        <v>1107</v>
      </c>
      <c r="F493" t="s">
        <v>1418</v>
      </c>
      <c r="G493" t="s">
        <v>3426</v>
      </c>
      <c r="H493" t="s">
        <v>3427</v>
      </c>
      <c r="I493" t="s">
        <v>3428</v>
      </c>
      <c r="J493" t="s">
        <v>1066</v>
      </c>
      <c r="N493" t="s">
        <v>1048</v>
      </c>
      <c r="O493" t="s">
        <v>1039</v>
      </c>
      <c r="P493" t="s">
        <v>1049</v>
      </c>
      <c r="Q493" t="s">
        <v>1088</v>
      </c>
      <c r="R493">
        <v>137</v>
      </c>
      <c r="S493">
        <v>135</v>
      </c>
      <c r="T493">
        <v>134</v>
      </c>
      <c r="U493">
        <v>133</v>
      </c>
      <c r="V493">
        <v>132</v>
      </c>
      <c r="W493">
        <v>131</v>
      </c>
      <c r="BV493" t="s">
        <v>1042</v>
      </c>
    </row>
    <row r="494" spans="1:74" x14ac:dyDescent="0.2">
      <c r="A494" t="s">
        <v>942</v>
      </c>
      <c r="B494" t="s">
        <v>3429</v>
      </c>
      <c r="C494" t="s">
        <v>913</v>
      </c>
      <c r="D494" t="s">
        <v>1106</v>
      </c>
      <c r="E494" t="s">
        <v>1107</v>
      </c>
      <c r="F494" t="s">
        <v>1418</v>
      </c>
      <c r="G494" t="s">
        <v>3430</v>
      </c>
      <c r="H494" t="s">
        <v>3431</v>
      </c>
      <c r="I494" t="s">
        <v>3432</v>
      </c>
      <c r="J494" t="s">
        <v>1047</v>
      </c>
      <c r="K494" t="s">
        <v>1037</v>
      </c>
      <c r="N494" t="s">
        <v>1048</v>
      </c>
      <c r="O494" t="s">
        <v>1039</v>
      </c>
      <c r="P494" t="s">
        <v>1049</v>
      </c>
      <c r="Q494">
        <v>2</v>
      </c>
      <c r="S494">
        <v>0.56999999999999995</v>
      </c>
      <c r="T494">
        <v>1.25</v>
      </c>
      <c r="U494">
        <v>1.92</v>
      </c>
      <c r="V494">
        <v>2.59</v>
      </c>
      <c r="W494">
        <v>3.26</v>
      </c>
      <c r="AE494" t="s">
        <v>548</v>
      </c>
      <c r="AF494" t="s">
        <v>548</v>
      </c>
      <c r="AG494" t="s">
        <v>548</v>
      </c>
      <c r="AH494" t="s">
        <v>548</v>
      </c>
      <c r="AI494" t="s">
        <v>548</v>
      </c>
      <c r="AJ494">
        <v>0</v>
      </c>
      <c r="AK494">
        <v>0</v>
      </c>
      <c r="AL494">
        <v>0</v>
      </c>
      <c r="AM494">
        <v>0</v>
      </c>
      <c r="AN494">
        <v>0</v>
      </c>
      <c r="AO494">
        <v>0.56999999999999995</v>
      </c>
      <c r="AP494">
        <v>1.25</v>
      </c>
      <c r="AQ494">
        <v>1.92</v>
      </c>
      <c r="AR494">
        <v>2.59</v>
      </c>
      <c r="AS494">
        <v>3.26</v>
      </c>
      <c r="BD494">
        <v>1.89</v>
      </c>
      <c r="BJ494">
        <v>1</v>
      </c>
      <c r="BK494" t="s">
        <v>1041</v>
      </c>
      <c r="BV494" t="s">
        <v>1042</v>
      </c>
    </row>
    <row r="495" spans="1:74" x14ac:dyDescent="0.2">
      <c r="A495" t="s">
        <v>942</v>
      </c>
      <c r="B495" t="s">
        <v>3433</v>
      </c>
      <c r="C495" t="s">
        <v>913</v>
      </c>
      <c r="D495" t="s">
        <v>1106</v>
      </c>
      <c r="E495" t="s">
        <v>1107</v>
      </c>
      <c r="F495" t="s">
        <v>1418</v>
      </c>
      <c r="G495" t="s">
        <v>1478</v>
      </c>
      <c r="H495" t="s">
        <v>3434</v>
      </c>
      <c r="I495" t="s">
        <v>3435</v>
      </c>
      <c r="J495" t="s">
        <v>1066</v>
      </c>
      <c r="N495" t="s">
        <v>1121</v>
      </c>
      <c r="O495" t="s">
        <v>253</v>
      </c>
      <c r="P495" t="s">
        <v>3436</v>
      </c>
      <c r="Q495">
        <v>1</v>
      </c>
      <c r="R495">
        <v>1.6E-2</v>
      </c>
      <c r="S495" t="s">
        <v>3437</v>
      </c>
      <c r="T495" t="s">
        <v>3437</v>
      </c>
      <c r="U495" t="s">
        <v>3437</v>
      </c>
      <c r="V495" t="s">
        <v>3437</v>
      </c>
      <c r="W495" t="s">
        <v>3437</v>
      </c>
      <c r="BV495" t="s">
        <v>1042</v>
      </c>
    </row>
    <row r="496" spans="1:74" x14ac:dyDescent="0.2">
      <c r="A496" t="s">
        <v>945</v>
      </c>
      <c r="B496" t="s">
        <v>3438</v>
      </c>
      <c r="C496" t="s">
        <v>913</v>
      </c>
      <c r="D496" t="s">
        <v>281</v>
      </c>
      <c r="E496" t="s">
        <v>1031</v>
      </c>
      <c r="F496" t="s">
        <v>3439</v>
      </c>
      <c r="G496" t="s">
        <v>2748</v>
      </c>
      <c r="H496" t="s">
        <v>3440</v>
      </c>
      <c r="I496" t="s">
        <v>3441</v>
      </c>
      <c r="J496" t="s">
        <v>1047</v>
      </c>
      <c r="K496" t="s">
        <v>3442</v>
      </c>
      <c r="N496" t="s">
        <v>1073</v>
      </c>
      <c r="O496" t="s">
        <v>253</v>
      </c>
      <c r="P496" t="s">
        <v>1074</v>
      </c>
      <c r="Q496">
        <v>3</v>
      </c>
      <c r="R496">
        <v>99.96</v>
      </c>
      <c r="S496">
        <v>99.96</v>
      </c>
      <c r="T496">
        <v>99.96</v>
      </c>
      <c r="U496">
        <v>100</v>
      </c>
      <c r="V496">
        <v>100</v>
      </c>
      <c r="W496">
        <v>100</v>
      </c>
      <c r="X496" t="s">
        <v>548</v>
      </c>
      <c r="AE496" t="s">
        <v>548</v>
      </c>
      <c r="AF496" t="s">
        <v>548</v>
      </c>
      <c r="AG496" t="s">
        <v>548</v>
      </c>
      <c r="AH496" t="s">
        <v>548</v>
      </c>
      <c r="AI496" t="s">
        <v>548</v>
      </c>
      <c r="AJ496">
        <v>99.929000000000002</v>
      </c>
      <c r="AK496">
        <v>99.929000000000002</v>
      </c>
      <c r="AL496">
        <v>99.938999999999993</v>
      </c>
      <c r="AM496">
        <v>99.938999999999993</v>
      </c>
      <c r="AN496">
        <v>99.938999999999993</v>
      </c>
      <c r="AO496">
        <v>99.94</v>
      </c>
      <c r="AP496">
        <v>99.94</v>
      </c>
      <c r="AQ496">
        <v>99.95</v>
      </c>
      <c r="AR496">
        <v>99.95</v>
      </c>
      <c r="AS496">
        <v>99.95</v>
      </c>
      <c r="BD496">
        <v>8.9201160000000002</v>
      </c>
      <c r="BJ496">
        <v>100</v>
      </c>
      <c r="BK496" t="s">
        <v>1368</v>
      </c>
      <c r="BV496" t="s">
        <v>1007</v>
      </c>
    </row>
    <row r="497" spans="1:74" x14ac:dyDescent="0.2">
      <c r="A497" t="s">
        <v>945</v>
      </c>
      <c r="B497" t="s">
        <v>3443</v>
      </c>
      <c r="C497" t="s">
        <v>913</v>
      </c>
      <c r="D497" t="s">
        <v>281</v>
      </c>
      <c r="E497" t="s">
        <v>1031</v>
      </c>
      <c r="F497" t="s">
        <v>3439</v>
      </c>
      <c r="G497" t="s">
        <v>2753</v>
      </c>
      <c r="H497" t="s">
        <v>3444</v>
      </c>
      <c r="I497" t="s">
        <v>3445</v>
      </c>
      <c r="J497" t="s">
        <v>1066</v>
      </c>
      <c r="N497" t="s">
        <v>1073</v>
      </c>
      <c r="O497" t="s">
        <v>1039</v>
      </c>
      <c r="P497" t="s">
        <v>3446</v>
      </c>
      <c r="Q497" t="s">
        <v>1088</v>
      </c>
      <c r="R497">
        <v>6</v>
      </c>
      <c r="S497">
        <v>6</v>
      </c>
      <c r="T497">
        <v>6</v>
      </c>
      <c r="U497">
        <v>6</v>
      </c>
      <c r="V497">
        <v>6</v>
      </c>
      <c r="W497">
        <v>6</v>
      </c>
      <c r="BV497" t="s">
        <v>1042</v>
      </c>
    </row>
    <row r="498" spans="1:74" x14ac:dyDescent="0.2">
      <c r="A498" t="s">
        <v>945</v>
      </c>
      <c r="B498" t="s">
        <v>3447</v>
      </c>
      <c r="C498" t="s">
        <v>913</v>
      </c>
      <c r="D498" t="s">
        <v>281</v>
      </c>
      <c r="E498" t="s">
        <v>1031</v>
      </c>
      <c r="F498" t="s">
        <v>3439</v>
      </c>
      <c r="G498" t="s">
        <v>2758</v>
      </c>
      <c r="H498" t="s">
        <v>3448</v>
      </c>
      <c r="I498" t="s">
        <v>3449</v>
      </c>
      <c r="J498" t="s">
        <v>1036</v>
      </c>
      <c r="K498" t="s">
        <v>3450</v>
      </c>
      <c r="N498" t="s">
        <v>1008</v>
      </c>
      <c r="O498" t="s">
        <v>1039</v>
      </c>
      <c r="P498" t="s">
        <v>3451</v>
      </c>
      <c r="Q498" t="s">
        <v>1088</v>
      </c>
      <c r="R498">
        <v>12143</v>
      </c>
      <c r="S498">
        <v>10131</v>
      </c>
      <c r="T498">
        <v>8120</v>
      </c>
      <c r="U498">
        <v>6108</v>
      </c>
      <c r="V498">
        <v>6108</v>
      </c>
      <c r="W498">
        <v>6108</v>
      </c>
      <c r="Y498" t="s">
        <v>548</v>
      </c>
      <c r="AE498" t="s">
        <v>548</v>
      </c>
      <c r="AF498" t="s">
        <v>548</v>
      </c>
      <c r="AG498" t="s">
        <v>548</v>
      </c>
      <c r="AH498" t="s">
        <v>548</v>
      </c>
      <c r="AI498" t="s">
        <v>548</v>
      </c>
      <c r="AJ498">
        <v>15000</v>
      </c>
      <c r="AK498">
        <v>15000</v>
      </c>
      <c r="AL498">
        <v>8965</v>
      </c>
      <c r="AM498">
        <v>8965</v>
      </c>
      <c r="AN498">
        <v>8965</v>
      </c>
      <c r="AO498">
        <v>12143</v>
      </c>
      <c r="AP498">
        <v>12143</v>
      </c>
      <c r="AQ498">
        <v>6108</v>
      </c>
      <c r="AR498">
        <v>6108</v>
      </c>
      <c r="AS498">
        <v>6108</v>
      </c>
      <c r="AT498">
        <v>6108</v>
      </c>
      <c r="AU498">
        <v>6108</v>
      </c>
      <c r="AV498">
        <v>6108</v>
      </c>
      <c r="AW498">
        <v>6108</v>
      </c>
      <c r="AX498">
        <v>6108</v>
      </c>
      <c r="AY498">
        <v>2775</v>
      </c>
      <c r="AZ498">
        <v>2775</v>
      </c>
      <c r="BA498">
        <v>2775</v>
      </c>
      <c r="BB498">
        <v>2775</v>
      </c>
      <c r="BC498">
        <v>2775</v>
      </c>
      <c r="BD498">
        <v>3.3E-3</v>
      </c>
      <c r="BH498">
        <v>2.6649999999999998E-3</v>
      </c>
      <c r="BJ498">
        <v>1</v>
      </c>
      <c r="BK498" t="s">
        <v>1041</v>
      </c>
      <c r="BV498" t="s">
        <v>1008</v>
      </c>
    </row>
    <row r="499" spans="1:74" x14ac:dyDescent="0.2">
      <c r="A499" t="s">
        <v>945</v>
      </c>
      <c r="B499" t="s">
        <v>3452</v>
      </c>
      <c r="C499" t="s">
        <v>913</v>
      </c>
      <c r="D499" t="s">
        <v>281</v>
      </c>
      <c r="E499" t="s">
        <v>1031</v>
      </c>
      <c r="F499" t="s">
        <v>3439</v>
      </c>
      <c r="G499" t="s">
        <v>2763</v>
      </c>
      <c r="H499" t="s">
        <v>3453</v>
      </c>
      <c r="I499" t="s">
        <v>3454</v>
      </c>
      <c r="J499" t="s">
        <v>1047</v>
      </c>
      <c r="K499" t="s">
        <v>3442</v>
      </c>
      <c r="M499" t="s">
        <v>543</v>
      </c>
      <c r="N499" t="s">
        <v>1093</v>
      </c>
      <c r="O499" t="s">
        <v>1211</v>
      </c>
      <c r="P499" t="s">
        <v>1339</v>
      </c>
      <c r="Q499" t="s">
        <v>1041</v>
      </c>
      <c r="R499" t="s">
        <v>1213</v>
      </c>
      <c r="W499" t="s">
        <v>1213</v>
      </c>
      <c r="AI499" t="s">
        <v>548</v>
      </c>
      <c r="AS499" t="s">
        <v>1340</v>
      </c>
      <c r="BD499" t="s">
        <v>3455</v>
      </c>
      <c r="BJ499">
        <v>1</v>
      </c>
      <c r="BK499" t="s">
        <v>1041</v>
      </c>
      <c r="BV499" t="s">
        <v>1042</v>
      </c>
    </row>
    <row r="500" spans="1:74" x14ac:dyDescent="0.2">
      <c r="A500" t="s">
        <v>945</v>
      </c>
      <c r="B500" t="s">
        <v>3456</v>
      </c>
      <c r="C500" t="s">
        <v>913</v>
      </c>
      <c r="D500" t="s">
        <v>281</v>
      </c>
      <c r="E500" t="s">
        <v>1031</v>
      </c>
      <c r="F500" t="s">
        <v>3457</v>
      </c>
      <c r="G500" t="s">
        <v>2776</v>
      </c>
      <c r="H500" t="s">
        <v>3458</v>
      </c>
      <c r="I500" t="s">
        <v>3459</v>
      </c>
      <c r="J500" t="s">
        <v>1036</v>
      </c>
      <c r="K500" t="s">
        <v>3450</v>
      </c>
      <c r="N500" t="s">
        <v>1038</v>
      </c>
      <c r="O500" t="s">
        <v>1039</v>
      </c>
      <c r="P500" t="s">
        <v>1040</v>
      </c>
      <c r="Q500">
        <v>1</v>
      </c>
      <c r="R500">
        <v>297.10000000000002</v>
      </c>
      <c r="S500">
        <v>297.10000000000002</v>
      </c>
      <c r="T500">
        <v>297.10000000000002</v>
      </c>
      <c r="U500">
        <v>297.10000000000002</v>
      </c>
      <c r="V500">
        <v>292.10000000000002</v>
      </c>
      <c r="W500">
        <v>287.10000000000002</v>
      </c>
      <c r="AE500" t="s">
        <v>548</v>
      </c>
      <c r="AF500" t="s">
        <v>548</v>
      </c>
      <c r="AG500" t="s">
        <v>548</v>
      </c>
      <c r="AH500" t="s">
        <v>548</v>
      </c>
      <c r="AI500" t="s">
        <v>548</v>
      </c>
      <c r="AJ500">
        <v>999999.9</v>
      </c>
      <c r="AK500">
        <v>999999.9</v>
      </c>
      <c r="AL500">
        <v>999999.9</v>
      </c>
      <c r="AM500">
        <v>999999.9</v>
      </c>
      <c r="AN500">
        <v>999999.9</v>
      </c>
      <c r="AO500">
        <v>302.10000000000002</v>
      </c>
      <c r="AP500">
        <v>302.10000000000002</v>
      </c>
      <c r="AQ500">
        <v>302.10000000000002</v>
      </c>
      <c r="AR500">
        <v>297.10000000000002</v>
      </c>
      <c r="AS500">
        <v>292.10000000000002</v>
      </c>
      <c r="AT500">
        <v>274</v>
      </c>
      <c r="AU500">
        <v>274</v>
      </c>
      <c r="AV500">
        <v>274</v>
      </c>
      <c r="AW500">
        <v>274</v>
      </c>
      <c r="AX500">
        <v>274</v>
      </c>
      <c r="AY500">
        <v>0</v>
      </c>
      <c r="AZ500">
        <v>0</v>
      </c>
      <c r="BA500">
        <v>0</v>
      </c>
      <c r="BB500">
        <v>0</v>
      </c>
      <c r="BC500">
        <v>0</v>
      </c>
      <c r="BD500">
        <v>0.100948</v>
      </c>
      <c r="BH500">
        <v>5.0507000000000003E-2</v>
      </c>
      <c r="BJ500">
        <v>1</v>
      </c>
      <c r="BK500" t="s">
        <v>1041</v>
      </c>
      <c r="BV500" t="s">
        <v>1042</v>
      </c>
    </row>
    <row r="501" spans="1:74" x14ac:dyDescent="0.2">
      <c r="A501" t="s">
        <v>945</v>
      </c>
      <c r="B501" t="s">
        <v>3460</v>
      </c>
      <c r="C501" t="s">
        <v>913</v>
      </c>
      <c r="D501" t="s">
        <v>281</v>
      </c>
      <c r="E501" t="s">
        <v>1031</v>
      </c>
      <c r="F501" t="s">
        <v>3457</v>
      </c>
      <c r="G501" t="s">
        <v>2781</v>
      </c>
      <c r="H501" t="s">
        <v>3461</v>
      </c>
      <c r="I501" t="s">
        <v>3462</v>
      </c>
      <c r="J501" t="s">
        <v>1036</v>
      </c>
      <c r="K501" t="s">
        <v>3450</v>
      </c>
      <c r="N501" t="s">
        <v>1086</v>
      </c>
      <c r="O501" t="s">
        <v>1126</v>
      </c>
      <c r="P501" t="s">
        <v>3463</v>
      </c>
      <c r="Q501">
        <v>2</v>
      </c>
      <c r="R501">
        <v>14.44</v>
      </c>
      <c r="S501">
        <v>13.63</v>
      </c>
      <c r="T501">
        <v>12.81</v>
      </c>
      <c r="U501">
        <v>12</v>
      </c>
      <c r="V501">
        <v>12</v>
      </c>
      <c r="W501">
        <v>12</v>
      </c>
      <c r="Z501" t="s">
        <v>548</v>
      </c>
      <c r="AE501" t="s">
        <v>548</v>
      </c>
      <c r="AF501" t="s">
        <v>548</v>
      </c>
      <c r="AG501" t="s">
        <v>548</v>
      </c>
      <c r="AH501" t="s">
        <v>548</v>
      </c>
      <c r="AI501" t="s">
        <v>548</v>
      </c>
      <c r="AJ501">
        <v>18.440000000000001</v>
      </c>
      <c r="AK501">
        <v>18.440000000000001</v>
      </c>
      <c r="AL501">
        <v>16</v>
      </c>
      <c r="AM501">
        <v>16</v>
      </c>
      <c r="AN501">
        <v>16</v>
      </c>
      <c r="AO501">
        <v>14.44</v>
      </c>
      <c r="AP501">
        <v>14.44</v>
      </c>
      <c r="AQ501">
        <v>12</v>
      </c>
      <c r="AR501">
        <v>12</v>
      </c>
      <c r="AS501">
        <v>12</v>
      </c>
      <c r="AT501">
        <v>12</v>
      </c>
      <c r="AU501">
        <v>12</v>
      </c>
      <c r="AV501">
        <v>12</v>
      </c>
      <c r="AW501">
        <v>12</v>
      </c>
      <c r="AX501">
        <v>12</v>
      </c>
      <c r="AY501">
        <v>8.08</v>
      </c>
      <c r="AZ501">
        <v>8.08</v>
      </c>
      <c r="BA501">
        <v>8.08</v>
      </c>
      <c r="BB501">
        <v>8.08</v>
      </c>
      <c r="BC501">
        <v>8.08</v>
      </c>
      <c r="BD501">
        <v>2.6088819999999999</v>
      </c>
      <c r="BH501">
        <v>2.6088819999999999</v>
      </c>
      <c r="BJ501">
        <v>1</v>
      </c>
      <c r="BK501" t="s">
        <v>1041</v>
      </c>
      <c r="BV501" t="s">
        <v>1009</v>
      </c>
    </row>
    <row r="502" spans="1:74" x14ac:dyDescent="0.2">
      <c r="A502" t="s">
        <v>945</v>
      </c>
      <c r="B502" t="s">
        <v>3464</v>
      </c>
      <c r="C502" t="s">
        <v>913</v>
      </c>
      <c r="D502" t="s">
        <v>281</v>
      </c>
      <c r="E502" t="s">
        <v>1031</v>
      </c>
      <c r="F502" t="s">
        <v>3457</v>
      </c>
      <c r="G502" t="s">
        <v>2786</v>
      </c>
      <c r="H502" t="s">
        <v>3465</v>
      </c>
      <c r="I502" t="s">
        <v>3466</v>
      </c>
      <c r="J502" t="s">
        <v>1066</v>
      </c>
      <c r="N502" t="s">
        <v>1048</v>
      </c>
      <c r="O502" t="s">
        <v>1039</v>
      </c>
      <c r="P502" t="s">
        <v>1416</v>
      </c>
      <c r="Q502">
        <v>1</v>
      </c>
      <c r="R502">
        <v>143.69999999999999</v>
      </c>
      <c r="S502">
        <v>142.6</v>
      </c>
      <c r="T502">
        <v>141.5</v>
      </c>
      <c r="U502">
        <v>140.4</v>
      </c>
      <c r="V502">
        <v>139.30000000000001</v>
      </c>
      <c r="W502">
        <v>138.30000000000001</v>
      </c>
      <c r="BV502" t="s">
        <v>1042</v>
      </c>
    </row>
    <row r="503" spans="1:74" x14ac:dyDescent="0.2">
      <c r="A503" t="s">
        <v>945</v>
      </c>
      <c r="B503" t="s">
        <v>3467</v>
      </c>
      <c r="C503" t="s">
        <v>913</v>
      </c>
      <c r="D503" t="s">
        <v>281</v>
      </c>
      <c r="E503" t="s">
        <v>1031</v>
      </c>
      <c r="F503" t="s">
        <v>3457</v>
      </c>
      <c r="G503" t="s">
        <v>2790</v>
      </c>
      <c r="H503" t="s">
        <v>3468</v>
      </c>
      <c r="I503" t="s">
        <v>3469</v>
      </c>
      <c r="J503" t="s">
        <v>1047</v>
      </c>
      <c r="K503" t="s">
        <v>3442</v>
      </c>
      <c r="M503" t="s">
        <v>543</v>
      </c>
      <c r="N503" t="s">
        <v>1093</v>
      </c>
      <c r="O503" t="s">
        <v>1211</v>
      </c>
      <c r="P503" t="s">
        <v>1339</v>
      </c>
      <c r="Q503" t="s">
        <v>1041</v>
      </c>
      <c r="R503" t="s">
        <v>1213</v>
      </c>
      <c r="W503" t="s">
        <v>1213</v>
      </c>
      <c r="AI503" t="s">
        <v>548</v>
      </c>
      <c r="AS503" t="s">
        <v>1340</v>
      </c>
      <c r="BD503" t="s">
        <v>3455</v>
      </c>
      <c r="BJ503">
        <v>1</v>
      </c>
      <c r="BK503" t="s">
        <v>1041</v>
      </c>
      <c r="BV503" t="s">
        <v>1042</v>
      </c>
    </row>
    <row r="504" spans="1:74" x14ac:dyDescent="0.2">
      <c r="A504" t="s">
        <v>945</v>
      </c>
      <c r="B504" t="s">
        <v>3470</v>
      </c>
      <c r="C504" t="s">
        <v>913</v>
      </c>
      <c r="D504" t="s">
        <v>281</v>
      </c>
      <c r="E504" t="s">
        <v>1031</v>
      </c>
      <c r="F504" t="s">
        <v>3471</v>
      </c>
      <c r="G504" t="s">
        <v>2816</v>
      </c>
      <c r="H504" t="s">
        <v>3472</v>
      </c>
      <c r="I504" t="s">
        <v>3473</v>
      </c>
      <c r="J504" t="s">
        <v>1036</v>
      </c>
      <c r="K504" t="s">
        <v>3450</v>
      </c>
      <c r="N504" t="s">
        <v>1183</v>
      </c>
      <c r="O504" t="s">
        <v>1039</v>
      </c>
      <c r="P504" t="s">
        <v>3474</v>
      </c>
      <c r="Q504" t="s">
        <v>1088</v>
      </c>
      <c r="W504">
        <v>100</v>
      </c>
      <c r="AI504" t="s">
        <v>548</v>
      </c>
      <c r="AN504">
        <v>0</v>
      </c>
      <c r="AS504">
        <v>97</v>
      </c>
      <c r="AX504">
        <v>103</v>
      </c>
      <c r="BC504">
        <v>999999</v>
      </c>
      <c r="BD504">
        <v>0.14623800000000001</v>
      </c>
      <c r="BH504">
        <v>7.6696E-2</v>
      </c>
      <c r="BJ504">
        <v>1</v>
      </c>
      <c r="BK504" t="s">
        <v>1041</v>
      </c>
      <c r="BV504" t="s">
        <v>1042</v>
      </c>
    </row>
    <row r="505" spans="1:74" x14ac:dyDescent="0.2">
      <c r="A505" t="s">
        <v>945</v>
      </c>
      <c r="B505" t="s">
        <v>3475</v>
      </c>
      <c r="C505" t="s">
        <v>913</v>
      </c>
      <c r="D505" t="s">
        <v>281</v>
      </c>
      <c r="E505" t="s">
        <v>1031</v>
      </c>
      <c r="F505" t="s">
        <v>3471</v>
      </c>
      <c r="G505" t="s">
        <v>2820</v>
      </c>
      <c r="H505" t="s">
        <v>3476</v>
      </c>
      <c r="I505" t="s">
        <v>3477</v>
      </c>
      <c r="J505" t="s">
        <v>2524</v>
      </c>
      <c r="K505" t="s">
        <v>1037</v>
      </c>
      <c r="M505" t="s">
        <v>543</v>
      </c>
      <c r="N505" t="s">
        <v>1908</v>
      </c>
      <c r="O505" t="s">
        <v>1039</v>
      </c>
      <c r="P505" t="s">
        <v>3478</v>
      </c>
      <c r="Q505" t="s">
        <v>1088</v>
      </c>
      <c r="S505">
        <v>3</v>
      </c>
      <c r="T505">
        <v>3</v>
      </c>
      <c r="U505">
        <v>3</v>
      </c>
      <c r="V505">
        <v>3</v>
      </c>
      <c r="W505">
        <v>4</v>
      </c>
      <c r="AE505" t="s">
        <v>548</v>
      </c>
      <c r="AF505" t="s">
        <v>548</v>
      </c>
      <c r="AG505" t="s">
        <v>548</v>
      </c>
      <c r="AH505" t="s">
        <v>548</v>
      </c>
      <c r="AI505" t="s">
        <v>548</v>
      </c>
      <c r="AT505">
        <v>3</v>
      </c>
      <c r="AU505">
        <v>6</v>
      </c>
      <c r="AV505">
        <v>9</v>
      </c>
      <c r="AW505">
        <v>12</v>
      </c>
      <c r="AX505">
        <v>16</v>
      </c>
      <c r="AY505">
        <v>999999</v>
      </c>
      <c r="AZ505">
        <v>999999</v>
      </c>
      <c r="BA505">
        <v>999999</v>
      </c>
      <c r="BB505">
        <v>999999</v>
      </c>
      <c r="BC505">
        <v>999999</v>
      </c>
      <c r="BH505" t="s">
        <v>3479</v>
      </c>
      <c r="BJ505">
        <v>1</v>
      </c>
      <c r="BK505" t="s">
        <v>1041</v>
      </c>
      <c r="BU505" t="s">
        <v>3480</v>
      </c>
      <c r="BV505" t="s">
        <v>1042</v>
      </c>
    </row>
    <row r="506" spans="1:74" x14ac:dyDescent="0.2">
      <c r="A506" t="s">
        <v>945</v>
      </c>
      <c r="B506" t="s">
        <v>3481</v>
      </c>
      <c r="C506" t="s">
        <v>913</v>
      </c>
      <c r="D506" t="s">
        <v>281</v>
      </c>
      <c r="E506" t="s">
        <v>1031</v>
      </c>
      <c r="F506" t="s">
        <v>3471</v>
      </c>
      <c r="G506" t="s">
        <v>2824</v>
      </c>
      <c r="H506" t="s">
        <v>3482</v>
      </c>
      <c r="I506" t="s">
        <v>3483</v>
      </c>
      <c r="J506" t="s">
        <v>1036</v>
      </c>
      <c r="K506" t="s">
        <v>3450</v>
      </c>
      <c r="N506" t="s">
        <v>1177</v>
      </c>
      <c r="O506" t="s">
        <v>1039</v>
      </c>
      <c r="P506" t="s">
        <v>3484</v>
      </c>
      <c r="Q506" t="s">
        <v>1088</v>
      </c>
      <c r="W506">
        <v>11736</v>
      </c>
      <c r="AI506" t="s">
        <v>548</v>
      </c>
      <c r="AN506">
        <v>10998</v>
      </c>
      <c r="AS506">
        <v>11501</v>
      </c>
      <c r="AX506">
        <v>11971</v>
      </c>
      <c r="BC506">
        <v>12049</v>
      </c>
      <c r="BD506">
        <v>2.0263E-2</v>
      </c>
      <c r="BH506">
        <v>1.3171E-2</v>
      </c>
      <c r="BJ506">
        <v>1</v>
      </c>
      <c r="BK506" t="s">
        <v>1041</v>
      </c>
      <c r="BV506" t="s">
        <v>1042</v>
      </c>
    </row>
    <row r="507" spans="1:74" x14ac:dyDescent="0.2">
      <c r="A507" t="s">
        <v>945</v>
      </c>
      <c r="B507" t="s">
        <v>3485</v>
      </c>
      <c r="C507" t="s">
        <v>913</v>
      </c>
      <c r="D507" t="s">
        <v>281</v>
      </c>
      <c r="E507" t="s">
        <v>1031</v>
      </c>
      <c r="F507" t="s">
        <v>3471</v>
      </c>
      <c r="G507" t="s">
        <v>2829</v>
      </c>
      <c r="H507" t="s">
        <v>3486</v>
      </c>
      <c r="I507" t="s">
        <v>3487</v>
      </c>
      <c r="J507" t="s">
        <v>1066</v>
      </c>
      <c r="N507" t="s">
        <v>1203</v>
      </c>
      <c r="O507" t="s">
        <v>1295</v>
      </c>
      <c r="P507" t="s">
        <v>3488</v>
      </c>
      <c r="Q507" t="s">
        <v>1041</v>
      </c>
      <c r="R507" t="s">
        <v>3489</v>
      </c>
      <c r="S507" t="s">
        <v>3489</v>
      </c>
      <c r="T507" t="s">
        <v>3489</v>
      </c>
      <c r="U507" t="s">
        <v>3489</v>
      </c>
      <c r="V507" t="s">
        <v>3489</v>
      </c>
      <c r="W507" t="s">
        <v>3489</v>
      </c>
      <c r="BV507" t="s">
        <v>1042</v>
      </c>
    </row>
    <row r="508" spans="1:74" x14ac:dyDescent="0.2">
      <c r="A508" t="s">
        <v>945</v>
      </c>
      <c r="B508" t="s">
        <v>3490</v>
      </c>
      <c r="C508" t="s">
        <v>913</v>
      </c>
      <c r="D508" t="s">
        <v>281</v>
      </c>
      <c r="E508" t="s">
        <v>1031</v>
      </c>
      <c r="F508" t="s">
        <v>3491</v>
      </c>
      <c r="G508" t="s">
        <v>2841</v>
      </c>
      <c r="H508" t="s">
        <v>3492</v>
      </c>
      <c r="I508" t="s">
        <v>3493</v>
      </c>
      <c r="J508" t="s">
        <v>1066</v>
      </c>
      <c r="N508" t="s">
        <v>1191</v>
      </c>
      <c r="O508" t="s">
        <v>253</v>
      </c>
      <c r="P508" t="s">
        <v>3494</v>
      </c>
      <c r="Q508" t="s">
        <v>1088</v>
      </c>
      <c r="R508">
        <v>8</v>
      </c>
      <c r="S508">
        <v>12</v>
      </c>
      <c r="T508">
        <v>12</v>
      </c>
      <c r="U508">
        <v>12</v>
      </c>
      <c r="V508">
        <v>12</v>
      </c>
      <c r="W508">
        <v>12</v>
      </c>
      <c r="BV508" t="s">
        <v>1042</v>
      </c>
    </row>
    <row r="509" spans="1:74" x14ac:dyDescent="0.2">
      <c r="A509" t="s">
        <v>945</v>
      </c>
      <c r="B509" t="s">
        <v>3495</v>
      </c>
      <c r="C509" t="s">
        <v>913</v>
      </c>
      <c r="D509" t="s">
        <v>281</v>
      </c>
      <c r="E509" t="s">
        <v>1031</v>
      </c>
      <c r="F509" t="s">
        <v>3491</v>
      </c>
      <c r="G509" t="s">
        <v>3496</v>
      </c>
      <c r="H509" t="s">
        <v>3497</v>
      </c>
      <c r="I509" t="s">
        <v>3498</v>
      </c>
      <c r="J509" t="s">
        <v>1066</v>
      </c>
      <c r="N509" t="s">
        <v>1410</v>
      </c>
      <c r="O509" t="s">
        <v>253</v>
      </c>
      <c r="P509" t="s">
        <v>3499</v>
      </c>
      <c r="Q509" t="s">
        <v>1088</v>
      </c>
      <c r="R509">
        <v>93</v>
      </c>
      <c r="S509">
        <v>94</v>
      </c>
      <c r="T509">
        <v>94</v>
      </c>
      <c r="U509">
        <v>95</v>
      </c>
      <c r="V509">
        <v>95</v>
      </c>
      <c r="W509">
        <v>95</v>
      </c>
      <c r="BV509" t="s">
        <v>1042</v>
      </c>
    </row>
    <row r="510" spans="1:74" x14ac:dyDescent="0.2">
      <c r="A510" t="s">
        <v>945</v>
      </c>
      <c r="B510" t="s">
        <v>3500</v>
      </c>
      <c r="C510" t="s">
        <v>913</v>
      </c>
      <c r="D510" t="s">
        <v>282</v>
      </c>
      <c r="E510" t="s">
        <v>1227</v>
      </c>
      <c r="F510" t="s">
        <v>3501</v>
      </c>
      <c r="G510" t="s">
        <v>2846</v>
      </c>
      <c r="H510" t="s">
        <v>3502</v>
      </c>
      <c r="I510" t="s">
        <v>3503</v>
      </c>
      <c r="J510" t="s">
        <v>1036</v>
      </c>
      <c r="K510" t="s">
        <v>3450</v>
      </c>
      <c r="N510" t="s">
        <v>1231</v>
      </c>
      <c r="O510" t="s">
        <v>1039</v>
      </c>
      <c r="P510" t="s">
        <v>2196</v>
      </c>
      <c r="Q510" t="s">
        <v>1088</v>
      </c>
      <c r="R510">
        <v>1857</v>
      </c>
      <c r="S510">
        <v>1877</v>
      </c>
      <c r="T510">
        <v>1898</v>
      </c>
      <c r="U510">
        <v>1919</v>
      </c>
      <c r="V510">
        <v>1919</v>
      </c>
      <c r="W510">
        <v>1919</v>
      </c>
      <c r="AB510" t="s">
        <v>548</v>
      </c>
      <c r="AE510" t="s">
        <v>548</v>
      </c>
      <c r="AF510" t="s">
        <v>548</v>
      </c>
      <c r="AG510" t="s">
        <v>548</v>
      </c>
      <c r="AH510" t="s">
        <v>548</v>
      </c>
      <c r="AI510" t="s">
        <v>548</v>
      </c>
      <c r="AJ510">
        <v>1986</v>
      </c>
      <c r="AK510">
        <v>2008</v>
      </c>
      <c r="AL510">
        <v>2029</v>
      </c>
      <c r="AM510">
        <v>2029</v>
      </c>
      <c r="AN510">
        <v>2029</v>
      </c>
      <c r="AO510">
        <v>1945</v>
      </c>
      <c r="AP510">
        <v>1967</v>
      </c>
      <c r="AQ510">
        <v>1988</v>
      </c>
      <c r="AR510">
        <v>1988</v>
      </c>
      <c r="AS510">
        <v>1988</v>
      </c>
      <c r="AT510">
        <v>1808</v>
      </c>
      <c r="AU510">
        <v>1808</v>
      </c>
      <c r="AV510">
        <v>1808</v>
      </c>
      <c r="AW510">
        <v>1808</v>
      </c>
      <c r="AX510">
        <v>1808</v>
      </c>
      <c r="AY510">
        <v>1651</v>
      </c>
      <c r="AZ510">
        <v>1651</v>
      </c>
      <c r="BA510">
        <v>1651</v>
      </c>
      <c r="BB510">
        <v>1651</v>
      </c>
      <c r="BC510">
        <v>1651</v>
      </c>
      <c r="BD510">
        <v>0.22024199999999999</v>
      </c>
      <c r="BH510">
        <v>5.7496999999999999E-2</v>
      </c>
      <c r="BJ510">
        <v>1</v>
      </c>
      <c r="BK510" t="s">
        <v>1041</v>
      </c>
      <c r="BV510" t="s">
        <v>1011</v>
      </c>
    </row>
    <row r="511" spans="1:74" x14ac:dyDescent="0.2">
      <c r="A511" t="s">
        <v>945</v>
      </c>
      <c r="B511" t="s">
        <v>3504</v>
      </c>
      <c r="C511" t="s">
        <v>913</v>
      </c>
      <c r="D511" t="s">
        <v>282</v>
      </c>
      <c r="E511" t="s">
        <v>1227</v>
      </c>
      <c r="F511" t="s">
        <v>3501</v>
      </c>
      <c r="G511" t="s">
        <v>2850</v>
      </c>
      <c r="H511" t="s">
        <v>3505</v>
      </c>
      <c r="I511" t="s">
        <v>3506</v>
      </c>
      <c r="J511" t="s">
        <v>1066</v>
      </c>
      <c r="N511" t="s">
        <v>1231</v>
      </c>
      <c r="O511" t="s">
        <v>1039</v>
      </c>
      <c r="P511" t="s">
        <v>2201</v>
      </c>
      <c r="Q511" t="s">
        <v>1088</v>
      </c>
      <c r="R511">
        <v>10125</v>
      </c>
      <c r="S511">
        <v>10125</v>
      </c>
      <c r="T511">
        <v>10363</v>
      </c>
      <c r="U511">
        <v>10487</v>
      </c>
      <c r="V511">
        <v>10487</v>
      </c>
      <c r="W511">
        <v>10487</v>
      </c>
      <c r="BV511" t="s">
        <v>1042</v>
      </c>
    </row>
    <row r="512" spans="1:74" x14ac:dyDescent="0.2">
      <c r="A512" t="s">
        <v>945</v>
      </c>
      <c r="B512" t="s">
        <v>3507</v>
      </c>
      <c r="C512" t="s">
        <v>913</v>
      </c>
      <c r="D512" t="s">
        <v>282</v>
      </c>
      <c r="E512" t="s">
        <v>1227</v>
      </c>
      <c r="F512" t="s">
        <v>3501</v>
      </c>
      <c r="G512" t="s">
        <v>3508</v>
      </c>
      <c r="H512" t="s">
        <v>3509</v>
      </c>
      <c r="I512" t="s">
        <v>3510</v>
      </c>
      <c r="J512" t="s">
        <v>1066</v>
      </c>
      <c r="N512" t="s">
        <v>1261</v>
      </c>
      <c r="O512" t="s">
        <v>1039</v>
      </c>
      <c r="P512" t="s">
        <v>2239</v>
      </c>
      <c r="Q512" t="s">
        <v>1088</v>
      </c>
      <c r="R512">
        <v>10</v>
      </c>
      <c r="S512">
        <v>8</v>
      </c>
      <c r="T512">
        <v>6</v>
      </c>
      <c r="U512">
        <v>4</v>
      </c>
      <c r="V512">
        <v>2</v>
      </c>
      <c r="W512">
        <v>0</v>
      </c>
      <c r="BV512" t="s">
        <v>1042</v>
      </c>
    </row>
    <row r="513" spans="1:74" x14ac:dyDescent="0.2">
      <c r="A513" t="s">
        <v>945</v>
      </c>
      <c r="B513" t="s">
        <v>3511</v>
      </c>
      <c r="C513" t="s">
        <v>913</v>
      </c>
      <c r="D513" t="s">
        <v>282</v>
      </c>
      <c r="E513" t="s">
        <v>1227</v>
      </c>
      <c r="F513" t="s">
        <v>3501</v>
      </c>
      <c r="G513" t="s">
        <v>3512</v>
      </c>
      <c r="H513" t="s">
        <v>3513</v>
      </c>
      <c r="I513" t="s">
        <v>3514</v>
      </c>
      <c r="J513" t="s">
        <v>1036</v>
      </c>
      <c r="K513" t="s">
        <v>3450</v>
      </c>
      <c r="N513" t="s">
        <v>1261</v>
      </c>
      <c r="O513" t="s">
        <v>1039</v>
      </c>
      <c r="P513" t="s">
        <v>1262</v>
      </c>
      <c r="Q513" t="s">
        <v>1088</v>
      </c>
      <c r="R513">
        <v>250</v>
      </c>
      <c r="S513">
        <v>237</v>
      </c>
      <c r="T513">
        <v>224</v>
      </c>
      <c r="U513">
        <v>211</v>
      </c>
      <c r="V513">
        <v>211</v>
      </c>
      <c r="W513">
        <v>211</v>
      </c>
      <c r="AA513" t="s">
        <v>548</v>
      </c>
      <c r="AE513" t="s">
        <v>548</v>
      </c>
      <c r="AF513" t="s">
        <v>548</v>
      </c>
      <c r="AG513" t="s">
        <v>548</v>
      </c>
      <c r="AH513" t="s">
        <v>548</v>
      </c>
      <c r="AI513" t="s">
        <v>548</v>
      </c>
      <c r="AJ513">
        <v>303</v>
      </c>
      <c r="AK513">
        <v>303</v>
      </c>
      <c r="AL513">
        <v>264</v>
      </c>
      <c r="AM513">
        <v>264</v>
      </c>
      <c r="AN513">
        <v>264</v>
      </c>
      <c r="AO513">
        <v>250</v>
      </c>
      <c r="AP513">
        <v>250</v>
      </c>
      <c r="AQ513">
        <v>211</v>
      </c>
      <c r="AR513">
        <v>211</v>
      </c>
      <c r="AS513">
        <v>211</v>
      </c>
      <c r="AT513">
        <v>211</v>
      </c>
      <c r="AU513">
        <v>211</v>
      </c>
      <c r="AV513">
        <v>211</v>
      </c>
      <c r="AW513">
        <v>211</v>
      </c>
      <c r="AX513">
        <v>211</v>
      </c>
      <c r="AY513">
        <v>147</v>
      </c>
      <c r="AZ513">
        <v>147</v>
      </c>
      <c r="BA513">
        <v>147</v>
      </c>
      <c r="BB513">
        <v>147</v>
      </c>
      <c r="BC513">
        <v>147</v>
      </c>
      <c r="BD513">
        <v>0.18513299999999999</v>
      </c>
      <c r="BH513">
        <v>0.18513299999999999</v>
      </c>
      <c r="BJ513">
        <v>1</v>
      </c>
      <c r="BK513" t="s">
        <v>1041</v>
      </c>
      <c r="BV513" t="s">
        <v>1010</v>
      </c>
    </row>
    <row r="514" spans="1:74" x14ac:dyDescent="0.2">
      <c r="A514" t="s">
        <v>945</v>
      </c>
      <c r="B514" t="s">
        <v>3515</v>
      </c>
      <c r="C514" t="s">
        <v>913</v>
      </c>
      <c r="D514" t="s">
        <v>282</v>
      </c>
      <c r="E514" t="s">
        <v>1227</v>
      </c>
      <c r="F514" t="s">
        <v>3501</v>
      </c>
      <c r="G514" t="s">
        <v>3516</v>
      </c>
      <c r="H514" t="s">
        <v>3517</v>
      </c>
      <c r="I514" t="s">
        <v>3518</v>
      </c>
      <c r="J514" t="s">
        <v>1047</v>
      </c>
      <c r="K514" t="s">
        <v>3442</v>
      </c>
      <c r="M514" t="s">
        <v>543</v>
      </c>
      <c r="N514" t="s">
        <v>1285</v>
      </c>
      <c r="O514" t="s">
        <v>1211</v>
      </c>
      <c r="P514" t="s">
        <v>1339</v>
      </c>
      <c r="Q514" t="s">
        <v>1041</v>
      </c>
      <c r="R514" t="s">
        <v>1213</v>
      </c>
      <c r="W514" t="s">
        <v>1213</v>
      </c>
      <c r="AI514" t="s">
        <v>548</v>
      </c>
      <c r="AS514" t="s">
        <v>1340</v>
      </c>
      <c r="BD514" t="s">
        <v>3455</v>
      </c>
      <c r="BJ514">
        <v>1</v>
      </c>
      <c r="BK514" t="s">
        <v>1041</v>
      </c>
      <c r="BV514" t="s">
        <v>1042</v>
      </c>
    </row>
    <row r="515" spans="1:74" x14ac:dyDescent="0.2">
      <c r="A515" t="s">
        <v>945</v>
      </c>
      <c r="B515" t="s">
        <v>3519</v>
      </c>
      <c r="C515" t="s">
        <v>913</v>
      </c>
      <c r="D515" t="s">
        <v>282</v>
      </c>
      <c r="E515" t="s">
        <v>1227</v>
      </c>
      <c r="F515" t="s">
        <v>3471</v>
      </c>
      <c r="G515" t="s">
        <v>2859</v>
      </c>
      <c r="H515" t="s">
        <v>3520</v>
      </c>
      <c r="I515" t="s">
        <v>3521</v>
      </c>
      <c r="J515" t="s">
        <v>1066</v>
      </c>
      <c r="N515" t="s">
        <v>1183</v>
      </c>
      <c r="O515" t="s">
        <v>1039</v>
      </c>
      <c r="P515" t="s">
        <v>3522</v>
      </c>
      <c r="Q515" t="s">
        <v>1088</v>
      </c>
      <c r="R515">
        <v>15</v>
      </c>
      <c r="S515">
        <v>15</v>
      </c>
      <c r="T515">
        <v>15</v>
      </c>
      <c r="U515">
        <v>15</v>
      </c>
      <c r="V515">
        <v>15</v>
      </c>
      <c r="W515">
        <v>15</v>
      </c>
      <c r="BV515" t="s">
        <v>1042</v>
      </c>
    </row>
    <row r="516" spans="1:74" x14ac:dyDescent="0.2">
      <c r="A516" t="s">
        <v>945</v>
      </c>
      <c r="B516" t="s">
        <v>3523</v>
      </c>
      <c r="C516" t="s">
        <v>913</v>
      </c>
      <c r="D516" t="s">
        <v>282</v>
      </c>
      <c r="E516" t="s">
        <v>1227</v>
      </c>
      <c r="F516" t="s">
        <v>3471</v>
      </c>
      <c r="G516" t="s">
        <v>2864</v>
      </c>
      <c r="H516" t="s">
        <v>3524</v>
      </c>
      <c r="I516" t="s">
        <v>3525</v>
      </c>
      <c r="J516" t="s">
        <v>1047</v>
      </c>
      <c r="K516" t="s">
        <v>3442</v>
      </c>
      <c r="M516" t="s">
        <v>543</v>
      </c>
      <c r="N516" t="s">
        <v>1285</v>
      </c>
      <c r="O516" t="s">
        <v>1211</v>
      </c>
      <c r="P516" t="s">
        <v>1339</v>
      </c>
      <c r="Q516" t="s">
        <v>1041</v>
      </c>
      <c r="R516" t="s">
        <v>1213</v>
      </c>
      <c r="W516" t="s">
        <v>1213</v>
      </c>
      <c r="AI516" t="s">
        <v>548</v>
      </c>
      <c r="AS516" t="s">
        <v>1340</v>
      </c>
      <c r="BD516" t="s">
        <v>3455</v>
      </c>
      <c r="BJ516">
        <v>1</v>
      </c>
      <c r="BK516" t="s">
        <v>1041</v>
      </c>
      <c r="BV516" t="s">
        <v>1042</v>
      </c>
    </row>
    <row r="517" spans="1:74" x14ac:dyDescent="0.2">
      <c r="A517" t="s">
        <v>945</v>
      </c>
      <c r="B517" t="s">
        <v>3526</v>
      </c>
      <c r="C517" t="s">
        <v>913</v>
      </c>
      <c r="D517" t="s">
        <v>282</v>
      </c>
      <c r="E517" t="s">
        <v>1227</v>
      </c>
      <c r="F517" t="s">
        <v>3471</v>
      </c>
      <c r="G517" t="s">
        <v>2869</v>
      </c>
      <c r="H517" t="s">
        <v>3527</v>
      </c>
      <c r="I517" t="s">
        <v>3528</v>
      </c>
      <c r="J517" t="s">
        <v>2524</v>
      </c>
      <c r="K517" t="s">
        <v>1037</v>
      </c>
      <c r="M517" t="s">
        <v>543</v>
      </c>
      <c r="N517" t="s">
        <v>1908</v>
      </c>
      <c r="O517" t="s">
        <v>1039</v>
      </c>
      <c r="P517" t="s">
        <v>3478</v>
      </c>
      <c r="Q517" t="s">
        <v>1088</v>
      </c>
      <c r="S517">
        <v>3</v>
      </c>
      <c r="T517">
        <v>3</v>
      </c>
      <c r="U517">
        <v>3</v>
      </c>
      <c r="V517">
        <v>3</v>
      </c>
      <c r="W517">
        <v>4</v>
      </c>
      <c r="AE517" t="s">
        <v>548</v>
      </c>
      <c r="AF517" t="s">
        <v>548</v>
      </c>
      <c r="AG517" t="s">
        <v>548</v>
      </c>
      <c r="AH517" t="s">
        <v>548</v>
      </c>
      <c r="AI517" t="s">
        <v>548</v>
      </c>
      <c r="AT517">
        <v>3</v>
      </c>
      <c r="AU517">
        <v>6</v>
      </c>
      <c r="AV517">
        <v>9</v>
      </c>
      <c r="AW517">
        <v>12</v>
      </c>
      <c r="AX517">
        <v>16</v>
      </c>
      <c r="AY517">
        <v>999999</v>
      </c>
      <c r="AZ517">
        <v>999999</v>
      </c>
      <c r="BA517">
        <v>999999</v>
      </c>
      <c r="BB517">
        <v>999999</v>
      </c>
      <c r="BC517">
        <v>999999</v>
      </c>
      <c r="BH517" t="s">
        <v>3479</v>
      </c>
      <c r="BJ517">
        <v>1</v>
      </c>
      <c r="BK517" t="s">
        <v>1041</v>
      </c>
      <c r="BU517" t="s">
        <v>3480</v>
      </c>
      <c r="BV517" t="s">
        <v>1042</v>
      </c>
    </row>
    <row r="518" spans="1:74" x14ac:dyDescent="0.2">
      <c r="A518" t="s">
        <v>945</v>
      </c>
      <c r="B518" t="s">
        <v>3529</v>
      </c>
      <c r="C518" t="s">
        <v>913</v>
      </c>
      <c r="D518" t="s">
        <v>282</v>
      </c>
      <c r="E518" t="s">
        <v>1227</v>
      </c>
      <c r="F518" t="s">
        <v>3471</v>
      </c>
      <c r="G518" t="s">
        <v>2875</v>
      </c>
      <c r="H518" t="s">
        <v>3530</v>
      </c>
      <c r="I518" t="s">
        <v>3531</v>
      </c>
      <c r="J518" t="s">
        <v>1036</v>
      </c>
      <c r="K518" t="s">
        <v>3450</v>
      </c>
      <c r="N518" t="s">
        <v>1183</v>
      </c>
      <c r="O518" t="s">
        <v>1039</v>
      </c>
      <c r="P518" t="s">
        <v>3474</v>
      </c>
      <c r="Q518" t="s">
        <v>1088</v>
      </c>
      <c r="W518">
        <v>340</v>
      </c>
      <c r="AI518" t="s">
        <v>548</v>
      </c>
      <c r="AN518">
        <v>0</v>
      </c>
      <c r="AS518">
        <v>337</v>
      </c>
      <c r="AX518">
        <v>343</v>
      </c>
      <c r="BC518">
        <v>999999</v>
      </c>
      <c r="BD518">
        <v>0.14623800000000001</v>
      </c>
      <c r="BH518">
        <v>7.6696E-2</v>
      </c>
      <c r="BJ518">
        <v>1</v>
      </c>
      <c r="BK518" t="s">
        <v>1041</v>
      </c>
      <c r="BV518" t="s">
        <v>1042</v>
      </c>
    </row>
    <row r="519" spans="1:74" x14ac:dyDescent="0.2">
      <c r="A519" t="s">
        <v>945</v>
      </c>
      <c r="B519" t="s">
        <v>3532</v>
      </c>
      <c r="C519" t="s">
        <v>913</v>
      </c>
      <c r="D519" t="s">
        <v>282</v>
      </c>
      <c r="E519" t="s">
        <v>1227</v>
      </c>
      <c r="F519" t="s">
        <v>3471</v>
      </c>
      <c r="G519" t="s">
        <v>2880</v>
      </c>
      <c r="H519" t="s">
        <v>3533</v>
      </c>
      <c r="I519" t="s">
        <v>3534</v>
      </c>
      <c r="J519" t="s">
        <v>1036</v>
      </c>
      <c r="K519" t="s">
        <v>3450</v>
      </c>
      <c r="N519" t="s">
        <v>1177</v>
      </c>
      <c r="O519" t="s">
        <v>1039</v>
      </c>
      <c r="P519" t="s">
        <v>3484</v>
      </c>
      <c r="Q519" t="s">
        <v>1088</v>
      </c>
      <c r="W519">
        <v>11736</v>
      </c>
      <c r="AI519" t="s">
        <v>548</v>
      </c>
      <c r="AN519">
        <v>10998</v>
      </c>
      <c r="AS519">
        <v>11501</v>
      </c>
      <c r="AX519">
        <v>11971</v>
      </c>
      <c r="BC519">
        <v>12049</v>
      </c>
      <c r="BD519">
        <v>2.0263E-2</v>
      </c>
      <c r="BH519">
        <v>1.3171E-2</v>
      </c>
      <c r="BJ519">
        <v>1</v>
      </c>
      <c r="BK519" t="s">
        <v>1041</v>
      </c>
      <c r="BV519" t="s">
        <v>1042</v>
      </c>
    </row>
    <row r="520" spans="1:74" x14ac:dyDescent="0.2">
      <c r="A520" t="s">
        <v>945</v>
      </c>
      <c r="B520" t="s">
        <v>3535</v>
      </c>
      <c r="C520" t="s">
        <v>913</v>
      </c>
      <c r="D520" t="s">
        <v>282</v>
      </c>
      <c r="E520" t="s">
        <v>1227</v>
      </c>
      <c r="F520" t="s">
        <v>3491</v>
      </c>
      <c r="G520" t="s">
        <v>2907</v>
      </c>
      <c r="H520" t="s">
        <v>3536</v>
      </c>
      <c r="I520" t="s">
        <v>3537</v>
      </c>
      <c r="J520" t="s">
        <v>1066</v>
      </c>
      <c r="N520" t="s">
        <v>1191</v>
      </c>
      <c r="O520" t="s">
        <v>253</v>
      </c>
      <c r="P520" t="s">
        <v>3494</v>
      </c>
      <c r="Q520" t="s">
        <v>1088</v>
      </c>
      <c r="R520">
        <v>8</v>
      </c>
      <c r="S520">
        <v>12</v>
      </c>
      <c r="T520">
        <v>12</v>
      </c>
      <c r="U520">
        <v>12</v>
      </c>
      <c r="V520">
        <v>12</v>
      </c>
      <c r="W520">
        <v>12</v>
      </c>
      <c r="BV520" t="s">
        <v>1042</v>
      </c>
    </row>
    <row r="521" spans="1:74" x14ac:dyDescent="0.2">
      <c r="A521" t="s">
        <v>945</v>
      </c>
      <c r="B521" t="s">
        <v>3538</v>
      </c>
      <c r="C521" t="s">
        <v>913</v>
      </c>
      <c r="D521" t="s">
        <v>282</v>
      </c>
      <c r="E521" t="s">
        <v>1227</v>
      </c>
      <c r="F521" t="s">
        <v>3491</v>
      </c>
      <c r="G521" t="s">
        <v>2911</v>
      </c>
      <c r="H521" t="s">
        <v>3539</v>
      </c>
      <c r="I521" t="s">
        <v>3540</v>
      </c>
      <c r="J521" t="s">
        <v>1066</v>
      </c>
      <c r="N521" t="s">
        <v>1410</v>
      </c>
      <c r="O521" t="s">
        <v>253</v>
      </c>
      <c r="P521" t="s">
        <v>3499</v>
      </c>
      <c r="Q521" t="s">
        <v>1088</v>
      </c>
      <c r="R521">
        <v>93</v>
      </c>
      <c r="S521">
        <v>94</v>
      </c>
      <c r="T521">
        <v>94</v>
      </c>
      <c r="U521">
        <v>95</v>
      </c>
      <c r="V521">
        <v>95</v>
      </c>
      <c r="W521">
        <v>95</v>
      </c>
      <c r="BV521" t="s">
        <v>1042</v>
      </c>
    </row>
    <row r="522" spans="1:74" x14ac:dyDescent="0.2">
      <c r="A522" t="s">
        <v>945</v>
      </c>
      <c r="B522" t="s">
        <v>3541</v>
      </c>
      <c r="C522" t="s">
        <v>913</v>
      </c>
      <c r="D522" t="s">
        <v>1106</v>
      </c>
      <c r="E522" t="s">
        <v>1107</v>
      </c>
      <c r="F522" t="s">
        <v>3542</v>
      </c>
      <c r="G522" t="s">
        <v>2989</v>
      </c>
      <c r="H522" t="s">
        <v>3543</v>
      </c>
      <c r="I522" t="s">
        <v>3544</v>
      </c>
      <c r="J522" t="s">
        <v>1036</v>
      </c>
      <c r="K522" t="s">
        <v>1037</v>
      </c>
      <c r="M522" t="s">
        <v>543</v>
      </c>
      <c r="N522" t="s">
        <v>1112</v>
      </c>
      <c r="O522" t="s">
        <v>1113</v>
      </c>
      <c r="P522" t="s">
        <v>1114</v>
      </c>
      <c r="Q522">
        <v>2</v>
      </c>
      <c r="R522">
        <v>4.62</v>
      </c>
      <c r="S522" t="s">
        <v>3545</v>
      </c>
      <c r="T522" t="s">
        <v>3546</v>
      </c>
      <c r="U522" t="s">
        <v>3547</v>
      </c>
      <c r="V522" t="s">
        <v>3548</v>
      </c>
      <c r="W522" t="s">
        <v>3549</v>
      </c>
      <c r="AE522" t="s">
        <v>548</v>
      </c>
      <c r="AF522" t="s">
        <v>548</v>
      </c>
      <c r="AG522" t="s">
        <v>548</v>
      </c>
      <c r="AH522" t="s">
        <v>548</v>
      </c>
      <c r="AI522" t="s">
        <v>548</v>
      </c>
      <c r="AJ522" t="s">
        <v>1115</v>
      </c>
      <c r="AK522" t="s">
        <v>1115</v>
      </c>
      <c r="AL522" t="s">
        <v>1115</v>
      </c>
      <c r="AM522" t="s">
        <v>1115</v>
      </c>
      <c r="AN522" t="s">
        <v>1115</v>
      </c>
      <c r="AO522" t="s">
        <v>1115</v>
      </c>
      <c r="AP522" t="s">
        <v>1115</v>
      </c>
      <c r="AQ522" t="s">
        <v>1115</v>
      </c>
      <c r="AR522" t="s">
        <v>1115</v>
      </c>
      <c r="AS522" t="s">
        <v>1115</v>
      </c>
      <c r="AT522" t="s">
        <v>1115</v>
      </c>
      <c r="AU522" t="s">
        <v>1115</v>
      </c>
      <c r="AV522" t="s">
        <v>1115</v>
      </c>
      <c r="AW522" t="s">
        <v>1115</v>
      </c>
      <c r="AX522" t="s">
        <v>1115</v>
      </c>
      <c r="AY522" t="s">
        <v>1115</v>
      </c>
      <c r="AZ522" t="s">
        <v>1115</v>
      </c>
      <c r="BA522" t="s">
        <v>1115</v>
      </c>
      <c r="BB522" t="s">
        <v>1115</v>
      </c>
      <c r="BC522" t="s">
        <v>1115</v>
      </c>
      <c r="BD522" t="s">
        <v>1115</v>
      </c>
      <c r="BH522" t="s">
        <v>1115</v>
      </c>
      <c r="BJ522">
        <v>1</v>
      </c>
      <c r="BK522" t="s">
        <v>1041</v>
      </c>
      <c r="BU522" t="s">
        <v>1116</v>
      </c>
      <c r="BV522" t="s">
        <v>1042</v>
      </c>
    </row>
    <row r="523" spans="1:74" x14ac:dyDescent="0.2">
      <c r="A523" t="s">
        <v>945</v>
      </c>
      <c r="B523" t="s">
        <v>3550</v>
      </c>
      <c r="C523" t="s">
        <v>913</v>
      </c>
      <c r="D523" t="s">
        <v>1106</v>
      </c>
      <c r="E523" t="s">
        <v>1107</v>
      </c>
      <c r="F523" t="s">
        <v>3542</v>
      </c>
      <c r="G523" t="s">
        <v>2993</v>
      </c>
      <c r="H523" t="s">
        <v>3551</v>
      </c>
      <c r="I523" t="s">
        <v>3552</v>
      </c>
      <c r="J523" t="s">
        <v>1066</v>
      </c>
      <c r="N523" t="s">
        <v>1203</v>
      </c>
      <c r="O523" t="s">
        <v>1039</v>
      </c>
      <c r="P523" t="s">
        <v>3553</v>
      </c>
      <c r="Q523" t="s">
        <v>1088</v>
      </c>
      <c r="R523">
        <v>15267</v>
      </c>
      <c r="S523" t="s">
        <v>3554</v>
      </c>
      <c r="T523" t="s">
        <v>3554</v>
      </c>
      <c r="U523" t="s">
        <v>3554</v>
      </c>
      <c r="V523" t="s">
        <v>3554</v>
      </c>
      <c r="W523" t="s">
        <v>3554</v>
      </c>
      <c r="BV523" t="s">
        <v>1042</v>
      </c>
    </row>
    <row r="524" spans="1:74" x14ac:dyDescent="0.2">
      <c r="A524" t="s">
        <v>945</v>
      </c>
      <c r="B524" t="s">
        <v>3555</v>
      </c>
      <c r="C524" t="s">
        <v>913</v>
      </c>
      <c r="D524" t="s">
        <v>1106</v>
      </c>
      <c r="E524" t="s">
        <v>1107</v>
      </c>
      <c r="F524" t="s">
        <v>3542</v>
      </c>
      <c r="G524" t="s">
        <v>2997</v>
      </c>
      <c r="H524" t="s">
        <v>3556</v>
      </c>
      <c r="I524" t="s">
        <v>3557</v>
      </c>
      <c r="J524" t="s">
        <v>1066</v>
      </c>
      <c r="N524" t="s">
        <v>1203</v>
      </c>
      <c r="O524" t="s">
        <v>253</v>
      </c>
      <c r="P524" t="s">
        <v>3558</v>
      </c>
      <c r="Q524" t="s">
        <v>1088</v>
      </c>
      <c r="S524" t="s">
        <v>3559</v>
      </c>
      <c r="T524" t="s">
        <v>3559</v>
      </c>
      <c r="U524" t="s">
        <v>3559</v>
      </c>
      <c r="V524" t="s">
        <v>3559</v>
      </c>
      <c r="W524" t="s">
        <v>3559</v>
      </c>
      <c r="BV524" t="s">
        <v>1042</v>
      </c>
    </row>
    <row r="525" spans="1:74" x14ac:dyDescent="0.2">
      <c r="A525" t="s">
        <v>945</v>
      </c>
      <c r="B525" t="s">
        <v>3560</v>
      </c>
      <c r="C525" t="s">
        <v>913</v>
      </c>
      <c r="D525" t="s">
        <v>1106</v>
      </c>
      <c r="E525" t="s">
        <v>1107</v>
      </c>
      <c r="F525" t="s">
        <v>3561</v>
      </c>
      <c r="G525" t="s">
        <v>3015</v>
      </c>
      <c r="H525" t="s">
        <v>3562</v>
      </c>
      <c r="I525" t="s">
        <v>3563</v>
      </c>
      <c r="J525" t="s">
        <v>1066</v>
      </c>
      <c r="N525" t="s">
        <v>1121</v>
      </c>
      <c r="O525" t="s">
        <v>253</v>
      </c>
      <c r="P525" t="s">
        <v>3564</v>
      </c>
      <c r="Q525">
        <v>2</v>
      </c>
      <c r="R525">
        <v>3.1</v>
      </c>
      <c r="S525">
        <v>3.16</v>
      </c>
      <c r="T525">
        <v>3.16</v>
      </c>
      <c r="U525">
        <v>3.16</v>
      </c>
      <c r="V525">
        <v>3.16</v>
      </c>
      <c r="W525">
        <v>3.16</v>
      </c>
      <c r="BV525" t="s">
        <v>1042</v>
      </c>
    </row>
    <row r="526" spans="1:74" x14ac:dyDescent="0.2">
      <c r="A526" t="s">
        <v>945</v>
      </c>
      <c r="B526" t="s">
        <v>3565</v>
      </c>
      <c r="C526" t="s">
        <v>913</v>
      </c>
      <c r="D526" t="s">
        <v>1106</v>
      </c>
      <c r="E526" t="s">
        <v>1107</v>
      </c>
      <c r="F526" t="s">
        <v>3561</v>
      </c>
      <c r="G526" t="s">
        <v>3566</v>
      </c>
      <c r="H526" t="s">
        <v>3567</v>
      </c>
      <c r="I526" t="s">
        <v>3568</v>
      </c>
      <c r="J526" t="s">
        <v>1066</v>
      </c>
      <c r="N526" t="s">
        <v>1121</v>
      </c>
      <c r="O526" t="s">
        <v>1039</v>
      </c>
      <c r="P526" t="s">
        <v>3569</v>
      </c>
      <c r="Q526" t="s">
        <v>1088</v>
      </c>
      <c r="S526" t="s">
        <v>3570</v>
      </c>
      <c r="T526" t="s">
        <v>3570</v>
      </c>
      <c r="U526" t="s">
        <v>3570</v>
      </c>
      <c r="V526" t="s">
        <v>3570</v>
      </c>
      <c r="W526" t="s">
        <v>3570</v>
      </c>
      <c r="BV526" t="s">
        <v>1042</v>
      </c>
    </row>
    <row r="527" spans="1:74" x14ac:dyDescent="0.2">
      <c r="A527" t="s">
        <v>945</v>
      </c>
      <c r="B527" t="s">
        <v>3571</v>
      </c>
      <c r="C527" t="s">
        <v>913</v>
      </c>
      <c r="D527" t="s">
        <v>1106</v>
      </c>
      <c r="E527" t="s">
        <v>1107</v>
      </c>
      <c r="F527" t="s">
        <v>3561</v>
      </c>
      <c r="G527" t="s">
        <v>3572</v>
      </c>
      <c r="H527" t="s">
        <v>3573</v>
      </c>
      <c r="I527" t="s">
        <v>3574</v>
      </c>
      <c r="J527" t="s">
        <v>1066</v>
      </c>
      <c r="N527" t="s">
        <v>1121</v>
      </c>
      <c r="O527" t="s">
        <v>253</v>
      </c>
      <c r="P527" t="s">
        <v>3575</v>
      </c>
      <c r="Q527" t="s">
        <v>1088</v>
      </c>
      <c r="S527" t="s">
        <v>3576</v>
      </c>
      <c r="T527" t="s">
        <v>3576</v>
      </c>
      <c r="U527" t="s">
        <v>3576</v>
      </c>
      <c r="V527" t="s">
        <v>3576</v>
      </c>
      <c r="W527" t="s">
        <v>3576</v>
      </c>
      <c r="BV527" t="s">
        <v>1042</v>
      </c>
    </row>
    <row r="528" spans="1:74" x14ac:dyDescent="0.2">
      <c r="A528" t="s">
        <v>945</v>
      </c>
      <c r="B528" t="s">
        <v>3577</v>
      </c>
      <c r="C528" t="s">
        <v>913</v>
      </c>
      <c r="D528" t="s">
        <v>1106</v>
      </c>
      <c r="E528" t="s">
        <v>1107</v>
      </c>
      <c r="F528" t="s">
        <v>3491</v>
      </c>
      <c r="G528" t="s">
        <v>3024</v>
      </c>
      <c r="H528" t="s">
        <v>3578</v>
      </c>
      <c r="I528" t="s">
        <v>3579</v>
      </c>
      <c r="J528" t="s">
        <v>1066</v>
      </c>
      <c r="N528" t="s">
        <v>1191</v>
      </c>
      <c r="O528" t="s">
        <v>253</v>
      </c>
      <c r="P528" t="s">
        <v>3494</v>
      </c>
      <c r="Q528" t="s">
        <v>1088</v>
      </c>
      <c r="R528">
        <v>8</v>
      </c>
      <c r="S528">
        <v>12</v>
      </c>
      <c r="T528">
        <v>12</v>
      </c>
      <c r="U528">
        <v>12</v>
      </c>
      <c r="V528">
        <v>12</v>
      </c>
      <c r="W528">
        <v>12</v>
      </c>
      <c r="BV528" t="s">
        <v>1042</v>
      </c>
    </row>
    <row r="529" spans="1:74" x14ac:dyDescent="0.2">
      <c r="A529" t="s">
        <v>945</v>
      </c>
      <c r="B529" t="s">
        <v>3580</v>
      </c>
      <c r="C529" t="s">
        <v>913</v>
      </c>
      <c r="D529" t="s">
        <v>1106</v>
      </c>
      <c r="E529" t="s">
        <v>1107</v>
      </c>
      <c r="F529" t="s">
        <v>3491</v>
      </c>
      <c r="G529" t="s">
        <v>3029</v>
      </c>
      <c r="H529" t="s">
        <v>3581</v>
      </c>
      <c r="I529" t="s">
        <v>3582</v>
      </c>
      <c r="J529" t="s">
        <v>1066</v>
      </c>
      <c r="N529" t="s">
        <v>1410</v>
      </c>
      <c r="O529" t="s">
        <v>253</v>
      </c>
      <c r="P529" t="s">
        <v>3499</v>
      </c>
      <c r="Q529" t="s">
        <v>1088</v>
      </c>
      <c r="R529">
        <v>93</v>
      </c>
      <c r="S529">
        <v>94</v>
      </c>
      <c r="T529">
        <v>94</v>
      </c>
      <c r="U529">
        <v>95</v>
      </c>
      <c r="V529">
        <v>95</v>
      </c>
      <c r="W529">
        <v>95</v>
      </c>
      <c r="BV529" t="s">
        <v>1042</v>
      </c>
    </row>
  </sheetData>
  <sheetProtection algorithmName="SHA-512" hashValue="NpIUetpm6VxXszKPWqtt2fGbMobRvuyrtTPNPqXROC3lbcjLQmW9RqhwXL3Hw0gYjeuAa+jiIyt8LZ4mrYamvA==" saltValue="kzxFpY1kDlwSleMMXHyycA==" spinCount="100000" sheet="1" objects="1" scenarios="1"/>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tint="0.749992370372631"/>
    <pageSetUpPr fitToPage="1"/>
  </sheetPr>
  <dimension ref="A1:BR529"/>
  <sheetViews>
    <sheetView zoomScaleNormal="100" zoomScalePageLayoutView="95" workbookViewId="0"/>
  </sheetViews>
  <sheetFormatPr defaultColWidth="9" defaultRowHeight="14.25" x14ac:dyDescent="0.2"/>
  <cols>
    <col min="1" max="1" width="18" style="68" customWidth="1"/>
    <col min="2" max="2" width="34.125" style="68" customWidth="1"/>
    <col min="4" max="4" width="17.625" style="63" bestFit="1" customWidth="1"/>
    <col min="5" max="5" width="62.625" style="63" bestFit="1" customWidth="1"/>
    <col min="7" max="7" width="15.375" style="63" bestFit="1" customWidth="1"/>
    <col min="8" max="8" width="44.375" style="63" bestFit="1" customWidth="1"/>
    <col min="10" max="10" width="15.875" style="63" bestFit="1" customWidth="1"/>
    <col min="11" max="11" width="70.5" style="63" bestFit="1" customWidth="1"/>
    <col min="13" max="13" width="17.625" style="63" bestFit="1" customWidth="1"/>
    <col min="14" max="14" width="71.625" style="63" bestFit="1" customWidth="1"/>
    <col min="16" max="16" width="15.375" style="63" bestFit="1" customWidth="1"/>
    <col min="17" max="17" width="20.875" style="63" bestFit="1" customWidth="1"/>
    <col min="19" max="19" width="15.875" style="63" bestFit="1" customWidth="1"/>
    <col min="20" max="20" width="68.375" style="63" bestFit="1" customWidth="1"/>
    <col min="22" max="22" width="15.375" style="63" bestFit="1" customWidth="1"/>
    <col min="23" max="23" width="29" style="63" customWidth="1"/>
    <col min="25" max="25" width="15.875" style="63" bestFit="1" customWidth="1"/>
    <col min="26" max="26" width="27.5" style="63" customWidth="1"/>
    <col min="28" max="28" width="14.375" style="63" bestFit="1" customWidth="1"/>
    <col min="29" max="29" width="25.875" style="63" bestFit="1" customWidth="1"/>
    <col min="31" max="31" width="15.625" style="63" bestFit="1" customWidth="1"/>
    <col min="32" max="32" width="43.375" style="63" bestFit="1" customWidth="1"/>
    <col min="34" max="34" width="17.5" style="63" bestFit="1" customWidth="1"/>
    <col min="35" max="35" width="42.125" style="63" customWidth="1"/>
    <col min="37" max="37" width="18" style="63" bestFit="1" customWidth="1"/>
    <col min="38" max="38" width="42.125" style="63" customWidth="1"/>
    <col min="40" max="40" width="17.125" style="63" bestFit="1" customWidth="1"/>
    <col min="41" max="41" width="56.125" style="63" customWidth="1"/>
    <col min="43" max="43" width="14.125" style="63" bestFit="1" customWidth="1"/>
    <col min="44" max="44" width="40.625" style="63" bestFit="1" customWidth="1"/>
    <col min="46" max="46" width="15.875" style="63" bestFit="1" customWidth="1"/>
    <col min="47" max="47" width="72.625" style="63" bestFit="1" customWidth="1"/>
    <col min="49" max="49" width="17.125" style="63" bestFit="1" customWidth="1"/>
    <col min="50" max="50" width="36.125" style="63" bestFit="1" customWidth="1"/>
    <col min="52" max="52" width="9" style="63"/>
    <col min="53" max="53" width="115.625" style="63" bestFit="1" customWidth="1"/>
    <col min="54" max="54" width="7.125" style="63" bestFit="1" customWidth="1"/>
    <col min="55" max="69" width="9" style="63"/>
    <col min="71" max="16384" width="9" style="63"/>
  </cols>
  <sheetData>
    <row r="1" spans="1:54" ht="26.25" customHeight="1" x14ac:dyDescent="0.2">
      <c r="A1" s="66" t="s">
        <v>522</v>
      </c>
      <c r="B1" s="66" t="s">
        <v>523</v>
      </c>
    </row>
    <row r="2" spans="1:54" s="67" customFormat="1" ht="12.75" x14ac:dyDescent="0.2">
      <c r="A2" s="67" t="s">
        <v>1029</v>
      </c>
      <c r="B2" s="67" t="str">
        <f xml:space="preserve"> A2 &amp; "PC"</f>
        <v>AFWPC</v>
      </c>
      <c r="C2" s="67" t="str">
        <f xml:space="preserve"> A2 &amp; "Unit"</f>
        <v>AFWUnit</v>
      </c>
      <c r="D2" s="67" t="s">
        <v>916</v>
      </c>
      <c r="E2" s="67" t="str">
        <f>D2&amp;"PC"</f>
        <v>ANHPC</v>
      </c>
      <c r="F2" s="67" t="str">
        <f xml:space="preserve"> D2 &amp; "Unit"</f>
        <v>ANHUnit</v>
      </c>
      <c r="G2" s="67" t="s">
        <v>1327</v>
      </c>
      <c r="H2" s="67" t="str">
        <f>G2&amp;"PC"</f>
        <v>BRLPC</v>
      </c>
      <c r="I2" s="67" t="str">
        <f xml:space="preserve"> G2 &amp; "Unit"</f>
        <v>BRLUnit</v>
      </c>
      <c r="J2" s="67" t="s">
        <v>1449</v>
      </c>
      <c r="K2" s="67" t="str">
        <f>J2&amp;"PC"</f>
        <v>DVWPC</v>
      </c>
      <c r="L2" s="67" t="str">
        <f xml:space="preserve"> J2 &amp; "Unit"</f>
        <v>DVWUnit</v>
      </c>
      <c r="M2" s="67" t="s">
        <v>923</v>
      </c>
      <c r="N2" s="67" t="str">
        <f>M2&amp;"PC"</f>
        <v>NESPC</v>
      </c>
      <c r="O2" s="67" t="str">
        <f xml:space="preserve"> M2 &amp; "Unit"</f>
        <v>NESUnit</v>
      </c>
      <c r="P2" s="67" t="s">
        <v>1792</v>
      </c>
      <c r="Q2" s="67" t="str">
        <f>P2&amp;"PC"</f>
        <v>PRTPC</v>
      </c>
      <c r="R2" s="67" t="str">
        <f xml:space="preserve"> P2 &amp; "Unit"</f>
        <v>PRTUnit</v>
      </c>
      <c r="S2" s="67" t="s">
        <v>1856</v>
      </c>
      <c r="T2" s="67" t="str">
        <f>S2&amp;"PC"</f>
        <v>SBWPC</v>
      </c>
      <c r="U2" s="67" t="str">
        <f xml:space="preserve"> S2 &amp; "Unit"</f>
        <v>SBWUnit</v>
      </c>
      <c r="V2" s="67" t="s">
        <v>1923</v>
      </c>
      <c r="W2" s="67" t="str">
        <f>V2&amp;"PC"</f>
        <v>SESPC</v>
      </c>
      <c r="X2" s="67" t="str">
        <f xml:space="preserve"> V2 &amp; "Unit"</f>
        <v>SESUnit</v>
      </c>
      <c r="Y2" s="67" t="s">
        <v>2017</v>
      </c>
      <c r="Z2" s="67" t="str">
        <f>Y2&amp;"PC"</f>
        <v>SEWPC</v>
      </c>
      <c r="AA2" s="67" t="str">
        <f xml:space="preserve"> Y2 &amp; "Unit"</f>
        <v>SEWUnit</v>
      </c>
      <c r="AB2" s="67" t="s">
        <v>932</v>
      </c>
      <c r="AC2" s="67" t="str">
        <f>AB2&amp;"PC"</f>
        <v>SRNPC</v>
      </c>
      <c r="AD2" s="67" t="str">
        <f xml:space="preserve"> AB2 &amp; "Unit"</f>
        <v>SRNUnit</v>
      </c>
      <c r="AE2" s="67" t="s">
        <v>2295</v>
      </c>
      <c r="AF2" s="67" t="str">
        <f>AE2&amp;"PC"</f>
        <v>SSCPC</v>
      </c>
      <c r="AG2" s="67" t="str">
        <f xml:space="preserve"> AE2 &amp; "Unit"</f>
        <v>SSCUnit</v>
      </c>
      <c r="AH2" s="67" t="s">
        <v>926</v>
      </c>
      <c r="AI2" s="67" t="str">
        <f>AH2&amp;"PC"</f>
        <v>SVTPC</v>
      </c>
      <c r="AJ2" s="67" t="str">
        <f xml:space="preserve"> AH2 &amp; "Unit"</f>
        <v>SVTUnit</v>
      </c>
      <c r="AK2" s="67" t="s">
        <v>929</v>
      </c>
      <c r="AL2" s="67" t="str">
        <f>AK2&amp;"PC"</f>
        <v>SWTPC</v>
      </c>
      <c r="AM2" s="67" t="str">
        <f xml:space="preserve"> AK2 &amp; "Unit"</f>
        <v>SWTUnit</v>
      </c>
      <c r="AN2" s="67" t="s">
        <v>936</v>
      </c>
      <c r="AO2" s="67" t="str">
        <f>AN2&amp;"PC"</f>
        <v>TMSPC</v>
      </c>
      <c r="AP2" s="67" t="str">
        <f xml:space="preserve"> AN2 &amp; "Unit"</f>
        <v>TMSUnit</v>
      </c>
      <c r="AQ2" s="67" t="s">
        <v>939</v>
      </c>
      <c r="AR2" s="67" t="str">
        <f>AQ2&amp;"PC"</f>
        <v>NWTPC</v>
      </c>
      <c r="AS2" s="67" t="str">
        <f xml:space="preserve"> AQ2 &amp; "Unit"</f>
        <v>NWTUnit</v>
      </c>
      <c r="AT2" s="67" t="s">
        <v>920</v>
      </c>
      <c r="AU2" s="67" t="str">
        <f>AT2&amp;"PC"</f>
        <v>WSHPC</v>
      </c>
      <c r="AV2" s="67" t="str">
        <f xml:space="preserve"> AT2 &amp; "Unit"</f>
        <v>WSHUnit</v>
      </c>
      <c r="AW2" s="67" t="s">
        <v>942</v>
      </c>
      <c r="AX2" s="67" t="s">
        <v>3583</v>
      </c>
      <c r="AY2" s="67" t="str">
        <f xml:space="preserve"> AW2 &amp; "Unit"</f>
        <v>WSXUnit</v>
      </c>
      <c r="AZ2" s="67" t="s">
        <v>945</v>
      </c>
      <c r="BA2" s="67" t="str">
        <f>AZ2&amp;"PC"</f>
        <v>YKYPC</v>
      </c>
      <c r="BB2" s="67" t="str">
        <f xml:space="preserve"> AZ2 &amp; "Unit"</f>
        <v>YKYUnit</v>
      </c>
    </row>
    <row r="3" spans="1:54" ht="15.75" customHeight="1" x14ac:dyDescent="0.2">
      <c r="A3" s="68" t="str">
        <f>'PC LIST'!B3</f>
        <v>PR14AFWWSW_W-A1</v>
      </c>
      <c r="B3" s="68" t="str">
        <f>'PC LIST'!I3</f>
        <v>W-A1 Leakage</v>
      </c>
      <c r="C3" s="68" t="str">
        <f>'PC LIST'!O3</f>
        <v>nr</v>
      </c>
      <c r="D3" s="68" t="str">
        <f>'PC LIST'!B16</f>
        <v>PR14ANHWSW_W-A2</v>
      </c>
      <c r="E3" s="68" t="str">
        <f>'PC LIST'!I16</f>
        <v>W-A2: Water supply interruptions averaged over three years (reduction)</v>
      </c>
      <c r="F3" s="68" t="str">
        <f>'PC LIST'!O16</f>
        <v>time</v>
      </c>
      <c r="G3" s="68" t="str">
        <f>'PC LIST'!B55</f>
        <v>PR14BRLWSW_A1</v>
      </c>
      <c r="H3" s="68" t="str">
        <f>'PC LIST'!I55</f>
        <v>A1: Unplanned customer minutes lost</v>
      </c>
      <c r="I3" s="68" t="str">
        <f>'PC LIST'!O55</f>
        <v>time</v>
      </c>
      <c r="J3" s="68" t="str">
        <f>'PC LIST'!B76</f>
        <v>PR14DVWWSW_A1</v>
      </c>
      <c r="K3" s="68" t="str">
        <f>'PC LIST'!I76</f>
        <v>A1: Discoloured water contacts</v>
      </c>
      <c r="L3" s="68" t="str">
        <f>'PC LIST'!O76</f>
        <v>nr</v>
      </c>
      <c r="M3" s="68" t="str">
        <f>'PC LIST'!B89</f>
        <v>PR14NESWSW_W-A1</v>
      </c>
      <c r="N3" s="69" t="str">
        <f>'PC LIST'!I89</f>
        <v>W-A1: Asset health measures - water</v>
      </c>
      <c r="O3" s="69" t="str">
        <f>'PC LIST'!O89</f>
        <v>N/A</v>
      </c>
      <c r="P3" s="68" t="str">
        <f>'PC LIST'!B133</f>
        <v>PR14PRTWSW_A1</v>
      </c>
      <c r="Q3" s="68" t="str">
        <f>'PC LIST'!I133</f>
        <v>A1: Bursts</v>
      </c>
      <c r="R3" s="68" t="str">
        <f>'PC LIST'!O133</f>
        <v>nr</v>
      </c>
      <c r="S3" s="68" t="str">
        <f>'PC LIST'!B146</f>
        <v>PR14SBWWSW_A1</v>
      </c>
      <c r="T3" s="68" t="str">
        <f>'PC LIST'!I146</f>
        <v>A1: Customer contacts: taste and appearance (water quality contacts)</v>
      </c>
      <c r="U3" s="68" t="str">
        <f>'PC LIST'!O146</f>
        <v>nr</v>
      </c>
      <c r="V3" s="68" t="str">
        <f>'PC LIST'!B161</f>
        <v>PR14SESWSW_A1</v>
      </c>
      <c r="W3" s="68" t="str">
        <f>'PC LIST'!I161</f>
        <v>A1: Security of supply index (SoSI) dry year average</v>
      </c>
      <c r="X3" s="68" t="str">
        <f>'PC LIST'!O161</f>
        <v>score</v>
      </c>
      <c r="Y3" s="68" t="str">
        <f>'PC LIST'!B182</f>
        <v>PR14SEWWSW_A1</v>
      </c>
      <c r="Z3" s="68" t="str">
        <f>'PC LIST'!I182</f>
        <v>A1: Customer satisfaction - appearance of water</v>
      </c>
      <c r="AA3" s="68" t="str">
        <f>'PC LIST'!O182</f>
        <v>score</v>
      </c>
      <c r="AB3" s="68" t="str">
        <f>'PC LIST'!B216</f>
        <v>PR14SRNWSW_1</v>
      </c>
      <c r="AC3" s="68" t="str">
        <f>'PC LIST'!I216</f>
        <v>1: Water asset health (mains bursts, TIM, WSW &amp; WSR coliform compliance, turbidity compliance)</v>
      </c>
      <c r="AD3" s="68" t="str">
        <f>'PC LIST'!O216</f>
        <v>category</v>
      </c>
      <c r="AE3" s="68" t="str">
        <f>'PC LIST'!B249</f>
        <v>PR14SSCWSW_1.1</v>
      </c>
      <c r="AF3" s="68" t="str">
        <f>'PC LIST'!I249</f>
        <v>1.1: Mean zonal compliance (MZC, combined company)</v>
      </c>
      <c r="AG3" s="68" t="str">
        <f>'PC LIST'!O249</f>
        <v>%</v>
      </c>
      <c r="AH3" s="68" t="str">
        <f>'PC LIST'!B264</f>
        <v>PR14SVTWSW_W-A1</v>
      </c>
      <c r="AI3" s="68" t="str">
        <f>'PC LIST'!I264</f>
        <v>W-A1: Number of complaints about drinking water quality</v>
      </c>
      <c r="AJ3" s="68" t="str">
        <f>'PC LIST'!O264</f>
        <v>nr</v>
      </c>
      <c r="AK3" s="68" t="str">
        <f>'PC LIST'!B309</f>
        <v>PR14SWTWSW_W-A1</v>
      </c>
      <c r="AL3" s="70" t="str">
        <f>'PC LIST'!I309</f>
        <v>W-A1 Compliance with water quality standard</v>
      </c>
      <c r="AM3" s="70" t="str">
        <f>'PC LIST'!O309</f>
        <v>%</v>
      </c>
      <c r="AN3" s="68" t="str">
        <f>'PC LIST'!B351</f>
        <v>PR14TMSWSW_WA1</v>
      </c>
      <c r="AO3" s="68" t="str">
        <f>'PC LIST'!I351</f>
        <v>WA1: Improve handling of written complaints by increasing 1st time resolution</v>
      </c>
      <c r="AP3" s="68" t="str">
        <f>'PC LIST'!O351</f>
        <v>%</v>
      </c>
      <c r="AQ3" s="68" t="str">
        <f>'PC LIST'!B406</f>
        <v>PR14UUWSW_A1</v>
      </c>
      <c r="AR3" s="68" t="str">
        <f>'PC LIST'!I406</f>
        <v>A1: Drinking Water Safety Plan risk score</v>
      </c>
      <c r="AS3" s="68" t="str">
        <f>'PC LIST'!O406</f>
        <v>score</v>
      </c>
      <c r="AT3" s="68" t="str">
        <f>'PC LIST'!B433</f>
        <v>PR14WSHWSW_A1</v>
      </c>
      <c r="AU3" s="68" t="str">
        <f>'PC LIST'!I433</f>
        <v>A1: Safety of drinking water</v>
      </c>
      <c r="AV3" s="68" t="str">
        <f>'PC LIST'!O433</f>
        <v>%</v>
      </c>
      <c r="AW3" s="68" t="str">
        <f>'PC LIST'!B464</f>
        <v>PR14WSXWSW_B4</v>
      </c>
      <c r="AX3" s="68" t="str">
        <f>'PC LIST'!I464</f>
        <v>B4: Compliance with abstraction licences</v>
      </c>
      <c r="AY3" s="68" t="str">
        <f>'PC LIST'!O464</f>
        <v>%</v>
      </c>
      <c r="AZ3" s="68" t="str">
        <f>'PC LIST'!B496</f>
        <v>PR14YKYWSW_WA1</v>
      </c>
      <c r="BA3" s="68" t="str">
        <f>'PC LIST'!I496</f>
        <v>WA1: Drinking water quality</v>
      </c>
      <c r="BB3" s="68" t="str">
        <f>'PC LIST'!O496</f>
        <v>%</v>
      </c>
    </row>
    <row r="4" spans="1:54" ht="15.75" customHeight="1" x14ac:dyDescent="0.2">
      <c r="A4" s="68" t="str">
        <f>'PC LIST'!B4</f>
        <v>PR14AFWWSW_W-A2</v>
      </c>
      <c r="B4" s="68" t="str">
        <f>'PC LIST'!I4</f>
        <v>W-A2 Average water use</v>
      </c>
      <c r="C4" s="68" t="str">
        <f>'PC LIST'!O4</f>
        <v>nr</v>
      </c>
      <c r="D4" s="68" t="str">
        <f>'PC LIST'!B17</f>
        <v>PR14ANHWSW_W-A3</v>
      </c>
      <c r="E4" s="68" t="str">
        <f>'PC LIST'!I17</f>
        <v>W-A3: Properties at risk of persistent low pressure</v>
      </c>
      <c r="F4" s="68" t="str">
        <f>'PC LIST'!O17</f>
        <v>nr</v>
      </c>
      <c r="G4" s="68" t="str">
        <f>'PC LIST'!B56</f>
        <v>PR14BRLWSW_A2</v>
      </c>
      <c r="H4" s="68" t="str">
        <f>'PC LIST'!I56</f>
        <v>A2: Asset reliability - infrastructure</v>
      </c>
      <c r="I4" s="68" t="str">
        <f>'PC LIST'!O56</f>
        <v>category</v>
      </c>
      <c r="J4" s="68" t="str">
        <f>'PC LIST'!B77</f>
        <v>PR14DVWWSW_A2</v>
      </c>
      <c r="K4" s="68" t="str">
        <f>'PC LIST'!I77</f>
        <v>A2: Mean zonal compliance (MZC)</v>
      </c>
      <c r="L4" s="68" t="str">
        <f>'PC LIST'!O77</f>
        <v>%</v>
      </c>
      <c r="M4" s="68" t="str">
        <f>'PC LIST'!B90</f>
        <v>PR14NESWSW_W-B1</v>
      </c>
      <c r="N4" s="69" t="str">
        <f>'PC LIST'!I90</f>
        <v>W-B1: Satisfaction with taste and odour of tap water</v>
      </c>
      <c r="O4" s="69" t="str">
        <f>'PC LIST'!O90</f>
        <v>nr</v>
      </c>
      <c r="P4" s="68" t="str">
        <f>'PC LIST'!B134</f>
        <v>PR14PRTWSW_A2</v>
      </c>
      <c r="Q4" s="68" t="str">
        <f>'PC LIST'!I134</f>
        <v>A2: Water quality standards</v>
      </c>
      <c r="R4" s="68" t="str">
        <f>'PC LIST'!O134</f>
        <v>%</v>
      </c>
      <c r="S4" s="68" t="str">
        <f>'PC LIST'!B147</f>
        <v>PR14SBWWSW_A2</v>
      </c>
      <c r="T4" s="68" t="str">
        <f>'PC LIST'!I147</f>
        <v>A2: WS (WQ) regulation compliance - mean zonal compliance (compliance with DWI regulations)</v>
      </c>
      <c r="U4" s="68" t="str">
        <f>'PC LIST'!O147</f>
        <v>%</v>
      </c>
      <c r="V4" s="68" t="str">
        <f>'PC LIST'!B162</f>
        <v>PR14SESWSW_A2</v>
      </c>
      <c r="W4" s="68" t="str">
        <f>'PC LIST'!I162</f>
        <v>A2: Security of supply index (SoSI) critical period</v>
      </c>
      <c r="X4" s="68" t="str">
        <f>'PC LIST'!O162</f>
        <v>score</v>
      </c>
      <c r="Y4" s="68" t="str">
        <f>'PC LIST'!B183</f>
        <v>PR14SEWWSW_B1</v>
      </c>
      <c r="Z4" s="68" t="str">
        <f>'PC LIST'!I183</f>
        <v>B1: Customer satisfaction - taste and odour of water</v>
      </c>
      <c r="AA4" s="68" t="str">
        <f>'PC LIST'!O183</f>
        <v>score</v>
      </c>
      <c r="AB4" s="68" t="str">
        <f>'PC LIST'!B217</f>
        <v>PR14SRNWSW_2</v>
      </c>
      <c r="AC4" s="68" t="str">
        <f>'PC LIST'!I217</f>
        <v>2: Water use restrictions</v>
      </c>
      <c r="AD4" s="68" t="str">
        <f>'PC LIST'!O217</f>
        <v>nr</v>
      </c>
      <c r="AE4" s="68" t="str">
        <f>'PC LIST'!B250</f>
        <v>PR14SSCWSW_1.2</v>
      </c>
      <c r="AF4" s="68" t="str">
        <f>'PC LIST'!I250</f>
        <v>1.2: Acceptability of water to customers (combined company)</v>
      </c>
      <c r="AG4" s="68" t="str">
        <f>'PC LIST'!O250</f>
        <v>nr</v>
      </c>
      <c r="AH4" s="68" t="str">
        <f>'PC LIST'!B265</f>
        <v>PR14SVTWSW_W-A2</v>
      </c>
      <c r="AI4" s="68" t="str">
        <f>'PC LIST'!I265</f>
        <v>W-A2: Compliance with drinking water quality standards</v>
      </c>
      <c r="AJ4" s="68" t="str">
        <f>'PC LIST'!O265</f>
        <v>%</v>
      </c>
      <c r="AK4" s="68" t="str">
        <f>'PC LIST'!B310</f>
        <v>PR14SWTWSW_W-A2</v>
      </c>
      <c r="AL4" s="70" t="str">
        <f>'PC LIST'!I310</f>
        <v>W-A2 Taste, smell and colour contacts</v>
      </c>
      <c r="AM4" s="70" t="str">
        <f>'PC LIST'!O310</f>
        <v>nr</v>
      </c>
      <c r="AN4" s="68" t="str">
        <f>'PC LIST'!B352</f>
        <v>PR14TMSWSW_WA2</v>
      </c>
      <c r="AO4" s="68" t="str">
        <f>'PC LIST'!I352</f>
        <v>WA2: Number of written complaints per 10,000 connected properties</v>
      </c>
      <c r="AP4" s="68" t="str">
        <f>'PC LIST'!O352</f>
        <v>nr</v>
      </c>
      <c r="AQ4" s="68" t="str">
        <f>'PC LIST'!B407</f>
        <v>PR14UUWSW_A2</v>
      </c>
      <c r="AR4" s="68" t="str">
        <f>'PC LIST'!I407</f>
        <v>A2: Water quality events DWI category 3 or above</v>
      </c>
      <c r="AS4" s="68" t="str">
        <f>'PC LIST'!O407</f>
        <v>nr</v>
      </c>
      <c r="AT4" s="68" t="str">
        <f>'PC LIST'!B434</f>
        <v>PR14WSHWSW_A2</v>
      </c>
      <c r="AU4" s="68" t="str">
        <f>'PC LIST'!I434</f>
        <v>A2: Customer acceptability (drinking water) - contacts per 1,000 population</v>
      </c>
      <c r="AV4" s="68" t="str">
        <f>'PC LIST'!O434</f>
        <v>nr</v>
      </c>
      <c r="AW4" s="68" t="str">
        <f>'PC LIST'!B465</f>
        <v>PR14WSXWSW_B5</v>
      </c>
      <c r="AX4" s="68" t="str">
        <f>'PC LIST'!I465</f>
        <v>B5: Abstractions at Mere exported (follows principles of the AIM methodology)</v>
      </c>
      <c r="AY4" s="68" t="str">
        <f>'PC LIST'!O465</f>
        <v>nr</v>
      </c>
      <c r="AZ4" s="68" t="str">
        <f>'PC LIST'!B497</f>
        <v>PR14YKYWSW_WA2</v>
      </c>
      <c r="BA4" s="68" t="str">
        <f>'PC LIST'!I497</f>
        <v>WA2: Significant drinking water events which require corrective action</v>
      </c>
      <c r="BB4" s="68" t="str">
        <f>'PC LIST'!O497</f>
        <v>nr</v>
      </c>
    </row>
    <row r="5" spans="1:54" ht="15.75" customHeight="1" x14ac:dyDescent="0.2">
      <c r="A5" s="68" t="str">
        <f>'PC LIST'!B5</f>
        <v>PR14AFWWSW_W-A3</v>
      </c>
      <c r="B5" s="68" t="str">
        <f>'PC LIST'!I5</f>
        <v>W-A3 Water available for use</v>
      </c>
      <c r="C5" s="68" t="str">
        <f>'PC LIST'!O5</f>
        <v>nr</v>
      </c>
      <c r="D5" s="68" t="str">
        <f>'PC LIST'!B18</f>
        <v>PR14ANHWSW_W-A4</v>
      </c>
      <c r="E5" s="68" t="str">
        <f>'PC LIST'!I18</f>
        <v>W-A4: Water quality contacts</v>
      </c>
      <c r="F5" s="68" t="str">
        <f>'PC LIST'!O18</f>
        <v>nr</v>
      </c>
      <c r="G5" s="68" t="str">
        <f>'PC LIST'!B57</f>
        <v>PR14BRLWSW_A3</v>
      </c>
      <c r="H5" s="68" t="str">
        <f>'PC LIST'!I57</f>
        <v>A3: Asset reliability - non-infrastructure</v>
      </c>
      <c r="I5" s="68" t="str">
        <f>'PC LIST'!O57</f>
        <v>category</v>
      </c>
      <c r="J5" s="68" t="str">
        <f>'PC LIST'!B78</f>
        <v>PR14DVWWSW_A3</v>
      </c>
      <c r="K5" s="68" t="str">
        <f>'PC LIST'!I78</f>
        <v>A3: Delivery of the outcomes of the Legacy water treatment works (south west Wrexham) major scheme</v>
      </c>
      <c r="L5" s="68" t="str">
        <f>'PC LIST'!O78</f>
        <v>text</v>
      </c>
      <c r="M5" s="68" t="str">
        <f>'PC LIST'!B91</f>
        <v>PR14NESWSW_W-B2</v>
      </c>
      <c r="N5" s="69" t="str">
        <f>'PC LIST'!I91</f>
        <v>W-B2: Overall drinking water compliance</v>
      </c>
      <c r="O5" s="69" t="str">
        <f>'PC LIST'!O91</f>
        <v>%</v>
      </c>
      <c r="P5" s="68" t="str">
        <f>'PC LIST'!B135</f>
        <v>PR14PRTWSW_A3</v>
      </c>
      <c r="Q5" s="68" t="str">
        <f>'PC LIST'!I135</f>
        <v>A3: Water quality contacts</v>
      </c>
      <c r="R5" s="68" t="str">
        <f>'PC LIST'!O135</f>
        <v>nr</v>
      </c>
      <c r="S5" s="68" t="str">
        <f>'PC LIST'!B148</f>
        <v>PR14SBWWSW_B1</v>
      </c>
      <c r="T5" s="68" t="str">
        <f>'PC LIST'!I148</f>
        <v>B1: Reduce leakage (to less than or equal to 20.00 Ml/d by 2020)</v>
      </c>
      <c r="U5" s="68" t="str">
        <f>'PC LIST'!O148</f>
        <v>nr</v>
      </c>
      <c r="V5" s="68" t="str">
        <f>'PC LIST'!B163</f>
        <v>PR14SESWSW_A3</v>
      </c>
      <c r="W5" s="68" t="str">
        <f>'PC LIST'!I163</f>
        <v>A3: Supply interruptions &gt;3 hours</v>
      </c>
      <c r="X5" s="68" t="str">
        <f>'PC LIST'!O163</f>
        <v>time</v>
      </c>
      <c r="Y5" s="68" t="str">
        <f>'PC LIST'!B184</f>
        <v>PR14SEWWSW_C1</v>
      </c>
      <c r="Z5" s="68" t="str">
        <f>'PC LIST'!I184</f>
        <v>C1: Customer satisfaction - level of leakage</v>
      </c>
      <c r="AA5" s="68" t="str">
        <f>'PC LIST'!O184</f>
        <v>score</v>
      </c>
      <c r="AB5" s="68" t="str">
        <f>'PC LIST'!B218</f>
        <v>PR14SRNWSW_3</v>
      </c>
      <c r="AC5" s="68" t="str">
        <f>'PC LIST'!I218</f>
        <v>3: Leakage (including customer supply-pipe leakage) - five-year average target</v>
      </c>
      <c r="AD5" s="68" t="str">
        <f>'PC LIST'!O218</f>
        <v>nr</v>
      </c>
      <c r="AE5" s="68" t="str">
        <f>'PC LIST'!B251</f>
        <v>PR14SSCWSW_2.1</v>
      </c>
      <c r="AF5" s="68" t="str">
        <f>'PC LIST'!I251</f>
        <v>2.1: Interruptions to supply (combined company)</v>
      </c>
      <c r="AG5" s="68" t="str">
        <f>'PC LIST'!O251</f>
        <v>time</v>
      </c>
      <c r="AH5" s="68" t="str">
        <f>'PC LIST'!B266</f>
        <v>PR14SVTWSW_W-A3</v>
      </c>
      <c r="AI5" s="68" t="str">
        <f>'PC LIST'!I266</f>
        <v>W-A3: Asset stewardship - number of sites with coliform failures</v>
      </c>
      <c r="AJ5" s="68" t="str">
        <f>'PC LIST'!O266</f>
        <v>nr</v>
      </c>
      <c r="AK5" s="68" t="str">
        <f>'PC LIST'!B311</f>
        <v>PR14SWTWSW_W-A3</v>
      </c>
      <c r="AL5" s="70" t="str">
        <f>'PC LIST'!I311</f>
        <v>W-A3 Asset reliability (pipes)</v>
      </c>
      <c r="AM5" s="70" t="str">
        <f>'PC LIST'!O311</f>
        <v>category</v>
      </c>
      <c r="AN5" s="68" t="str">
        <f>'PC LIST'!B353</f>
        <v>PR14TMSWSW_WA3</v>
      </c>
      <c r="AO5" s="68" t="str">
        <f>'PC LIST'!I353</f>
        <v>WA3: Customer satisfaction surveys (internal CSAT monitor)</v>
      </c>
      <c r="AP5" s="68" t="str">
        <f>'PC LIST'!O353</f>
        <v>score</v>
      </c>
      <c r="AQ5" s="68" t="str">
        <f>'PC LIST'!B408</f>
        <v>PR14UUWSW_A3</v>
      </c>
      <c r="AR5" s="68" t="str">
        <f>'PC LIST'!I408</f>
        <v>A3: Water Quality Service Index</v>
      </c>
      <c r="AS5" s="68" t="str">
        <f>'PC LIST'!O408</f>
        <v>score</v>
      </c>
      <c r="AT5" s="68" t="str">
        <f>'PC LIST'!B435</f>
        <v>PR14WSHWSW_A3</v>
      </c>
      <c r="AU5" s="68" t="str">
        <f>'PC LIST'!I435</f>
        <v>A3: Reliability of supply - minutes lost per property per year</v>
      </c>
      <c r="AV5" s="68" t="str">
        <f>'PC LIST'!O435</f>
        <v>time</v>
      </c>
      <c r="AW5" s="68" t="str">
        <f>'PC LIST'!B466</f>
        <v>PR14WSXWSW_B6</v>
      </c>
      <c r="AX5" s="68" t="str">
        <f>'PC LIST'!I466</f>
        <v>B6: BAP landholding assessed and managed for biodiversity</v>
      </c>
      <c r="AY5" s="68" t="str">
        <f>'PC LIST'!O466</f>
        <v>%</v>
      </c>
      <c r="AZ5" s="68" t="str">
        <f>'PC LIST'!B498</f>
        <v>PR14YKYWSW_WA3</v>
      </c>
      <c r="BA5" s="68" t="str">
        <f>'PC LIST'!I498</f>
        <v>WA3: Drinking water contacts</v>
      </c>
      <c r="BB5" s="68" t="str">
        <f>'PC LIST'!O498</f>
        <v>nr</v>
      </c>
    </row>
    <row r="6" spans="1:54" ht="15.75" customHeight="1" x14ac:dyDescent="0.2">
      <c r="A6" s="68" t="str">
        <f>'PC LIST'!B6</f>
        <v>PR14AFWWSW_W-A4</v>
      </c>
      <c r="B6" s="68" t="str">
        <f>'PC LIST'!I6</f>
        <v>W-A4 Sustainable abstraction reductions</v>
      </c>
      <c r="C6" s="68" t="str">
        <f>'PC LIST'!O6</f>
        <v>nr</v>
      </c>
      <c r="D6" s="68" t="str">
        <f>'PC LIST'!B19</f>
        <v>PR14ANHWSW_W-B1</v>
      </c>
      <c r="E6" s="68" t="str">
        <f>'PC LIST'!I19</f>
        <v>W-B1: Value for money perception - variation from baseline against WaSCs (water)</v>
      </c>
      <c r="F6" s="68" t="str">
        <f>'PC LIST'!O19</f>
        <v>%</v>
      </c>
      <c r="G6" s="68" t="str">
        <f>'PC LIST'!B58</f>
        <v>PR14BRLWSW_B1</v>
      </c>
      <c r="H6" s="68" t="str">
        <f>'PC LIST'!I58</f>
        <v>B1: Population in centres &gt;25,000 at risk from asset failure</v>
      </c>
      <c r="I6" s="68" t="str">
        <f>'PC LIST'!O58</f>
        <v>nr</v>
      </c>
      <c r="J6" s="68" t="str">
        <f>'PC LIST'!B79</f>
        <v>PR14DVWWSW_A4</v>
      </c>
      <c r="K6" s="68" t="str">
        <f>'PC LIST'!I79</f>
        <v>A4: Delivery of the outcomes of the service reservoir water quality risk management schemes</v>
      </c>
      <c r="L6" s="68" t="str">
        <f>'PC LIST'!O79</f>
        <v>text</v>
      </c>
      <c r="M6" s="68" t="str">
        <f>'PC LIST'!B92</f>
        <v>PR14NESWSW_W-B3</v>
      </c>
      <c r="N6" s="69" t="str">
        <f>'PC LIST'!I92</f>
        <v>W-B3: Discoloured water complaints</v>
      </c>
      <c r="O6" s="69" t="str">
        <f>'PC LIST'!O92</f>
        <v>nr</v>
      </c>
      <c r="P6" s="68" t="str">
        <f>'PC LIST'!B136</f>
        <v>PR14PRTWSW_A4</v>
      </c>
      <c r="Q6" s="68" t="str">
        <f>'PC LIST'!I136</f>
        <v>A4: Temporary usage bans</v>
      </c>
      <c r="R6" s="68" t="str">
        <f>'PC LIST'!O136</f>
        <v>nr</v>
      </c>
      <c r="S6" s="68" t="str">
        <f>'PC LIST'!B149</f>
        <v>PR14SBWWSW_B2</v>
      </c>
      <c r="T6" s="68" t="str">
        <f>'PC LIST'!I149</f>
        <v>B2: Large scale interruptions (minimise risk of large scale interruption to 12,000 properties)</v>
      </c>
      <c r="U6" s="68" t="str">
        <f>'PC LIST'!O149</f>
        <v>nr</v>
      </c>
      <c r="V6" s="68" t="str">
        <f>'PC LIST'!B164</f>
        <v>PR14SESWSW_A4</v>
      </c>
      <c r="W6" s="68" t="str">
        <f>'PC LIST'!I164</f>
        <v>A4: Condition and reliability of the mains network - number of burst pipes a year</v>
      </c>
      <c r="X6" s="68" t="str">
        <f>'PC LIST'!O164</f>
        <v>nr</v>
      </c>
      <c r="Y6" s="68" t="str">
        <f>'PC LIST'!B185</f>
        <v>PR14SEWWSW_C2</v>
      </c>
      <c r="Z6" s="68" t="str">
        <f>'PC LIST'!I185</f>
        <v>C2: Leakage (actual reported leakage per Ml/d per year)</v>
      </c>
      <c r="AA6" s="68" t="str">
        <f>'PC LIST'!O185</f>
        <v>nr</v>
      </c>
      <c r="AB6" s="68" t="str">
        <f>'PC LIST'!B219</f>
        <v>PR14SRNWSW_4</v>
      </c>
      <c r="AC6" s="68" t="str">
        <f>'PC LIST'!I219</f>
        <v>4: Interruptions to supply</v>
      </c>
      <c r="AD6" s="68" t="str">
        <f>'PC LIST'!O219</f>
        <v>time</v>
      </c>
      <c r="AE6" s="68" t="str">
        <f>'PC LIST'!B252</f>
        <v>PR14SSCWSW_2.2</v>
      </c>
      <c r="AF6" s="68" t="str">
        <f>'PC LIST'!I252</f>
        <v>2.2: Serviceability infrastructure (combined company)</v>
      </c>
      <c r="AG6" s="68" t="str">
        <f>'PC LIST'!O252</f>
        <v>category</v>
      </c>
      <c r="AH6" s="68" t="str">
        <f>'PC LIST'!B267</f>
        <v>PR14SVTWSW_W-A4</v>
      </c>
      <c r="AI6" s="68" t="str">
        <f>'PC LIST'!I267</f>
        <v>W-A4: Number of successful catchment management schemes</v>
      </c>
      <c r="AJ6" s="68" t="str">
        <f>'PC LIST'!O267</f>
        <v>nr</v>
      </c>
      <c r="AK6" s="68" t="str">
        <f>'PC LIST'!B312</f>
        <v>PR14SWTWSW_W-A4</v>
      </c>
      <c r="AL6" s="70" t="str">
        <f>'PC LIST'!I312</f>
        <v>W-A4 Asset reliability (process)</v>
      </c>
      <c r="AM6" s="70" t="str">
        <f>'PC LIST'!O312</f>
        <v>category</v>
      </c>
      <c r="AN6" s="68" t="str">
        <f>'PC LIST'!B354</f>
        <v>PR14TMSWSW_WA4</v>
      </c>
      <c r="AO6" s="68" t="str">
        <f>'PC LIST'!I354</f>
        <v>WA4: Reduced water consumption from issuing water efficiency devices to customers</v>
      </c>
      <c r="AP6" s="68" t="str">
        <f>'PC LIST'!O354</f>
        <v>nr</v>
      </c>
      <c r="AQ6" s="68" t="str">
        <f>'PC LIST'!B409</f>
        <v>PR14UUWSW_B1</v>
      </c>
      <c r="AR6" s="68" t="str">
        <f>'PC LIST'!I409</f>
        <v>B1: Average minutes supply lost per property (a year)</v>
      </c>
      <c r="AS6" s="68" t="str">
        <f>'PC LIST'!O409</f>
        <v>time</v>
      </c>
      <c r="AT6" s="68" t="str">
        <f>'PC LIST'!B436</f>
        <v>PR14WSHWSW_B1</v>
      </c>
      <c r="AU6" s="68" t="str">
        <f>'PC LIST'!I436</f>
        <v>B1: Abstraction for water for use - % compliance with abstraction licences, as regulated by NRW</v>
      </c>
      <c r="AV6" s="68" t="str">
        <f>'PC LIST'!O436</f>
        <v>%</v>
      </c>
      <c r="AW6" s="68" t="str">
        <f>'PC LIST'!B467</f>
        <v>PR14WSXWSW_B7</v>
      </c>
      <c r="AX6" s="68" t="str">
        <f>'PC LIST'!I467</f>
        <v>B7: Length of rivers with improved flows</v>
      </c>
      <c r="AY6" s="68" t="str">
        <f>'PC LIST'!O467</f>
        <v>nr</v>
      </c>
      <c r="AZ6" s="68" t="str">
        <f>'PC LIST'!B499</f>
        <v>PR14YKYWSW_WA4</v>
      </c>
      <c r="BA6" s="68" t="str">
        <f>'PC LIST'!I499</f>
        <v>WA4: Water quality stability and reliability factor</v>
      </c>
      <c r="BB6" s="68" t="str">
        <f>'PC LIST'!O499</f>
        <v>category</v>
      </c>
    </row>
    <row r="7" spans="1:54" ht="15.75" customHeight="1" x14ac:dyDescent="0.2">
      <c r="A7" s="68" t="str">
        <f>'PC LIST'!B7</f>
        <v>PR14AFWWSW_W-A5</v>
      </c>
      <c r="B7" s="68" t="str">
        <f>'PC LIST'!I7</f>
        <v>W-A5 Abstraction incentive mechanism (AIM)</v>
      </c>
      <c r="C7" s="68" t="str">
        <f>'PC LIST'!O7</f>
        <v>TBC</v>
      </c>
      <c r="D7" s="68" t="str">
        <f>'PC LIST'!B20</f>
        <v>PR14ANHWSW_W-C1</v>
      </c>
      <c r="E7" s="68" t="str">
        <f>'PC LIST'!I20</f>
        <v>W-C1: Percentage of population supplied by single supply system</v>
      </c>
      <c r="F7" s="68" t="str">
        <f>'PC LIST'!O20</f>
        <v>%</v>
      </c>
      <c r="G7" s="68" t="str">
        <f>'PC LIST'!B59</f>
        <v>PR14BRLWSW_C1</v>
      </c>
      <c r="H7" s="68" t="str">
        <f>'PC LIST'!I59</f>
        <v>C1: Security of supply index (SOSI)</v>
      </c>
      <c r="I7" s="68" t="str">
        <f>'PC LIST'!O59</f>
        <v>score</v>
      </c>
      <c r="J7" s="68" t="str">
        <f>'PC LIST'!B80</f>
        <v>PR14DVWWSW_B1</v>
      </c>
      <c r="K7" s="68" t="str">
        <f>'PC LIST'!I80</f>
        <v>B1: Average duration of interruptions - 3 hours or longer (planned and unplanned interruptions)</v>
      </c>
      <c r="L7" s="68" t="str">
        <f>'PC LIST'!O80</f>
        <v>time</v>
      </c>
      <c r="M7" s="68" t="str">
        <f>'PC LIST'!B93</f>
        <v>PR14NESWSW_W-C1</v>
      </c>
      <c r="N7" s="69" t="str">
        <f>'PC LIST'!I93</f>
        <v>W-C1: Interruptions to water supply for more than 3 hours (average time per property per year)</v>
      </c>
      <c r="O7" s="69" t="str">
        <f>'PC LIST'!O93</f>
        <v>time</v>
      </c>
      <c r="P7" s="68" t="str">
        <f>'PC LIST'!B137</f>
        <v>PR14PRTWSW_B1</v>
      </c>
      <c r="Q7" s="68" t="str">
        <f>'PC LIST'!I137</f>
        <v>B1: Leakage</v>
      </c>
      <c r="R7" s="68" t="str">
        <f>'PC LIST'!O137</f>
        <v>nr</v>
      </c>
      <c r="S7" s="68" t="str">
        <f>'PC LIST'!B150</f>
        <v>PR14SBWWSW_B3</v>
      </c>
      <c r="T7" s="68" t="str">
        <f>'PC LIST'!I150</f>
        <v>B3: Decreasing average interruptions &gt;3 hours</v>
      </c>
      <c r="U7" s="68" t="str">
        <f>'PC LIST'!O150</f>
        <v>time</v>
      </c>
      <c r="V7" s="68" t="str">
        <f>'PC LIST'!B165</f>
        <v>PR14SESWSW_A5</v>
      </c>
      <c r="W7" s="68" t="str">
        <f>'PC LIST'!I165</f>
        <v>A5: Drinking Water Inspectorate’s (DWI) index of water quality</v>
      </c>
      <c r="X7" s="68" t="str">
        <f>'PC LIST'!O165</f>
        <v>%</v>
      </c>
      <c r="Y7" s="68" t="str">
        <f>'PC LIST'!B186</f>
        <v>PR14SEWWSW_D1</v>
      </c>
      <c r="Z7" s="68" t="str">
        <f>'PC LIST'!I186</f>
        <v>D1: Customer satisfaction - direct interaction experience</v>
      </c>
      <c r="AA7" s="68" t="str">
        <f>'PC LIST'!O186</f>
        <v>score</v>
      </c>
      <c r="AB7" s="68" t="str">
        <f>'PC LIST'!B220</f>
        <v>PR14SRNWSW_5</v>
      </c>
      <c r="AC7" s="68" t="str">
        <f>'PC LIST'!I220</f>
        <v>5: Mean Zonal Compliance (MZC)</v>
      </c>
      <c r="AD7" s="68" t="str">
        <f>'PC LIST'!O220</f>
        <v>%</v>
      </c>
      <c r="AE7" s="68" t="str">
        <f>'PC LIST'!B253</f>
        <v>PR14SSCWSW_2.3</v>
      </c>
      <c r="AF7" s="68" t="str">
        <f>'PC LIST'!I253</f>
        <v>2.3: Serviceability non-infrastructure (combined company)</v>
      </c>
      <c r="AG7" s="68" t="str">
        <f>'PC LIST'!O253</f>
        <v>category</v>
      </c>
      <c r="AH7" s="68" t="str">
        <f>'PC LIST'!B268</f>
        <v>PR14SVTWSW_W-B1</v>
      </c>
      <c r="AI7" s="68" t="str">
        <f>'PC LIST'!I268</f>
        <v>W-B1: Resource efficiency (distribution input per customer) - amount of water taken out of the environment</v>
      </c>
      <c r="AJ7" s="68" t="str">
        <f>'PC LIST'!O268</f>
        <v>nr</v>
      </c>
      <c r="AK7" s="68" t="str">
        <f>'PC LIST'!B313</f>
        <v>PR14SWTWSW_W-A5</v>
      </c>
      <c r="AL7" s="70" t="str">
        <f>'PC LIST'!I313</f>
        <v>W-A5 Duration of interruptions in supply (hours/property)</v>
      </c>
      <c r="AM7" s="70" t="str">
        <f>'PC LIST'!O313</f>
        <v>time</v>
      </c>
      <c r="AN7" s="68" t="str">
        <f>'PC LIST'!B355</f>
        <v>PR14TMSWSW_WA5</v>
      </c>
      <c r="AO7" s="68" t="str">
        <f>'PC LIST'!I355</f>
        <v>WA5: Provide a free repair service for customers with a customer side leak outside of the property</v>
      </c>
      <c r="AP7" s="68" t="str">
        <f>'PC LIST'!O355</f>
        <v>nr</v>
      </c>
      <c r="AQ7" s="68" t="str">
        <f>'PC LIST'!B410</f>
        <v>PR14UUWSW_B2</v>
      </c>
      <c r="AR7" s="68" t="str">
        <f>'PC LIST'!I410</f>
        <v>B2: Reliable water service index</v>
      </c>
      <c r="AS7" s="68" t="str">
        <f>'PC LIST'!O410</f>
        <v>score</v>
      </c>
      <c r="AT7" s="68" t="str">
        <f>'PC LIST'!B437</f>
        <v>PR14WSHWSW_C2</v>
      </c>
      <c r="AU7" s="68" t="str">
        <f>'PC LIST'!I437</f>
        <v>C2: Carbon footprint - gigawatt-hours (GWh) of renewable energy generated</v>
      </c>
      <c r="AV7" s="68" t="str">
        <f>'PC LIST'!O437</f>
        <v>nr</v>
      </c>
      <c r="AW7" s="68" t="str">
        <f>'PC LIST'!B468</f>
        <v>PR14WSXWSW_D2</v>
      </c>
      <c r="AX7" s="68" t="str">
        <f>'PC LIST'!I468</f>
        <v>D2: Restrictions on water use (hosepipe bans)</v>
      </c>
      <c r="AY7" s="68" t="str">
        <f>'PC LIST'!O468</f>
        <v>nr</v>
      </c>
      <c r="AZ7" s="68" t="str">
        <f>'PC LIST'!B500</f>
        <v>PR14YKYWSW_WB1</v>
      </c>
      <c r="BA7" s="68" t="str">
        <f>'PC LIST'!I500</f>
        <v>WB1: Leakage</v>
      </c>
      <c r="BB7" s="68" t="str">
        <f>'PC LIST'!O500</f>
        <v>nr</v>
      </c>
    </row>
    <row r="8" spans="1:54" ht="15.75" customHeight="1" x14ac:dyDescent="0.2">
      <c r="A8" s="68" t="str">
        <f>'PC LIST'!B8</f>
        <v>PR14AFWWSW_W-B1</v>
      </c>
      <c r="B8" s="68" t="str">
        <f>'PC LIST'!I8</f>
        <v>W-B1 Compliance with water quality standards (mean zonal compliance)</v>
      </c>
      <c r="C8" s="68" t="str">
        <f>'PC LIST'!O8</f>
        <v>%</v>
      </c>
      <c r="D8" s="68" t="str">
        <f>'PC LIST'!B21</f>
        <v>PR14ANHWSW_W-C2</v>
      </c>
      <c r="E8" s="68" t="str">
        <f>'PC LIST'!I21</f>
        <v>W-C2: Frequency of service level restrictions (hosepipe bans)</v>
      </c>
      <c r="F8" s="68" t="str">
        <f>'PC LIST'!O21</f>
        <v>nr</v>
      </c>
      <c r="G8" s="68" t="str">
        <f>'PC LIST'!B60</f>
        <v>PR14BRLWSW_C2</v>
      </c>
      <c r="H8" s="68" t="str">
        <f>'PC LIST'!I60</f>
        <v>C2: Hosepipe ban frequency</v>
      </c>
      <c r="I8" s="68" t="str">
        <f>'PC LIST'!O60</f>
        <v>nr</v>
      </c>
      <c r="J8" s="68" t="str">
        <f>'PC LIST'!B81</f>
        <v>PR14DVWWSW_B2</v>
      </c>
      <c r="K8" s="68" t="str">
        <f>'PC LIST'!I81</f>
        <v>B2: Sustainable economic level of leakage target</v>
      </c>
      <c r="L8" s="68" t="str">
        <f>'PC LIST'!O81</f>
        <v>nr</v>
      </c>
      <c r="M8" s="68" t="str">
        <f>'PC LIST'!B94</f>
        <v>PR14NESWSW_W-C2</v>
      </c>
      <c r="N8" s="69" t="str">
        <f>'PC LIST'!I94</f>
        <v>W-C2: Properties experiencing poor water pressure</v>
      </c>
      <c r="O8" s="69" t="str">
        <f>'PC LIST'!O94</f>
        <v>nr</v>
      </c>
      <c r="P8" s="68" t="str">
        <f>'PC LIST'!B138</f>
        <v>PR14PRTWSW_C1</v>
      </c>
      <c r="Q8" s="68" t="str">
        <f>'PC LIST'!I138</f>
        <v>C1: Interruptions to supply</v>
      </c>
      <c r="R8" s="68" t="str">
        <f>'PC LIST'!O138</f>
        <v>time</v>
      </c>
      <c r="S8" s="68" t="str">
        <f>'PC LIST'!B151</f>
        <v>PR14SBWWSW_B4</v>
      </c>
      <c r="T8" s="68" t="str">
        <f>'PC LIST'!I151</f>
        <v>B4: Maintain serviceable assets</v>
      </c>
      <c r="U8" s="68" t="str">
        <f>'PC LIST'!O151</f>
        <v>category</v>
      </c>
      <c r="V8" s="68" t="str">
        <f>'PC LIST'!B166</f>
        <v>PR14SESWSW_A6</v>
      </c>
      <c r="W8" s="68" t="str">
        <f>'PC LIST'!I166</f>
        <v>A6: Taste, odour and discolouration (number of contacts received)</v>
      </c>
      <c r="X8" s="68" t="str">
        <f>'PC LIST'!O166</f>
        <v>nr</v>
      </c>
      <c r="Y8" s="68" t="str">
        <f>'PC LIST'!B187</f>
        <v>PR14SEWWSW_D2</v>
      </c>
      <c r="Z8" s="68" t="str">
        <f>'PC LIST'!I187</f>
        <v>D2: Service Incentive Mechanism (SIM)</v>
      </c>
      <c r="AA8" s="68" t="str">
        <f>'PC LIST'!O187</f>
        <v>score</v>
      </c>
      <c r="AB8" s="68" t="str">
        <f>'PC LIST'!B221</f>
        <v>PR14SRNWSW_5a</v>
      </c>
      <c r="AC8" s="68" t="str">
        <f>'PC LIST'!I221</f>
        <v>5a: Drinking water quality - discolouration contacts</v>
      </c>
      <c r="AD8" s="68" t="str">
        <f>'PC LIST'!O221</f>
        <v>nr</v>
      </c>
      <c r="AE8" s="68" t="str">
        <f>'PC LIST'!B254</f>
        <v>PR14SSCWSW_4.1</v>
      </c>
      <c r="AF8" s="68" t="str">
        <f>'PC LIST'!I254</f>
        <v>4.1: Leakage (South Staffordshire operating region)</v>
      </c>
      <c r="AG8" s="68" t="str">
        <f>'PC LIST'!O254</f>
        <v>nr</v>
      </c>
      <c r="AH8" s="68" t="str">
        <f>'PC LIST'!B269</f>
        <v>PR14SVTWSW_W-B2</v>
      </c>
      <c r="AI8" s="68" t="str">
        <f>'PC LIST'!I269</f>
        <v>W-B2: Leakage levels</v>
      </c>
      <c r="AJ8" s="68" t="str">
        <f>'PC LIST'!O269</f>
        <v>nr</v>
      </c>
      <c r="AK8" s="68" t="str">
        <f>'PC LIST'!B314</f>
        <v>PR14SWTWSW_W-B1</v>
      </c>
      <c r="AL8" s="70" t="str">
        <f>'PC LIST'!I314</f>
        <v>W-B1 Water restrictions placed on customers (number)</v>
      </c>
      <c r="AM8" s="70" t="str">
        <f>'PC LIST'!O314</f>
        <v>nr</v>
      </c>
      <c r="AN8" s="68" t="str">
        <f>'PC LIST'!B356</f>
        <v>PR14TMSWSW_WB1</v>
      </c>
      <c r="AO8" s="68" t="str">
        <f>'PC LIST'!I356</f>
        <v>WB1: Asset health water infrastructure</v>
      </c>
      <c r="AP8" s="68" t="str">
        <f>'PC LIST'!O356</f>
        <v>category</v>
      </c>
      <c r="AQ8" s="68" t="str">
        <f>'PC LIST'!B411</f>
        <v>PR14UUWSW_B3</v>
      </c>
      <c r="AR8" s="68" t="str">
        <f>'PC LIST'!I411</f>
        <v>B3: Security of supply index (SoSI)</v>
      </c>
      <c r="AS8" s="68" t="str">
        <f>'PC LIST'!O411</f>
        <v>score</v>
      </c>
      <c r="AT8" s="68" t="str">
        <f>'PC LIST'!B438</f>
        <v>PR14WSHWSW_D1</v>
      </c>
      <c r="AU8" s="68" t="str">
        <f>'PC LIST'!I438</f>
        <v>D1: Service incentive mechanism (SIM)</v>
      </c>
      <c r="AV8" s="68" t="str">
        <f>'PC LIST'!O438</f>
        <v>text</v>
      </c>
      <c r="AW8" s="68" t="str">
        <f>'PC LIST'!B469</f>
        <v>PR14WSXWSW_D3</v>
      </c>
      <c r="AX8" s="68" t="str">
        <f>'PC LIST'!I469</f>
        <v>D3: Water supply interruptions (&gt; 3 hours including planned, unplanned and third party interruptions)</v>
      </c>
      <c r="AY8" s="68" t="str">
        <f>'PC LIST'!O469</f>
        <v>time</v>
      </c>
      <c r="AZ8" s="68" t="str">
        <f>'PC LIST'!B501</f>
        <v>PR14YKYWSW_WB2</v>
      </c>
      <c r="BA8" s="68" t="str">
        <f>'PC LIST'!I501</f>
        <v>WB2: Water supply interruptions</v>
      </c>
      <c r="BB8" s="68" t="str">
        <f>'PC LIST'!O501</f>
        <v>time</v>
      </c>
    </row>
    <row r="9" spans="1:54" ht="15.75" customHeight="1" x14ac:dyDescent="0.2">
      <c r="A9" s="68" t="str">
        <f>'PC LIST'!B9</f>
        <v>PR14AFWWSW_W-B2</v>
      </c>
      <c r="B9" s="68" t="str">
        <f>'PC LIST'!I9</f>
        <v>W-B2 Customer contacts for discolouration</v>
      </c>
      <c r="C9" s="68" t="str">
        <f>'PC LIST'!O9</f>
        <v>nr</v>
      </c>
      <c r="D9" s="68" t="str">
        <f>'PC LIST'!B22</f>
        <v>PR14ANHWSW_W-D1</v>
      </c>
      <c r="E9" s="68" t="str">
        <f>'PC LIST'!I22</f>
        <v>W-D1: Security of Supply Index (SoSI) - dry year annual average</v>
      </c>
      <c r="F9" s="68" t="str">
        <f>'PC LIST'!O22</f>
        <v>score</v>
      </c>
      <c r="G9" s="68" t="str">
        <f>'PC LIST'!B61</f>
        <v>PR14BRLWSW_D1</v>
      </c>
      <c r="H9" s="68" t="str">
        <f>'PC LIST'!I61</f>
        <v>D1: Mean zonal compliance (MZC)</v>
      </c>
      <c r="I9" s="68" t="str">
        <f>'PC LIST'!O61</f>
        <v>%</v>
      </c>
      <c r="J9" s="68" t="str">
        <f>'PC LIST'!B82</f>
        <v>PR14DVWWSW_B3</v>
      </c>
      <c r="K9" s="68" t="str">
        <f>'PC LIST'!I82</f>
        <v>B3: Security of supply index (SOSI)</v>
      </c>
      <c r="L9" s="68" t="str">
        <f>'PC LIST'!O82</f>
        <v>score</v>
      </c>
      <c r="M9" s="68" t="str">
        <f>'PC LIST'!B95</f>
        <v>PR14NESWSW_W-C3</v>
      </c>
      <c r="N9" s="69" t="str">
        <f>'PC LIST'!I95</f>
        <v>W-C3: Water mains bursts</v>
      </c>
      <c r="O9" s="69" t="str">
        <f>'PC LIST'!O95</f>
        <v>nr</v>
      </c>
      <c r="P9" s="68" t="str">
        <f>'PC LIST'!B139</f>
        <v>PR14PRTWSW_D1</v>
      </c>
      <c r="Q9" s="68" t="str">
        <f>'PC LIST'!I139</f>
        <v>D1: Biodiversity</v>
      </c>
      <c r="R9" s="68" t="str">
        <f>'PC LIST'!O139</f>
        <v>%</v>
      </c>
      <c r="S9" s="68" t="str">
        <f>'PC LIST'!B152</f>
        <v>PR14SBWWSW_B5</v>
      </c>
      <c r="T9" s="68" t="str">
        <f>'PC LIST'!I152</f>
        <v>B5: Metering - continue current strategy</v>
      </c>
      <c r="U9" s="68" t="str">
        <f>'PC LIST'!O152</f>
        <v>nr</v>
      </c>
      <c r="V9" s="68" t="str">
        <f>'PC LIST'!B167</f>
        <v>PR14SESWSW_A7</v>
      </c>
      <c r="W9" s="68" t="str">
        <f>'PC LIST'!I167</f>
        <v>A7: Water softening programme</v>
      </c>
      <c r="X9" s="68" t="str">
        <f>'PC LIST'!O167</f>
        <v>text</v>
      </c>
      <c r="Y9" s="68" t="str">
        <f>'PC LIST'!B188</f>
        <v>PR14SEWWSW_E1</v>
      </c>
      <c r="Z9" s="68" t="str">
        <f>'PC LIST'!I188</f>
        <v>E1: Customer satisfaction - bills are value for money and affordable</v>
      </c>
      <c r="AA9" s="68" t="str">
        <f>'PC LIST'!O188</f>
        <v>%</v>
      </c>
      <c r="AB9" s="68" t="str">
        <f>'PC LIST'!B222</f>
        <v>PR14SRNWSW_6</v>
      </c>
      <c r="AC9" s="68" t="str">
        <f>'PC LIST'!I222</f>
        <v>6: Water pressure (number of properties on the DG2 low water pressure register)</v>
      </c>
      <c r="AD9" s="68" t="str">
        <f>'PC LIST'!O222</f>
        <v>nr</v>
      </c>
      <c r="AE9" s="68" t="str">
        <f>'PC LIST'!B255</f>
        <v>PR14SSCWSW_4.2</v>
      </c>
      <c r="AF9" s="68" t="str">
        <f>'PC LIST'!I255</f>
        <v>4.2: Leakage (Cambridge operating region)</v>
      </c>
      <c r="AG9" s="68" t="str">
        <f>'PC LIST'!O255</f>
        <v>nr</v>
      </c>
      <c r="AH9" s="68" t="str">
        <f>'PC LIST'!B270</f>
        <v>PR14SVTWSW_W-B3</v>
      </c>
      <c r="AI9" s="68" t="str">
        <f>'PC LIST'!I270</f>
        <v>W-B3: Speed of response in repairing leaks (% fixed within 24 hours)</v>
      </c>
      <c r="AJ9" s="68" t="str">
        <f>'PC LIST'!O270</f>
        <v>%</v>
      </c>
      <c r="AK9" s="68" t="str">
        <f>'PC LIST'!B315</f>
        <v>PR14SWTWSW_W-B2</v>
      </c>
      <c r="AL9" s="70" t="str">
        <f>'PC LIST'!I315</f>
        <v>W-B2 Ability to move water around the network</v>
      </c>
      <c r="AM9" s="70" t="str">
        <f>'PC LIST'!O315</f>
        <v>text</v>
      </c>
      <c r="AN9" s="68" t="str">
        <f>'PC LIST'!B357</f>
        <v>PR14TMSWSW_WB2</v>
      </c>
      <c r="AO9" s="68" t="str">
        <f>'PC LIST'!I357</f>
        <v>WB2: Asset health water non-infrastructure</v>
      </c>
      <c r="AP9" s="68" t="str">
        <f>'PC LIST'!O357</f>
        <v>category</v>
      </c>
      <c r="AQ9" s="68" t="str">
        <f>'PC LIST'!B412</f>
        <v>PR14UUWSW_B4</v>
      </c>
      <c r="AR9" s="68" t="str">
        <f>'PC LIST'!I412</f>
        <v>B4: Total leakage at or below target</v>
      </c>
      <c r="AS9" s="68" t="str">
        <f>'PC LIST'!O412</f>
        <v>nr</v>
      </c>
      <c r="AT9" s="68" t="str">
        <f>'PC LIST'!B439</f>
        <v>PR14WSHWSW_D2</v>
      </c>
      <c r="AU9" s="68" t="str">
        <f>'PC LIST'!I439</f>
        <v>D2: ‘At risk’ customer services - number of customers who have experienced poor service</v>
      </c>
      <c r="AV9" s="68" t="str">
        <f>'PC LIST'!O439</f>
        <v>nr</v>
      </c>
      <c r="AW9" s="68" t="str">
        <f>'PC LIST'!B470</f>
        <v>PR14WSXWSW_D4</v>
      </c>
      <c r="AX9" s="68" t="str">
        <f>'PC LIST'!I470</f>
        <v>D4: Properties supplied by a single source (including the integrated supply grid)</v>
      </c>
      <c r="AY9" s="68" t="str">
        <f>'PC LIST'!O470</f>
        <v>nr</v>
      </c>
      <c r="AZ9" s="68" t="str">
        <f>'PC LIST'!B502</f>
        <v>PR14YKYWSW_WB3</v>
      </c>
      <c r="BA9" s="68" t="str">
        <f>'PC LIST'!I502</f>
        <v>WB3: Water use</v>
      </c>
      <c r="BB9" s="68" t="str">
        <f>'PC LIST'!O502</f>
        <v>nr</v>
      </c>
    </row>
    <row r="10" spans="1:54" ht="15.75" customHeight="1" x14ac:dyDescent="0.2">
      <c r="A10" s="68" t="str">
        <f>'PC LIST'!B10</f>
        <v>PR14AFWWSW_W-C1</v>
      </c>
      <c r="B10" s="68" t="str">
        <f>'PC LIST'!I10</f>
        <v>W-C1 Unplanned interruptions to supply over 12 hours</v>
      </c>
      <c r="C10" s="68" t="str">
        <f>'PC LIST'!O10</f>
        <v>nr</v>
      </c>
      <c r="D10" s="68" t="str">
        <f>'PC LIST'!B23</f>
        <v>PR14ANHWSW_W-D2</v>
      </c>
      <c r="E10" s="68" t="str">
        <f>'PC LIST'!I23</f>
        <v>W-D2: Security of Supply Index (SoSI) - critical period (peak) demand</v>
      </c>
      <c r="F10" s="68" t="str">
        <f>'PC LIST'!O23</f>
        <v>score</v>
      </c>
      <c r="G10" s="68" t="str">
        <f>'PC LIST'!B62</f>
        <v>PR14BRLWSW_E1</v>
      </c>
      <c r="H10" s="68" t="str">
        <f>'PC LIST'!I62</f>
        <v>E1: Negative water quality contacts</v>
      </c>
      <c r="I10" s="68" t="str">
        <f>'PC LIST'!O62</f>
        <v>nr</v>
      </c>
      <c r="J10" s="68" t="str">
        <f>'PC LIST'!B83</f>
        <v>PR14DVWWSW_B4</v>
      </c>
      <c r="K10" s="68" t="str">
        <f>'PC LIST'!I83</f>
        <v>B4: Number of bursts</v>
      </c>
      <c r="L10" s="68" t="str">
        <f>'PC LIST'!O83</f>
        <v>nr</v>
      </c>
      <c r="M10" s="68" t="str">
        <f>'PC LIST'!B96</f>
        <v>PR14NESWSW_W-C4</v>
      </c>
      <c r="N10" s="69" t="str">
        <f>'PC LIST'!I96</f>
        <v>W-C4: Leakage (Ml/d) Northumbrian area</v>
      </c>
      <c r="O10" s="69" t="str">
        <f>'PC LIST'!O96</f>
        <v>nr</v>
      </c>
      <c r="P10" s="68" t="str">
        <f>'PC LIST'!B140</f>
        <v>PR14PRTWSW_D2</v>
      </c>
      <c r="Q10" s="68" t="str">
        <f>'PC LIST'!I140</f>
        <v>D2: Water Framework Directive (WFD)</v>
      </c>
      <c r="R10" s="68" t="str">
        <f>'PC LIST'!O140</f>
        <v>text</v>
      </c>
      <c r="S10" s="68" t="str">
        <f>'PC LIST'!B153</f>
        <v>PR14SBWWSW_B6</v>
      </c>
      <c r="T10" s="68" t="str">
        <f>'PC LIST'!I153</f>
        <v>B6: Reduce per capita consumption (PCC) to 136 litres/head/day by March 2020</v>
      </c>
      <c r="U10" s="68" t="str">
        <f>'PC LIST'!O153</f>
        <v>nr</v>
      </c>
      <c r="V10" s="68" t="str">
        <f>'PC LIST'!B168</f>
        <v>PR14SESWSW_C1</v>
      </c>
      <c r="W10" s="68" t="str">
        <f>'PC LIST'!I168</f>
        <v>C1: The number of times on average the Company has to impose restrictions on the use of water</v>
      </c>
      <c r="X10" s="68" t="str">
        <f>'PC LIST'!O168</f>
        <v>nr</v>
      </c>
      <c r="Y10" s="68" t="str">
        <f>'PC LIST'!B189</f>
        <v>PR14SEWWSW_F1</v>
      </c>
      <c r="Z10" s="68" t="str">
        <f>'PC LIST'!I189</f>
        <v>F1: Customer satisfaction - water supply is of sufficient pressure</v>
      </c>
      <c r="AA10" s="68" t="str">
        <f>'PC LIST'!O189</f>
        <v>score</v>
      </c>
      <c r="AB10" s="68" t="str">
        <f>'PC LIST'!B223</f>
        <v>PR14SRNWSW_7</v>
      </c>
      <c r="AC10" s="68" t="str">
        <f>'PC LIST'!I223</f>
        <v>7: Distribution input</v>
      </c>
      <c r="AD10" s="68" t="str">
        <f>'PC LIST'!O223</f>
        <v>nr</v>
      </c>
      <c r="AE10" s="68" t="str">
        <f>'PC LIST'!B256</f>
        <v>PR14SSCWSW_4.3</v>
      </c>
      <c r="AF10" s="68" t="str">
        <f>'PC LIST'!I256</f>
        <v>4.3: Water efficiency (household per capita consumption (PCC) reported annually, combined company)</v>
      </c>
      <c r="AG10" s="68" t="str">
        <f>'PC LIST'!O256</f>
        <v>nr</v>
      </c>
      <c r="AH10" s="68" t="str">
        <f>'PC LIST'!B271</f>
        <v>PR14SVTWSW_W-B4</v>
      </c>
      <c r="AI10" s="68" t="str">
        <f>'PC LIST'!I271</f>
        <v>W-B4: Number of minutes customers go without supply each year (interruptions to supply &gt; 3 hours)</v>
      </c>
      <c r="AJ10" s="68" t="str">
        <f>'PC LIST'!O271</f>
        <v>time</v>
      </c>
      <c r="AK10" s="68" t="str">
        <f>'PC LIST'!B316</f>
        <v>PR14SWTWSW_W-B3</v>
      </c>
      <c r="AL10" s="70" t="str">
        <f>'PC LIST'!I316</f>
        <v>W-B3 Leakage levels (megalitres a day, Ml/d)</v>
      </c>
      <c r="AM10" s="70" t="str">
        <f>'PC LIST'!O316</f>
        <v>nr</v>
      </c>
      <c r="AN10" s="68" t="str">
        <f>'PC LIST'!B358</f>
        <v>PR14TMSWSW_WB3</v>
      </c>
      <c r="AO10" s="68" t="str">
        <f>'PC LIST'!I358</f>
        <v>WB3: Compliance with drinking water quality standards (MZC) - Ofwat/ DWI KPI</v>
      </c>
      <c r="AP10" s="68" t="str">
        <f>'PC LIST'!O358</f>
        <v>%</v>
      </c>
      <c r="AQ10" s="68" t="str">
        <f>'PC LIST'!B413</f>
        <v>PR14UUWSW_B5</v>
      </c>
      <c r="AR10" s="68" t="str">
        <f>'PC LIST'!I413</f>
        <v>B5: Resilience of impounding reservoirs</v>
      </c>
      <c r="AS10" s="68" t="str">
        <f>'PC LIST'!O413</f>
        <v>nr</v>
      </c>
      <c r="AT10" s="68" t="str">
        <f>'PC LIST'!B440</f>
        <v>PR14WSHWSW_D5</v>
      </c>
      <c r="AU10" s="68" t="str">
        <f>'PC LIST'!I440</f>
        <v>D5: Earning the trust of customers - % of customers surveyed that say they trust the company</v>
      </c>
      <c r="AV10" s="68" t="str">
        <f>'PC LIST'!O440</f>
        <v>%</v>
      </c>
      <c r="AW10" s="68" t="str">
        <f>'PC LIST'!B471</f>
        <v>PR14WSXWSW_D5</v>
      </c>
      <c r="AX10" s="68" t="str">
        <f>'PC LIST'!I471</f>
        <v>D5: Water main bursts</v>
      </c>
      <c r="AY10" s="68" t="str">
        <f>'PC LIST'!O471</f>
        <v>nr</v>
      </c>
      <c r="AZ10" s="68" t="str">
        <f>'PC LIST'!B503</f>
        <v>PR14YKYWSW_WB4</v>
      </c>
      <c r="BA10" s="68" t="str">
        <f>'PC LIST'!I503</f>
        <v>WB4: Water network stability and reliability factor</v>
      </c>
      <c r="BB10" s="68" t="str">
        <f>'PC LIST'!O503</f>
        <v>category</v>
      </c>
    </row>
    <row r="11" spans="1:54" ht="15.75" customHeight="1" x14ac:dyDescent="0.2">
      <c r="A11" s="68" t="str">
        <f>'PC LIST'!B11</f>
        <v>PR14AFWWSW_W-C2</v>
      </c>
      <c r="B11" s="68" t="str">
        <f>'PC LIST'!I11</f>
        <v>W-C2 Number of burst mains</v>
      </c>
      <c r="C11" s="68" t="str">
        <f>'PC LIST'!O11</f>
        <v>nr</v>
      </c>
      <c r="D11" s="68" t="str">
        <f>'PC LIST'!B24</f>
        <v>PR14ANHWSW_W-D3</v>
      </c>
      <c r="E11" s="68" t="str">
        <f>'PC LIST'!I24</f>
        <v>W-D3: Per property consumption (PPC) (litres/household/day reduction)</v>
      </c>
      <c r="F11" s="68" t="str">
        <f>'PC LIST'!O24</f>
        <v>nr</v>
      </c>
      <c r="G11" s="68" t="str">
        <f>'PC LIST'!B63</f>
        <v>PR14BRLWSW_F1</v>
      </c>
      <c r="H11" s="68" t="str">
        <f>'PC LIST'!I63</f>
        <v>F1: Leakage</v>
      </c>
      <c r="I11" s="68" t="str">
        <f>'PC LIST'!O63</f>
        <v>nr</v>
      </c>
      <c r="J11" s="68" t="str">
        <f>'PC LIST'!B84</f>
        <v>PR14DVWWSW_C1</v>
      </c>
      <c r="K11" s="68" t="str">
        <f>'PC LIST'!I84</f>
        <v>C1: Gross operational greenhouse gas emissions</v>
      </c>
      <c r="L11" s="68" t="str">
        <f>'PC LIST'!O84</f>
        <v>nr</v>
      </c>
      <c r="M11" s="68" t="str">
        <f>'PC LIST'!B97</f>
        <v>PR14NESWSW_W-C5</v>
      </c>
      <c r="N11" s="69" t="str">
        <f>'PC LIST'!I97</f>
        <v>W-C5: Leakage (Ml/d) Essex &amp; Suffolk area</v>
      </c>
      <c r="O11" s="69" t="str">
        <f>'PC LIST'!O97</f>
        <v>nr</v>
      </c>
      <c r="P11" s="68" t="str">
        <f>'PC LIST'!B141</f>
        <v>PR14PRTWSW_D3</v>
      </c>
      <c r="Q11" s="68" t="str">
        <f>'PC LIST'!I141</f>
        <v>D3: Carbon</v>
      </c>
      <c r="R11" s="68" t="str">
        <f>'PC LIST'!O141</f>
        <v>%</v>
      </c>
      <c r="S11" s="68" t="str">
        <f>'PC LIST'!B154</f>
        <v>PR14SBWWSW_C1</v>
      </c>
      <c r="T11" s="68" t="str">
        <f>'PC LIST'!I154</f>
        <v>C1: Repair visible leaks</v>
      </c>
      <c r="U11" s="68" t="str">
        <f>'PC LIST'!O154</f>
        <v>%</v>
      </c>
      <c r="V11" s="68" t="str">
        <f>'PC LIST'!B169</f>
        <v>PR14SESWSW_C2</v>
      </c>
      <c r="W11" s="68" t="str">
        <f>'PC LIST'!I169</f>
        <v>C2: Percentage of properties that are connected to more than one treatment works (resilience measure)</v>
      </c>
      <c r="X11" s="68" t="str">
        <f>'PC LIST'!O169</f>
        <v>%</v>
      </c>
      <c r="Y11" s="68" t="str">
        <f>'PC LIST'!B190</f>
        <v>PR14SEWWSW_F2</v>
      </c>
      <c r="Z11" s="68" t="str">
        <f>'PC LIST'!I190</f>
        <v>F2: Number of properties at risk of low pressure, as recorded on the DG2 register</v>
      </c>
      <c r="AA11" s="68" t="str">
        <f>'PC LIST'!O190</f>
        <v>nr</v>
      </c>
      <c r="AB11" s="68" t="str">
        <f>'PC LIST'!B224</f>
        <v>PR14SRNWSW_8</v>
      </c>
      <c r="AC11" s="68" t="str">
        <f>'PC LIST'!I224</f>
        <v>8: Per capita consumption (PCC) - five-year average target</v>
      </c>
      <c r="AD11" s="68" t="str">
        <f>'PC LIST'!O224</f>
        <v>nr</v>
      </c>
      <c r="AE11" s="68" t="str">
        <f>'PC LIST'!B257</f>
        <v>PR14SSCWSW_4.4</v>
      </c>
      <c r="AF11" s="68" t="str">
        <f>'PC LIST'!I257</f>
        <v>4.4: Biodiversity (cumulative total hectares of land under management per year, combined company)</v>
      </c>
      <c r="AG11" s="68" t="str">
        <f>'PC LIST'!O257</f>
        <v>nr</v>
      </c>
      <c r="AH11" s="68" t="str">
        <f>'PC LIST'!B272</f>
        <v>PR14SVTWSW_W-B5</v>
      </c>
      <c r="AI11" s="68" t="str">
        <f>'PC LIST'!I272</f>
        <v>W-B5: % of customers with resilient supplies (those that benefit from a second source of supply)</v>
      </c>
      <c r="AJ11" s="68" t="str">
        <f>'PC LIST'!O272</f>
        <v>%</v>
      </c>
      <c r="AK11" s="68" t="str">
        <f>'PC LIST'!B317</f>
        <v>PR14SWTWSW_W-B4</v>
      </c>
      <c r="AL11" s="70" t="str">
        <f>'PC LIST'!I317</f>
        <v>W-B4 Time taken to fix significant leaks (days)</v>
      </c>
      <c r="AM11" s="70" t="str">
        <f>'PC LIST'!O317</f>
        <v>nr</v>
      </c>
      <c r="AN11" s="68" t="str">
        <f>'PC LIST'!B359</f>
        <v>PR14TMSWSW_WB4</v>
      </c>
      <c r="AO11" s="68" t="str">
        <f>'PC LIST'!I359</f>
        <v>WB4: Properties experiencing chronic low pressure (DG2)</v>
      </c>
      <c r="AP11" s="68" t="str">
        <f>'PC LIST'!O359</f>
        <v>nr</v>
      </c>
      <c r="AQ11" s="68" t="str">
        <f>'PC LIST'!B414</f>
        <v>PR14UUWSW_B6</v>
      </c>
      <c r="AR11" s="68" t="str">
        <f>'PC LIST'!I414</f>
        <v>B6: Thirlmere transfer into West Cumbria</v>
      </c>
      <c r="AS11" s="68" t="str">
        <f>'PC LIST'!O414</f>
        <v>%</v>
      </c>
      <c r="AT11" s="68" t="str">
        <f>'PC LIST'!B441</f>
        <v>PR14WSHWSW_E1</v>
      </c>
      <c r="AU11" s="68" t="str">
        <f>'PC LIST'!I441</f>
        <v>E1: Affordable bills - annual increase</v>
      </c>
      <c r="AV11" s="68" t="str">
        <f>'PC LIST'!O441</f>
        <v>%</v>
      </c>
      <c r="AW11" s="68" t="str">
        <f>'PC LIST'!B472</f>
        <v>PR14WSXWSW_F1</v>
      </c>
      <c r="AX11" s="68" t="str">
        <f>'PC LIST'!I472</f>
        <v>F1: Volume of water leaked</v>
      </c>
      <c r="AY11" s="68" t="str">
        <f>'PC LIST'!O472</f>
        <v>nr</v>
      </c>
      <c r="AZ11" s="68" t="str">
        <f>'PC LIST'!B504</f>
        <v>PR14YKYWSW_WC1</v>
      </c>
      <c r="BA11" s="68" t="str">
        <f>'PC LIST'!I504</f>
        <v>WC1: Length of river improved (note: PC is part of a total commitment at Appointee level - see also SB4)</v>
      </c>
      <c r="BB11" s="68" t="str">
        <f>'PC LIST'!O504</f>
        <v>nr</v>
      </c>
    </row>
    <row r="12" spans="1:54" ht="15.75" customHeight="1" x14ac:dyDescent="0.2">
      <c r="A12" s="68" t="str">
        <f>'PC LIST'!B12</f>
        <v>PR14AFWWSW_W-C3</v>
      </c>
      <c r="B12" s="68" t="str">
        <f>'PC LIST'!I12</f>
        <v>W-C3 Affected customers not notified of planned interruptions</v>
      </c>
      <c r="C12" s="68" t="str">
        <f>'PC LIST'!O12</f>
        <v>nr</v>
      </c>
      <c r="D12" s="68" t="str">
        <f>'PC LIST'!B25</f>
        <v>PR14ANHWSW_W-D4</v>
      </c>
      <c r="E12" s="68" t="str">
        <f>'PC LIST'!I25</f>
        <v>W-D4: Leakage - three-year average</v>
      </c>
      <c r="F12" s="68" t="str">
        <f>'PC LIST'!O25</f>
        <v>nr</v>
      </c>
      <c r="G12" s="68" t="str">
        <f>'PC LIST'!B64</f>
        <v>PR14BRLWSW_G1</v>
      </c>
      <c r="H12" s="68" t="str">
        <f>'PC LIST'!I64</f>
        <v>G1: Meter penetration</v>
      </c>
      <c r="I12" s="68" t="str">
        <f>'PC LIST'!O64</f>
        <v>%</v>
      </c>
      <c r="J12" s="68" t="str">
        <f>'PC LIST'!B85</f>
        <v>PR14DVWWSW_D1</v>
      </c>
      <c r="K12" s="68" t="str">
        <f>'PC LIST'!I85</f>
        <v>D1: Customers’ perception based on market research</v>
      </c>
      <c r="L12" s="68" t="str">
        <f>'PC LIST'!O85</f>
        <v>%</v>
      </c>
      <c r="M12" s="68" t="str">
        <f>'PC LIST'!B98</f>
        <v>PR14NESWSW_W-D1</v>
      </c>
      <c r="N12" s="69" t="str">
        <f>'PC LIST'!I98</f>
        <v>W-D1: NWL independent overall customer satisfaction score</v>
      </c>
      <c r="O12" s="69" t="str">
        <f>'PC LIST'!O98</f>
        <v>score</v>
      </c>
      <c r="P12" s="68" t="str">
        <f>'PC LIST'!B142</f>
        <v>PR14PRTWSW_E1</v>
      </c>
      <c r="Q12" s="68" t="str">
        <f>'PC LIST'!I142</f>
        <v>E1: RoSPA Health and Safety accreditation</v>
      </c>
      <c r="R12" s="68" t="str">
        <f>'PC LIST'!O142</f>
        <v>text</v>
      </c>
      <c r="S12" s="68" t="str">
        <f>'PC LIST'!B155</f>
        <v>PR14SBWWSW_D1</v>
      </c>
      <c r="T12" s="68" t="str">
        <f>'PC LIST'!I155</f>
        <v>D1: Reduce energy used in water delivery</v>
      </c>
      <c r="U12" s="68" t="str">
        <f>'PC LIST'!O155</f>
        <v>nr</v>
      </c>
      <c r="V12" s="68" t="str">
        <f>'PC LIST'!B170</f>
        <v>PR14SESWSW_E1</v>
      </c>
      <c r="W12" s="68" t="str">
        <f>'PC LIST'!I170</f>
        <v>E1: Level of leakage measured in megalitres per day (including customer supply pipe leakage)</v>
      </c>
      <c r="X12" s="68" t="str">
        <f>'PC LIST'!O170</f>
        <v>nr</v>
      </c>
      <c r="Y12" s="68" t="str">
        <f>'PC LIST'!B191</f>
        <v>PR14SEWWSW_G1</v>
      </c>
      <c r="Z12" s="68" t="str">
        <f>'PC LIST'!I191</f>
        <v>G1: Customer satisfaction - frequency and duration of supply interruptions</v>
      </c>
      <c r="AA12" s="68" t="str">
        <f>'PC LIST'!O191</f>
        <v>score</v>
      </c>
      <c r="AB12" s="68" t="str">
        <f>'PC LIST'!B225</f>
        <v>PR14SRNWSWW_1</v>
      </c>
      <c r="AC12" s="68" t="str">
        <f>'PC LIST'!I225</f>
        <v>1: Wastewater asset health (sewer collapses, WwTW PE compliance, external flooding - other causes)</v>
      </c>
      <c r="AD12" s="68" t="str">
        <f>'PC LIST'!O225</f>
        <v>category</v>
      </c>
      <c r="AE12" s="68" t="str">
        <f>'PC LIST'!B258</f>
        <v>PR14SSCWSW_4.5</v>
      </c>
      <c r="AF12" s="68" t="str">
        <f>'PC LIST'!I258</f>
        <v>4.5: Carbon emissions from power consumption (tonnes, combined company)</v>
      </c>
      <c r="AG12" s="68" t="str">
        <f>'PC LIST'!O258</f>
        <v>nr</v>
      </c>
      <c r="AH12" s="68" t="str">
        <f>'PC LIST'!B273</f>
        <v>PR14SVTWSW_W-B6</v>
      </c>
      <c r="AI12" s="68" t="str">
        <f>'PC LIST'!I273</f>
        <v>W-B6: Asset stewardship - mains bursts</v>
      </c>
      <c r="AJ12" s="68" t="str">
        <f>'PC LIST'!O273</f>
        <v>nr</v>
      </c>
      <c r="AK12" s="68" t="str">
        <f>'PC LIST'!B318</f>
        <v>PR14SWTWSW_W-B5</v>
      </c>
      <c r="AL12" s="70" t="str">
        <f>'PC LIST'!I318</f>
        <v>W-B5 Security of supply index (SoSI)</v>
      </c>
      <c r="AM12" s="70" t="str">
        <f>'PC LIST'!O318</f>
        <v>score</v>
      </c>
      <c r="AN12" s="68" t="str">
        <f>'PC LIST'!B360</f>
        <v>PR14TMSWSW_WB5</v>
      </c>
      <c r="AO12" s="68" t="str">
        <f>'PC LIST'!I360</f>
        <v>WB5: Average hours lost supply per property served, due to interruptions &gt; 4 hours</v>
      </c>
      <c r="AP12" s="68" t="str">
        <f>'PC LIST'!O360</f>
        <v>time</v>
      </c>
      <c r="AQ12" s="68" t="str">
        <f>'PC LIST'!B415</f>
        <v>PR14UUWSW_C1</v>
      </c>
      <c r="AR12" s="68" t="str">
        <f>'PC LIST'!I415</f>
        <v>C1: Contribution to rivers improved - water programme (NEP schemes and abstraction changes at 4 AIM sites)</v>
      </c>
      <c r="AS12" s="68" t="str">
        <f>'PC LIST'!O415</f>
        <v>nr</v>
      </c>
      <c r="AT12" s="68" t="str">
        <f>'PC LIST'!B442</f>
        <v>PR14WSHWSW_F1</v>
      </c>
      <c r="AU12" s="68" t="str">
        <f>'PC LIST'!I442</f>
        <v>F1: Asset serviceability</v>
      </c>
      <c r="AV12" s="68" t="str">
        <f>'PC LIST'!O442</f>
        <v>category</v>
      </c>
      <c r="AW12" s="68" t="str">
        <f>'PC LIST'!B473</f>
        <v>PR14WSXWSW_F2</v>
      </c>
      <c r="AX12" s="68" t="str">
        <f>'PC LIST'!I473</f>
        <v>F2: Customer reported leaks fixed within a day</v>
      </c>
      <c r="AY12" s="68" t="str">
        <f>'PC LIST'!O473</f>
        <v>%</v>
      </c>
      <c r="AZ12" s="68" t="str">
        <f>'PC LIST'!B505</f>
        <v>PR14YKYWSW_WC2</v>
      </c>
      <c r="BA12" s="68" t="str">
        <f>'PC LIST'!I505</f>
        <v>WC2: Solutions delivered by working with others (note: PC is part of a total commitment at Appointee level - see also SB3)</v>
      </c>
      <c r="BB12" s="68" t="str">
        <f>'PC LIST'!O505</f>
        <v>nr</v>
      </c>
    </row>
    <row r="13" spans="1:54" ht="15.75" customHeight="1" x14ac:dyDescent="0.2">
      <c r="A13" s="68" t="str">
        <f>'PC LIST'!B13</f>
        <v>PR14AFWWSW_W-C4</v>
      </c>
      <c r="B13" s="68" t="str">
        <f>'PC LIST'!I13</f>
        <v>W-C4 Planned work taking longer to complete than notified</v>
      </c>
      <c r="C13" s="68" t="str">
        <f>'PC LIST'!O13</f>
        <v>nr</v>
      </c>
      <c r="D13" s="68" t="str">
        <f>'PC LIST'!B26</f>
        <v>PR14ANHWSW_W-E1</v>
      </c>
      <c r="E13" s="68" t="str">
        <f>'PC LIST'!I26</f>
        <v>W-E1: Percentage of SSSIs (by area) with favourable status</v>
      </c>
      <c r="F13" s="68" t="str">
        <f>'PC LIST'!O26</f>
        <v>%</v>
      </c>
      <c r="G13" s="68" t="str">
        <f>'PC LIST'!B65</f>
        <v>PR14BRLWSW_H1</v>
      </c>
      <c r="H13" s="68" t="str">
        <f>'PC LIST'!I65</f>
        <v>H1: Total carbon emissions</v>
      </c>
      <c r="I13" s="68" t="str">
        <f>'PC LIST'!O65</f>
        <v>nr</v>
      </c>
      <c r="J13" s="68" t="str">
        <f>'PC LIST'!B86</f>
        <v>PR14DVWNHHR_F1</v>
      </c>
      <c r="K13" s="68" t="str">
        <f>'PC LIST'!I86</f>
        <v>F1: Non-household Service incentive mechanism (SIM)</v>
      </c>
      <c r="L13" s="68" t="str">
        <f>'PC LIST'!O86</f>
        <v>score</v>
      </c>
      <c r="M13" s="68" t="str">
        <f>'PC LIST'!B99</f>
        <v>PR14NESWSW_W-D2</v>
      </c>
      <c r="N13" s="69" t="str">
        <f>'PC LIST'!I99</f>
        <v>W-D2: Service incentive mechanism (SIM)</v>
      </c>
      <c r="O13" s="69" t="str">
        <f>'PC LIST'!O99</f>
        <v>score</v>
      </c>
      <c r="P13" s="68" t="str">
        <f>'PC LIST'!B143</f>
        <v>PR14PRTHHR_A1</v>
      </c>
      <c r="Q13" s="68" t="str">
        <f>'PC LIST'!I143</f>
        <v>A1: Service incentive mechanism (SIM)</v>
      </c>
      <c r="R13" s="68" t="str">
        <f>'PC LIST'!O143</f>
        <v>text</v>
      </c>
      <c r="S13" s="68" t="str">
        <f>'PC LIST'!B156</f>
        <v>PR14SBWWSW_D2</v>
      </c>
      <c r="T13" s="68" t="str">
        <f>'PC LIST'!I156</f>
        <v>D2: Help support a natural healthy water environment (in addition to NEP statutory obligation work)</v>
      </c>
      <c r="U13" s="68" t="str">
        <f>'PC LIST'!O156</f>
        <v>text</v>
      </c>
      <c r="V13" s="68" t="str">
        <f>'PC LIST'!B171</f>
        <v>PR14SESWSW_E2</v>
      </c>
      <c r="W13" s="68" t="str">
        <f>'PC LIST'!I171</f>
        <v>E2: Per capita consumption (PCC), measured in litres per head per day (l/h/d)</v>
      </c>
      <c r="X13" s="68" t="str">
        <f>'PC LIST'!O171</f>
        <v>nr</v>
      </c>
      <c r="Y13" s="68" t="str">
        <f>'PC LIST'!B192</f>
        <v>PR14SEWWSW_G2</v>
      </c>
      <c r="Z13" s="68" t="str">
        <f>'PC LIST'!I192</f>
        <v>G2: Average time lost per property (measured in minutes, per property served)</v>
      </c>
      <c r="AA13" s="68" t="str">
        <f>'PC LIST'!O192</f>
        <v>time</v>
      </c>
      <c r="AB13" s="68" t="str">
        <f>'PC LIST'!B226</f>
        <v>PR14SRNWSWW_1a</v>
      </c>
      <c r="AC13" s="68" t="str">
        <f>'PC LIST'!I226</f>
        <v>1a: Category 3 pollution incidents (including transferred assets and excluding private pumping stations)</v>
      </c>
      <c r="AD13" s="68" t="str">
        <f>'PC LIST'!O226</f>
        <v>nr</v>
      </c>
      <c r="AE13" s="68" t="str">
        <f>'PC LIST'!B259</f>
        <v>PR14SSCWSW_5.1</v>
      </c>
      <c r="AF13" s="68" t="str">
        <f>'PC LIST'!I259</f>
        <v>5.1: Independent customer surveys of value for money and affordability (combined company)</v>
      </c>
      <c r="AG13" s="68" t="str">
        <f>'PC LIST'!O259</f>
        <v>%</v>
      </c>
      <c r="AH13" s="68" t="str">
        <f>'PC LIST'!B274</f>
        <v>PR14SVTWSW_W-B7</v>
      </c>
      <c r="AI13" s="68" t="str">
        <f>'PC LIST'!I274</f>
        <v>W-B7: Customers at risk of low pressure</v>
      </c>
      <c r="AJ13" s="68" t="str">
        <f>'PC LIST'!O274</f>
        <v>nr</v>
      </c>
      <c r="AK13" s="68" t="str">
        <f>'PC LIST'!B319</f>
        <v>PR14SWTWSW_W-C1</v>
      </c>
      <c r="AL13" s="70" t="str">
        <f>'PC LIST'!I319</f>
        <v>W-C1 Supplies interrupted due to flooded South West Water sites</v>
      </c>
      <c r="AM13" s="70" t="str">
        <f>'PC LIST'!O319</f>
        <v>nr</v>
      </c>
      <c r="AN13" s="68" t="str">
        <f>'PC LIST'!B361</f>
        <v>PR14TMSWSW_WB6</v>
      </c>
      <c r="AO13" s="68" t="str">
        <f>'PC LIST'!I361</f>
        <v>WB6: Security of Supply Index - Ofwat KPI</v>
      </c>
      <c r="AP13" s="68" t="str">
        <f>'PC LIST'!O361</f>
        <v>score</v>
      </c>
      <c r="AQ13" s="68" t="str">
        <f>'PC LIST'!B416</f>
        <v>PR14UUWSW_D1</v>
      </c>
      <c r="AR13" s="68" t="str">
        <f>'PC LIST'!I416</f>
        <v>D1: Delivering our commitments to developers, local authorities and highway authorities</v>
      </c>
      <c r="AS13" s="68" t="str">
        <f>'PC LIST'!O416</f>
        <v>%</v>
      </c>
      <c r="AT13" s="68" t="str">
        <f>'PC LIST'!B443</f>
        <v>PR14WSHWSW_F2</v>
      </c>
      <c r="AU13" s="68" t="str">
        <f>'PC LIST'!I443</f>
        <v>F2: Leakage</v>
      </c>
      <c r="AV13" s="68" t="str">
        <f>'PC LIST'!O443</f>
        <v>nr</v>
      </c>
      <c r="AW13" s="68" t="str">
        <f>'PC LIST'!B474</f>
        <v>PR14WSXWSW_G1</v>
      </c>
      <c r="AX13" s="68" t="str">
        <f>'PC LIST'!I474</f>
        <v>G1: Customer contacts about drinking water quality</v>
      </c>
      <c r="AY13" s="68" t="str">
        <f>'PC LIST'!O474</f>
        <v>nr</v>
      </c>
      <c r="AZ13" s="68" t="str">
        <f>'PC LIST'!B506</f>
        <v>PR14YKYWSW_WC3</v>
      </c>
      <c r="BA13" s="68" t="str">
        <f>'PC LIST'!I506</f>
        <v>WC3: Amount of land conserved and enhanced (note: PC is part of a total commitment at Appointee level - see also SB5)</v>
      </c>
      <c r="BB13" s="68" t="str">
        <f>'PC LIST'!O506</f>
        <v>nr</v>
      </c>
    </row>
    <row r="14" spans="1:54" ht="15.75" customHeight="1" x14ac:dyDescent="0.2">
      <c r="A14" s="68" t="str">
        <f>'PC LIST'!B14</f>
        <v>PR14AFWHHR_R-A1</v>
      </c>
      <c r="B14" s="68" t="str">
        <f>'PC LIST'!I14</f>
        <v>R-A1 SIM service score</v>
      </c>
      <c r="C14" s="68" t="str">
        <f>'PC LIST'!O14</f>
        <v>score</v>
      </c>
      <c r="D14" s="68" t="str">
        <f>'PC LIST'!B27</f>
        <v>PR14ANHWSW_W-E2</v>
      </c>
      <c r="E14" s="68" t="str">
        <f>'PC LIST'!I27</f>
        <v>W-E2: Environmental compliance (water)</v>
      </c>
      <c r="F14" s="68" t="str">
        <f>'PC LIST'!O27</f>
        <v>nr</v>
      </c>
      <c r="G14" s="68" t="str">
        <f>'PC LIST'!B66</f>
        <v>PR14BRLWSW_H2</v>
      </c>
      <c r="H14" s="68" t="str">
        <f>'PC LIST'!I66</f>
        <v>H2: Raw water quality of sources</v>
      </c>
      <c r="I14" s="68" t="str">
        <f>'PC LIST'!O66</f>
        <v>text</v>
      </c>
      <c r="J14" s="68" t="str">
        <f>'PC LIST'!B87</f>
        <v>PR14DVWHHR_E1</v>
      </c>
      <c r="K14" s="68" t="str">
        <f>'PC LIST'!I87</f>
        <v>E1: Per capita consumption and water efficiency</v>
      </c>
      <c r="L14" s="68" t="str">
        <f>'PC LIST'!O87</f>
        <v>nr</v>
      </c>
      <c r="M14" s="68" t="str">
        <f>'PC LIST'!B100</f>
        <v>PR14NESWSW_W-D3</v>
      </c>
      <c r="N14" s="69" t="str">
        <f>'PC LIST'!I100</f>
        <v>W-D3: Domestic customer satisfaction, net promoter score</v>
      </c>
      <c r="O14" s="69" t="str">
        <f>'PC LIST'!O100</f>
        <v>%</v>
      </c>
      <c r="P14" s="68" t="str">
        <f>'PC LIST'!B144</f>
        <v>PR14PRTHHR_B1</v>
      </c>
      <c r="Q14" s="68" t="str">
        <f>'PC LIST'!I144</f>
        <v>B1: Reducing per capita consumption (PCC)</v>
      </c>
      <c r="R14" s="68" t="str">
        <f>'PC LIST'!O144</f>
        <v>nr</v>
      </c>
      <c r="S14" s="68" t="str">
        <f>'PC LIST'!B157</f>
        <v>PR14SBWWSW_E1</v>
      </c>
      <c r="T14" s="68" t="str">
        <f>'PC LIST'!I157</f>
        <v>E1: Contribute to our community (increase educational visits to schools, and working days for volunteer and charity work)</v>
      </c>
      <c r="U14" s="68" t="str">
        <f>'PC LIST'!O157</f>
        <v>nr</v>
      </c>
      <c r="V14" s="68" t="str">
        <f>'PC LIST'!B172</f>
        <v>PR14SESWSW_E3</v>
      </c>
      <c r="W14" s="68" t="str">
        <f>'PC LIST'!I172</f>
        <v>E3: The number of children and adults engaged in environmental education activities</v>
      </c>
      <c r="X14" s="68" t="str">
        <f>'PC LIST'!O172</f>
        <v>nr</v>
      </c>
      <c r="Y14" s="68" t="str">
        <f>'PC LIST'!B193</f>
        <v>PR14SEWWSW_H1</v>
      </c>
      <c r="Z14" s="68" t="str">
        <f>'PC LIST'!I193</f>
        <v>H1: Customer satisfaction - frequency of water use restrictions</v>
      </c>
      <c r="AA14" s="68" t="str">
        <f>'PC LIST'!O193</f>
        <v>score</v>
      </c>
      <c r="AB14" s="68" t="str">
        <f>'PC LIST'!B227</f>
        <v>PR14SRNWSWW_2</v>
      </c>
      <c r="AC14" s="68" t="str">
        <f>'PC LIST'!I227</f>
        <v>2: Internal flooding incidents</v>
      </c>
      <c r="AD14" s="68" t="str">
        <f>'PC LIST'!O227</f>
        <v>nr</v>
      </c>
      <c r="AE14" s="68" t="str">
        <f>'PC LIST'!B260</f>
        <v>PR14SSCWSW_5.2</v>
      </c>
      <c r="AF14" s="68" t="str">
        <f>'PC LIST'!I260</f>
        <v>5.2: Support for customers in debt (combined company)</v>
      </c>
      <c r="AG14" s="68" t="str">
        <f>'PC LIST'!O260</f>
        <v>nr</v>
      </c>
      <c r="AH14" s="68" t="str">
        <f>'PC LIST'!B275</f>
        <v>PR14SVTWSW_W-B8</v>
      </c>
      <c r="AI14" s="68" t="str">
        <f>'PC LIST'!I275</f>
        <v>W-B8: Restrictions on water use</v>
      </c>
      <c r="AJ14" s="68" t="str">
        <f>'PC LIST'!O275</f>
        <v>nr</v>
      </c>
      <c r="AK14" s="68" t="str">
        <f>'PC LIST'!B320</f>
        <v>PR14SWTWSW_W-D1</v>
      </c>
      <c r="AL14" s="70" t="str">
        <f>'PC LIST'!I320</f>
        <v>W-D1 Operational customer contacts resolved first time (%)</v>
      </c>
      <c r="AM14" s="70" t="str">
        <f>'PC LIST'!O320</f>
        <v>%</v>
      </c>
      <c r="AN14" s="68" t="str">
        <f>'PC LIST'!B362</f>
        <v>PR14TMSWSW_WB7</v>
      </c>
      <c r="AO14" s="68" t="str">
        <f>'PC LIST'!I362</f>
        <v>WB7: Compliance with SEMD advice notes (with or without derogation)</v>
      </c>
      <c r="AP14" s="68" t="str">
        <f>'PC LIST'!O362</f>
        <v>%</v>
      </c>
      <c r="AQ14" s="68" t="str">
        <f>'PC LIST'!B417</f>
        <v>PR14UUWSW_E1</v>
      </c>
      <c r="AR14" s="68" t="str">
        <f>'PC LIST'!I417</f>
        <v>E1: Number of free water meters installed</v>
      </c>
      <c r="AS14" s="68" t="str">
        <f>'PC LIST'!O417</f>
        <v>nr</v>
      </c>
      <c r="AT14" s="68" t="str">
        <f>'PC LIST'!B444</f>
        <v>PR14WSHWSW_F3</v>
      </c>
      <c r="AU14" s="68" t="str">
        <f>'PC LIST'!I444</f>
        <v>F3: Asset resilience - % of critical assets that are resilient against a set of criteria</v>
      </c>
      <c r="AV14" s="68" t="str">
        <f>'PC LIST'!O444</f>
        <v>%</v>
      </c>
      <c r="AW14" s="68" t="str">
        <f>'PC LIST'!B475</f>
        <v>PR14WSXWSW_G2</v>
      </c>
      <c r="AX14" s="68" t="str">
        <f>'PC LIST'!I475</f>
        <v>G2: Compliance with drinking water standards (MZC)</v>
      </c>
      <c r="AY14" s="68" t="str">
        <f>'PC LIST'!O475</f>
        <v>%</v>
      </c>
      <c r="AZ14" s="68" t="str">
        <f>'PC LIST'!B507</f>
        <v>PR14YKYWSW_WC4</v>
      </c>
      <c r="BA14" s="68" t="str">
        <f>'PC LIST'!I507</f>
        <v>WC4: Recreational visitor satisfaction</v>
      </c>
      <c r="BB14" s="68" t="str">
        <f>'PC LIST'!O507</f>
        <v>text</v>
      </c>
    </row>
    <row r="15" spans="1:54" ht="15.75" customHeight="1" x14ac:dyDescent="0.2">
      <c r="A15" s="68" t="str">
        <f>'PC LIST'!B15</f>
        <v>PR14AFWHHR_R-A2</v>
      </c>
      <c r="B15" s="68" t="str">
        <f>'PC LIST'!I15</f>
        <v>R-A2 Value for money survey</v>
      </c>
      <c r="C15" s="68" t="str">
        <f>'PC LIST'!O15</f>
        <v>TBC</v>
      </c>
      <c r="D15" s="68" t="str">
        <f>'PC LIST'!B28</f>
        <v>PR14ANHWSW_W-F1</v>
      </c>
      <c r="E15" s="68" t="str">
        <f>'PC LIST'!I28</f>
        <v>W-F1: Operational carbon (% reduction from 2015 baseline)</v>
      </c>
      <c r="F15" s="68" t="str">
        <f>'PC LIST'!O28</f>
        <v>%</v>
      </c>
      <c r="G15" s="68" t="str">
        <f>'PC LIST'!B67</f>
        <v>PR14BRLWSW_H3</v>
      </c>
      <c r="H15" s="68" t="str">
        <f>'PC LIST'!I67</f>
        <v>H3: Biodiversity index</v>
      </c>
      <c r="I15" s="68" t="str">
        <f>'PC LIST'!O67</f>
        <v>TBC</v>
      </c>
      <c r="J15" s="68" t="str">
        <f>'PC LIST'!B88</f>
        <v>PR14DVWHHR_E2</v>
      </c>
      <c r="K15" s="68" t="str">
        <f>'PC LIST'!I88</f>
        <v>E2: Service incentive mechanism (SIM)</v>
      </c>
      <c r="L15" s="68" t="str">
        <f>'PC LIST'!O88</f>
        <v>score</v>
      </c>
      <c r="M15" s="68" t="str">
        <f>'PC LIST'!B101</f>
        <v>PR14NESWSW_W-E1</v>
      </c>
      <c r="N15" s="69" t="str">
        <f>'PC LIST'!I101</f>
        <v>W-E1: NWL independent survey on keeping customers informed</v>
      </c>
      <c r="O15" s="69" t="str">
        <f>'PC LIST'!O101</f>
        <v>%</v>
      </c>
      <c r="P15" s="68" t="str">
        <f>'PC LIST'!B145</f>
        <v>PR14PRTHHR_C1</v>
      </c>
      <c r="Q15" s="68" t="str">
        <f>'PC LIST'!I145</f>
        <v>C1: Survey of developers</v>
      </c>
      <c r="R15" s="68" t="str">
        <f>'PC LIST'!O145</f>
        <v>%</v>
      </c>
      <c r="S15" s="68" t="str">
        <f>'PC LIST'!B158</f>
        <v>PR14SBWHHR_A1</v>
      </c>
      <c r="T15" s="68" t="str">
        <f>'PC LIST'!I158</f>
        <v>A1: Service incentive mechanism (SIM)</v>
      </c>
      <c r="U15" s="68" t="str">
        <f>'PC LIST'!O158</f>
        <v>score</v>
      </c>
      <c r="V15" s="68" t="str">
        <f>'PC LIST'!B173</f>
        <v>PR14SESWSW_E4</v>
      </c>
      <c r="W15" s="68" t="str">
        <f>'PC LIST'!I173</f>
        <v>E4: Greenhouse gas emissions per million litres of water supplied</v>
      </c>
      <c r="X15" s="68" t="str">
        <f>'PC LIST'!O173</f>
        <v>nr</v>
      </c>
      <c r="Y15" s="68" t="str">
        <f>'PC LIST'!B194</f>
        <v>PR14SEWWSW_H2</v>
      </c>
      <c r="Z15" s="68" t="str">
        <f>'PC LIST'!I194</f>
        <v>H2: Meeting the water resource deficit</v>
      </c>
      <c r="AA15" s="68" t="str">
        <f>'PC LIST'!O194</f>
        <v>nr</v>
      </c>
      <c r="AB15" s="68" t="str">
        <f>'PC LIST'!B228</f>
        <v>PR14SRNWSWW_3</v>
      </c>
      <c r="AC15" s="68" t="str">
        <f>'PC LIST'!I228</f>
        <v>3: External flooding incidents</v>
      </c>
      <c r="AD15" s="68" t="str">
        <f>'PC LIST'!O228</f>
        <v>nr</v>
      </c>
      <c r="AE15" s="68" t="str">
        <f>'PC LIST'!B261</f>
        <v>PR14SSCHHR_3.1</v>
      </c>
      <c r="AF15" s="68" t="str">
        <f>'PC LIST'!I261</f>
        <v>3.1: Service incentive mechanism (SIM, combined company)</v>
      </c>
      <c r="AG15" s="68" t="str">
        <f>'PC LIST'!O261</f>
        <v>score</v>
      </c>
      <c r="AH15" s="68" t="str">
        <f>'PC LIST'!B276</f>
        <v>PR14SVTWSW_W-B9</v>
      </c>
      <c r="AI15" s="68" t="str">
        <f>'PC LIST'!I276</f>
        <v>W-B9 Timing delays on Birmingham resilience scheme</v>
      </c>
      <c r="AJ15" s="68" t="str">
        <f>'PC LIST'!O276</f>
        <v>text</v>
      </c>
      <c r="AK15" s="68" t="str">
        <f>'PC LIST'!B321</f>
        <v>PR14SWTWSW_W-E1</v>
      </c>
      <c r="AL15" s="70" t="str">
        <f>'PC LIST'!I321</f>
        <v>W-E1 Sustainable abstractions (EA/WFD classification)</v>
      </c>
      <c r="AM15" s="70" t="str">
        <f>'PC LIST'!O321</f>
        <v>nr</v>
      </c>
      <c r="AN15" s="68" t="str">
        <f>'PC LIST'!B363</f>
        <v>PR14TMSWSW_WB8</v>
      </c>
      <c r="AO15" s="68" t="str">
        <f>'PC LIST'!I363</f>
        <v>WB8: Ml/d of sites made resilient to future extreme rainfall events</v>
      </c>
      <c r="AP15" s="68" t="str">
        <f>'PC LIST'!O363</f>
        <v>nr</v>
      </c>
      <c r="AQ15" s="68" t="str">
        <f>'PC LIST'!B418</f>
        <v>PR14UUWSWW_S-A1</v>
      </c>
      <c r="AR15" s="68" t="str">
        <f>'PC LIST'!I418</f>
        <v>S-A1: Private sewers service index</v>
      </c>
      <c r="AS15" s="68" t="str">
        <f>'PC LIST'!O418</f>
        <v>score</v>
      </c>
      <c r="AT15" s="68" t="str">
        <f>'PC LIST'!B445</f>
        <v>PR14WSHWSWW_B2</v>
      </c>
      <c r="AU15" s="68" t="str">
        <f>'PC LIST'!I445</f>
        <v>B2: Treating used water - % compliance of WwTW</v>
      </c>
      <c r="AV15" s="68" t="str">
        <f>'PC LIST'!O445</f>
        <v>%</v>
      </c>
      <c r="AW15" s="68" t="str">
        <f>'PC LIST'!B476</f>
        <v>PR14WSXWSWW_A1</v>
      </c>
      <c r="AX15" s="68" t="str">
        <f>'PC LIST'!I476</f>
        <v>A1: Agreed schemes delivered (named outputs with bathing water drivers in the NEP)</v>
      </c>
      <c r="AY15" s="68" t="str">
        <f>'PC LIST'!O476</f>
        <v>%</v>
      </c>
      <c r="AZ15" s="68" t="str">
        <f>'PC LIST'!B508</f>
        <v>PR14YKYWSW_WD1</v>
      </c>
      <c r="BA15" s="68" t="str">
        <f>'PC LIST'!I508</f>
        <v>WD1: Proportion of energy use generated by renewable technology (note: PC is part of a total commitment at Appointee level - see also SC1 and RC1)</v>
      </c>
      <c r="BB15" s="68" t="str">
        <f>'PC LIST'!O508</f>
        <v>%</v>
      </c>
    </row>
    <row r="16" spans="1:54" ht="15.75" customHeight="1" x14ac:dyDescent="0.2">
      <c r="D16" s="68" t="str">
        <f>'PC LIST'!B29</f>
        <v>PR14ANHWSW_W-F2</v>
      </c>
      <c r="E16" s="68" t="str">
        <f>'PC LIST'!I29</f>
        <v>W-F2: Embodied carbon (% reduction from 2010 baseline)</v>
      </c>
      <c r="F16" s="68" t="str">
        <f>'PC LIST'!O29</f>
        <v>%</v>
      </c>
      <c r="G16" s="68" t="str">
        <f>'PC LIST'!B68</f>
        <v>PR14BRLWSW_H4</v>
      </c>
      <c r="H16" s="68" t="str">
        <f>'PC LIST'!I68</f>
        <v>H4: Waste disposal compliance</v>
      </c>
      <c r="I16" s="68" t="str">
        <f>'PC LIST'!O68</f>
        <v>%</v>
      </c>
      <c r="J16" s="68"/>
      <c r="K16" s="68"/>
      <c r="L16" s="68"/>
      <c r="M16" s="68" t="str">
        <f>'PC LIST'!B102</f>
        <v>PR14NESWSW_W-F1</v>
      </c>
      <c r="N16" s="69" t="str">
        <f>'PC LIST'!I102</f>
        <v>W-F1: Greenhouse gas emissions</v>
      </c>
      <c r="O16" s="69" t="str">
        <f>'PC LIST'!O102</f>
        <v>nr</v>
      </c>
      <c r="P16" s="68"/>
      <c r="Q16" s="68"/>
      <c r="S16" s="68" t="str">
        <f>'PC LIST'!B159</f>
        <v>PR14SBWHHR_A2</v>
      </c>
      <c r="T16" s="68" t="str">
        <f>'PC LIST'!I159</f>
        <v>A2: New customer relationship management (CRM) system</v>
      </c>
      <c r="U16" s="68" t="str">
        <f>'PC LIST'!O159</f>
        <v>£m</v>
      </c>
      <c r="V16" s="68" t="str">
        <f>'PC LIST'!B174</f>
        <v>PR14SESWSW_E5</v>
      </c>
      <c r="W16" s="68" t="str">
        <f>'PC LIST'!I174</f>
        <v>E5: Number of severe pollution incidents (category 3 or worse, as reported by the Environment Agency)</v>
      </c>
      <c r="X16" s="68" t="str">
        <f>'PC LIST'!O174</f>
        <v>nr</v>
      </c>
      <c r="Y16" s="68" t="str">
        <f>'PC LIST'!B195</f>
        <v>PR14SEWWSW_I1</v>
      </c>
      <c r="Z16" s="68" t="str">
        <f>'PC LIST'!I195</f>
        <v>I1: Mean zonal compliance (MZC)</v>
      </c>
      <c r="AA16" s="68" t="str">
        <f>'PC LIST'!O195</f>
        <v>%</v>
      </c>
      <c r="AB16" s="68" t="str">
        <f>'PC LIST'!B229</f>
        <v>PR14SRNWSWW_4</v>
      </c>
      <c r="AC16" s="68" t="str">
        <f>'PC LIST'!I229</f>
        <v>4: Sewer blockages</v>
      </c>
      <c r="AD16" s="68" t="str">
        <f>'PC LIST'!O229</f>
        <v>nr</v>
      </c>
      <c r="AE16" s="68" t="str">
        <f>'PC LIST'!B262</f>
        <v>PR14SSCHHR_3.2</v>
      </c>
      <c r="AF16" s="68" t="str">
        <f>'PC LIST'!I262</f>
        <v>3.2: Customer satisfaction surveys (combined company)</v>
      </c>
      <c r="AG16" s="68" t="str">
        <f>'PC LIST'!O262</f>
        <v>%</v>
      </c>
      <c r="AH16" s="68" t="str">
        <f>'PC LIST'!B277</f>
        <v>PR14SVTWSW_W-B10</v>
      </c>
      <c r="AI16" s="68" t="str">
        <f>'PC LIST'!I277</f>
        <v>W-B10 Non-delivery of the outcome of the Birmingham resilience scheme</v>
      </c>
      <c r="AJ16" s="68" t="str">
        <f>'PC LIST'!O277</f>
        <v>text</v>
      </c>
      <c r="AK16" s="68" t="str">
        <f>'PC LIST'!B322</f>
        <v>PR14SWTWSW_W-E2</v>
      </c>
      <c r="AL16" s="70" t="str">
        <f>'PC LIST'!I322</f>
        <v>W-E2 Sustainable abstractions (Environment Agency water stress status)</v>
      </c>
      <c r="AM16" s="70" t="str">
        <f>'PC LIST'!O322</f>
        <v>category</v>
      </c>
      <c r="AN16" s="68" t="str">
        <f>'PC LIST'!B364</f>
        <v>PR14TMSWSW_WC1</v>
      </c>
      <c r="AO16" s="68" t="str">
        <f>'PC LIST'!I364</f>
        <v>WC1: Greenhouse gas emissions from water operations</v>
      </c>
      <c r="AP16" s="68" t="str">
        <f>'PC LIST'!O364</f>
        <v>nr</v>
      </c>
      <c r="AQ16" s="68" t="str">
        <f>'PC LIST'!B419</f>
        <v>PR14UUWSWW_S-A2</v>
      </c>
      <c r="AR16" s="68" t="str">
        <f>'PC LIST'!I419</f>
        <v>S-A2: Wastewater network performance index</v>
      </c>
      <c r="AS16" s="68" t="str">
        <f>'PC LIST'!O419</f>
        <v>score</v>
      </c>
      <c r="AT16" s="68" t="str">
        <f>'PC LIST'!B446</f>
        <v>PR14WSHWSWW_B3</v>
      </c>
      <c r="AU16" s="68" t="str">
        <f>'PC LIST'!I446</f>
        <v>B3: Preventing pollution - number of incidents</v>
      </c>
      <c r="AV16" s="68" t="str">
        <f>'PC LIST'!O446</f>
        <v>nr</v>
      </c>
      <c r="AW16" s="68" t="str">
        <f>'PC LIST'!B477</f>
        <v>PR14WSXWSWW_A2</v>
      </c>
      <c r="AX16" s="68" t="str">
        <f>'PC LIST'!I477</f>
        <v>A2: Beaches passing EU standards</v>
      </c>
      <c r="AY16" s="68" t="str">
        <f>'PC LIST'!O477</f>
        <v>%</v>
      </c>
      <c r="AZ16" s="68" t="str">
        <f>'PC LIST'!B509</f>
        <v>PR14YKYWSW_WD2</v>
      </c>
      <c r="BA16" s="68" t="str">
        <f>'PC LIST'!I509</f>
        <v>WD2: Proportion of waste diverted from landfill (note: PC is part of a total commitment at Appointee level - see also SC2 and RC2)</v>
      </c>
      <c r="BB16" s="68" t="str">
        <f>'PC LIST'!O509</f>
        <v>%</v>
      </c>
    </row>
    <row r="17" spans="4:54" ht="15.75" customHeight="1" x14ac:dyDescent="0.2">
      <c r="D17" s="68" t="str">
        <f>'PC LIST'!B30</f>
        <v>PR14ANHWSW_W-G1</v>
      </c>
      <c r="E17" s="68" t="str">
        <f>'PC LIST'!I30</f>
        <v>W-G1: Survey of community perception</v>
      </c>
      <c r="F17" s="68" t="str">
        <f>'PC LIST'!O30</f>
        <v>%</v>
      </c>
      <c r="G17" s="68" t="str">
        <f>'PC LIST'!B69</f>
        <v>PR14BRLHHR_G2</v>
      </c>
      <c r="H17" s="68" t="str">
        <f>'PC LIST'!I69</f>
        <v>G2: Per capita consumption (PCC), measured as litres per head per day (l/h/d)</v>
      </c>
      <c r="I17" s="68" t="str">
        <f>'PC LIST'!O69</f>
        <v>nr</v>
      </c>
      <c r="L17" s="63"/>
      <c r="M17" s="68" t="str">
        <f>'PC LIST'!B103</f>
        <v>PR14NESWSW_W-F2</v>
      </c>
      <c r="N17" s="69" t="str">
        <f>'PC LIST'!I103</f>
        <v>W-F2: Annual environmental performance report</v>
      </c>
      <c r="O17" s="69" t="str">
        <f>'PC LIST'!O103</f>
        <v>TBC</v>
      </c>
      <c r="S17" s="68" t="str">
        <f>'PC LIST'!B160</f>
        <v>PR14SBWHHR_B1</v>
      </c>
      <c r="T17" s="68" t="str">
        <f>'PC LIST'!I160</f>
        <v>B1: Fair customer bills (efficient debt management: % of average bill)</v>
      </c>
      <c r="U17" s="68" t="str">
        <f>'PC LIST'!O160</f>
        <v>%</v>
      </c>
      <c r="V17" s="68" t="str">
        <f>'PC LIST'!B175</f>
        <v>PR14SESWSW_E6</v>
      </c>
      <c r="W17" s="68" t="str">
        <f>'PC LIST'!I175</f>
        <v>E6: Environmental investigations or catchment management schemes carried out as part of the NEP</v>
      </c>
      <c r="X17" s="68" t="str">
        <f>'PC LIST'!O175</f>
        <v>nr</v>
      </c>
      <c r="Y17" s="68" t="str">
        <f>'PC LIST'!B196</f>
        <v>PR14SEWWSW_J1</v>
      </c>
      <c r="Z17" s="68" t="str">
        <f>'PC LIST'!I196</f>
        <v>J1: Number of breaches of abstraction licences, discharge consents and environmental permits</v>
      </c>
      <c r="AA17" s="68" t="str">
        <f>'PC LIST'!O196</f>
        <v>nr</v>
      </c>
      <c r="AB17" s="68" t="str">
        <f>'PC LIST'!B230</f>
        <v>PR14SRNWSWW_5</v>
      </c>
      <c r="AC17" s="68" t="str">
        <f>'PC LIST'!I230</f>
        <v>5: Odour complaints (Portswood and Tonbridge treatment works)</v>
      </c>
      <c r="AD17" s="68" t="str">
        <f>'PC LIST'!O230</f>
        <v>nr</v>
      </c>
      <c r="AE17" s="68" t="str">
        <f>'PC LIST'!B263</f>
        <v>PR14SSCHHR_3.3</v>
      </c>
      <c r="AF17" s="68" t="str">
        <f>'PC LIST'!I263</f>
        <v>3.3: Community engagement (combined company)</v>
      </c>
      <c r="AG17" s="68" t="str">
        <f>'PC LIST'!O263</f>
        <v>nr</v>
      </c>
      <c r="AH17" s="68" t="str">
        <f>'PC LIST'!B278</f>
        <v>PR14SVTWSW_W-B11</v>
      </c>
      <c r="AI17" s="68" t="str">
        <f>'PC LIST'!I278</f>
        <v>W-B11 Timing delays on community risk schemes</v>
      </c>
      <c r="AJ17" s="68" t="str">
        <f>'PC LIST'!O278</f>
        <v>text</v>
      </c>
      <c r="AK17" s="68" t="str">
        <f>'PC LIST'!B323</f>
        <v>PR14SWTWSW_W-E3a</v>
      </c>
      <c r="AL17" s="70" t="str">
        <f>'PC LIST'!I323</f>
        <v>W-E3a Catchment management (number of acres)</v>
      </c>
      <c r="AM17" s="70" t="str">
        <f>'PC LIST'!O323</f>
        <v>nr</v>
      </c>
      <c r="AN17" s="68" t="str">
        <f>'PC LIST'!B365</f>
        <v>PR14TMSWSW_WC2</v>
      </c>
      <c r="AO17" s="68" t="str">
        <f>'PC LIST'!I365</f>
        <v>WC2: Leakage</v>
      </c>
      <c r="AP17" s="68" t="str">
        <f>'PC LIST'!O365</f>
        <v>nr</v>
      </c>
      <c r="AQ17" s="68" t="str">
        <f>'PC LIST'!B420</f>
        <v>PR14UUWSWW_S-B1</v>
      </c>
      <c r="AR17" s="68" t="str">
        <f>'PC LIST'!I420</f>
        <v>S-B1: Future flood risk</v>
      </c>
      <c r="AS17" s="68" t="str">
        <f>'PC LIST'!O420</f>
        <v>nr</v>
      </c>
      <c r="AT17" s="68" t="str">
        <f>'PC LIST'!B447</f>
        <v>PR14WSHWSWW_C1</v>
      </c>
      <c r="AU17" s="68" t="str">
        <f>'PC LIST'!I447</f>
        <v>C1: Adapting to climate change - the volume of surface water removed from the system, expressed in number of properties equivalent</v>
      </c>
      <c r="AV17" s="68" t="str">
        <f>'PC LIST'!O447</f>
        <v>nr</v>
      </c>
      <c r="AW17" s="68" t="str">
        <f>'PC LIST'!B478</f>
        <v>PR14WSXWSWW_B1</v>
      </c>
      <c r="AX17" s="68" t="str">
        <f>'PC LIST'!I478</f>
        <v>B1: The EA’s Environmental Performance Assessment (reward mechanism based on pollution incidents)</v>
      </c>
      <c r="AY17" s="68" t="str">
        <f>'PC LIST'!O478</f>
        <v>text</v>
      </c>
      <c r="AZ17" s="68" t="str">
        <f>'PC LIST'!B510</f>
        <v>PR14YKYWSWW_SA1</v>
      </c>
      <c r="BA17" s="68" t="str">
        <f>'PC LIST'!I510</f>
        <v>SA1: Internal sewer flooding incidents</v>
      </c>
      <c r="BB17" s="68" t="str">
        <f>'PC LIST'!O510</f>
        <v>nr</v>
      </c>
    </row>
    <row r="18" spans="4:54" ht="15.75" customHeight="1" x14ac:dyDescent="0.2">
      <c r="D18" s="68" t="str">
        <f>'PC LIST'!B31</f>
        <v>PR14ANHWSW_W-H1</v>
      </c>
      <c r="E18" s="68" t="str">
        <f>'PC LIST'!I31</f>
        <v>W-H1: Water infrastructure</v>
      </c>
      <c r="F18" s="68" t="str">
        <f>'PC LIST'!O31</f>
        <v>category</v>
      </c>
      <c r="G18" s="68" t="str">
        <f>'PC LIST'!B70</f>
        <v>PR14BRLHHR_I1</v>
      </c>
      <c r="H18" s="68" t="str">
        <f>'PC LIST'!I70</f>
        <v>I1: Percentage of customers in water poverty</v>
      </c>
      <c r="I18" s="68" t="str">
        <f>'PC LIST'!O70</f>
        <v>%</v>
      </c>
      <c r="L18" s="63"/>
      <c r="M18" s="68" t="str">
        <f>'PC LIST'!B104</f>
        <v>PR14NESWSWW_S-A1</v>
      </c>
      <c r="N18" s="69" t="str">
        <f>'PC LIST'!I104</f>
        <v>S-A1: Asset health measures - wastewater</v>
      </c>
      <c r="O18" s="69" t="str">
        <f>'PC LIST'!O104</f>
        <v>N/A</v>
      </c>
      <c r="S18" s="68"/>
      <c r="T18" s="68"/>
      <c r="V18" s="68" t="str">
        <f>'PC LIST'!B176</f>
        <v>PR14SESHHR_B1</v>
      </c>
      <c r="W18" s="68" t="str">
        <f>'PC LIST'!I176</f>
        <v>B1: Number of customers that are in water poverty and receiving assistance</v>
      </c>
      <c r="X18" s="68" t="str">
        <f>'PC LIST'!O176</f>
        <v>nr</v>
      </c>
      <c r="Y18" s="68" t="str">
        <f>'PC LIST'!B197</f>
        <v>PR14SEWWSW_J2</v>
      </c>
      <c r="Z18" s="68" t="str">
        <f>'PC LIST'!I197</f>
        <v>J2: Number of pollution incidents (category 1-2)</v>
      </c>
      <c r="AA18" s="68" t="str">
        <f>'PC LIST'!O197</f>
        <v>nr</v>
      </c>
      <c r="AB18" s="68" t="str">
        <f>'PC LIST'!B231</f>
        <v>PR14SRNWSWW_6</v>
      </c>
      <c r="AC18" s="68" t="str">
        <f>'PC LIST'!I231</f>
        <v>6: Wastewater treatment works numeric compliance</v>
      </c>
      <c r="AD18" s="68" t="str">
        <f>'PC LIST'!O231</f>
        <v>%</v>
      </c>
      <c r="AE18" s="68"/>
      <c r="AF18" s="68"/>
      <c r="AG18" s="68"/>
      <c r="AH18" s="68" t="str">
        <f>'PC LIST'!B279</f>
        <v>PR14SVTWSW_W-B12</v>
      </c>
      <c r="AI18" s="68" t="str">
        <f>'PC LIST'!I279</f>
        <v>W-B12 Non-delivery of the community risk schemes</v>
      </c>
      <c r="AJ18" s="68" t="str">
        <f>'PC LIST'!O279</f>
        <v>text</v>
      </c>
      <c r="AK18" s="68" t="str">
        <f>'PC LIST'!B324</f>
        <v>PR14SWTWSW_W-E3b</v>
      </c>
      <c r="AL18" s="70" t="str">
        <f>'PC LIST'!I324</f>
        <v>W-E3b Catchment management (number of farms)</v>
      </c>
      <c r="AM18" s="70" t="str">
        <f>'PC LIST'!O324</f>
        <v>nr</v>
      </c>
      <c r="AN18" s="68" t="str">
        <f>'PC LIST'!B366</f>
        <v>PR14TMSWSW_WC3</v>
      </c>
      <c r="AO18" s="68" t="str">
        <f>'PC LIST'!I366</f>
        <v xml:space="preserve">WC3: Abstraction Incentive Mechanism (AIM) </v>
      </c>
      <c r="AP18" s="68" t="str">
        <f>'PC LIST'!O366</f>
        <v>TBC</v>
      </c>
      <c r="AQ18" s="68" t="str">
        <f>'PC LIST'!B421</f>
        <v>PR14UUWSWW_S-B2</v>
      </c>
      <c r="AR18" s="68" t="str">
        <f>'PC LIST'!I421</f>
        <v>S-B2: Sewer flooding index</v>
      </c>
      <c r="AS18" s="68" t="str">
        <f>'PC LIST'!O421</f>
        <v>score</v>
      </c>
      <c r="AT18" s="68" t="str">
        <f>'PC LIST'!B448</f>
        <v>PR14WSHWSWW_C2</v>
      </c>
      <c r="AU18" s="68" t="str">
        <f>'PC LIST'!I448</f>
        <v>C2: Carbon footprint - gigawatt-hours (GWh) of renewable energy generated</v>
      </c>
      <c r="AV18" s="68" t="str">
        <f>'PC LIST'!O448</f>
        <v>nr</v>
      </c>
      <c r="AW18" s="68" t="str">
        <f>'PC LIST'!B479</f>
        <v>PR14WSXWSWW_B2</v>
      </c>
      <c r="AX18" s="68" t="str">
        <f>'PC LIST'!I479</f>
        <v>B2: Monitoring CSOs</v>
      </c>
      <c r="AY18" s="68" t="str">
        <f>'PC LIST'!O479</f>
        <v>%</v>
      </c>
      <c r="AZ18" s="68" t="str">
        <f>'PC LIST'!B511</f>
        <v>PR14YKYWSWW_SA2</v>
      </c>
      <c r="BA18" s="68" t="str">
        <f>'PC LIST'!I511</f>
        <v>SA2: External sewer flooding incidents</v>
      </c>
      <c r="BB18" s="68" t="str">
        <f>'PC LIST'!O511</f>
        <v>nr</v>
      </c>
    </row>
    <row r="19" spans="4:54" ht="15.75" customHeight="1" x14ac:dyDescent="0.2">
      <c r="D19" s="68" t="str">
        <f>'PC LIST'!B32</f>
        <v>PR14ANHWSW_W-H2</v>
      </c>
      <c r="E19" s="68" t="str">
        <f>'PC LIST'!I32</f>
        <v>W-H2: Water non-infrastructure</v>
      </c>
      <c r="F19" s="68" t="str">
        <f>'PC LIST'!O32</f>
        <v>category</v>
      </c>
      <c r="G19" s="68" t="str">
        <f>'PC LIST'!B71</f>
        <v>PR14BRLHHR_J1</v>
      </c>
      <c r="H19" s="68" t="str">
        <f>'PC LIST'!I71</f>
        <v>J1: Service incentive mechanism (SIM)</v>
      </c>
      <c r="I19" s="68" t="str">
        <f>'PC LIST'!O71</f>
        <v>text</v>
      </c>
      <c r="L19" s="63"/>
      <c r="M19" s="68" t="str">
        <f>'PC LIST'!B105</f>
        <v>PR14NESWSWW_S-B1</v>
      </c>
      <c r="N19" s="69" t="str">
        <f>'PC LIST'!I105</f>
        <v>S-B1: Properties flooded externally</v>
      </c>
      <c r="O19" s="69" t="str">
        <f>'PC LIST'!O105</f>
        <v>nr</v>
      </c>
      <c r="V19" s="68" t="str">
        <f>'PC LIST'!B177</f>
        <v>PR14SESHHR_B2</v>
      </c>
      <c r="W19" s="68" t="str">
        <f>'PC LIST'!I177</f>
        <v>B2: Effectiveness of bad debt recovery (bad debt expressed as a percentage of turnover)</v>
      </c>
      <c r="X19" s="68" t="str">
        <f>'PC LIST'!O177</f>
        <v>%</v>
      </c>
      <c r="Y19" s="68" t="str">
        <f>'PC LIST'!B198</f>
        <v>PR14SEWWSW_K1</v>
      </c>
      <c r="Z19" s="68" t="str">
        <f>'PC LIST'!I198</f>
        <v>K1: Number of breaches of health and safety regulations, as defined by the Health and Safety Executive</v>
      </c>
      <c r="AA19" s="68" t="str">
        <f>'PC LIST'!O198</f>
        <v>nr</v>
      </c>
      <c r="AB19" s="68" t="str">
        <f>'PC LIST'!B232</f>
        <v>PR14SRNWSWW_7</v>
      </c>
      <c r="AC19" s="68" t="str">
        <f>'PC LIST'!I232</f>
        <v>7: Proportion of energy from renewable sources</v>
      </c>
      <c r="AD19" s="68" t="str">
        <f>'PC LIST'!O232</f>
        <v>%</v>
      </c>
      <c r="AG19" s="63"/>
      <c r="AH19" s="68" t="str">
        <f>'PC LIST'!B280</f>
        <v>PR14SVTWSW_W-B13</v>
      </c>
      <c r="AI19" s="68" t="str">
        <f>'PC LIST'!I280</f>
        <v xml:space="preserve">W-B13 Timing delays on Elan Valley Aqueduct (EVA) maintenance </v>
      </c>
      <c r="AJ19" s="68" t="str">
        <f>'PC LIST'!O280</f>
        <v>text</v>
      </c>
      <c r="AK19" s="68" t="str">
        <f>'PC LIST'!B325</f>
        <v>PR14SWTWSW_W-E4</v>
      </c>
      <c r="AL19" s="70" t="str">
        <f>'PC LIST'!I325</f>
        <v>W-E4 Pollution incidents (category 1 and 2)</v>
      </c>
      <c r="AM19" s="70" t="str">
        <f>'PC LIST'!O325</f>
        <v>nr</v>
      </c>
      <c r="AN19" s="68" t="str">
        <f>'PC LIST'!B367</f>
        <v>PR14TMSWSW_WC4</v>
      </c>
      <c r="AO19" s="68" t="str">
        <f>'PC LIST'!I367</f>
        <v>WC4: We will educate our existing and future customers</v>
      </c>
      <c r="AP19" s="68" t="str">
        <f>'PC LIST'!O367</f>
        <v>nr</v>
      </c>
      <c r="AQ19" s="68" t="str">
        <f>'PC LIST'!B422</f>
        <v>PR14UUWSWW_S-C1</v>
      </c>
      <c r="AR19" s="68" t="str">
        <f>'PC LIST'!I422</f>
        <v>S-C1: Contribution to bathing waters improved (includes NEP phase 3&amp;4 bathing water intermittent discharge projects)</v>
      </c>
      <c r="AS19" s="68" t="str">
        <f>'PC LIST'!O422</f>
        <v>nr</v>
      </c>
      <c r="AT19" s="68" t="str">
        <f>'PC LIST'!B449</f>
        <v>PR14WSHWSWW_D1</v>
      </c>
      <c r="AU19" s="68" t="str">
        <f>'PC LIST'!I449</f>
        <v>D1: Service incentive mechanism</v>
      </c>
      <c r="AV19" s="68" t="str">
        <f>'PC LIST'!O449</f>
        <v>text</v>
      </c>
      <c r="AW19" s="68" t="str">
        <f>'PC LIST'!B480</f>
        <v>PR14WSXWSWW_B3</v>
      </c>
      <c r="AX19" s="68" t="str">
        <f>'PC LIST'!I480</f>
        <v>B3: River water quality improved</v>
      </c>
      <c r="AY19" s="68" t="str">
        <f>'PC LIST'!O480</f>
        <v>nr</v>
      </c>
      <c r="AZ19" s="68" t="str">
        <f>'PC LIST'!B512</f>
        <v>PR14YKYWSWW_SA3a</v>
      </c>
      <c r="BA19" s="68" t="str">
        <f>'PC LIST'!I512</f>
        <v>SA3a: Pollution incidents - category 1 and 2</v>
      </c>
      <c r="BB19" s="68" t="str">
        <f>'PC LIST'!O512</f>
        <v>nr</v>
      </c>
    </row>
    <row r="20" spans="4:54" ht="15.75" customHeight="1" x14ac:dyDescent="0.2">
      <c r="D20" s="68" t="str">
        <f>'PC LIST'!B33</f>
        <v>PR14ANHWSW_W-I1</v>
      </c>
      <c r="E20" s="68" t="str">
        <f>'PC LIST'!I33</f>
        <v>W-I1: Mean zonal compliance (MZC)</v>
      </c>
      <c r="F20" s="68" t="str">
        <f>'PC LIST'!O33</f>
        <v>%</v>
      </c>
      <c r="G20" s="68" t="str">
        <f>'PC LIST'!B72</f>
        <v>PR14BRLHHR_J2</v>
      </c>
      <c r="H20" s="68" t="str">
        <f>'PC LIST'!I72</f>
        <v>J2: General satisfaction from surveys</v>
      </c>
      <c r="I20" s="68" t="str">
        <f>'PC LIST'!O72</f>
        <v>%</v>
      </c>
      <c r="M20" s="68" t="str">
        <f>'PC LIST'!B106</f>
        <v>PR14NESWSWW_S-B2</v>
      </c>
      <c r="N20" s="69" t="str">
        <f>'PC LIST'!I106</f>
        <v>S-B2: Properties flooded internally</v>
      </c>
      <c r="O20" s="69" t="str">
        <f>'PC LIST'!O106</f>
        <v>nr</v>
      </c>
      <c r="V20" s="68" t="str">
        <f>'PC LIST'!B178</f>
        <v>PR14SESHHR_B3</v>
      </c>
      <c r="W20" s="68" t="str">
        <f>'PC LIST'!I178</f>
        <v>B3: Customer perception of value for money</v>
      </c>
      <c r="X20" s="68" t="str">
        <f>'PC LIST'!O178</f>
        <v>%</v>
      </c>
      <c r="Y20" s="68" t="str">
        <f>'PC LIST'!B199</f>
        <v>PR14SEWWSW_L1</v>
      </c>
      <c r="Z20" s="68" t="str">
        <f>'PC LIST'!I199</f>
        <v>L1: Number of breaches of National Security obligations (Security and Emergency Measures Direction)</v>
      </c>
      <c r="AA20" s="68" t="str">
        <f>'PC LIST'!O199</f>
        <v>nr</v>
      </c>
      <c r="AB20" s="68" t="str">
        <f>'PC LIST'!B233</f>
        <v>PR14SRNWSWW_8</v>
      </c>
      <c r="AC20" s="68" t="str">
        <f>'PC LIST'!I233</f>
        <v>8: Bathing waters with ‘excellent’ water quality (part 1)</v>
      </c>
      <c r="AD20" s="68" t="str">
        <f>'PC LIST'!O233</f>
        <v>nr</v>
      </c>
      <c r="AG20" s="63"/>
      <c r="AH20" s="68" t="str">
        <f>'PC LIST'!B281</f>
        <v>PR14SVTWSW_W-B14</v>
      </c>
      <c r="AI20" s="68" t="str">
        <f>'PC LIST'!I281</f>
        <v>W-B14 Non-delivery of the Elan Valley Aqueduct (EVA) maintenance</v>
      </c>
      <c r="AJ20" s="68" t="str">
        <f>'PC LIST'!O281</f>
        <v>text</v>
      </c>
      <c r="AK20" s="68" t="str">
        <f>'PC LIST'!B326</f>
        <v>PR14SWTWSW_W-E5</v>
      </c>
      <c r="AL20" s="70" t="str">
        <f>'PC LIST'!I326</f>
        <v>W-E5 Pollution incidents (category 3 and 4)</v>
      </c>
      <c r="AM20" s="70" t="str">
        <f>'PC LIST'!O326</f>
        <v>nr</v>
      </c>
      <c r="AN20" s="68" t="str">
        <f>'PC LIST'!B368</f>
        <v>PR14TMSWSW_WC5</v>
      </c>
      <c r="AO20" s="68" t="str">
        <f>'PC LIST'!I368</f>
        <v>WC5: Deliver 100% of agreed measures to meet new environmental regulations</v>
      </c>
      <c r="AP20" s="68" t="str">
        <f>'PC LIST'!O368</f>
        <v>%</v>
      </c>
      <c r="AQ20" s="68" t="str">
        <f>'PC LIST'!B423</f>
        <v>PR14UUWSWW_S-D1</v>
      </c>
      <c r="AR20" s="68" t="str">
        <f>'PC LIST'!I423</f>
        <v>S-D1: Protecting rivers from deterioration due to population growth (includes Davyhulme non-delivery penalty)</v>
      </c>
      <c r="AS20" s="68" t="str">
        <f>'PC LIST'!O423</f>
        <v>nr</v>
      </c>
      <c r="AT20" s="68" t="str">
        <f>'PC LIST'!B450</f>
        <v>PR14WSHWSWW_D2</v>
      </c>
      <c r="AU20" s="68" t="str">
        <f>'PC LIST'!I450</f>
        <v>D2: ‘At risk’ customer services - number of customers who have experienced poor service</v>
      </c>
      <c r="AV20" s="68" t="str">
        <f>'PC LIST'!O450</f>
        <v>nr</v>
      </c>
      <c r="AW20" s="68" t="str">
        <f>'PC LIST'!B481</f>
        <v>PR14WSXWSWW_C1</v>
      </c>
      <c r="AX20" s="68" t="str">
        <f>'PC LIST'!I481</f>
        <v>C1: Internal flooding incidents</v>
      </c>
      <c r="AY20" s="68" t="str">
        <f>'PC LIST'!O481</f>
        <v>nr</v>
      </c>
      <c r="AZ20" s="68" t="str">
        <f>'PC LIST'!B513</f>
        <v>PR14YKYWSWW_SA3b</v>
      </c>
      <c r="BA20" s="68" t="str">
        <f>'PC LIST'!I513</f>
        <v>SA3b: Pollution incidents - category 3</v>
      </c>
      <c r="BB20" s="68" t="str">
        <f>'PC LIST'!O513</f>
        <v>nr</v>
      </c>
    </row>
    <row r="21" spans="4:54" ht="15.75" customHeight="1" x14ac:dyDescent="0.2">
      <c r="D21" s="68" t="str">
        <f>'PC LIST'!B34</f>
        <v>PR14ANHWSWW_S-A2</v>
      </c>
      <c r="E21" s="68" t="str">
        <f>'PC LIST'!I34</f>
        <v>S-A2: Properties flooded internally from sewers - three-year average (reduction)</v>
      </c>
      <c r="F21" s="68" t="str">
        <f>'PC LIST'!O34</f>
        <v>nr</v>
      </c>
      <c r="G21" s="68" t="str">
        <f>'PC LIST'!B73</f>
        <v>PR14BRLHHR_J3</v>
      </c>
      <c r="H21" s="68" t="str">
        <f>'PC LIST'!I73</f>
        <v>J3: Value for money</v>
      </c>
      <c r="I21" s="68" t="str">
        <f>'PC LIST'!O73</f>
        <v>%</v>
      </c>
      <c r="M21" s="68" t="str">
        <f>'PC LIST'!B107</f>
        <v>PR14NESWSWW_S-B3</v>
      </c>
      <c r="N21" s="69" t="str">
        <f>'PC LIST'!I107</f>
        <v>S-B3: Repeat sewer flooding</v>
      </c>
      <c r="O21" s="69" t="str">
        <f>'PC LIST'!O107</f>
        <v>nr</v>
      </c>
      <c r="V21" s="68" t="str">
        <f>'PC LIST'!B179</f>
        <v>PR14SESHHR_D1</v>
      </c>
      <c r="W21" s="68" t="str">
        <f>'PC LIST'!I179</f>
        <v>D1: Customer satisfaction (level of satisfaction in response to the tracker survey (overall quality score))</v>
      </c>
      <c r="X21" s="68" t="str">
        <f>'PC LIST'!O179</f>
        <v>%</v>
      </c>
      <c r="Y21" s="68" t="str">
        <f>'PC LIST'!B200</f>
        <v>PR14SEWWSW_M1</v>
      </c>
      <c r="Z21" s="68" t="str">
        <f>'PC LIST'!I200</f>
        <v>M1: Number of compliance breaches with statutory obligations and licence conditions, not already reported in performance on outcomes I through to K</v>
      </c>
      <c r="AA21" s="68" t="str">
        <f>'PC LIST'!O200</f>
        <v>nr</v>
      </c>
      <c r="AB21" s="68" t="str">
        <f>'PC LIST'!B234</f>
        <v>PR14SRNWSWW_9</v>
      </c>
      <c r="AC21" s="68" t="str">
        <f>'PC LIST'!I234</f>
        <v>9: Bathing waters with ‘excellent’ water quality (part 2)</v>
      </c>
      <c r="AD21" s="68" t="str">
        <f>'PC LIST'!O234</f>
        <v>nr</v>
      </c>
      <c r="AG21" s="63"/>
      <c r="AH21" s="68" t="str">
        <f>'PC LIST'!B282</f>
        <v>PR14SVTWSW_W-C1</v>
      </c>
      <c r="AI21" s="68" t="str">
        <f>'PC LIST'!I282</f>
        <v>W-C1: Customers rating our services as good value for money (based on tracker survey)</v>
      </c>
      <c r="AJ21" s="68" t="str">
        <f>'PC LIST'!O282</f>
        <v>%</v>
      </c>
      <c r="AK21" s="68" t="str">
        <f>'PC LIST'!B327</f>
        <v>PR14SWTWSW_W-E6</v>
      </c>
      <c r="AL21" s="70" t="str">
        <f>'PC LIST'!I327</f>
        <v>W-E6 Operational carbon emissions (ktCO2e)</v>
      </c>
      <c r="AM21" s="70" t="str">
        <f>'PC LIST'!O327</f>
        <v>nr</v>
      </c>
      <c r="AN21" s="68" t="str">
        <f>'PC LIST'!B369</f>
        <v>PR14TMSWSW_WD1</v>
      </c>
      <c r="AO21" s="68" t="str">
        <f>'PC LIST'!I369</f>
        <v>WD1: Energy imported less energy exported</v>
      </c>
      <c r="AP21" s="68" t="str">
        <f>'PC LIST'!O369</f>
        <v>nr</v>
      </c>
      <c r="AQ21" s="68" t="str">
        <f>'PC LIST'!B424</f>
        <v>PR14UUWSWW_S-D2</v>
      </c>
      <c r="AR21" s="68" t="str">
        <f>'PC LIST'!I424</f>
        <v>S-D2: Maintaining our wastewater treatment works (includes Oldham and Royton WwTWs special cost factor claims)</v>
      </c>
      <c r="AS21" s="68" t="str">
        <f>'PC LIST'!O424</f>
        <v>score</v>
      </c>
      <c r="AT21" s="68" t="str">
        <f>'PC LIST'!B451</f>
        <v>PR14WSHWSWW_D3</v>
      </c>
      <c r="AU21" s="68" t="str">
        <f>'PC LIST'!I451</f>
        <v>D3: Internal sewer flooding - properties flooded in the year</v>
      </c>
      <c r="AV21" s="68" t="str">
        <f>'PC LIST'!O451</f>
        <v>nr</v>
      </c>
      <c r="AW21" s="68" t="str">
        <f>'PC LIST'!B482</f>
        <v>PR14WSXWSWW_C2</v>
      </c>
      <c r="AX21" s="68" t="str">
        <f>'PC LIST'!I482</f>
        <v>C2: Risk of flooding from public sewers due to hydraulic inadequacy</v>
      </c>
      <c r="AY21" s="68" t="str">
        <f>'PC LIST'!O482</f>
        <v>nr</v>
      </c>
      <c r="AZ21" s="68" t="str">
        <f>'PC LIST'!B514</f>
        <v>PR14YKYWSWW_SA4</v>
      </c>
      <c r="BA21" s="68" t="str">
        <f>'PC LIST'!I514</f>
        <v>SA4: Sewer network stability and reliability factor</v>
      </c>
      <c r="BB21" s="68" t="str">
        <f>'PC LIST'!O514</f>
        <v>category</v>
      </c>
    </row>
    <row r="22" spans="4:54" ht="15.75" customHeight="1" x14ac:dyDescent="0.2">
      <c r="D22" s="68" t="str">
        <f>'PC LIST'!B35</f>
        <v>PR14ANHWSWW_S-A3</v>
      </c>
      <c r="E22" s="68" t="str">
        <f>'PC LIST'!I35</f>
        <v>S-A3: Properties flooded externally from sewers - three-year average (reduction)</v>
      </c>
      <c r="F22" s="68" t="str">
        <f>'PC LIST'!O35</f>
        <v>nr</v>
      </c>
      <c r="G22" s="68" t="str">
        <f>'PC LIST'!B74</f>
        <v>PR14BRLHHR_K1</v>
      </c>
      <c r="H22" s="68" t="str">
        <f>'PC LIST'!I74</f>
        <v>K1: Ease of contact from surveys</v>
      </c>
      <c r="I22" s="68" t="str">
        <f>'PC LIST'!O74</f>
        <v>%</v>
      </c>
      <c r="M22" s="68" t="str">
        <f>'PC LIST'!B108</f>
        <v>PR14NESWSWW_S-B4</v>
      </c>
      <c r="N22" s="69" t="str">
        <f>'PC LIST'!I108</f>
        <v>S-B4: Sewer collapses</v>
      </c>
      <c r="O22" s="69" t="str">
        <f>'PC LIST'!O108</f>
        <v>nr</v>
      </c>
      <c r="V22" s="68" t="str">
        <f>'PC LIST'!B180</f>
        <v>PR14SESHHR_D2</v>
      </c>
      <c r="W22" s="68" t="str">
        <f>'PC LIST'!I180</f>
        <v>D2: Service incentive mechanism (SIM)</v>
      </c>
      <c r="X22" s="68" t="str">
        <f>'PC LIST'!O180</f>
        <v>score</v>
      </c>
      <c r="Y22" s="68" t="str">
        <f>'PC LIST'!B201</f>
        <v>PR14SEWWSW_N1</v>
      </c>
      <c r="Z22" s="68" t="str">
        <f>'PC LIST'!I201</f>
        <v>N1: Discolouration contacts</v>
      </c>
      <c r="AA22" s="68" t="str">
        <f>'PC LIST'!O201</f>
        <v>nr</v>
      </c>
      <c r="AB22" s="68" t="str">
        <f>'PC LIST'!B235</f>
        <v>PR14SRNWSWW_10</v>
      </c>
      <c r="AC22" s="68" t="str">
        <f>'PC LIST'!I235</f>
        <v>10: Bathing waters with ‘excellent’ water quality (part 3)</v>
      </c>
      <c r="AD22" s="68" t="str">
        <f>'PC LIST'!O235</f>
        <v>£m</v>
      </c>
      <c r="AG22" s="63"/>
      <c r="AH22" s="68" t="str">
        <f>'PC LIST'!B283</f>
        <v>PR14SVTWSW_W-D1</v>
      </c>
      <c r="AI22" s="68" t="str">
        <f>'PC LIST'!I283</f>
        <v>W-D1: Improvements in river water quality against WFD criteria</v>
      </c>
      <c r="AJ22" s="68" t="str">
        <f>'PC LIST'!O283</f>
        <v>nr</v>
      </c>
      <c r="AK22" s="68" t="str">
        <f>'PC LIST'!B328</f>
        <v>PR14SWTWSW_W-E7</v>
      </c>
      <c r="AL22" s="70" t="str">
        <f>'PC LIST'!I328</f>
        <v>W-E7 Energy from renewable sources (%)</v>
      </c>
      <c r="AM22" s="70" t="str">
        <f>'PC LIST'!O328</f>
        <v>%</v>
      </c>
      <c r="AN22" s="68" t="str">
        <f>'PC LIST'!B370</f>
        <v>PR14TMSWSWW_SA1</v>
      </c>
      <c r="AO22" s="68" t="str">
        <f>'PC LIST'!I370</f>
        <v>SA1: Improve handling of written complaints by increasing first time resolution</v>
      </c>
      <c r="AP22" s="68" t="str">
        <f>'PC LIST'!O370</f>
        <v>%</v>
      </c>
      <c r="AQ22" s="68" t="str">
        <f>'PC LIST'!B425</f>
        <v>PR14UUWSWW_S-D3</v>
      </c>
      <c r="AR22" s="68" t="str">
        <f>'PC LIST'!I425</f>
        <v>S-D3: Contribution to rivers improved - wastewater programme (includes Oldham, Royton and Windermere)</v>
      </c>
      <c r="AS22" s="68" t="str">
        <f>'PC LIST'!O425</f>
        <v>nr</v>
      </c>
      <c r="AT22" s="68" t="str">
        <f>'PC LIST'!B452</f>
        <v>PR14WSHWSWW_D5</v>
      </c>
      <c r="AU22" s="68" t="str">
        <f>'PC LIST'!I452</f>
        <v>D5: Earning the trust of customers  - % of customers surveyed that say they trust the company</v>
      </c>
      <c r="AV22" s="68" t="str">
        <f>'PC LIST'!O452</f>
        <v>%</v>
      </c>
      <c r="AW22" s="68" t="str">
        <f>'PC LIST'!B483</f>
        <v>PR14WSXWSWW_C3a</v>
      </c>
      <c r="AX22" s="68" t="str">
        <f>'PC LIST'!I483</f>
        <v>C3a: North Bristol Sewer Scheme - Frome catchment</v>
      </c>
      <c r="AY22" s="68" t="str">
        <f>'PC LIST'!O483</f>
        <v>text</v>
      </c>
      <c r="AZ22" s="68" t="str">
        <f>'PC LIST'!B515</f>
        <v>PR14YKYWSWW_SB1</v>
      </c>
      <c r="BA22" s="68" t="str">
        <f>'PC LIST'!I515</f>
        <v>SB1: Number of Yorkshire's designated bathing waters that exceed the required quality standard</v>
      </c>
      <c r="BB22" s="68" t="str">
        <f>'PC LIST'!O515</f>
        <v>nr</v>
      </c>
    </row>
    <row r="23" spans="4:54" ht="15.75" customHeight="1" x14ac:dyDescent="0.2">
      <c r="D23" s="68" t="str">
        <f>'PC LIST'!B36</f>
        <v>PR14ANHWSWW_S-A4</v>
      </c>
      <c r="E23" s="68" t="str">
        <f>'PC LIST'!I36</f>
        <v>S-A4: Percentage of sewerage capacity schemes incorporating sustainable solutions</v>
      </c>
      <c r="F23" s="68" t="str">
        <f>'PC LIST'!O36</f>
        <v>%</v>
      </c>
      <c r="G23" s="68" t="str">
        <f>'PC LIST'!B75</f>
        <v>PR14BRLHHR_L1</v>
      </c>
      <c r="H23" s="68" t="str">
        <f>'PC LIST'!I75</f>
        <v>L1: Negative billing contacts</v>
      </c>
      <c r="I23" s="68" t="str">
        <f>'PC LIST'!O75</f>
        <v>nr</v>
      </c>
      <c r="M23" s="68" t="str">
        <f>'PC LIST'!B109</f>
        <v>PR14NESWSWW_S-B5</v>
      </c>
      <c r="N23" s="69" t="str">
        <f>'PC LIST'!I109</f>
        <v>S-B5: Transferred drains and sewers - internal sewer flooding</v>
      </c>
      <c r="O23" s="69" t="str">
        <f>'PC LIST'!O109</f>
        <v>nr</v>
      </c>
      <c r="V23" s="68" t="str">
        <f>'PC LIST'!B181</f>
        <v>PR14SESHHR_D3</v>
      </c>
      <c r="W23" s="68" t="str">
        <f>'PC LIST'!I181</f>
        <v>D3: Total number of complaints</v>
      </c>
      <c r="X23" s="68" t="str">
        <f>'PC LIST'!O181</f>
        <v>nr</v>
      </c>
      <c r="Y23" s="68" t="str">
        <f>'PC LIST'!B202</f>
        <v>PR14SEWWSW_N2</v>
      </c>
      <c r="Z23" s="68" t="str">
        <f>'PC LIST'!I202</f>
        <v>N2: Above ground asset performance assessment</v>
      </c>
      <c r="AA23" s="68" t="str">
        <f>'PC LIST'!O202</f>
        <v>category</v>
      </c>
      <c r="AB23" s="68" t="str">
        <f>'PC LIST'!B236</f>
        <v>PR14SRNWSWW_11</v>
      </c>
      <c r="AC23" s="68" t="str">
        <f>'PC LIST'!I236</f>
        <v>11: Serious pollution incidents (category 1 and 2 pollution incidents, as reported by the EA on MD109)</v>
      </c>
      <c r="AD23" s="68" t="str">
        <f>'PC LIST'!O236</f>
        <v>nr</v>
      </c>
      <c r="AH23" s="68" t="str">
        <f>'PC LIST'!B284</f>
        <v>PR14SVTWSW_W-D2</v>
      </c>
      <c r="AI23" s="68" t="str">
        <f>'PC LIST'!I284</f>
        <v>W-D2: Asset stewardship - environmental compliance</v>
      </c>
      <c r="AJ23" s="68" t="str">
        <f>'PC LIST'!O284</f>
        <v>%</v>
      </c>
      <c r="AK23" s="68" t="str">
        <f>'PC LIST'!B329</f>
        <v>PR14SWTWSW_W-F1</v>
      </c>
      <c r="AL23" s="70" t="str">
        <f>'PC LIST'!I329</f>
        <v>W-F1 Customers paying a metered bill</v>
      </c>
      <c r="AM23" s="70" t="str">
        <f>'PC LIST'!O329</f>
        <v>%</v>
      </c>
      <c r="AN23" s="68" t="str">
        <f>'PC LIST'!B371</f>
        <v>PR14TMSWSWW_SA2</v>
      </c>
      <c r="AO23" s="68" t="str">
        <f>'PC LIST'!I371</f>
        <v>SA2: Number of written complaints per 10,000 connected properties</v>
      </c>
      <c r="AP23" s="68" t="str">
        <f>'PC LIST'!O371</f>
        <v>nr</v>
      </c>
      <c r="AQ23" s="68" t="str">
        <f>'PC LIST'!B426</f>
        <v>PR14UUWSWW_S-D4a</v>
      </c>
      <c r="AR23" s="68" t="str">
        <f>'PC LIST'!I426</f>
        <v>S-D4a: Wastewater serious (category 1 and 2) pollution incidents</v>
      </c>
      <c r="AS23" s="68" t="str">
        <f>'PC LIST'!O426</f>
        <v>nr</v>
      </c>
      <c r="AT23" s="68" t="str">
        <f>'PC LIST'!B453</f>
        <v>PR14WSHWSWW_E1</v>
      </c>
      <c r="AU23" s="68" t="str">
        <f>'PC LIST'!I453</f>
        <v>E1: Affordable bills - annual increase</v>
      </c>
      <c r="AV23" s="68" t="str">
        <f>'PC LIST'!O453</f>
        <v>%</v>
      </c>
      <c r="AW23" s="68" t="str">
        <f>'PC LIST'!B484</f>
        <v>PR14WSXWSWW_C3b</v>
      </c>
      <c r="AX23" s="68" t="str">
        <f>'PC LIST'!I484</f>
        <v>C3b: North Bristol Sewer Scheme - Trym catchment</v>
      </c>
      <c r="AY23" s="68" t="str">
        <f>'PC LIST'!O484</f>
        <v>text</v>
      </c>
      <c r="AZ23" s="68" t="str">
        <f>'PC LIST'!B516</f>
        <v>PR14YKYWSWW_SB2</v>
      </c>
      <c r="BA23" s="68" t="str">
        <f>'PC LIST'!I516</f>
        <v>SB2: Wastewater quality stability and reliability factor</v>
      </c>
      <c r="BB23" s="68" t="str">
        <f>'PC LIST'!O516</f>
        <v>category</v>
      </c>
    </row>
    <row r="24" spans="4:54" ht="15.75" customHeight="1" x14ac:dyDescent="0.2">
      <c r="D24" s="68" t="str">
        <f>'PC LIST'!B37</f>
        <v>PR14ANHWSWW_S-B1</v>
      </c>
      <c r="E24" s="68" t="str">
        <f>'PC LIST'!I37</f>
        <v>S-B1: Value for money perception variation from baseline against WaSCs (wastewater)</v>
      </c>
      <c r="F24" s="68" t="str">
        <f>'PC LIST'!O37</f>
        <v>%</v>
      </c>
      <c r="G24" s="68"/>
      <c r="H24" s="68"/>
      <c r="I24" s="68"/>
      <c r="M24" s="68" t="str">
        <f>'PC LIST'!B110</f>
        <v>PR14NESWSWW_S-B6</v>
      </c>
      <c r="N24" s="69" t="str">
        <f>'PC LIST'!I110</f>
        <v>S-B6: Transferred drains and sewers - external sewer flooding</v>
      </c>
      <c r="O24" s="69" t="str">
        <f>'PC LIST'!O110</f>
        <v>nr</v>
      </c>
      <c r="V24" s="68"/>
      <c r="W24" s="68"/>
      <c r="X24" s="68"/>
      <c r="Y24" s="68" t="str">
        <f>'PC LIST'!B203</f>
        <v>PR14SEWWSW_N3</v>
      </c>
      <c r="Z24" s="68" t="str">
        <f>'PC LIST'!I203</f>
        <v>N3: Number of company sites at risk of flooding</v>
      </c>
      <c r="AA24" s="68" t="str">
        <f>'PC LIST'!O203</f>
        <v>nr</v>
      </c>
      <c r="AB24" s="68" t="str">
        <f>'PC LIST'!B237</f>
        <v>PR14SRNWSWW_12</v>
      </c>
      <c r="AC24" s="68" t="str">
        <f>'PC LIST'!I237</f>
        <v>12: Avoiding blocked drains</v>
      </c>
      <c r="AD24" s="68" t="str">
        <f>'PC LIST'!O237</f>
        <v>%</v>
      </c>
      <c r="AH24" s="68" t="str">
        <f>'PC LIST'!B285</f>
        <v>PR14SVTWSW_W-D3</v>
      </c>
      <c r="AI24" s="68" t="str">
        <f>'PC LIST'!I285</f>
        <v>W-D3: Biodiversity</v>
      </c>
      <c r="AJ24" s="68" t="str">
        <f>'PC LIST'!O285</f>
        <v>nr</v>
      </c>
      <c r="AK24" s="68" t="str">
        <f>'PC LIST'!B330</f>
        <v>PR14SWTWSWW_S-A1</v>
      </c>
      <c r="AL24" s="70" t="str">
        <f>'PC LIST'!I330</f>
        <v>S-A1 Internal sewer flooding incidents</v>
      </c>
      <c r="AM24" s="70" t="str">
        <f>'PC LIST'!O330</f>
        <v>nr</v>
      </c>
      <c r="AN24" s="68" t="str">
        <f>'PC LIST'!B372</f>
        <v>PR14TMSWSWW_SA3</v>
      </c>
      <c r="AO24" s="68" t="str">
        <f>'PC LIST'!I372</f>
        <v>SA3: Customer satisfaction surveys (internal CSAT monitor)</v>
      </c>
      <c r="AP24" s="68" t="str">
        <f>'PC LIST'!O372</f>
        <v>score</v>
      </c>
      <c r="AQ24" s="68" t="str">
        <f>'PC LIST'!B427</f>
        <v>PR14UUWSWW_S-D4b</v>
      </c>
      <c r="AR24" s="68" t="str">
        <f>'PC LIST'!I427</f>
        <v>S-D4b: Wastewater category 3 pollution incidents</v>
      </c>
      <c r="AS24" s="68" t="str">
        <f>'PC LIST'!O427</f>
        <v>nr</v>
      </c>
      <c r="AT24" s="68" t="str">
        <f>'PC LIST'!B454</f>
        <v>PR14WSHWSWW_F1</v>
      </c>
      <c r="AU24" s="68" t="str">
        <f>'PC LIST'!I454</f>
        <v>F1: Asset serviceability</v>
      </c>
      <c r="AV24" s="68" t="str">
        <f>'PC LIST'!O454</f>
        <v>category</v>
      </c>
      <c r="AW24" s="68" t="str">
        <f>'PC LIST'!B485</f>
        <v>PR14WSXWSWW_D1</v>
      </c>
      <c r="AX24" s="68" t="str">
        <f>'PC LIST'!I485</f>
        <v>D1: Collapses and bursts on sewer network</v>
      </c>
      <c r="AY24" s="68" t="str">
        <f>'PC LIST'!O485</f>
        <v>nr</v>
      </c>
      <c r="AZ24" s="68" t="str">
        <f>'PC LIST'!B517</f>
        <v>PR14YKYWSWW_SB3</v>
      </c>
      <c r="BA24" s="68" t="str">
        <f>'PC LIST'!I517</f>
        <v>SB3: Solutions delivered by working with others (note: PC is part of a total commitment at Appointee level - see also WC2)</v>
      </c>
      <c r="BB24" s="68" t="str">
        <f>'PC LIST'!O517</f>
        <v>nr</v>
      </c>
    </row>
    <row r="25" spans="4:54" ht="15.75" customHeight="1" x14ac:dyDescent="0.2">
      <c r="D25" s="68" t="str">
        <f>'PC LIST'!B38</f>
        <v>PR14ANHWSWW_S-C1</v>
      </c>
      <c r="E25" s="68" t="str">
        <f>'PC LIST'!I38</f>
        <v>S-C1: Percentage of bathing waters attaining excellent status</v>
      </c>
      <c r="F25" s="68" t="str">
        <f>'PC LIST'!O38</f>
        <v>%</v>
      </c>
      <c r="I25" s="63"/>
      <c r="M25" s="68" t="str">
        <f>'PC LIST'!B111</f>
        <v>PR14NESWSWW_S-B7</v>
      </c>
      <c r="N25" s="69" t="str">
        <f>'PC LIST'!I111</f>
        <v>S-B7: Transferred drains and sewers - sewer collapses</v>
      </c>
      <c r="O25" s="69" t="str">
        <f>'PC LIST'!O111</f>
        <v>nr</v>
      </c>
      <c r="X25" s="63"/>
      <c r="Y25" s="68" t="str">
        <f>'PC LIST'!B204</f>
        <v>PR14SEWWSW_N4</v>
      </c>
      <c r="Z25" s="68" t="str">
        <f>'PC LIST'!I204</f>
        <v>N4: Water mains bursts</v>
      </c>
      <c r="AA25" s="68" t="str">
        <f>'PC LIST'!O204</f>
        <v>nr</v>
      </c>
      <c r="AB25" s="68" t="str">
        <f>'PC LIST'!B238</f>
        <v>PR14SRNWSWW_13</v>
      </c>
      <c r="AC25" s="68" t="str">
        <f>'PC LIST'!I238</f>
        <v>13: Thanet sewers</v>
      </c>
      <c r="AD25" s="68" t="str">
        <f>'PC LIST'!O238</f>
        <v>text</v>
      </c>
      <c r="AH25" s="68" t="str">
        <f>'PC LIST'!B286</f>
        <v>PR14SVTWSW_W-D4</v>
      </c>
      <c r="AI25" s="68" t="str">
        <f>'PC LIST'!I286</f>
        <v>W-D4: Sites with eel protection at intakes</v>
      </c>
      <c r="AJ25" s="68" t="str">
        <f>'PC LIST'!O286</f>
        <v>nr</v>
      </c>
      <c r="AK25" s="68" t="str">
        <f>'PC LIST'!B331</f>
        <v>PR14SWTWSWW_S-A2</v>
      </c>
      <c r="AL25" s="70" t="str">
        <f>'PC LIST'!I331</f>
        <v>S-A2 External sewer flooding incidents</v>
      </c>
      <c r="AM25" s="70" t="str">
        <f>'PC LIST'!O331</f>
        <v>nr</v>
      </c>
      <c r="AN25" s="68" t="str">
        <f>'PC LIST'!B373</f>
        <v>PR14TMSWSWW_SB1</v>
      </c>
      <c r="AO25" s="68" t="str">
        <f>'PC LIST'!I373</f>
        <v>SB1: Asset health wastewater non-infrastructure</v>
      </c>
      <c r="AP25" s="68" t="str">
        <f>'PC LIST'!O373</f>
        <v>category</v>
      </c>
      <c r="AQ25" s="68" t="str">
        <f>'PC LIST'!B428</f>
        <v>PR14UUWSWW_S-D5</v>
      </c>
      <c r="AR25" s="68" t="str">
        <f>'PC LIST'!I428</f>
        <v>S-D5: Satisfactory sludge disposal</v>
      </c>
      <c r="AS25" s="68" t="str">
        <f>'PC LIST'!O428</f>
        <v>%</v>
      </c>
      <c r="AT25" s="68" t="str">
        <f>'PC LIST'!B455</f>
        <v>PR14WSHWSWW_F3</v>
      </c>
      <c r="AU25" s="68" t="str">
        <f>'PC LIST'!I455</f>
        <v>F3: Asset resilience - % of critical assets that are resilient against a set of criteria</v>
      </c>
      <c r="AV25" s="68" t="str">
        <f>'PC LIST'!O455</f>
        <v>%</v>
      </c>
      <c r="AW25" s="68" t="str">
        <f>'PC LIST'!B486</f>
        <v>PR14WSXWSWW_E1</v>
      </c>
      <c r="AX25" s="68" t="str">
        <f>'PC LIST'!I486</f>
        <v>E1: Greenhouse gas emissions (annual greenhouse gas emissions from operational services)</v>
      </c>
      <c r="AY25" s="68" t="str">
        <f>'PC LIST'!O486</f>
        <v>nr</v>
      </c>
      <c r="AZ25" s="68" t="str">
        <f>'PC LIST'!B518</f>
        <v>PR14YKYWSWW_SB4</v>
      </c>
      <c r="BA25" s="68" t="str">
        <f>'PC LIST'!I518</f>
        <v>SB4: Length of river improved (against WFD component measures) (note: PC is part of a total commitment at Appointee level - see also WC1)</v>
      </c>
      <c r="BB25" s="68" t="str">
        <f>'PC LIST'!O518</f>
        <v>nr</v>
      </c>
    </row>
    <row r="26" spans="4:54" ht="15.75" customHeight="1" x14ac:dyDescent="0.2">
      <c r="D26" s="68" t="str">
        <f>'PC LIST'!B39</f>
        <v>PR14ANHWSWW_S-C2</v>
      </c>
      <c r="E26" s="68" t="str">
        <f>'PC LIST'!I39</f>
        <v>S-C2: Percentage of SSSIs (by area) with favourable status</v>
      </c>
      <c r="F26" s="68" t="str">
        <f>'PC LIST'!O39</f>
        <v>%</v>
      </c>
      <c r="M26" s="68" t="str">
        <f>'PC LIST'!B112</f>
        <v>PR14NESWSWW_S-C1</v>
      </c>
      <c r="N26" s="69" t="str">
        <f>'PC LIST'!I112</f>
        <v>S-C1: Sewage treatment works discharge compliance</v>
      </c>
      <c r="O26" s="69" t="str">
        <f>'PC LIST'!O112</f>
        <v>nr</v>
      </c>
      <c r="X26" s="63"/>
      <c r="Y26" s="68" t="str">
        <f>'PC LIST'!B205</f>
        <v>PR14SEWWSW_O1</v>
      </c>
      <c r="Z26" s="68" t="str">
        <f>'PC LIST'!I205</f>
        <v>O1: Kg of carbon emissions per customer per year</v>
      </c>
      <c r="AA26" s="68" t="str">
        <f>'PC LIST'!O205</f>
        <v>nr</v>
      </c>
      <c r="AB26" s="68" t="str">
        <f>'PC LIST'!B239</f>
        <v>PR14SRNWSWW_14</v>
      </c>
      <c r="AC26" s="68" t="str">
        <f>'PC LIST'!I239</f>
        <v>14: Woolston STW</v>
      </c>
      <c r="AD26" s="68" t="str">
        <f>'PC LIST'!O239</f>
        <v>text</v>
      </c>
      <c r="AH26" s="68" t="str">
        <f>'PC LIST'!B287</f>
        <v>PR14SVTWSW_W-E1</v>
      </c>
      <c r="AI26" s="68" t="str">
        <f>'PC LIST'!I287</f>
        <v>W-E1: Size of our carbon footprint</v>
      </c>
      <c r="AJ26" s="68" t="str">
        <f>'PC LIST'!O287</f>
        <v>nr</v>
      </c>
      <c r="AK26" s="68" t="str">
        <f>'PC LIST'!B332</f>
        <v>PR14SWTWSWW_S-A3</v>
      </c>
      <c r="AL26" s="70" t="str">
        <f>'PC LIST'!I332</f>
        <v>S-A3 Odour contacts (wastewater treatment works)</v>
      </c>
      <c r="AM26" s="70" t="str">
        <f>'PC LIST'!O332</f>
        <v>nr</v>
      </c>
      <c r="AN26" s="68" t="str">
        <f>'PC LIST'!B374</f>
        <v>PR14TMSWSWW_SB2</v>
      </c>
      <c r="AO26" s="68" t="str">
        <f>'PC LIST'!I374</f>
        <v>SB2: Asset health wastewater infrastructure</v>
      </c>
      <c r="AP26" s="68" t="str">
        <f>'PC LIST'!O374</f>
        <v>category</v>
      </c>
      <c r="AQ26" s="68" t="str">
        <f>'PC LIST'!B429</f>
        <v>PR14UUHHR_A-1</v>
      </c>
      <c r="AR26" s="68" t="str">
        <f>'PC LIST'!I429</f>
        <v>A-1: Service incentive mechanism (SIM)</v>
      </c>
      <c r="AS26" s="68" t="str">
        <f>'PC LIST'!O429</f>
        <v>text</v>
      </c>
      <c r="AT26" s="68" t="str">
        <f>'PC LIST'!B456</f>
        <v>PR14WSHNHHR_D1</v>
      </c>
      <c r="AU26" s="68" t="str">
        <f>'PC LIST'!I456</f>
        <v>D1: Service incentive mechanism (SIM)</v>
      </c>
      <c r="AV26" s="68" t="str">
        <f>'PC LIST'!O456</f>
        <v>text</v>
      </c>
      <c r="AW26" s="68" t="str">
        <f>'PC LIST'!B487</f>
        <v>PR14WSXWSWW_E2</v>
      </c>
      <c r="AX26" s="68" t="str">
        <f>'PC LIST'!I487</f>
        <v>E2: Proportion of energy self-generated</v>
      </c>
      <c r="AY26" s="68" t="str">
        <f>'PC LIST'!O487</f>
        <v>%</v>
      </c>
      <c r="AZ26" s="68" t="str">
        <f>'PC LIST'!B519</f>
        <v>PR14YKYWSWW_SB5</v>
      </c>
      <c r="BA26" s="68" t="str">
        <f>'PC LIST'!I519</f>
        <v>SB5: Amount of land conserved and enhanced (total cumulative area) (note: PC is part of a total commitment at Appointee level - see also WC3)</v>
      </c>
      <c r="BB26" s="68" t="str">
        <f>'PC LIST'!O519</f>
        <v>nr</v>
      </c>
    </row>
    <row r="27" spans="4:54" ht="15.75" customHeight="1" x14ac:dyDescent="0.2">
      <c r="D27" s="68" t="str">
        <f>'PC LIST'!B40</f>
        <v>PR14ANHWSWW_S-C3</v>
      </c>
      <c r="E27" s="68" t="str">
        <f>'PC LIST'!I40</f>
        <v>S-C3: Pollution incidents (category 3)</v>
      </c>
      <c r="F27" s="68" t="str">
        <f>'PC LIST'!O40</f>
        <v>nr</v>
      </c>
      <c r="M27" s="68" t="str">
        <f>'PC LIST'!B113</f>
        <v>PR14NESWSWW_S-C2</v>
      </c>
      <c r="N27" s="69" t="str">
        <f>'PC LIST'!I113</f>
        <v>S-C2: Pollution incidents (category 3)</v>
      </c>
      <c r="O27" s="69" t="str">
        <f>'PC LIST'!O113</f>
        <v>nr</v>
      </c>
      <c r="X27" s="63"/>
      <c r="Y27" s="68" t="str">
        <f>'PC LIST'!B206</f>
        <v>PR14SEWWSW_O2</v>
      </c>
      <c r="Z27" s="68" t="str">
        <f>'PC LIST'!I206</f>
        <v>O2: We will monitor our abstractions at low flows at environmentally sensitive sites (in line with AIM)</v>
      </c>
      <c r="AA27" s="68" t="str">
        <f>'PC LIST'!O206</f>
        <v>TBC</v>
      </c>
      <c r="AB27" s="68" t="str">
        <f>'PC LIST'!B240</f>
        <v>PR14SRNWSWW_15</v>
      </c>
      <c r="AC27" s="68" t="str">
        <f>'PC LIST'!I240</f>
        <v>15: Millbrook sludge</v>
      </c>
      <c r="AD27" s="68" t="str">
        <f>'PC LIST'!O240</f>
        <v>nr</v>
      </c>
      <c r="AH27" s="68" t="str">
        <f>'PC LIST'!B288</f>
        <v>PR14SVTWSW_W-F1</v>
      </c>
      <c r="AI27" s="68" t="str">
        <f>'PC LIST'!I288</f>
        <v>W-F1: Improved understanding of our services through education</v>
      </c>
      <c r="AJ27" s="68" t="str">
        <f>'PC LIST'!O288</f>
        <v>nr</v>
      </c>
      <c r="AK27" s="68" t="str">
        <f>'PC LIST'!B333</f>
        <v>PR14SWTWSWW_S-A4</v>
      </c>
      <c r="AL27" s="70" t="str">
        <f>'PC LIST'!I333</f>
        <v>S-A4 Asset reliability (pipes)</v>
      </c>
      <c r="AM27" s="70" t="str">
        <f>'PC LIST'!O333</f>
        <v>category</v>
      </c>
      <c r="AN27" s="68" t="str">
        <f>'PC LIST'!B375</f>
        <v>PR14TMSWSWW_SB3</v>
      </c>
      <c r="AO27" s="68" t="str">
        <f>'PC LIST'!I375</f>
        <v>SB3: Properties protected from flooding due to rainfall (including Counters Creek project)</v>
      </c>
      <c r="AP27" s="68" t="str">
        <f>'PC LIST'!O375</f>
        <v>nr</v>
      </c>
      <c r="AQ27" s="68" t="str">
        <f>'PC LIST'!B430</f>
        <v>PR14UUHHR_R-A2</v>
      </c>
      <c r="AR27" s="68" t="str">
        <f>'PC LIST'!I430</f>
        <v>R-A2: Customer experience programme</v>
      </c>
      <c r="AS27" s="68" t="str">
        <f>'PC LIST'!O430</f>
        <v>£m</v>
      </c>
      <c r="AT27" s="68" t="str">
        <f>'PC LIST'!B457</f>
        <v>PR14WSHNHHR_D4</v>
      </c>
      <c r="AU27" s="68" t="str">
        <f>'PC LIST'!I457</f>
        <v>D4: Business customer satisfaction</v>
      </c>
      <c r="AV27" s="68" t="str">
        <f>'PC LIST'!O457</f>
        <v>%</v>
      </c>
      <c r="AW27" s="68" t="str">
        <f>'PC LIST'!B488</f>
        <v>PR14WSXHHR_A1</v>
      </c>
      <c r="AX27" s="68" t="str">
        <f>'PC LIST'!I488</f>
        <v>A1: SIM service score</v>
      </c>
      <c r="AY27" s="68" t="str">
        <f>'PC LIST'!O488</f>
        <v>score</v>
      </c>
      <c r="AZ27" s="68" t="str">
        <f>'PC LIST'!B520</f>
        <v>PR14YKYWSWW_SC1</v>
      </c>
      <c r="BA27" s="68" t="str">
        <f>'PC LIST'!I520</f>
        <v>SC1: Proportion of energy use generated by renewable technology (note: PC is part of a total commitment at Appointee level - see also WD1 and RC1)</v>
      </c>
      <c r="BB27" s="68" t="str">
        <f>'PC LIST'!O520</f>
        <v>%</v>
      </c>
    </row>
    <row r="28" spans="4:54" ht="15.75" customHeight="1" x14ac:dyDescent="0.2">
      <c r="D28" s="68" t="str">
        <f>'PC LIST'!B41</f>
        <v>PR14ANHWSWW_S-C4</v>
      </c>
      <c r="E28" s="68" t="str">
        <f>'PC LIST'!I41</f>
        <v>S-C4: Environmental compliance (wastewater)</v>
      </c>
      <c r="F28" s="68" t="str">
        <f>'PC LIST'!O41</f>
        <v>nr</v>
      </c>
      <c r="M28" s="68" t="str">
        <f>'PC LIST'!B114</f>
        <v>PR14NESWSWW_S-C3</v>
      </c>
      <c r="N28" s="69" t="str">
        <f>'PC LIST'!I114</f>
        <v>S-C3: Bathing water compliance</v>
      </c>
      <c r="O28" s="69" t="str">
        <f>'PC LIST'!O114</f>
        <v>nr</v>
      </c>
      <c r="X28" s="63"/>
      <c r="Y28" s="68" t="str">
        <f>'PC LIST'!B207</f>
        <v>PR14SEWHHR_A1</v>
      </c>
      <c r="Z28" s="68" t="str">
        <f>'PC LIST'!I207</f>
        <v>A1: Customer satisfaction - appearance of water</v>
      </c>
      <c r="AA28" s="68" t="str">
        <f>'PC LIST'!O207</f>
        <v>score</v>
      </c>
      <c r="AB28" s="68" t="str">
        <f>'PC LIST'!B241</f>
        <v>PR14SRNHHR_1</v>
      </c>
      <c r="AC28" s="68" t="str">
        <f>'PC LIST'!I241</f>
        <v>1: First time resolution of customer contacts</v>
      </c>
      <c r="AD28" s="68" t="str">
        <f>'PC LIST'!O241</f>
        <v>%</v>
      </c>
      <c r="AH28" s="68" t="str">
        <f>'PC LIST'!B289</f>
        <v>PR14SVTWSWW_S-A1</v>
      </c>
      <c r="AI28" s="68" t="str">
        <f>'PC LIST'!I289</f>
        <v>S-A1: Number of internal sewer flooding incidents</v>
      </c>
      <c r="AJ28" s="68" t="str">
        <f>'PC LIST'!O289</f>
        <v>nr</v>
      </c>
      <c r="AK28" s="68" t="str">
        <f>'PC LIST'!B334</f>
        <v>PR14SWTWSWW_S-A5</v>
      </c>
      <c r="AL28" s="70" t="str">
        <f>'PC LIST'!I334</f>
        <v>S-A5 Asset reliability (process)</v>
      </c>
      <c r="AM28" s="70" t="str">
        <f>'PC LIST'!O334</f>
        <v>category</v>
      </c>
      <c r="AN28" s="68" t="str">
        <f>'PC LIST'!B376</f>
        <v>PR14TMSWSWW_SB4</v>
      </c>
      <c r="AO28" s="68" t="str">
        <f>'PC LIST'!I376</f>
        <v>SB4: Number of internal flooding incidents, excluding those due to overloaded sewers (SFOC)</v>
      </c>
      <c r="AP28" s="68" t="str">
        <f>'PC LIST'!O376</f>
        <v>nr</v>
      </c>
      <c r="AQ28" s="68" t="str">
        <f>'PC LIST'!B431</f>
        <v>PR14UUHHR_B1</v>
      </c>
      <c r="AR28" s="68" t="str">
        <f>'PC LIST'!I431</f>
        <v>B1: Customers saying that we offer value for money</v>
      </c>
      <c r="AS28" s="68" t="str">
        <f>'PC LIST'!O431</f>
        <v>%</v>
      </c>
      <c r="AT28" s="68" t="str">
        <f>'PC LIST'!B458</f>
        <v>PR14WSHNHHR_D5</v>
      </c>
      <c r="AU28" s="68" t="str">
        <f>'PC LIST'!I458</f>
        <v>D5: Earning the trust of customers - % of customers surveyed that say they trust the company</v>
      </c>
      <c r="AV28" s="68" t="str">
        <f>'PC LIST'!O458</f>
        <v>%</v>
      </c>
      <c r="AW28" s="68" t="str">
        <f>'PC LIST'!B489</f>
        <v>PR14WSXHHR_A2</v>
      </c>
      <c r="AX28" s="68" t="str">
        <f>'PC LIST'!I489</f>
        <v>A2: Percentage rating service good/very good</v>
      </c>
      <c r="AY28" s="68" t="str">
        <f>'PC LIST'!O489</f>
        <v>%</v>
      </c>
      <c r="AZ28" s="68" t="str">
        <f>'PC LIST'!B521</f>
        <v>PR14YKYWSWW_SC2</v>
      </c>
      <c r="BA28" s="68" t="str">
        <f>'PC LIST'!I521</f>
        <v>SC2: Proportion of waste diverted from landfill (re-used and recycled) (note: PC is part of a total commitment at Appointee level - see also WD2 and RC2)</v>
      </c>
      <c r="BB28" s="68" t="str">
        <f>'PC LIST'!O521</f>
        <v>%</v>
      </c>
    </row>
    <row r="29" spans="4:54" ht="15.75" customHeight="1" x14ac:dyDescent="0.2">
      <c r="D29" s="68" t="str">
        <f>'PC LIST'!B42</f>
        <v>PR14ANHWSWW_S-D1</v>
      </c>
      <c r="E29" s="68" t="str">
        <f>'PC LIST'!I42</f>
        <v>S-D1: Operational carbon (% reduction from 2015 baseline)</v>
      </c>
      <c r="F29" s="68" t="str">
        <f>'PC LIST'!O42</f>
        <v>%</v>
      </c>
      <c r="M29" s="68" t="str">
        <f>'PC LIST'!B115</f>
        <v>PR14NESWSWW_S-C4</v>
      </c>
      <c r="N29" s="69" t="str">
        <f>'PC LIST'!I115</f>
        <v>S-C4: Whitburn combined sewer overflow (CSO) scheme</v>
      </c>
      <c r="O29" s="69" t="str">
        <f>'PC LIST'!O115</f>
        <v>text</v>
      </c>
      <c r="X29" s="63"/>
      <c r="Y29" s="68" t="str">
        <f>'PC LIST'!B208</f>
        <v>PR14SEWHHR_B1</v>
      </c>
      <c r="Z29" s="68" t="str">
        <f>'PC LIST'!I208</f>
        <v>B1: Customer satisfaction - taste and odour of water</v>
      </c>
      <c r="AA29" s="68" t="str">
        <f>'PC LIST'!O208</f>
        <v>score</v>
      </c>
      <c r="AB29" s="68" t="str">
        <f>'PC LIST'!B242</f>
        <v>PR14SRNHHR_2</v>
      </c>
      <c r="AC29" s="68" t="str">
        <f>'PC LIST'!I242</f>
        <v>2: Dealing with customers’ individual needs</v>
      </c>
      <c r="AD29" s="68" t="str">
        <f>'PC LIST'!O242</f>
        <v>%</v>
      </c>
      <c r="AH29" s="68" t="str">
        <f>'PC LIST'!B290</f>
        <v>PR14SVTWSWW_S-A2</v>
      </c>
      <c r="AI29" s="68" t="str">
        <f>'PC LIST'!I290</f>
        <v>S-A2: Number of external sewer flooding incidents</v>
      </c>
      <c r="AJ29" s="68" t="str">
        <f>'PC LIST'!O290</f>
        <v>nr</v>
      </c>
      <c r="AK29" s="68" t="str">
        <f>'PC LIST'!B335</f>
        <v>PR14SWTWSWW_S-A6</v>
      </c>
      <c r="AL29" s="70" t="str">
        <f>'PC LIST'!I335</f>
        <v>S-A6 Compliance with sludge standard (%)</v>
      </c>
      <c r="AM29" s="70" t="str">
        <f>'PC LIST'!O335</f>
        <v>%</v>
      </c>
      <c r="AN29" s="68" t="str">
        <f>'PC LIST'!B377</f>
        <v>PR14TMSWSWW_SB5</v>
      </c>
      <c r="AO29" s="68" t="str">
        <f>'PC LIST'!I377</f>
        <v>SB5: Contributing area disconnected from combined sewers by retrofitting sustainable drainage</v>
      </c>
      <c r="AP29" s="68" t="str">
        <f>'PC LIST'!O377</f>
        <v>nr</v>
      </c>
      <c r="AQ29" s="68" t="str">
        <f>'PC LIST'!B432</f>
        <v>PR14UUHHR_B2</v>
      </c>
      <c r="AR29" s="68" t="str">
        <f>'PC LIST'!I432</f>
        <v>B2: Per household consumption</v>
      </c>
      <c r="AS29" s="68" t="str">
        <f>'PC LIST'!O432</f>
        <v>nr</v>
      </c>
      <c r="AT29" s="68" t="str">
        <f>'PC LIST'!B459</f>
        <v>PR14WSHNHHR_E1</v>
      </c>
      <c r="AU29" s="68" t="str">
        <f>'PC LIST'!I459</f>
        <v>E1: Affordable bills - annual increase</v>
      </c>
      <c r="AV29" s="68" t="str">
        <f>'PC LIST'!O459</f>
        <v>%</v>
      </c>
      <c r="AW29" s="68" t="str">
        <f>'PC LIST'!B490</f>
        <v>PR14WSXHHR_A3</v>
      </c>
      <c r="AX29" s="68" t="str">
        <f>'PC LIST'!I490</f>
        <v>A3: Percentage rating good value for money</v>
      </c>
      <c r="AY29" s="68" t="str">
        <f>'PC LIST'!O490</f>
        <v>%</v>
      </c>
      <c r="AZ29" s="68" t="str">
        <f>'PC LIST'!B522</f>
        <v>PR14YKYHHR_RA1</v>
      </c>
      <c r="BA29" s="68" t="str">
        <f>'PC LIST'!I522</f>
        <v>RA1: Customer service - service incentive mechanism (SIM)</v>
      </c>
      <c r="BB29" s="68" t="str">
        <f>'PC LIST'!O522</f>
        <v>score</v>
      </c>
    </row>
    <row r="30" spans="4:54" ht="15.75" customHeight="1" x14ac:dyDescent="0.2">
      <c r="D30" s="68" t="str">
        <f>'PC LIST'!B43</f>
        <v>PR14ANHWSWW_S-D2</v>
      </c>
      <c r="E30" s="68" t="str">
        <f>'PC LIST'!I43</f>
        <v>S-D2: Embodied carbon (% reduction from 2010 baseline)</v>
      </c>
      <c r="F30" s="68" t="str">
        <f>'PC LIST'!O43</f>
        <v>%</v>
      </c>
      <c r="M30" s="68" t="str">
        <f>'PC LIST'!B116</f>
        <v>PR14NESWSWW_S-D1</v>
      </c>
      <c r="N30" s="69" t="str">
        <f>'PC LIST'!I116</f>
        <v>S-D1: NWL independent overall customer satisfaction score</v>
      </c>
      <c r="O30" s="69" t="str">
        <f>'PC LIST'!O116</f>
        <v>score</v>
      </c>
      <c r="X30" s="63"/>
      <c r="Y30" s="68" t="str">
        <f>'PC LIST'!B209</f>
        <v>PR14SEWHHR_C1</v>
      </c>
      <c r="Z30" s="68" t="str">
        <f>'PC LIST'!I209</f>
        <v>C1: Customer satisfaction - level of leakage</v>
      </c>
      <c r="AA30" s="68" t="str">
        <f>'PC LIST'!O209</f>
        <v>score</v>
      </c>
      <c r="AB30" s="68" t="str">
        <f>'PC LIST'!B243</f>
        <v>PR14SRNHHR_3</v>
      </c>
      <c r="AC30" s="68" t="str">
        <f>'PC LIST'!I243</f>
        <v>3: Awareness of water hardness measures</v>
      </c>
      <c r="AD30" s="68" t="str">
        <f>'PC LIST'!O243</f>
        <v>%</v>
      </c>
      <c r="AH30" s="68" t="str">
        <f>'PC LIST'!B291</f>
        <v>PR14SVTWSWW_S-A3</v>
      </c>
      <c r="AI30" s="68" t="str">
        <f>'PC LIST'!I291</f>
        <v>S-A3: Partnership working</v>
      </c>
      <c r="AJ30" s="68" t="str">
        <f>'PC LIST'!O291</f>
        <v>nr</v>
      </c>
      <c r="AK30" s="68" t="str">
        <f>'PC LIST'!B336</f>
        <v>PR14SWTWSWW_S-B1</v>
      </c>
      <c r="AL30" s="70" t="str">
        <f>'PC LIST'!I336</f>
        <v>S-B1 Operational customer contacts resolved first time (%)</v>
      </c>
      <c r="AM30" s="70" t="str">
        <f>'PC LIST'!O336</f>
        <v>%</v>
      </c>
      <c r="AN30" s="68" t="str">
        <f>'PC LIST'!B378</f>
        <v>PR14TMSWSWW_SB6</v>
      </c>
      <c r="AO30" s="68" t="str">
        <f>'PC LIST'!I378</f>
        <v>SB6: Compliance with SEMD advice notes (with or without derogation)</v>
      </c>
      <c r="AP30" s="68" t="str">
        <f>'PC LIST'!O378</f>
        <v>%</v>
      </c>
      <c r="AQ30" s="68"/>
      <c r="AR30" s="68"/>
      <c r="AS30" s="68"/>
      <c r="AT30" s="68" t="str">
        <f>'PC LIST'!B460</f>
        <v>PR14WSHHHR_D1</v>
      </c>
      <c r="AU30" s="68" t="str">
        <f>'PC LIST'!I460</f>
        <v>D1: Service incentive mechanism (SIM)</v>
      </c>
      <c r="AV30" s="68" t="str">
        <f>'PC LIST'!O460</f>
        <v>text</v>
      </c>
      <c r="AW30" s="68" t="str">
        <f>'PC LIST'!B491</f>
        <v>PR14WSXHHR_A4</v>
      </c>
      <c r="AX30" s="68" t="str">
        <f>'PC LIST'!I491</f>
        <v>A4: Percentage rating ease of resolution</v>
      </c>
      <c r="AY30" s="68" t="str">
        <f>'PC LIST'!O491</f>
        <v>%</v>
      </c>
      <c r="AZ30" s="68" t="str">
        <f>'PC LIST'!B523</f>
        <v>PR14YKYHHR_RA2</v>
      </c>
      <c r="BA30" s="68" t="str">
        <f>'PC LIST'!I523</f>
        <v>RA2: Service commitment failures</v>
      </c>
      <c r="BB30" s="68" t="str">
        <f>'PC LIST'!O523</f>
        <v>nr</v>
      </c>
    </row>
    <row r="31" spans="4:54" ht="15.75" customHeight="1" x14ac:dyDescent="0.2">
      <c r="D31" s="68" t="str">
        <f>'PC LIST'!B44</f>
        <v>PR14ANHWSWW_S-E1</v>
      </c>
      <c r="E31" s="68" t="str">
        <f>'PC LIST'!I44</f>
        <v>S-E1: Survey of community perception</v>
      </c>
      <c r="F31" s="68" t="str">
        <f>'PC LIST'!O44</f>
        <v>%</v>
      </c>
      <c r="M31" s="68" t="str">
        <f>'PC LIST'!B117</f>
        <v>PR14NESWSWW_S-D2</v>
      </c>
      <c r="N31" s="69" t="str">
        <f>'PC LIST'!I117</f>
        <v>S-D2: SIM</v>
      </c>
      <c r="O31" s="69" t="str">
        <f>'PC LIST'!O117</f>
        <v>score</v>
      </c>
      <c r="Y31" s="68" t="str">
        <f>'PC LIST'!B210</f>
        <v>PR14SEWHHR_D1</v>
      </c>
      <c r="Z31" s="68" t="str">
        <f>'PC LIST'!I210</f>
        <v>D1: Customer satisfaction - direct interaction experience</v>
      </c>
      <c r="AA31" s="68" t="str">
        <f>'PC LIST'!O210</f>
        <v>score</v>
      </c>
      <c r="AB31" s="68" t="str">
        <f>'PC LIST'!B244</f>
        <v>PR14SRNHHR_4</v>
      </c>
      <c r="AC31" s="68" t="str">
        <f>'PC LIST'!I244</f>
        <v>4: Where your money goes</v>
      </c>
      <c r="AD31" s="68" t="str">
        <f>'PC LIST'!O244</f>
        <v>%</v>
      </c>
      <c r="AH31" s="68" t="str">
        <f>'PC LIST'!B292</f>
        <v>PR14SVTWSWW_S-A4</v>
      </c>
      <c r="AI31" s="68" t="str">
        <f>'PC LIST'!I292</f>
        <v>S-A4: Asset stewardship - blockages</v>
      </c>
      <c r="AJ31" s="68" t="str">
        <f>'PC LIST'!O292</f>
        <v>nr</v>
      </c>
      <c r="AK31" s="68" t="str">
        <f>'PC LIST'!B337</f>
        <v>PR14SWTWSWW_S-C1</v>
      </c>
      <c r="AL31" s="70" t="str">
        <f>'PC LIST'!I337</f>
        <v>S-C1 Wastewater treatment numeric compliance (%)</v>
      </c>
      <c r="AM31" s="70" t="str">
        <f>'PC LIST'!O337</f>
        <v>%</v>
      </c>
      <c r="AN31" s="68" t="str">
        <f>'PC LIST'!B379</f>
        <v>PR14TMSWSWW_SB7</v>
      </c>
      <c r="AO31" s="68" t="str">
        <f>'PC LIST'!I379</f>
        <v>SB7: Population equivalent of sites made resilient to future extreme rainfall events</v>
      </c>
      <c r="AP31" s="68" t="str">
        <f>'PC LIST'!O379</f>
        <v>nr</v>
      </c>
      <c r="AS31" s="63"/>
      <c r="AT31" s="68" t="str">
        <f>'PC LIST'!B461</f>
        <v>PR14WSHHHR_D5</v>
      </c>
      <c r="AU31" s="68" t="str">
        <f>'PC LIST'!I461</f>
        <v>D5: Earning the trust of customers - % of customers surveyed that say they trust the company</v>
      </c>
      <c r="AV31" s="68" t="str">
        <f>'PC LIST'!O461</f>
        <v>%</v>
      </c>
      <c r="AW31" s="68" t="str">
        <f>'PC LIST'!B492</f>
        <v>PR14WSXHHR_A5</v>
      </c>
      <c r="AX31" s="68" t="str">
        <f>'PC LIST'!I492</f>
        <v>A5: Accessible communications</v>
      </c>
      <c r="AY31" s="68" t="str">
        <f>'PC LIST'!O492</f>
        <v>text</v>
      </c>
      <c r="AZ31" s="68" t="str">
        <f>'PC LIST'!B524</f>
        <v>PR14YKYHHR_RA3</v>
      </c>
      <c r="BA31" s="68" t="str">
        <f>'PC LIST'!I524</f>
        <v>RA3: Overall customer satisfaction (CCWater annual tracking survey)</v>
      </c>
      <c r="BB31" s="68" t="str">
        <f>'PC LIST'!O524</f>
        <v>%</v>
      </c>
    </row>
    <row r="32" spans="4:54" ht="15.75" customHeight="1" x14ac:dyDescent="0.2">
      <c r="D32" s="68" t="str">
        <f>'PC LIST'!B45</f>
        <v>PR14ANHWSWW_S-F1</v>
      </c>
      <c r="E32" s="68" t="str">
        <f>'PC LIST'!I45</f>
        <v>S-F1: Sewerage infrastructure</v>
      </c>
      <c r="F32" s="68" t="str">
        <f>'PC LIST'!O45</f>
        <v>category</v>
      </c>
      <c r="M32" s="68" t="str">
        <f>'PC LIST'!B118</f>
        <v>PR14NESWSWW_S-D3</v>
      </c>
      <c r="N32" s="69" t="str">
        <f>'PC LIST'!I118</f>
        <v>S-D3: Domestic customer satisfaction, net promoter score</v>
      </c>
      <c r="O32" s="69" t="str">
        <f>'PC LIST'!O118</f>
        <v>%</v>
      </c>
      <c r="Y32" s="68" t="str">
        <f>'PC LIST'!B211</f>
        <v>PR14SEWHHR_D2</v>
      </c>
      <c r="Z32" s="68" t="str">
        <f>'PC LIST'!I211</f>
        <v>D2: Service Incentive Mechanism (SIM)</v>
      </c>
      <c r="AA32" s="68" t="str">
        <f>'PC LIST'!O211</f>
        <v>score</v>
      </c>
      <c r="AB32" s="68" t="str">
        <f>'PC LIST'!B245</f>
        <v>PR14SRNHHR_5</v>
      </c>
      <c r="AC32" s="68" t="str">
        <f>'PC LIST'!I245</f>
        <v>5: Billing queries</v>
      </c>
      <c r="AD32" s="68" t="str">
        <f>'PC LIST'!O245</f>
        <v>nr</v>
      </c>
      <c r="AH32" s="68" t="str">
        <f>'PC LIST'!B293</f>
        <v>PR14SVTWSWW_S-A5</v>
      </c>
      <c r="AI32" s="68" t="str">
        <f>'PC LIST'!I293</f>
        <v>S-A5: Statutory obligations (Section 101A schemes)</v>
      </c>
      <c r="AJ32" s="68" t="str">
        <f>'PC LIST'!O293</f>
        <v>nr</v>
      </c>
      <c r="AK32" s="68" t="str">
        <f>'PC LIST'!B338</f>
        <v>PR14SWTWSWW_S-C2</v>
      </c>
      <c r="AL32" s="70" t="str">
        <f>'PC LIST'!I338</f>
        <v>S-C2 Wastewater population equivalent sanitary compliance (%)</v>
      </c>
      <c r="AM32" s="70" t="str">
        <f>'PC LIST'!O338</f>
        <v>%</v>
      </c>
      <c r="AN32" s="68" t="str">
        <f>'PC LIST'!B380</f>
        <v>PR14TMSWSWW_SB8</v>
      </c>
      <c r="AO32" s="68" t="str">
        <f>'PC LIST'!I380</f>
        <v>SB8: Lee Tunnel including Shaft G</v>
      </c>
      <c r="AP32" s="68" t="str">
        <f>'PC LIST'!O380</f>
        <v>text</v>
      </c>
      <c r="AS32" s="63"/>
      <c r="AT32" s="68" t="str">
        <f>'PC LIST'!B462</f>
        <v>PR14WSHHHR_E1</v>
      </c>
      <c r="AU32" s="68" t="str">
        <f>'PC LIST'!I462</f>
        <v>E1: Affordable bills - annual increase</v>
      </c>
      <c r="AV32" s="68" t="str">
        <f>'PC LIST'!O462</f>
        <v>%</v>
      </c>
      <c r="AW32" s="68" t="str">
        <f>'PC LIST'!B493</f>
        <v>PR14WSXHHR_B1a</v>
      </c>
      <c r="AX32" s="68" t="str">
        <f>'PC LIST'!I493</f>
        <v>B1a: Volume of water used per person</v>
      </c>
      <c r="AY32" s="68" t="str">
        <f>'PC LIST'!O493</f>
        <v>nr</v>
      </c>
      <c r="AZ32" s="68" t="str">
        <f>'PC LIST'!B525</f>
        <v>PR14YKYHHR_RB1</v>
      </c>
      <c r="BA32" s="68" t="str">
        <f>'PC LIST'!I525</f>
        <v>RB1: Cost of bad debt to customers (expressed as proportion of bill)</v>
      </c>
      <c r="BB32" s="68" t="str">
        <f>'PC LIST'!O525</f>
        <v>%</v>
      </c>
    </row>
    <row r="33" spans="4:54" ht="15.75" customHeight="1" x14ac:dyDescent="0.2">
      <c r="D33" s="68" t="str">
        <f>'PC LIST'!B46</f>
        <v>PR14ANHWSWW_S-F2</v>
      </c>
      <c r="E33" s="68" t="str">
        <f>'PC LIST'!I46</f>
        <v>S-F2: Sewerage non-infrastructure</v>
      </c>
      <c r="F33" s="68" t="str">
        <f>'PC LIST'!O46</f>
        <v>category</v>
      </c>
      <c r="M33" s="68" t="str">
        <f>'PC LIST'!B119</f>
        <v>PR14NESWSWW_S-E1</v>
      </c>
      <c r="N33" s="69" t="str">
        <f>'PC LIST'!I119</f>
        <v>S-E1: NWL independent survey on keeping customers informed</v>
      </c>
      <c r="O33" s="69" t="str">
        <f>'PC LIST'!O119</f>
        <v>%</v>
      </c>
      <c r="Y33" s="68" t="str">
        <f>'PC LIST'!B212</f>
        <v>PR14SEWHHR_E1</v>
      </c>
      <c r="Z33" s="68" t="str">
        <f>'PC LIST'!I212</f>
        <v>E1: Customer satisfaction - bills are value for money and affordable</v>
      </c>
      <c r="AA33" s="68" t="str">
        <f>'PC LIST'!O212</f>
        <v>%</v>
      </c>
      <c r="AB33" s="68" t="str">
        <f>'PC LIST'!B246</f>
        <v>PR14SRNHHR_6</v>
      </c>
      <c r="AC33" s="68" t="str">
        <f>'PC LIST'!I246</f>
        <v>6: Take up of assistance schemes (number of customers who are receiving support through one of our financial assistance schemes)</v>
      </c>
      <c r="AD33" s="68" t="str">
        <f>'PC LIST'!O246</f>
        <v>nr</v>
      </c>
      <c r="AH33" s="68" t="str">
        <f>'PC LIST'!B294</f>
        <v>PR14SVTWSWW_S-B1</v>
      </c>
      <c r="AI33" s="68" t="str">
        <f>'PC LIST'!I294</f>
        <v>S-B1: Customers rating our services as good value for money (based on tracker survey)</v>
      </c>
      <c r="AJ33" s="68" t="str">
        <f>'PC LIST'!O294</f>
        <v>%</v>
      </c>
      <c r="AK33" s="68" t="str">
        <f>'PC LIST'!B339</f>
        <v>PR14SWTWSWW_S-C3</v>
      </c>
      <c r="AL33" s="70" t="str">
        <f>'PC LIST'!I339</f>
        <v>S-C3 Wastewater descriptive works permit compliance (%)</v>
      </c>
      <c r="AM33" s="70" t="str">
        <f>'PC LIST'!O339</f>
        <v>%</v>
      </c>
      <c r="AN33" s="68" t="str">
        <f>'PC LIST'!B381</f>
        <v>PR14TMSWSWW_SB9</v>
      </c>
      <c r="AO33" s="68" t="str">
        <f>'PC LIST'!I381</f>
        <v>SB9: Deephams Wastewater Treatment Works</v>
      </c>
      <c r="AP33" s="68" t="str">
        <f>'PC LIST'!O381</f>
        <v>text</v>
      </c>
      <c r="AS33" s="63"/>
      <c r="AT33" s="68" t="str">
        <f>'PC LIST'!B463</f>
        <v>PR14WSHHHR_E2</v>
      </c>
      <c r="AU33" s="68" t="str">
        <f>'PC LIST'!I463</f>
        <v>E2: Help for disadvantaged customers (customers benefiting from social tariffs)</v>
      </c>
      <c r="AV33" s="68" t="str">
        <f>'PC LIST'!O463</f>
        <v>nr</v>
      </c>
      <c r="AW33" s="68" t="str">
        <f>'PC LIST'!B494</f>
        <v>PR14WSXHHR_B1b</v>
      </c>
      <c r="AX33" s="68" t="str">
        <f>'PC LIST'!I494</f>
        <v>B1b: Volume of water saved by water efficiency promotion</v>
      </c>
      <c r="AY33" s="68" t="str">
        <f>'PC LIST'!O494</f>
        <v>nr</v>
      </c>
      <c r="AZ33" s="68" t="str">
        <f>'PC LIST'!B526</f>
        <v>PR14YKYHHR_RB2</v>
      </c>
      <c r="BA33" s="68" t="str">
        <f>'PC LIST'!I526</f>
        <v>RB2: Number of people who we help to pay their bill</v>
      </c>
      <c r="BB33" s="68" t="str">
        <f>'PC LIST'!O526</f>
        <v>nr</v>
      </c>
    </row>
    <row r="34" spans="4:54" ht="15.75" customHeight="1" x14ac:dyDescent="0.2">
      <c r="D34" s="68" t="str">
        <f>'PC LIST'!B47</f>
        <v>PR14ANHHHR_R-A1</v>
      </c>
      <c r="E34" s="68" t="str">
        <f>'PC LIST'!I47</f>
        <v>R-A1: Qualitative service incentive mechanism (SIM) score</v>
      </c>
      <c r="F34" s="68" t="str">
        <f>'PC LIST'!O47</f>
        <v>text</v>
      </c>
      <c r="M34" s="68" t="str">
        <f>'PC LIST'!B120</f>
        <v>PR14NESWSWW_S-F1</v>
      </c>
      <c r="N34" s="69" t="str">
        <f>'PC LIST'!I120</f>
        <v>S-F1: Greenhouse gas emissions</v>
      </c>
      <c r="O34" s="69" t="str">
        <f>'PC LIST'!O120</f>
        <v>nr</v>
      </c>
      <c r="Y34" s="68" t="str">
        <f>'PC LIST'!B213</f>
        <v>PR14SEWHHR_F1</v>
      </c>
      <c r="Z34" s="68" t="str">
        <f>'PC LIST'!I213</f>
        <v>F1: Customer satisfaction - water supply is of sufficient pressure</v>
      </c>
      <c r="AA34" s="68" t="str">
        <f>'PC LIST'!O213</f>
        <v>score</v>
      </c>
      <c r="AB34" s="68" t="str">
        <f>'PC LIST'!B247</f>
        <v>PR14SRNHHR_7</v>
      </c>
      <c r="AC34" s="68" t="str">
        <f>'PC LIST'!I247</f>
        <v>7: Value-for-money</v>
      </c>
      <c r="AD34" s="68" t="str">
        <f>'PC LIST'!O247</f>
        <v>%</v>
      </c>
      <c r="AH34" s="68" t="str">
        <f>'PC LIST'!B295</f>
        <v>PR14SVTWSWW_S-C1</v>
      </c>
      <c r="AI34" s="68" t="str">
        <f>'PC LIST'!I295</f>
        <v>S-C1: Improvements in river water quality against WFD criteria</v>
      </c>
      <c r="AJ34" s="68" t="str">
        <f>'PC LIST'!O295</f>
        <v>nr</v>
      </c>
      <c r="AK34" s="68" t="str">
        <f>'PC LIST'!B340</f>
        <v>PR14SWTWSWW_S-C4</v>
      </c>
      <c r="AL34" s="70" t="str">
        <f>'PC LIST'!I340</f>
        <v>S-C4 Pollution incidents (category 1 and 2)</v>
      </c>
      <c r="AM34" s="70" t="str">
        <f>'PC LIST'!O340</f>
        <v>nr</v>
      </c>
      <c r="AN34" s="68" t="str">
        <f>'PC LIST'!B382</f>
        <v>PR14TMSWSWW_SC1</v>
      </c>
      <c r="AO34" s="68" t="str">
        <f>'PC LIST'!I382</f>
        <v>SC1: Greenhouse gas emissions from wastewater operations</v>
      </c>
      <c r="AP34" s="68" t="str">
        <f>'PC LIST'!O382</f>
        <v>nr</v>
      </c>
      <c r="AS34" s="63"/>
      <c r="AV34" s="63"/>
      <c r="AW34" s="68" t="str">
        <f>'PC LIST'!B495</f>
        <v>PR14WSXHHR_B2</v>
      </c>
      <c r="AX34" s="68" t="str">
        <f>'PC LIST'!I495</f>
        <v>B2: Bill as a proportion of disposable income</v>
      </c>
      <c r="AY34" s="68" t="str">
        <f>'PC LIST'!O495</f>
        <v>%</v>
      </c>
      <c r="AZ34" s="68" t="str">
        <f>'PC LIST'!B527</f>
        <v>PR14YKYHHR_RB3</v>
      </c>
      <c r="BA34" s="68" t="str">
        <f>'PC LIST'!I527</f>
        <v>RB3: Value for money (CCWater annual tracking survey)</v>
      </c>
      <c r="BB34" s="68" t="str">
        <f>'PC LIST'!O527</f>
        <v>%</v>
      </c>
    </row>
    <row r="35" spans="4:54" ht="15.75" customHeight="1" x14ac:dyDescent="0.2">
      <c r="D35" s="68" t="str">
        <f>'PC LIST'!B48</f>
        <v>PR14ANHHHR_R-A2</v>
      </c>
      <c r="E35" s="68" t="str">
        <f>'PC LIST'!I48</f>
        <v>R-A2: Service incentive mechanism (SIM)</v>
      </c>
      <c r="F35" s="68" t="str">
        <f>'PC LIST'!O48</f>
        <v>score</v>
      </c>
      <c r="M35" s="68" t="str">
        <f>'PC LIST'!B121</f>
        <v>PR14NESWSWW_S-F2</v>
      </c>
      <c r="N35" s="69" t="str">
        <f>'PC LIST'!I121</f>
        <v>S-F2: Annual environmental performance report</v>
      </c>
      <c r="O35" s="69" t="str">
        <f>'PC LIST'!O121</f>
        <v>TBC</v>
      </c>
      <c r="Y35" s="68" t="str">
        <f>'PC LIST'!B214</f>
        <v>PR14SEWHHR_G1</v>
      </c>
      <c r="Z35" s="68" t="str">
        <f>'PC LIST'!I214</f>
        <v>G1: Customer satisfaction - frequency and duration of supply interruptions</v>
      </c>
      <c r="AA35" s="68" t="str">
        <f>'PC LIST'!O214</f>
        <v>score</v>
      </c>
      <c r="AB35" s="68" t="str">
        <f>'PC LIST'!B248</f>
        <v>PR14SRNHHR_8</v>
      </c>
      <c r="AC35" s="68" t="str">
        <f>'PC LIST'!I248</f>
        <v>8: Service Incentive Mechanism (SIM)</v>
      </c>
      <c r="AD35" s="68" t="str">
        <f>'PC LIST'!O248</f>
        <v>score</v>
      </c>
      <c r="AH35" s="68" t="str">
        <f>'PC LIST'!B296</f>
        <v>PR14SVTWSWW_S-C2</v>
      </c>
      <c r="AI35" s="68" t="str">
        <f>'PC LIST'!I296</f>
        <v>S-C2: The number of category 3 pollution incidents</v>
      </c>
      <c r="AJ35" s="68" t="str">
        <f>'PC LIST'!O296</f>
        <v>nr</v>
      </c>
      <c r="AK35" s="68" t="str">
        <f>'PC LIST'!B341</f>
        <v>PR14SWTWSWW_S-C5</v>
      </c>
      <c r="AL35" s="70" t="str">
        <f>'PC LIST'!I341</f>
        <v>S-C5 Pollution incidents (category 3 and 4)</v>
      </c>
      <c r="AM35" s="70" t="str">
        <f>'PC LIST'!O341</f>
        <v>nr</v>
      </c>
      <c r="AN35" s="68" t="str">
        <f>'PC LIST'!B383</f>
        <v>PR14TMSWSWW_SC2</v>
      </c>
      <c r="AO35" s="68" t="str">
        <f>'PC LIST'!I383</f>
        <v>SC2: Total category 1-3 pollution incidents from sewage related premises</v>
      </c>
      <c r="AP35" s="68" t="str">
        <f>'PC LIST'!O383</f>
        <v>nr</v>
      </c>
      <c r="AV35" s="63"/>
      <c r="AY35" s="63"/>
      <c r="AZ35" s="68" t="str">
        <f>'PC LIST'!B528</f>
        <v>PR14YKYHHR_RC1</v>
      </c>
      <c r="BA35" s="68" t="str">
        <f>'PC LIST'!I528</f>
        <v>RC1: Proportion of energy use generated by renewable technology (note: PC is part of a total commitment at Appointee level - see also WD1 and SC1)</v>
      </c>
      <c r="BB35" s="68" t="str">
        <f>'PC LIST'!O528</f>
        <v>%</v>
      </c>
    </row>
    <row r="36" spans="4:54" ht="15.75" customHeight="1" x14ac:dyDescent="0.2">
      <c r="D36" s="68" t="str">
        <f>'PC LIST'!B49</f>
        <v>PR14ANHHHR_R-A3</v>
      </c>
      <c r="E36" s="68" t="str">
        <f>'PC LIST'!I49</f>
        <v>R-A3: Customer Satisfaction Index prepared by UK Institute of Customer Service</v>
      </c>
      <c r="F36" s="68" t="str">
        <f>'PC LIST'!O49</f>
        <v>TBC</v>
      </c>
      <c r="M36" s="68" t="str">
        <f>'PC LIST'!B122</f>
        <v>PR14NESHHR_R-B1</v>
      </c>
      <c r="N36" s="69" t="str">
        <f>'PC LIST'!I122</f>
        <v>R-B1: NWL independent overall customer satisfaction score</v>
      </c>
      <c r="O36" s="69" t="str">
        <f>'PC LIST'!O122</f>
        <v>score</v>
      </c>
      <c r="Y36" s="68" t="str">
        <f>'PC LIST'!B215</f>
        <v>PR14SEWHHR_H1</v>
      </c>
      <c r="Z36" s="68" t="str">
        <f>'PC LIST'!I215</f>
        <v>H1: Customer satisfaction - frequency of water use restrictions</v>
      </c>
      <c r="AA36" s="68" t="str">
        <f>'PC LIST'!O215</f>
        <v>score</v>
      </c>
      <c r="AB36" s="68"/>
      <c r="AC36" s="68"/>
      <c r="AD36" s="68"/>
      <c r="AH36" s="68" t="str">
        <f>'PC LIST'!B297</f>
        <v>PR14SVTWSWW_S-C3</v>
      </c>
      <c r="AI36" s="68" t="str">
        <f>'PC LIST'!I297</f>
        <v>S-C3: Asset stewardship - environmental compliance</v>
      </c>
      <c r="AJ36" s="68" t="str">
        <f>'PC LIST'!O297</f>
        <v>%</v>
      </c>
      <c r="AK36" s="68" t="str">
        <f>'PC LIST'!B342</f>
        <v>PR14SWTWSWW_S-C6</v>
      </c>
      <c r="AL36" s="70" t="str">
        <f>'PC LIST'!I342</f>
        <v>S-C6 Operational carbon emissions (ktCO2e)</v>
      </c>
      <c r="AM36" s="70" t="str">
        <f>'PC LIST'!O342</f>
        <v>nr</v>
      </c>
      <c r="AN36" s="68" t="str">
        <f>'PC LIST'!B384</f>
        <v>PR14TMSWSWW_SC3</v>
      </c>
      <c r="AO36" s="68" t="str">
        <f>'PC LIST'!I384</f>
        <v>SC3: Sewage treatment works discharge compliance</v>
      </c>
      <c r="AP36" s="68" t="str">
        <f>'PC LIST'!O384</f>
        <v>%</v>
      </c>
      <c r="AV36" s="63"/>
      <c r="AY36" s="63"/>
      <c r="AZ36" s="68" t="str">
        <f>'PC LIST'!B529</f>
        <v>PR14YKYHHR_RC2</v>
      </c>
      <c r="BA36" s="68" t="str">
        <f>'PC LIST'!I529</f>
        <v>RC2: Proportion of waste diverted from landfill (re-used and recycled) (note: PC is part of a total commitment at Appointee level - see also WD2 and SC2)</v>
      </c>
      <c r="BB36" s="68" t="str">
        <f>'PC LIST'!O529</f>
        <v>%</v>
      </c>
    </row>
    <row r="37" spans="4:54" ht="15.75" customHeight="1" x14ac:dyDescent="0.2">
      <c r="D37" s="68" t="str">
        <f>'PC LIST'!B50</f>
        <v>PR14ANHHHR_R-B1</v>
      </c>
      <c r="E37" s="68" t="str">
        <f>'PC LIST'!I50</f>
        <v>R-B1: Fairness of bills perception - variation from baseline against WaSCs</v>
      </c>
      <c r="F37" s="68" t="str">
        <f>'PC LIST'!O50</f>
        <v>%</v>
      </c>
      <c r="M37" s="68" t="str">
        <f>'PC LIST'!B123</f>
        <v>PR14NESHHR_R-B2</v>
      </c>
      <c r="N37" s="69" t="str">
        <f>'PC LIST'!I123</f>
        <v>R-B2: Service incentive mechanism (SIM)</v>
      </c>
      <c r="O37" s="69" t="str">
        <f>'PC LIST'!O123</f>
        <v>score</v>
      </c>
      <c r="Y37" s="68"/>
      <c r="Z37" s="68"/>
      <c r="AA37" s="68"/>
      <c r="AD37" s="63"/>
      <c r="AH37" s="68" t="str">
        <f>'PC LIST'!B298</f>
        <v>PR14SVTWSWW_S-C4</v>
      </c>
      <c r="AI37" s="68" t="str">
        <f>'PC LIST'!I298</f>
        <v>S-C4: Biodiversity</v>
      </c>
      <c r="AJ37" s="68" t="str">
        <f>'PC LIST'!O298</f>
        <v>nr</v>
      </c>
      <c r="AK37" s="68" t="str">
        <f>'PC LIST'!B343</f>
        <v>PR14SWTWSWW_S-C7</v>
      </c>
      <c r="AL37" s="70" t="str">
        <f>'PC LIST'!I343</f>
        <v>S-C7 Energy from renewable sources (%)</v>
      </c>
      <c r="AM37" s="70" t="str">
        <f>'PC LIST'!O343</f>
        <v>%</v>
      </c>
      <c r="AN37" s="68" t="str">
        <f>'PC LIST'!B385</f>
        <v>PR14TMSWSWW_SC4</v>
      </c>
      <c r="AO37" s="68" t="str">
        <f>'PC LIST'!I385</f>
        <v>SC4: Water bodies improved or protected from deterioration as a result of Thames Water's activities</v>
      </c>
      <c r="AP37" s="68" t="str">
        <f>'PC LIST'!O385</f>
        <v>nr</v>
      </c>
      <c r="AV37" s="63"/>
      <c r="AW37" s="68"/>
      <c r="AX37" s="68"/>
      <c r="AY37" s="68"/>
    </row>
    <row r="38" spans="4:54" ht="15.75" customHeight="1" x14ac:dyDescent="0.2">
      <c r="D38" s="68" t="str">
        <f>'PC LIST'!B51</f>
        <v>PR14ANHHHR_R-B2</v>
      </c>
      <c r="E38" s="68" t="str">
        <f>'PC LIST'!I51</f>
        <v>R-B2: Affordability perception - variation from baseline against WaSCs</v>
      </c>
      <c r="F38" s="68" t="str">
        <f>'PC LIST'!O51</f>
        <v>%</v>
      </c>
      <c r="M38" s="68" t="str">
        <f>'PC LIST'!B124</f>
        <v>PR14NESHHR_R-B3</v>
      </c>
      <c r="N38" s="69" t="str">
        <f>'PC LIST'!I124</f>
        <v>R-B3: Domestic customer satisfaction, net promoter score</v>
      </c>
      <c r="O38" s="69" t="str">
        <f>'PC LIST'!O124</f>
        <v>%</v>
      </c>
      <c r="AA38" s="63"/>
      <c r="AD38" s="63"/>
      <c r="AH38" s="68" t="str">
        <f>'PC LIST'!B299</f>
        <v>PR14SVTWSWW_S-C5</v>
      </c>
      <c r="AI38" s="68" t="str">
        <f>'PC LIST'!I299</f>
        <v>S-C5: Sustainable sewage treatment</v>
      </c>
      <c r="AJ38" s="68" t="str">
        <f>'PC LIST'!O299</f>
        <v>nr</v>
      </c>
      <c r="AK38" s="68" t="str">
        <f>'PC LIST'!B344</f>
        <v>PR14SWTWSWW_S-D1</v>
      </c>
      <c r="AL38" s="70" t="str">
        <f>'PC LIST'!I344</f>
        <v>S-D1 Bathing water quality</v>
      </c>
      <c r="AM38" s="70" t="str">
        <f>'PC LIST'!O344</f>
        <v>nr</v>
      </c>
      <c r="AN38" s="68" t="str">
        <f>'PC LIST'!B386</f>
        <v>PR14TMSWSWW_SC5</v>
      </c>
      <c r="AO38" s="68" t="str">
        <f>'PC LIST'!I386</f>
        <v>SC5: Satisfactory sludge disposal compliance</v>
      </c>
      <c r="AP38" s="68" t="str">
        <f>'PC LIST'!O386</f>
        <v>%</v>
      </c>
      <c r="AV38" s="63"/>
      <c r="AW38" s="68"/>
      <c r="AX38" s="68"/>
      <c r="AY38" s="68"/>
    </row>
    <row r="39" spans="4:54" ht="15.75" customHeight="1" x14ac:dyDescent="0.2">
      <c r="D39" s="68" t="str">
        <f>'PC LIST'!B52</f>
        <v>PR14ANHHHR_R-C1</v>
      </c>
      <c r="E39" s="68" t="str">
        <f>'PC LIST'!I52</f>
        <v>R-C1: Operational carbon (% reduction from 2015 baseline)</v>
      </c>
      <c r="F39" s="68" t="str">
        <f>'PC LIST'!O52</f>
        <v>%</v>
      </c>
      <c r="M39" s="68" t="str">
        <f>'PC LIST'!B125</f>
        <v>PR14NESHHR_R-C1</v>
      </c>
      <c r="N39" s="69" t="str">
        <f>'PC LIST'!I125</f>
        <v>R-C1: NWL independent value for money survey</v>
      </c>
      <c r="O39" s="69" t="str">
        <f>'PC LIST'!O125</f>
        <v>score</v>
      </c>
      <c r="AA39" s="63"/>
      <c r="AD39" s="63"/>
      <c r="AH39" s="68" t="str">
        <f>'PC LIST'!B300</f>
        <v>PR14SVTWSWW_S-C6</v>
      </c>
      <c r="AI39" s="68" t="str">
        <f>'PC LIST'!I300</f>
        <v>S-C6: Serious pollution incidents</v>
      </c>
      <c r="AJ39" s="68" t="str">
        <f>'PC LIST'!O300</f>
        <v>nr</v>
      </c>
      <c r="AK39" s="68" t="str">
        <f>'PC LIST'!B345</f>
        <v>PR14SWTWSWW_S-D2</v>
      </c>
      <c r="AL39" s="70" t="str">
        <f>'PC LIST'!I345</f>
        <v>S-D2 Combined sewer overflow spills (number)</v>
      </c>
      <c r="AM39" s="70" t="str">
        <f>'PC LIST'!O345</f>
        <v>nr</v>
      </c>
      <c r="AN39" s="68" t="str">
        <f>'PC LIST'!B387</f>
        <v>PR14TMSWSWW_SC6</v>
      </c>
      <c r="AO39" s="68" t="str">
        <f>'PC LIST'!I387</f>
        <v>SC6: We will educate our existing and future customers</v>
      </c>
      <c r="AP39" s="68" t="str">
        <f>'PC LIST'!O387</f>
        <v>nr</v>
      </c>
      <c r="AV39" s="63"/>
      <c r="AY39" s="63"/>
    </row>
    <row r="40" spans="4:54" ht="15.75" customHeight="1" x14ac:dyDescent="0.2">
      <c r="D40" s="68" t="str">
        <f>'PC LIST'!B53</f>
        <v>PR14ANHHHR_R-C2</v>
      </c>
      <c r="E40" s="68" t="str">
        <f>'PC LIST'!I53</f>
        <v>R-C2: Embodied carbon (% reduction from 2010 baseline)</v>
      </c>
      <c r="F40" s="68" t="str">
        <f>'PC LIST'!O53</f>
        <v>%</v>
      </c>
      <c r="M40" s="68" t="str">
        <f>'PC LIST'!B126</f>
        <v>PR14NESHHR_R-C2</v>
      </c>
      <c r="N40" s="69" t="str">
        <f>'PC LIST'!I126</f>
        <v>R-C2: Satisfied with value for money of water services - Northumbrian region (CCWater research)</v>
      </c>
      <c r="O40" s="69" t="str">
        <f>'PC LIST'!O126</f>
        <v>%</v>
      </c>
      <c r="AA40" s="63"/>
      <c r="AD40" s="63"/>
      <c r="AH40" s="68" t="str">
        <f>'PC LIST'!B301</f>
        <v>PR14SVTWSWW_S-C7</v>
      </c>
      <c r="AI40" s="68" t="str">
        <f>'PC LIST'!I301</f>
        <v>S-C7: Overall environmental performance (basket of environmental measures)</v>
      </c>
      <c r="AJ40" s="68" t="str">
        <f>'PC LIST'!O301</f>
        <v>nr</v>
      </c>
      <c r="AK40" s="68" t="str">
        <f>'PC LIST'!B346</f>
        <v>PR14SWTWSWW_S-D3</v>
      </c>
      <c r="AL40" s="70" t="str">
        <f>'PC LIST'!I346</f>
        <v>S-D3 River water quality improved (km)</v>
      </c>
      <c r="AM40" s="70" t="str">
        <f>'PC LIST'!O346</f>
        <v>nr</v>
      </c>
      <c r="AN40" s="68" t="str">
        <f>'PC LIST'!B388</f>
        <v>PR14TMSWSWW_SC7</v>
      </c>
      <c r="AO40" s="68" t="str">
        <f>'PC LIST'!I388</f>
        <v>SC7: Modelled reduction in properties affected by odour</v>
      </c>
      <c r="AP40" s="68" t="str">
        <f>'PC LIST'!O388</f>
        <v>nr</v>
      </c>
      <c r="AV40" s="63"/>
      <c r="AY40" s="63"/>
    </row>
    <row r="41" spans="4:54" ht="15.75" customHeight="1" x14ac:dyDescent="0.2">
      <c r="D41" s="68" t="str">
        <f>'PC LIST'!B54</f>
        <v>PR14ANHHHR_R-D1</v>
      </c>
      <c r="E41" s="68" t="str">
        <f>'PC LIST'!I54</f>
        <v>R-D1: Survey of community perception</v>
      </c>
      <c r="F41" s="68" t="str">
        <f>'PC LIST'!O54</f>
        <v>%</v>
      </c>
      <c r="M41" s="68" t="str">
        <f>'PC LIST'!B127</f>
        <v>PR14NESHHR_R-C3</v>
      </c>
      <c r="N41" s="69" t="str">
        <f>'PC LIST'!I127</f>
        <v>R-C3: Satisfied with value for money of sewerage services - Northumbrian region (CCWater research)</v>
      </c>
      <c r="O41" s="69" t="str">
        <f>'PC LIST'!O127</f>
        <v>%</v>
      </c>
      <c r="AA41" s="63"/>
      <c r="AD41" s="63"/>
      <c r="AH41" s="68" t="str">
        <f>'PC LIST'!B302</f>
        <v>PR14SVTWSWW_S-C8</v>
      </c>
      <c r="AI41" s="68" t="str">
        <f>'PC LIST'!I302</f>
        <v>S-C8: The number of category 4 pollution incidents</v>
      </c>
      <c r="AJ41" s="68" t="str">
        <f>'PC LIST'!O302</f>
        <v>nr</v>
      </c>
      <c r="AK41" s="68" t="str">
        <f>'PC LIST'!B347</f>
        <v>PR14SWTHHR_R-A1</v>
      </c>
      <c r="AL41" s="70" t="str">
        <f>'PC LIST'!I347</f>
        <v>R-A1 Customer overall satisfaction (%)</v>
      </c>
      <c r="AM41" s="70" t="str">
        <f>'PC LIST'!O347</f>
        <v>%</v>
      </c>
      <c r="AN41" s="68" t="str">
        <f>'PC LIST'!B389</f>
        <v>PR14TMSWSWW_SC8</v>
      </c>
      <c r="AO41" s="68" t="str">
        <f>'PC LIST'!I389</f>
        <v>SC8: Deliver 100% of agreed measures to meet new environmental regulations</v>
      </c>
      <c r="AP41" s="68" t="str">
        <f>'PC LIST'!O389</f>
        <v>%</v>
      </c>
      <c r="AV41" s="63"/>
      <c r="AY41" s="63"/>
    </row>
    <row r="42" spans="4:54" ht="15.75" customHeight="1" x14ac:dyDescent="0.2">
      <c r="D42" s="68"/>
      <c r="E42" s="68"/>
      <c r="F42" s="68"/>
      <c r="M42" s="68" t="str">
        <f>'PC LIST'!B128</f>
        <v>PR14NESHHR_R-C4</v>
      </c>
      <c r="N42" s="69" t="str">
        <f>'PC LIST'!I128</f>
        <v>R-C4: Satisfied with value for money of water services - Essex &amp; Suffolk region (CCWater research)</v>
      </c>
      <c r="O42" s="69" t="str">
        <f>'PC LIST'!O128</f>
        <v>%</v>
      </c>
      <c r="AA42" s="63"/>
      <c r="AD42" s="63"/>
      <c r="AH42" s="68" t="str">
        <f>'PC LIST'!B303</f>
        <v>PR14SVTWSWW_S-D1</v>
      </c>
      <c r="AI42" s="68" t="str">
        <f>'PC LIST'!I303</f>
        <v>S-D1: Size of our carbon footprint</v>
      </c>
      <c r="AJ42" s="68" t="str">
        <f>'PC LIST'!O303</f>
        <v>nr</v>
      </c>
      <c r="AK42" s="68" t="str">
        <f>'PC LIST'!B348</f>
        <v>PR14SWTHHR_R-A2</v>
      </c>
      <c r="AL42" s="70" t="str">
        <f>'PC LIST'!I348</f>
        <v>R-A2 Service incentive mechanism (SIM)</v>
      </c>
      <c r="AM42" s="70" t="str">
        <f>'PC LIST'!O348</f>
        <v>score</v>
      </c>
      <c r="AN42" s="68" t="str">
        <f>'PC LIST'!B390</f>
        <v>PR14TMSWSWW_SC9</v>
      </c>
      <c r="AO42" s="68" t="str">
        <f>'PC LIST'!I390</f>
        <v>SC9: Reduce the amount of phosphorus entering rivers to help improve aquatic plant and wildlife</v>
      </c>
      <c r="AP42" s="68" t="str">
        <f>'PC LIST'!O390</f>
        <v>nr</v>
      </c>
      <c r="AV42" s="63"/>
      <c r="AY42" s="63"/>
    </row>
    <row r="43" spans="4:54" ht="15.75" customHeight="1" x14ac:dyDescent="0.2">
      <c r="F43" s="63"/>
      <c r="M43" s="68" t="str">
        <f>'PC LIST'!B129</f>
        <v>PR14NESHHR_R-D1</v>
      </c>
      <c r="N43" s="69" t="str">
        <f>'PC LIST'!I129</f>
        <v>R-D1: NWL independent survey on keeping customers informed</v>
      </c>
      <c r="O43" s="69" t="str">
        <f>'PC LIST'!O129</f>
        <v>%</v>
      </c>
      <c r="AA43" s="63"/>
      <c r="AD43" s="63"/>
      <c r="AH43" s="68" t="str">
        <f>'PC LIST'!B304</f>
        <v>PR14SVTWSWW_S-E1</v>
      </c>
      <c r="AI43" s="68" t="str">
        <f>'PC LIST'!I304</f>
        <v>S-E1: Improved understanding of our services through education</v>
      </c>
      <c r="AJ43" s="68" t="str">
        <f>'PC LIST'!O304</f>
        <v>nr</v>
      </c>
      <c r="AK43" s="68" t="str">
        <f>'PC LIST'!B349</f>
        <v>PR14SWTHHR_R-A3</v>
      </c>
      <c r="AL43" s="70" t="str">
        <f>'PC LIST'!I349</f>
        <v>R-A3 Customer satisfaction with value for money</v>
      </c>
      <c r="AM43" s="70" t="str">
        <f>'PC LIST'!O349</f>
        <v>%</v>
      </c>
      <c r="AN43" s="68" t="str">
        <f>'PC LIST'!B391</f>
        <v>PR14TMSWSWW_SD1</v>
      </c>
      <c r="AO43" s="68" t="str">
        <f>'PC LIST'!I391</f>
        <v>SD1: Energy imported less energy exported</v>
      </c>
      <c r="AP43" s="68" t="str">
        <f>'PC LIST'!O391</f>
        <v>nr</v>
      </c>
      <c r="AV43" s="63"/>
      <c r="AY43" s="63"/>
    </row>
    <row r="44" spans="4:54" ht="15.75" customHeight="1" x14ac:dyDescent="0.2">
      <c r="F44" s="63"/>
      <c r="M44" s="68" t="str">
        <f>'PC LIST'!B130</f>
        <v>PR14NESHHR_R-E1</v>
      </c>
      <c r="N44" s="69" t="str">
        <f>'PC LIST'!I130</f>
        <v>R-E1: Greenhouse gas emissions</v>
      </c>
      <c r="O44" s="69" t="str">
        <f>'PC LIST'!O130</f>
        <v>nr</v>
      </c>
      <c r="AA44" s="63"/>
      <c r="AD44" s="63"/>
      <c r="AH44" s="68" t="str">
        <f>'PC LIST'!B305</f>
        <v>PR14SVTHHR_R-A1</v>
      </c>
      <c r="AI44" s="68" t="str">
        <f>'PC LIST'!I305</f>
        <v>R-A1: Customer satisfaction with their service (based on a survey)</v>
      </c>
      <c r="AJ44" s="68" t="str">
        <f>'PC LIST'!O305</f>
        <v>text</v>
      </c>
      <c r="AK44" s="68" t="str">
        <f>'PC LIST'!B350</f>
        <v>PR14SWTHHR_R-B1</v>
      </c>
      <c r="AL44" s="70" t="str">
        <f>'PC LIST'!I350</f>
        <v>R-B1 Customers assisted by water poverty initiatives</v>
      </c>
      <c r="AM44" s="70" t="str">
        <f>'PC LIST'!O350</f>
        <v>nr</v>
      </c>
      <c r="AN44" s="68" t="str">
        <f>'PC LIST'!B392</f>
        <v>PR14TMSTTT_T1A</v>
      </c>
      <c r="AO44" s="68" t="str">
        <f>'PC LIST'!I392</f>
        <v>T1A: Successful procurement of the Infrastructure Provider (IP)</v>
      </c>
      <c r="AP44" s="68" t="str">
        <f>'PC LIST'!O392</f>
        <v>text</v>
      </c>
      <c r="AV44" s="63"/>
      <c r="AY44" s="63"/>
    </row>
    <row r="45" spans="4:54" ht="15.75" customHeight="1" x14ac:dyDescent="0.2">
      <c r="F45" s="63"/>
      <c r="M45" s="68" t="str">
        <f>'PC LIST'!B131</f>
        <v>PR14NESHHR_R-E2</v>
      </c>
      <c r="N45" s="69" t="str">
        <f>'PC LIST'!I131</f>
        <v>R-E2: Annual environmental performance report</v>
      </c>
      <c r="O45" s="69" t="str">
        <f>'PC LIST'!O131</f>
        <v>TBC</v>
      </c>
      <c r="AA45" s="63"/>
      <c r="AD45" s="63"/>
      <c r="AH45" s="68" t="str">
        <f>'PC LIST'!B306</f>
        <v>PR14SVTHHR_R-A2</v>
      </c>
      <c r="AI45" s="68" t="str">
        <f>'PC LIST'!I306</f>
        <v>R-A2: Customers' experience of dealing with us (based on Ofwat's SIM)</v>
      </c>
      <c r="AJ45" s="68" t="str">
        <f>'PC LIST'!O306</f>
        <v>text</v>
      </c>
      <c r="AK45" s="68"/>
      <c r="AL45" s="70"/>
      <c r="AM45" s="70"/>
      <c r="AN45" s="68" t="str">
        <f>'PC LIST'!B393</f>
        <v>PR14TMSTTT_T1B</v>
      </c>
      <c r="AO45" s="68" t="str">
        <f>'PC LIST'!I393</f>
        <v>T1B: Thames Water will fulfil its land related commitments in line with the TTT programme requirements</v>
      </c>
      <c r="AP45" s="68" t="str">
        <f>'PC LIST'!O393</f>
        <v>text</v>
      </c>
      <c r="AV45" s="63"/>
      <c r="AY45" s="63"/>
    </row>
    <row r="46" spans="4:54" ht="15.75" customHeight="1" x14ac:dyDescent="0.2">
      <c r="F46" s="63"/>
      <c r="M46" s="68" t="str">
        <f>'PC LIST'!B132</f>
        <v>PR14NESHHR_R-F1</v>
      </c>
      <c r="N46" s="69" t="str">
        <f>'PC LIST'!I132</f>
        <v>R-F1: Delivering a consolidated Customer Information and Billing (CIB) system</v>
      </c>
      <c r="O46" s="69" t="str">
        <f>'PC LIST'!O132</f>
        <v>£m</v>
      </c>
      <c r="AA46" s="63"/>
      <c r="AD46" s="63"/>
      <c r="AH46" s="68" t="str">
        <f>'PC LIST'!B307</f>
        <v>PR14SVTHHR_R-B1</v>
      </c>
      <c r="AI46" s="68" t="str">
        <f>'PC LIST'!I307</f>
        <v>R-B1: Customers helped by a review of their tariff &amp; water usage &amp;/or supported by SVT social fund</v>
      </c>
      <c r="AJ46" s="68" t="str">
        <f>'PC LIST'!O307</f>
        <v>nr</v>
      </c>
      <c r="AM46" s="63"/>
      <c r="AN46" s="68" t="str">
        <f>'PC LIST'!B394</f>
        <v>PR14TMSTTT_T1C</v>
      </c>
      <c r="AO46" s="68" t="str">
        <f>'PC LIST'!I394</f>
        <v>T1C: Completion of category 2 and 3 construction works and timely availability of sites to the IP</v>
      </c>
      <c r="AP46" s="68" t="str">
        <f>'PC LIST'!O394</f>
        <v>nr</v>
      </c>
      <c r="AV46" s="63"/>
      <c r="AY46" s="63"/>
    </row>
    <row r="47" spans="4:54" ht="15.75" customHeight="1" x14ac:dyDescent="0.2">
      <c r="F47" s="63"/>
      <c r="M47" s="68"/>
      <c r="N47" s="69"/>
      <c r="O47" s="69"/>
      <c r="AA47" s="63"/>
      <c r="AH47" s="68" t="str">
        <f>'PC LIST'!B308</f>
        <v>PR14SVTHHR_R-B2</v>
      </c>
      <c r="AI47" s="68" t="str">
        <f>'PC LIST'!I308</f>
        <v>R-B2: Percentage of customers who do not pay (household bad debt divided by total household revenue)</v>
      </c>
      <c r="AJ47" s="68" t="str">
        <f>'PC LIST'!O308</f>
        <v>%</v>
      </c>
      <c r="AM47" s="63"/>
      <c r="AN47" s="68" t="str">
        <f>'PC LIST'!B395</f>
        <v>PR14TMSTTT_T2</v>
      </c>
      <c r="AO47" s="68" t="str">
        <f>'PC LIST'!I395</f>
        <v>T2: Thames Water will engage effectively with the IP, and other stakeholders, both in terms of integration and assurance</v>
      </c>
      <c r="AP47" s="68" t="str">
        <f>'PC LIST'!O395</f>
        <v>text</v>
      </c>
      <c r="AY47" s="63"/>
    </row>
    <row r="48" spans="4:54" ht="15.75" customHeight="1" x14ac:dyDescent="0.2">
      <c r="F48" s="63"/>
      <c r="AA48" s="63"/>
      <c r="AH48" s="68"/>
      <c r="AI48" s="68"/>
      <c r="AJ48" s="68"/>
      <c r="AM48" s="63"/>
      <c r="AN48" s="68" t="str">
        <f>'PC LIST'!B396</f>
        <v>PR14TMSTTT_T3</v>
      </c>
      <c r="AO48" s="68" t="str">
        <f>'PC LIST'!I396</f>
        <v>T3: Thames Water will engage with its customers to build understanding of the TTT project. Thames Water will liaise with the IP on its surveys of local communities impacted by construction</v>
      </c>
      <c r="AP48" s="68" t="str">
        <f>'PC LIST'!O396</f>
        <v>text</v>
      </c>
      <c r="AY48" s="63"/>
    </row>
    <row r="49" spans="6:51" ht="15.75" customHeight="1" x14ac:dyDescent="0.2">
      <c r="F49" s="63"/>
      <c r="AA49" s="63"/>
      <c r="AJ49" s="63"/>
      <c r="AM49" s="63"/>
      <c r="AN49" s="68" t="str">
        <f>'PC LIST'!B397</f>
        <v>PR14TMSHHR_RA1</v>
      </c>
      <c r="AO49" s="68" t="str">
        <f>'PC LIST'!I397</f>
        <v>RA1: Minimise the number of written complaints received from customers (relating to charging and billing)</v>
      </c>
      <c r="AP49" s="68" t="str">
        <f>'PC LIST'!O397</f>
        <v>nr</v>
      </c>
      <c r="AY49" s="63"/>
    </row>
    <row r="50" spans="6:51" ht="15.75" customHeight="1" x14ac:dyDescent="0.2">
      <c r="F50" s="63"/>
      <c r="AA50" s="63"/>
      <c r="AJ50" s="63"/>
      <c r="AM50" s="63"/>
      <c r="AN50" s="68" t="str">
        <f>'PC LIST'!B398</f>
        <v>PR14TMSHHR_RA2</v>
      </c>
      <c r="AO50" s="68" t="str">
        <f>'PC LIST'!I398</f>
        <v>RA2: Improve handling of written complaints by increasing first time resolution - charging and billing</v>
      </c>
      <c r="AP50" s="68" t="str">
        <f>'PC LIST'!O398</f>
        <v>%</v>
      </c>
      <c r="AY50" s="63"/>
    </row>
    <row r="51" spans="6:51" ht="15.75" customHeight="1" x14ac:dyDescent="0.2">
      <c r="F51" s="63"/>
      <c r="AJ51" s="63"/>
      <c r="AM51" s="63"/>
      <c r="AN51" s="68" t="str">
        <f>'PC LIST'!B399</f>
        <v>PR14TMSHHR_RA3</v>
      </c>
      <c r="AO51" s="68" t="str">
        <f>'PC LIST'!I399</f>
        <v>RA3: Improve customer satisfaction of retail customers - charging and billing service</v>
      </c>
      <c r="AP51" s="68" t="str">
        <f>'PC LIST'!O399</f>
        <v>score</v>
      </c>
      <c r="AY51" s="63"/>
    </row>
    <row r="52" spans="6:51" ht="15.75" customHeight="1" x14ac:dyDescent="0.2">
      <c r="F52" s="63"/>
      <c r="AJ52" s="63"/>
      <c r="AM52" s="63"/>
      <c r="AN52" s="68" t="str">
        <f>'PC LIST'!B400</f>
        <v>PR14TMSHHR_RA4</v>
      </c>
      <c r="AO52" s="68" t="str">
        <f>'PC LIST'!I400</f>
        <v>RA4: Improve customer satisfaction of retail customers - operations contact centre</v>
      </c>
      <c r="AP52" s="68" t="str">
        <f>'PC LIST'!O400</f>
        <v>score</v>
      </c>
      <c r="AY52" s="63"/>
    </row>
    <row r="53" spans="6:51" ht="15.75" customHeight="1" x14ac:dyDescent="0.2">
      <c r="F53" s="63"/>
      <c r="AJ53" s="63"/>
      <c r="AM53" s="63"/>
      <c r="AN53" s="68" t="str">
        <f>'PC LIST'!B401</f>
        <v>PR14TMSHHR_RA5</v>
      </c>
      <c r="AO53" s="68" t="str">
        <f>'PC LIST'!I401</f>
        <v>RA5: Increase the number of bills based on actual meter reads (in cycle)</v>
      </c>
      <c r="AP53" s="68" t="str">
        <f>'PC LIST'!O401</f>
        <v>%</v>
      </c>
      <c r="AY53" s="63"/>
    </row>
    <row r="54" spans="6:51" ht="15.75" customHeight="1" x14ac:dyDescent="0.2">
      <c r="F54" s="63"/>
      <c r="AJ54" s="63"/>
      <c r="AM54" s="63"/>
      <c r="AN54" s="68" t="str">
        <f>'PC LIST'!B402</f>
        <v>PR14TMSHHR_RA6</v>
      </c>
      <c r="AO54" s="68" t="str">
        <f>'PC LIST'!I402</f>
        <v>RA6: Service incentive mechanism (SIM)</v>
      </c>
      <c r="AP54" s="68" t="str">
        <f>'PC LIST'!O402</f>
        <v>score</v>
      </c>
      <c r="AY54" s="63"/>
    </row>
    <row r="55" spans="6:51" ht="15.75" customHeight="1" x14ac:dyDescent="0.2">
      <c r="AJ55" s="63"/>
      <c r="AM55" s="63"/>
      <c r="AN55" s="68" t="str">
        <f>'PC LIST'!B403</f>
        <v>PR14TMSHHR_RB1</v>
      </c>
      <c r="AO55" s="68" t="str">
        <f>'PC LIST'!I403</f>
        <v>RB1: Implement new online account management for customers supported by web-chat</v>
      </c>
      <c r="AP55" s="68" t="str">
        <f>'PC LIST'!O403</f>
        <v>text</v>
      </c>
      <c r="AY55" s="63"/>
    </row>
    <row r="56" spans="6:51" ht="15.75" customHeight="1" x14ac:dyDescent="0.2">
      <c r="AJ56" s="63"/>
      <c r="AM56" s="63"/>
      <c r="AN56" s="68" t="str">
        <f>'PC LIST'!B404</f>
        <v>PR14TMSHHR_RC1</v>
      </c>
      <c r="AO56" s="68" t="str">
        <f>'PC LIST'!I404</f>
        <v>RC1: Increase the number of customers on payment plans (excluding Thames Tideway Tunnel)</v>
      </c>
      <c r="AP56" s="68" t="str">
        <f>'PC LIST'!O404</f>
        <v>%</v>
      </c>
      <c r="AY56" s="63"/>
    </row>
    <row r="57" spans="6:51" ht="15.75" customHeight="1" x14ac:dyDescent="0.2">
      <c r="AJ57" s="63"/>
      <c r="AM57" s="63"/>
      <c r="AN57" s="68" t="str">
        <f>'PC LIST'!B405</f>
        <v>PR14TMSHHR_RC2</v>
      </c>
      <c r="AO57" s="68" t="str">
        <f>'PC LIST'!I405</f>
        <v>RC2: Increase cash collection rates (excluding Thames Tideway Tunnel)</v>
      </c>
      <c r="AP57" s="68" t="str">
        <f>'PC LIST'!O405</f>
        <v>%</v>
      </c>
      <c r="AY57" s="63"/>
    </row>
    <row r="58" spans="6:51" ht="15.75" customHeight="1" x14ac:dyDescent="0.2">
      <c r="AJ58" s="63"/>
      <c r="AM58" s="63"/>
      <c r="AN58" s="68"/>
      <c r="AO58" s="68"/>
      <c r="AP58" s="68"/>
      <c r="AY58" s="63"/>
    </row>
    <row r="59" spans="6:51" ht="15.75" customHeight="1" x14ac:dyDescent="0.2">
      <c r="AJ59" s="63"/>
      <c r="AM59" s="63"/>
      <c r="AP59" s="63"/>
      <c r="AY59" s="63"/>
    </row>
    <row r="60" spans="6:51" ht="15.75" customHeight="1" x14ac:dyDescent="0.2">
      <c r="AP60" s="63"/>
      <c r="AY60" s="63"/>
    </row>
    <row r="61" spans="6:51" ht="15.75" customHeight="1" x14ac:dyDescent="0.2">
      <c r="AP61" s="63"/>
    </row>
    <row r="62" spans="6:51" ht="15.75" customHeight="1" x14ac:dyDescent="0.2">
      <c r="AP62" s="63"/>
    </row>
    <row r="63" spans="6:51" ht="15.75" customHeight="1" x14ac:dyDescent="0.2">
      <c r="AP63" s="63"/>
    </row>
    <row r="64" spans="6:51" ht="15.75" customHeight="1" x14ac:dyDescent="0.2">
      <c r="AP64" s="63"/>
    </row>
    <row r="65" spans="42:47" ht="15.75" customHeight="1" x14ac:dyDescent="0.2">
      <c r="AP65" s="63"/>
    </row>
    <row r="66" spans="42:47" ht="15.75" customHeight="1" x14ac:dyDescent="0.2">
      <c r="AP66" s="63"/>
      <c r="AT66" s="68"/>
      <c r="AU66" s="68"/>
    </row>
    <row r="67" spans="42:47" ht="15.75" customHeight="1" x14ac:dyDescent="0.2">
      <c r="AP67" s="63"/>
    </row>
    <row r="68" spans="42:47" ht="15.75" customHeight="1" x14ac:dyDescent="0.2">
      <c r="AP68" s="63"/>
    </row>
    <row r="69" spans="42:47" ht="15.75" customHeight="1" x14ac:dyDescent="0.2">
      <c r="AP69" s="63"/>
    </row>
    <row r="70" spans="42:47" ht="15.75" customHeight="1" x14ac:dyDescent="0.2">
      <c r="AP70" s="63"/>
    </row>
    <row r="71" spans="42:47" ht="15.75" customHeight="1" x14ac:dyDescent="0.2"/>
    <row r="72" spans="42:47" ht="15.75" customHeight="1" x14ac:dyDescent="0.2"/>
    <row r="73" spans="42:47" ht="15.75" customHeight="1" x14ac:dyDescent="0.2"/>
    <row r="74" spans="42:47" ht="15.75" customHeight="1" x14ac:dyDescent="0.2"/>
    <row r="75" spans="42:47" ht="15.75" customHeight="1" x14ac:dyDescent="0.2"/>
    <row r="76" spans="42:47" ht="15.75" customHeight="1" x14ac:dyDescent="0.2"/>
    <row r="77" spans="42:47" ht="15.75" customHeight="1" x14ac:dyDescent="0.2"/>
    <row r="78" spans="42:47" ht="15.75" customHeight="1" x14ac:dyDescent="0.2"/>
    <row r="79" spans="42:47" ht="15.75" customHeight="1" x14ac:dyDescent="0.2"/>
    <row r="80" spans="42:47"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spans="43:44" ht="15.75" customHeight="1" x14ac:dyDescent="0.2">
      <c r="AQ129" s="68"/>
      <c r="AR129" s="68"/>
    </row>
    <row r="130" spans="43:44" ht="15.75" customHeight="1" x14ac:dyDescent="0.2">
      <c r="AQ130" s="68"/>
      <c r="AR130" s="68"/>
    </row>
    <row r="131" spans="43:44" ht="15.75" customHeight="1" x14ac:dyDescent="0.2">
      <c r="AQ131" s="68"/>
      <c r="AR131" s="68"/>
    </row>
    <row r="132" spans="43:44" ht="15.75" customHeight="1" x14ac:dyDescent="0.2">
      <c r="AQ132" s="68"/>
      <c r="AR132" s="68"/>
    </row>
    <row r="133" spans="43:44" ht="15.75" customHeight="1" x14ac:dyDescent="0.2">
      <c r="AQ133" s="68"/>
      <c r="AR133" s="68"/>
    </row>
    <row r="134" spans="43:44" ht="15.75" customHeight="1" x14ac:dyDescent="0.2">
      <c r="AQ134" s="68"/>
      <c r="AR134" s="68"/>
    </row>
    <row r="135" spans="43:44" ht="15.75" customHeight="1" x14ac:dyDescent="0.2">
      <c r="AQ135" s="68"/>
      <c r="AR135" s="68"/>
    </row>
    <row r="136" spans="43:44" ht="15.75" customHeight="1" x14ac:dyDescent="0.2">
      <c r="AQ136" s="68"/>
      <c r="AR136" s="68"/>
    </row>
    <row r="137" spans="43:44" ht="15.75" customHeight="1" x14ac:dyDescent="0.2">
      <c r="AQ137" s="68"/>
      <c r="AR137" s="68"/>
    </row>
    <row r="138" spans="43:44" ht="15.75" customHeight="1" x14ac:dyDescent="0.2">
      <c r="AQ138" s="68"/>
      <c r="AR138" s="68"/>
    </row>
    <row r="139" spans="43:44" ht="15.75" customHeight="1" x14ac:dyDescent="0.2">
      <c r="AQ139" s="68"/>
      <c r="AR139" s="68"/>
    </row>
    <row r="140" spans="43:44" ht="15.75" customHeight="1" x14ac:dyDescent="0.2">
      <c r="AQ140" s="68"/>
      <c r="AR140" s="68"/>
    </row>
    <row r="141" spans="43:44" ht="15.75" customHeight="1" x14ac:dyDescent="0.2"/>
    <row r="142" spans="43:44" ht="15.75" customHeight="1" x14ac:dyDescent="0.2"/>
    <row r="143" spans="43:44" ht="15.75" customHeight="1" x14ac:dyDescent="0.2"/>
    <row r="144" spans="43: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sheetData>
  <sheetProtection algorithmName="SHA-512" hashValue="YXvucaeXl/eW3lACyStyOoRaXQvuLzgA9t8DQxahAtjKVNh+rXFVYJL42roeaX0qK9n+NN1Bd8AxNHl6SKcRyw==" saltValue="M2RWLPOhxqmQK2M7H8D54g==" spinCount="100000" sheet="1" objects="1" scenarios="1" selectLockedCells="1"/>
  <pageMargins left="0.70866141732283472" right="0.70866141732283472" top="0.74803149606299213" bottom="0.74803149606299213" header="0.31496062992125984" footer="0.31496062992125984"/>
  <pageSetup paperSize="9" scale="10" orientation="portrait" r:id="rId1"/>
  <headerFooter>
    <oddFooter>&amp;L2016 Annual performance report tables, December 2015</odd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R25"/>
  <sheetViews>
    <sheetView zoomScale="85" zoomScaleNormal="85" workbookViewId="0">
      <selection activeCell="G3" sqref="G3"/>
    </sheetView>
  </sheetViews>
  <sheetFormatPr defaultRowHeight="14.25" x14ac:dyDescent="0.2"/>
  <cols>
    <col min="1" max="1" width="26.625" customWidth="1"/>
    <col min="2" max="2" width="22.375" customWidth="1"/>
    <col min="3" max="17" width="18.5" customWidth="1"/>
    <col min="18" max="18" width="25.375" customWidth="1"/>
  </cols>
  <sheetData>
    <row r="1" spans="1:18" ht="15.75" thickBot="1" x14ac:dyDescent="0.3">
      <c r="A1" s="71" t="s">
        <v>916</v>
      </c>
      <c r="B1" s="71" t="s">
        <v>926</v>
      </c>
      <c r="C1" s="71" t="s">
        <v>932</v>
      </c>
      <c r="D1" s="71" t="s">
        <v>939</v>
      </c>
      <c r="E1" s="71" t="s">
        <v>942</v>
      </c>
      <c r="F1" s="71" t="s">
        <v>945</v>
      </c>
      <c r="G1" s="71" t="s">
        <v>936</v>
      </c>
      <c r="H1" s="71" t="s">
        <v>1327</v>
      </c>
      <c r="I1" s="71" t="s">
        <v>1449</v>
      </c>
      <c r="J1" s="71" t="s">
        <v>1792</v>
      </c>
      <c r="K1" s="71" t="s">
        <v>1856</v>
      </c>
      <c r="L1" s="71" t="s">
        <v>2017</v>
      </c>
      <c r="M1" s="71" t="s">
        <v>2295</v>
      </c>
      <c r="N1" s="71" t="s">
        <v>1923</v>
      </c>
      <c r="O1" s="71" t="s">
        <v>929</v>
      </c>
      <c r="P1" s="71" t="s">
        <v>920</v>
      </c>
      <c r="Q1" s="71" t="s">
        <v>1029</v>
      </c>
      <c r="R1" s="71" t="s">
        <v>923</v>
      </c>
    </row>
    <row r="2" spans="1:18" ht="15" thickBot="1" x14ac:dyDescent="0.25">
      <c r="A2" s="72" t="s">
        <v>3584</v>
      </c>
      <c r="B2" s="72" t="s">
        <v>3584</v>
      </c>
      <c r="C2" s="72" t="s">
        <v>3584</v>
      </c>
      <c r="D2" s="72" t="s">
        <v>3584</v>
      </c>
      <c r="E2" s="72" t="s">
        <v>3584</v>
      </c>
      <c r="F2" s="72" t="s">
        <v>3584</v>
      </c>
      <c r="G2" s="72" t="s">
        <v>3584</v>
      </c>
      <c r="H2" s="72" t="s">
        <v>3584</v>
      </c>
      <c r="I2" s="72" t="s">
        <v>3584</v>
      </c>
      <c r="J2" s="72" t="s">
        <v>3584</v>
      </c>
      <c r="K2" s="72" t="s">
        <v>3584</v>
      </c>
      <c r="L2" s="72" t="s">
        <v>3584</v>
      </c>
      <c r="M2" s="72" t="s">
        <v>3584</v>
      </c>
      <c r="N2" s="72" t="s">
        <v>3584</v>
      </c>
      <c r="O2" s="72" t="s">
        <v>3584</v>
      </c>
      <c r="P2" s="72" t="s">
        <v>3584</v>
      </c>
      <c r="Q2" s="72" t="s">
        <v>3584</v>
      </c>
      <c r="R2" s="72" t="s">
        <v>3584</v>
      </c>
    </row>
    <row r="3" spans="1:18" ht="57.75" thickBot="1" x14ac:dyDescent="0.25">
      <c r="A3" s="73" t="s">
        <v>3585</v>
      </c>
      <c r="B3" s="73" t="s">
        <v>3586</v>
      </c>
      <c r="C3" s="73" t="s">
        <v>3587</v>
      </c>
      <c r="D3" s="73" t="s">
        <v>3588</v>
      </c>
      <c r="E3" s="73" t="s">
        <v>3589</v>
      </c>
      <c r="F3" s="73" t="s">
        <v>3590</v>
      </c>
      <c r="G3" s="73" t="s">
        <v>3591</v>
      </c>
      <c r="H3" s="73" t="s">
        <v>3592</v>
      </c>
      <c r="I3" s="73" t="s">
        <v>3593</v>
      </c>
      <c r="J3" s="73" t="s">
        <v>3594</v>
      </c>
      <c r="K3" s="73" t="s">
        <v>3595</v>
      </c>
      <c r="L3" s="73" t="s">
        <v>3596</v>
      </c>
      <c r="M3" s="73" t="s">
        <v>3597</v>
      </c>
      <c r="N3" s="73" t="s">
        <v>3598</v>
      </c>
      <c r="O3" s="73" t="s">
        <v>3599</v>
      </c>
      <c r="P3" s="73" t="s">
        <v>3600</v>
      </c>
      <c r="Q3" s="73" t="s">
        <v>3601</v>
      </c>
      <c r="R3" s="73" t="s">
        <v>3602</v>
      </c>
    </row>
    <row r="4" spans="1:18" ht="43.5" thickBot="1" x14ac:dyDescent="0.25">
      <c r="A4" s="73" t="s">
        <v>3603</v>
      </c>
      <c r="B4" s="73" t="s">
        <v>3604</v>
      </c>
      <c r="C4" s="73" t="s">
        <v>3605</v>
      </c>
      <c r="D4" s="73" t="s">
        <v>3606</v>
      </c>
      <c r="E4" s="73" t="s">
        <v>3607</v>
      </c>
      <c r="F4" s="73" t="s">
        <v>3608</v>
      </c>
      <c r="G4" s="73" t="s">
        <v>3609</v>
      </c>
      <c r="H4" s="73" t="s">
        <v>3610</v>
      </c>
      <c r="I4" s="73" t="s">
        <v>3611</v>
      </c>
      <c r="J4" s="73" t="s">
        <v>3612</v>
      </c>
      <c r="K4" s="73" t="s">
        <v>3613</v>
      </c>
      <c r="L4" s="73" t="s">
        <v>3614</v>
      </c>
      <c r="M4" s="73" t="s">
        <v>3615</v>
      </c>
      <c r="N4" s="73" t="s">
        <v>3616</v>
      </c>
      <c r="O4" s="73" t="s">
        <v>3617</v>
      </c>
      <c r="P4" s="73" t="s">
        <v>3618</v>
      </c>
      <c r="Q4" s="73" t="s">
        <v>3619</v>
      </c>
      <c r="R4" s="73" t="s">
        <v>3620</v>
      </c>
    </row>
    <row r="5" spans="1:18" ht="57.75" thickBot="1" x14ac:dyDescent="0.25">
      <c r="A5" s="73" t="s">
        <v>3621</v>
      </c>
      <c r="B5" s="73" t="s">
        <v>3622</v>
      </c>
      <c r="C5" s="73" t="s">
        <v>3623</v>
      </c>
      <c r="D5" s="73" t="s">
        <v>3624</v>
      </c>
      <c r="E5" s="73" t="s">
        <v>3625</v>
      </c>
      <c r="F5" s="73" t="s">
        <v>3626</v>
      </c>
      <c r="G5" s="73" t="s">
        <v>3627</v>
      </c>
      <c r="H5" s="73" t="s">
        <v>3628</v>
      </c>
      <c r="I5" s="73" t="s">
        <v>3629</v>
      </c>
      <c r="J5" s="73" t="s">
        <v>3630</v>
      </c>
      <c r="K5" s="73" t="s">
        <v>3631</v>
      </c>
      <c r="L5" s="73" t="s">
        <v>3632</v>
      </c>
      <c r="M5" s="73" t="s">
        <v>3633</v>
      </c>
      <c r="N5" s="73" t="s">
        <v>3634</v>
      </c>
      <c r="O5" s="73" t="s">
        <v>3635</v>
      </c>
      <c r="P5" s="73" t="s">
        <v>3636</v>
      </c>
      <c r="Q5" s="73" t="s">
        <v>3637</v>
      </c>
      <c r="R5" s="73" t="s">
        <v>3638</v>
      </c>
    </row>
    <row r="6" spans="1:18" ht="57.75" thickBot="1" x14ac:dyDescent="0.25">
      <c r="A6" s="73" t="s">
        <v>3639</v>
      </c>
      <c r="B6" s="73" t="s">
        <v>3640</v>
      </c>
      <c r="C6" s="73" t="s">
        <v>3641</v>
      </c>
      <c r="D6" s="73" t="s">
        <v>3642</v>
      </c>
      <c r="E6" s="73" t="s">
        <v>3643</v>
      </c>
      <c r="F6" s="73" t="s">
        <v>3644</v>
      </c>
      <c r="G6" s="73" t="s">
        <v>3645</v>
      </c>
      <c r="H6" s="73" t="s">
        <v>3646</v>
      </c>
      <c r="I6" s="73" t="s">
        <v>3647</v>
      </c>
      <c r="J6" s="73" t="s">
        <v>3648</v>
      </c>
      <c r="K6" s="73" t="s">
        <v>3649</v>
      </c>
      <c r="L6" s="73" t="s">
        <v>3650</v>
      </c>
      <c r="M6" s="73" t="s">
        <v>3651</v>
      </c>
      <c r="N6" s="73" t="s">
        <v>3652</v>
      </c>
      <c r="O6" s="73" t="s">
        <v>3653</v>
      </c>
      <c r="P6" s="73" t="s">
        <v>3636</v>
      </c>
      <c r="Q6" s="73" t="s">
        <v>3654</v>
      </c>
      <c r="R6" s="73" t="s">
        <v>3655</v>
      </c>
    </row>
    <row r="7" spans="1:18" ht="57.75" thickBot="1" x14ac:dyDescent="0.25">
      <c r="A7" s="73" t="s">
        <v>3656</v>
      </c>
      <c r="B7" s="73" t="s">
        <v>3657</v>
      </c>
      <c r="C7" s="73" t="s">
        <v>3658</v>
      </c>
      <c r="D7" s="73" t="s">
        <v>3659</v>
      </c>
      <c r="E7" s="73" t="s">
        <v>3660</v>
      </c>
      <c r="G7" s="73" t="s">
        <v>3661</v>
      </c>
      <c r="H7" s="73" t="s">
        <v>3662</v>
      </c>
      <c r="I7" s="73" t="s">
        <v>3663</v>
      </c>
      <c r="K7" s="73" t="s">
        <v>3664</v>
      </c>
      <c r="L7" s="73" t="s">
        <v>3665</v>
      </c>
      <c r="M7" s="73" t="s">
        <v>3666</v>
      </c>
      <c r="N7" s="73" t="s">
        <v>3667</v>
      </c>
      <c r="O7" s="73" t="s">
        <v>3668</v>
      </c>
      <c r="P7" s="73" t="s">
        <v>3669</v>
      </c>
      <c r="Q7" s="73" t="s">
        <v>3670</v>
      </c>
      <c r="R7" s="73" t="s">
        <v>3671</v>
      </c>
    </row>
    <row r="8" spans="1:18" ht="57.75" thickBot="1" x14ac:dyDescent="0.25">
      <c r="A8" s="73" t="s">
        <v>3672</v>
      </c>
      <c r="C8" s="73" t="s">
        <v>3673</v>
      </c>
      <c r="D8" s="73" t="s">
        <v>3674</v>
      </c>
      <c r="E8" s="73" t="s">
        <v>3675</v>
      </c>
      <c r="G8" s="73" t="s">
        <v>3676</v>
      </c>
      <c r="H8" s="73" t="s">
        <v>3677</v>
      </c>
      <c r="I8" s="73" t="s">
        <v>3678</v>
      </c>
      <c r="K8" s="73" t="s">
        <v>3679</v>
      </c>
      <c r="L8" s="73" t="s">
        <v>3680</v>
      </c>
      <c r="M8" s="73" t="s">
        <v>3681</v>
      </c>
      <c r="N8" s="73" t="s">
        <v>3682</v>
      </c>
      <c r="O8" s="73" t="s">
        <v>3683</v>
      </c>
      <c r="P8" s="73" t="s">
        <v>3684</v>
      </c>
      <c r="R8" s="73" t="s">
        <v>3685</v>
      </c>
    </row>
    <row r="9" spans="1:18" ht="43.5" thickBot="1" x14ac:dyDescent="0.25">
      <c r="A9" s="73" t="s">
        <v>3686</v>
      </c>
      <c r="E9" s="73" t="s">
        <v>3687</v>
      </c>
      <c r="G9" s="73" t="s">
        <v>3688</v>
      </c>
      <c r="H9" s="73" t="s">
        <v>3689</v>
      </c>
      <c r="K9" s="73" t="s">
        <v>3690</v>
      </c>
      <c r="M9" s="73" t="s">
        <v>3691</v>
      </c>
      <c r="N9" s="73" t="s">
        <v>3692</v>
      </c>
      <c r="P9" s="73" t="s">
        <v>3693</v>
      </c>
      <c r="R9" s="73" t="s">
        <v>3694</v>
      </c>
    </row>
    <row r="10" spans="1:18" ht="57.75" thickBot="1" x14ac:dyDescent="0.25">
      <c r="A10" s="73" t="s">
        <v>3695</v>
      </c>
      <c r="E10" s="73" t="s">
        <v>3696</v>
      </c>
      <c r="G10" s="73" t="s">
        <v>3697</v>
      </c>
      <c r="H10" s="73" t="s">
        <v>3698</v>
      </c>
      <c r="K10" s="73" t="s">
        <v>3699</v>
      </c>
      <c r="M10" s="73" t="s">
        <v>3700</v>
      </c>
      <c r="N10" s="73" t="s">
        <v>3701</v>
      </c>
      <c r="P10" s="73" t="s">
        <v>3702</v>
      </c>
      <c r="R10" s="73" t="s">
        <v>3703</v>
      </c>
    </row>
    <row r="11" spans="1:18" ht="57.75" thickBot="1" x14ac:dyDescent="0.25">
      <c r="A11" s="73" t="s">
        <v>3704</v>
      </c>
      <c r="E11" s="73" t="s">
        <v>3705</v>
      </c>
      <c r="G11" s="73" t="s">
        <v>3706</v>
      </c>
      <c r="I11" s="74"/>
      <c r="M11" s="73" t="s">
        <v>3707</v>
      </c>
      <c r="N11" s="73" t="s">
        <v>3708</v>
      </c>
      <c r="P11" s="73" t="s">
        <v>3709</v>
      </c>
      <c r="R11" s="73" t="s">
        <v>3710</v>
      </c>
    </row>
    <row r="12" spans="1:18" ht="57.75" thickBot="1" x14ac:dyDescent="0.25">
      <c r="A12" s="73" t="s">
        <v>3711</v>
      </c>
      <c r="E12" s="73" t="s">
        <v>3712</v>
      </c>
      <c r="G12" s="73" t="s">
        <v>3713</v>
      </c>
      <c r="I12" s="74"/>
      <c r="M12" s="73" t="s">
        <v>3714</v>
      </c>
      <c r="N12" s="73" t="s">
        <v>3715</v>
      </c>
      <c r="P12" s="73" t="s">
        <v>3716</v>
      </c>
      <c r="R12" s="73" t="s">
        <v>3717</v>
      </c>
    </row>
    <row r="13" spans="1:18" ht="57.75" thickBot="1" x14ac:dyDescent="0.25">
      <c r="A13" s="73" t="s">
        <v>3718</v>
      </c>
      <c r="E13" s="73" t="s">
        <v>3719</v>
      </c>
      <c r="G13" s="73" t="s">
        <v>3720</v>
      </c>
      <c r="I13" s="74"/>
      <c r="P13" s="73" t="s">
        <v>3721</v>
      </c>
      <c r="R13" s="73" t="s">
        <v>3722</v>
      </c>
    </row>
    <row r="14" spans="1:18" ht="57.75" thickBot="1" x14ac:dyDescent="0.25">
      <c r="A14" s="73" t="s">
        <v>3723</v>
      </c>
      <c r="E14" s="73" t="s">
        <v>3724</v>
      </c>
      <c r="G14" s="73" t="s">
        <v>3725</v>
      </c>
      <c r="P14" s="73" t="s">
        <v>3726</v>
      </c>
    </row>
    <row r="15" spans="1:18" ht="57.75" thickBot="1" x14ac:dyDescent="0.25">
      <c r="A15" s="73" t="s">
        <v>3727</v>
      </c>
      <c r="E15" s="73" t="s">
        <v>3728</v>
      </c>
      <c r="P15" s="73" t="s">
        <v>3729</v>
      </c>
    </row>
    <row r="16" spans="1:18" ht="57.75" thickBot="1" x14ac:dyDescent="0.25">
      <c r="A16" s="73" t="s">
        <v>3730</v>
      </c>
      <c r="P16" s="73" t="s">
        <v>3731</v>
      </c>
    </row>
    <row r="17" spans="1:18" ht="29.25" thickBot="1" x14ac:dyDescent="0.25">
      <c r="A17" s="73" t="s">
        <v>3732</v>
      </c>
    </row>
    <row r="18" spans="1:18" ht="29.25" thickBot="1" x14ac:dyDescent="0.25">
      <c r="A18" s="73" t="s">
        <v>3733</v>
      </c>
    </row>
    <row r="19" spans="1:18" ht="28.5" x14ac:dyDescent="0.2">
      <c r="A19" s="73" t="s">
        <v>3734</v>
      </c>
      <c r="R19" s="75"/>
    </row>
    <row r="20" spans="1:18" x14ac:dyDescent="0.2">
      <c r="R20" s="75"/>
    </row>
    <row r="21" spans="1:18" x14ac:dyDescent="0.2">
      <c r="R21" s="75"/>
    </row>
    <row r="22" spans="1:18" x14ac:dyDescent="0.2">
      <c r="R22" s="75"/>
    </row>
    <row r="23" spans="1:18" x14ac:dyDescent="0.2">
      <c r="R23" s="75"/>
    </row>
    <row r="24" spans="1:18" x14ac:dyDescent="0.2">
      <c r="R24" s="75"/>
    </row>
    <row r="25" spans="1:18" x14ac:dyDescent="0.2">
      <c r="R25" s="75"/>
    </row>
  </sheetData>
  <sheetProtection algorithmName="SHA-512" hashValue="BZXDX+Dlv0kTIZcuLw2oNK/nCXmgiVsFeSi8f0x5jeZ9XX44yiaq7rLqaNLFl8SNWLvrly2gdXvuXvUcT4lMjw==" saltValue="gGru/l7KyqhOcELp+mIV4Q==" spinCount="100000" sheet="1" objects="1" scenarios="1"/>
  <autoFilter ref="A1:R25" xr:uid="{00000000-0009-0000-0000-000022000000}"/>
  <pageMargins left="0.70866141732283472" right="0.70866141732283472" top="0.74803149606299213" bottom="0.74803149606299213" header="0.31496062992125984" footer="0.31496062992125984"/>
  <pageSetup paperSize="9" scale="22" orientation="portrait" r:id="rId1"/>
  <headerFooter>
    <oddFooter>&amp;L2016 Annual performance report tables, December 2015</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22"/>
  <sheetViews>
    <sheetView topLeftCell="C1" zoomScaleNormal="100" workbookViewId="0">
      <selection activeCell="G3" sqref="G3"/>
    </sheetView>
  </sheetViews>
  <sheetFormatPr defaultRowHeight="14.25" x14ac:dyDescent="0.2"/>
  <cols>
    <col min="1" max="1" width="26.625" customWidth="1"/>
    <col min="2" max="2" width="22.375" customWidth="1"/>
    <col min="3" max="7" width="18.5" customWidth="1"/>
    <col min="8" max="8" width="15.125" customWidth="1"/>
    <col min="9" max="9" width="15" customWidth="1"/>
    <col min="10" max="10" width="18.875" customWidth="1"/>
  </cols>
  <sheetData>
    <row r="1" spans="1:10" s="71" customFormat="1" ht="15.75" thickBot="1" x14ac:dyDescent="0.3">
      <c r="A1" s="71" t="s">
        <v>916</v>
      </c>
      <c r="B1" s="71" t="s">
        <v>926</v>
      </c>
      <c r="C1" s="71" t="s">
        <v>932</v>
      </c>
      <c r="D1" s="71" t="s">
        <v>939</v>
      </c>
      <c r="E1" s="71" t="s">
        <v>942</v>
      </c>
      <c r="F1" s="71" t="s">
        <v>945</v>
      </c>
      <c r="G1" s="71" t="s">
        <v>936</v>
      </c>
      <c r="H1" s="71" t="s">
        <v>920</v>
      </c>
      <c r="I1" s="71" t="s">
        <v>923</v>
      </c>
      <c r="J1" s="71" t="s">
        <v>929</v>
      </c>
    </row>
    <row r="2" spans="1:10" ht="15" thickBot="1" x14ac:dyDescent="0.25">
      <c r="A2" s="72" t="s">
        <v>3584</v>
      </c>
      <c r="B2" s="72" t="s">
        <v>3584</v>
      </c>
      <c r="C2" s="72" t="s">
        <v>3584</v>
      </c>
      <c r="D2" s="72" t="s">
        <v>3584</v>
      </c>
      <c r="E2" s="72" t="s">
        <v>3584</v>
      </c>
      <c r="F2" s="72" t="s">
        <v>3584</v>
      </c>
      <c r="G2" s="72" t="s">
        <v>3584</v>
      </c>
      <c r="H2" s="72" t="s">
        <v>3584</v>
      </c>
      <c r="I2" s="72" t="s">
        <v>3584</v>
      </c>
      <c r="J2" s="72" t="s">
        <v>3584</v>
      </c>
    </row>
    <row r="3" spans="1:10" ht="57.75" thickBot="1" x14ac:dyDescent="0.25">
      <c r="A3" s="73" t="s">
        <v>3735</v>
      </c>
      <c r="B3" s="73" t="s">
        <v>3736</v>
      </c>
      <c r="C3" s="73" t="s">
        <v>3737</v>
      </c>
      <c r="D3" s="73" t="s">
        <v>3738</v>
      </c>
      <c r="E3" s="73" t="s">
        <v>3739</v>
      </c>
      <c r="F3" s="73" t="s">
        <v>3740</v>
      </c>
      <c r="G3" s="73" t="s">
        <v>3741</v>
      </c>
      <c r="H3" s="73" t="s">
        <v>3742</v>
      </c>
      <c r="I3" s="73" t="s">
        <v>3743</v>
      </c>
      <c r="J3" s="73" t="s">
        <v>3744</v>
      </c>
    </row>
    <row r="4" spans="1:10" ht="57.75" thickBot="1" x14ac:dyDescent="0.25">
      <c r="A4" s="73" t="s">
        <v>3745</v>
      </c>
      <c r="B4" s="73" t="s">
        <v>3746</v>
      </c>
      <c r="C4" s="73" t="s">
        <v>3747</v>
      </c>
      <c r="D4" s="73" t="s">
        <v>3748</v>
      </c>
      <c r="E4" s="73" t="s">
        <v>3749</v>
      </c>
      <c r="F4" s="73" t="s">
        <v>3750</v>
      </c>
      <c r="G4" s="73" t="s">
        <v>3751</v>
      </c>
      <c r="H4" s="73" t="s">
        <v>3752</v>
      </c>
      <c r="I4" s="73" t="s">
        <v>3753</v>
      </c>
      <c r="J4" s="73" t="s">
        <v>3754</v>
      </c>
    </row>
    <row r="5" spans="1:10" ht="57.75" thickBot="1" x14ac:dyDescent="0.25">
      <c r="A5" s="73" t="s">
        <v>3755</v>
      </c>
      <c r="B5" s="73" t="s">
        <v>3756</v>
      </c>
      <c r="C5" s="73" t="s">
        <v>3757</v>
      </c>
      <c r="D5" s="73" t="s">
        <v>3758</v>
      </c>
      <c r="E5" s="73" t="s">
        <v>3759</v>
      </c>
      <c r="F5" s="73" t="s">
        <v>3760</v>
      </c>
      <c r="G5" s="73" t="s">
        <v>3761</v>
      </c>
      <c r="H5" s="73" t="s">
        <v>3762</v>
      </c>
      <c r="I5" s="73" t="s">
        <v>3763</v>
      </c>
      <c r="J5" s="73" t="s">
        <v>3764</v>
      </c>
    </row>
    <row r="6" spans="1:10" ht="57.75" thickBot="1" x14ac:dyDescent="0.25">
      <c r="A6" s="73" t="s">
        <v>3765</v>
      </c>
      <c r="B6" s="73" t="s">
        <v>3766</v>
      </c>
      <c r="C6" s="73" t="s">
        <v>3767</v>
      </c>
      <c r="D6" s="73" t="s">
        <v>3768</v>
      </c>
      <c r="E6" s="73" t="s">
        <v>3769</v>
      </c>
      <c r="F6" s="73" t="s">
        <v>3770</v>
      </c>
      <c r="G6" s="73" t="s">
        <v>3771</v>
      </c>
      <c r="H6" s="73" t="s">
        <v>3772</v>
      </c>
      <c r="I6" s="73" t="s">
        <v>3773</v>
      </c>
      <c r="J6" s="73" t="s">
        <v>3774</v>
      </c>
    </row>
    <row r="7" spans="1:10" ht="72" thickBot="1" x14ac:dyDescent="0.25">
      <c r="A7" s="73" t="s">
        <v>3775</v>
      </c>
      <c r="B7" s="73" t="s">
        <v>3776</v>
      </c>
      <c r="C7" s="73" t="s">
        <v>3777</v>
      </c>
      <c r="D7" s="73" t="s">
        <v>3778</v>
      </c>
      <c r="E7" s="73" t="s">
        <v>3779</v>
      </c>
      <c r="F7" s="73" t="s">
        <v>3780</v>
      </c>
      <c r="G7" s="73" t="s">
        <v>3781</v>
      </c>
      <c r="H7" s="73" t="s">
        <v>3782</v>
      </c>
      <c r="I7" s="73" t="s">
        <v>3783</v>
      </c>
      <c r="J7" s="73" t="s">
        <v>3784</v>
      </c>
    </row>
    <row r="8" spans="1:10" ht="43.5" thickBot="1" x14ac:dyDescent="0.25">
      <c r="A8" s="73" t="s">
        <v>3785</v>
      </c>
      <c r="B8" s="73" t="s">
        <v>3786</v>
      </c>
      <c r="C8" s="73" t="s">
        <v>3787</v>
      </c>
      <c r="D8" s="73" t="s">
        <v>3788</v>
      </c>
      <c r="E8" s="73" t="s">
        <v>3789</v>
      </c>
      <c r="F8" s="73" t="s">
        <v>3790</v>
      </c>
      <c r="G8" s="73" t="s">
        <v>3791</v>
      </c>
      <c r="H8" s="73" t="s">
        <v>3792</v>
      </c>
      <c r="I8" s="76"/>
      <c r="J8" s="73" t="s">
        <v>3793</v>
      </c>
    </row>
    <row r="9" spans="1:10" ht="43.5" thickBot="1" x14ac:dyDescent="0.25">
      <c r="A9" s="73" t="s">
        <v>3794</v>
      </c>
      <c r="B9" s="73" t="s">
        <v>3795</v>
      </c>
      <c r="C9" s="73" t="s">
        <v>3796</v>
      </c>
      <c r="D9" s="73" t="s">
        <v>3797</v>
      </c>
      <c r="E9" s="73" t="s">
        <v>3798</v>
      </c>
      <c r="F9" s="73" t="s">
        <v>3799</v>
      </c>
      <c r="G9" s="73" t="s">
        <v>3800</v>
      </c>
      <c r="I9" s="76"/>
      <c r="J9" s="73" t="s">
        <v>3801</v>
      </c>
    </row>
    <row r="10" spans="1:10" ht="43.5" thickBot="1" x14ac:dyDescent="0.25">
      <c r="A10" s="73" t="s">
        <v>3802</v>
      </c>
      <c r="B10" s="73" t="s">
        <v>3803</v>
      </c>
      <c r="C10" s="73" t="s">
        <v>3804</v>
      </c>
      <c r="D10" s="73" t="s">
        <v>3805</v>
      </c>
      <c r="E10" s="73" t="s">
        <v>3806</v>
      </c>
      <c r="G10" s="73" t="s">
        <v>3807</v>
      </c>
      <c r="I10" s="76"/>
    </row>
    <row r="11" spans="1:10" ht="43.5" thickBot="1" x14ac:dyDescent="0.25">
      <c r="A11" s="73" t="s">
        <v>3808</v>
      </c>
      <c r="B11" s="73" t="s">
        <v>3809</v>
      </c>
      <c r="D11" s="73" t="s">
        <v>3810</v>
      </c>
      <c r="E11" s="73" t="s">
        <v>3811</v>
      </c>
      <c r="G11" s="73" t="s">
        <v>3812</v>
      </c>
      <c r="I11" s="76"/>
    </row>
    <row r="12" spans="1:10" ht="57.75" thickBot="1" x14ac:dyDescent="0.25">
      <c r="A12" s="73" t="s">
        <v>3813</v>
      </c>
      <c r="B12" s="73" t="s">
        <v>3814</v>
      </c>
      <c r="E12" s="73" t="s">
        <v>3815</v>
      </c>
      <c r="G12" s="73" t="s">
        <v>3816</v>
      </c>
    </row>
    <row r="13" spans="1:10" ht="57.75" thickBot="1" x14ac:dyDescent="0.25">
      <c r="B13" s="73" t="s">
        <v>3817</v>
      </c>
      <c r="E13" s="73" t="s">
        <v>3818</v>
      </c>
      <c r="G13" s="73" t="s">
        <v>3819</v>
      </c>
    </row>
    <row r="14" spans="1:10" ht="57.75" thickBot="1" x14ac:dyDescent="0.25">
      <c r="B14" s="73" t="s">
        <v>3820</v>
      </c>
      <c r="E14" s="73" t="s">
        <v>3821</v>
      </c>
      <c r="G14" s="73" t="s">
        <v>3822</v>
      </c>
    </row>
    <row r="15" spans="1:10" ht="57.75" thickBot="1" x14ac:dyDescent="0.25">
      <c r="B15" s="73" t="s">
        <v>3823</v>
      </c>
      <c r="E15" s="73" t="s">
        <v>3824</v>
      </c>
      <c r="G15" s="73" t="s">
        <v>3825</v>
      </c>
    </row>
    <row r="16" spans="1:10" ht="43.5" thickBot="1" x14ac:dyDescent="0.25">
      <c r="E16" s="73" t="s">
        <v>3826</v>
      </c>
      <c r="G16" s="73" t="s">
        <v>3827</v>
      </c>
    </row>
    <row r="17" spans="5:7" ht="57.75" thickBot="1" x14ac:dyDescent="0.25">
      <c r="E17" s="73" t="s">
        <v>3828</v>
      </c>
      <c r="G17" s="73" t="s">
        <v>3829</v>
      </c>
    </row>
    <row r="18" spans="5:7" ht="72" thickBot="1" x14ac:dyDescent="0.25">
      <c r="E18" s="73" t="s">
        <v>3830</v>
      </c>
      <c r="G18" s="73" t="s">
        <v>3831</v>
      </c>
    </row>
    <row r="19" spans="5:7" ht="72" thickBot="1" x14ac:dyDescent="0.25">
      <c r="E19" s="73" t="s">
        <v>3832</v>
      </c>
      <c r="G19" s="73" t="s">
        <v>3833</v>
      </c>
    </row>
    <row r="20" spans="5:7" ht="72" thickBot="1" x14ac:dyDescent="0.25">
      <c r="E20" s="73" t="s">
        <v>3834</v>
      </c>
      <c r="G20" s="73" t="s">
        <v>3835</v>
      </c>
    </row>
    <row r="21" spans="5:7" ht="57.75" thickBot="1" x14ac:dyDescent="0.25">
      <c r="E21" s="73" t="s">
        <v>3836</v>
      </c>
      <c r="G21" s="73" t="s">
        <v>3837</v>
      </c>
    </row>
    <row r="22" spans="5:7" ht="42.75" x14ac:dyDescent="0.2">
      <c r="E22" s="73" t="s">
        <v>3838</v>
      </c>
    </row>
  </sheetData>
  <sheetProtection algorithmName="SHA-512" hashValue="8PO6/Fsh8GZfP7pblQpp4PYrc6xwJVd21VHWhT57JUizXHySaTa/2lU7riaGL7rjGkgrFMHNsQptIZCB+4iCPQ==" saltValue="PU/05Ey6HozrS5ufD12Bfg==" spinCount="100000" sheet="1" objects="1" scenarios="1"/>
  <autoFilter ref="A1:G30" xr:uid="{00000000-0009-0000-0000-000023000000}"/>
  <pageMargins left="0.70866141732283472" right="0.70866141732283472" top="0.74803149606299213" bottom="0.74803149606299213" header="0.31496062992125984" footer="0.31496062992125984"/>
  <pageSetup paperSize="9" scale="42" orientation="portrait" r:id="rId1"/>
  <headerFooter>
    <oddFooter>&amp;L2016 Annual performance report tables, December 2015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3479"/>
    <pageSetUpPr fitToPage="1"/>
  </sheetPr>
  <dimension ref="H1:H35"/>
  <sheetViews>
    <sheetView topLeftCell="XFD1048576" zoomScaleNormal="100" workbookViewId="0">
      <selection activeCell="C28" sqref="C28"/>
    </sheetView>
  </sheetViews>
  <sheetFormatPr defaultColWidth="0" defaultRowHeight="14.1" customHeight="1" zeroHeight="1" x14ac:dyDescent="0.2"/>
  <cols>
    <col min="1" max="7" width="8.625" hidden="1" customWidth="1"/>
    <col min="8" max="8" width="8.875" hidden="1" customWidth="1"/>
    <col min="9" max="16384" width="8.625" hidden="1"/>
  </cols>
  <sheetData>
    <row r="1" ht="14.25" hidden="1" x14ac:dyDescent="0.2"/>
    <row r="35" spans="8:8" ht="14.1" hidden="1" customHeight="1" x14ac:dyDescent="0.2">
      <c r="H35" t="s">
        <v>60</v>
      </c>
    </row>
  </sheetData>
  <sheetProtection algorithmName="SHA-512" hashValue="sOymH92vLiHnVOApPNIe/ugfePL5qHzUUSpkxeTOU2rNcMDDNVE8sCCymnlfn9pz3OCqB83JLfo8KqN8oCLszQ==" saltValue="VN0U/mNhuV+xIIIc5Rl4FA==" spinCount="100000" sheet="1" objects="1" scenarios="1"/>
  <printOptions horizontalCentered="1"/>
  <pageMargins left="0.39370078740157483" right="0.39370078740157483" top="0.78740157480314965" bottom="0.78740157480314965" header="0.31496062992125984" footer="0.31496062992125984"/>
  <pageSetup paperSize="8"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50"/>
  <sheetViews>
    <sheetView showGridLines="0" zoomScaleNormal="100" workbookViewId="0">
      <selection activeCell="C26" sqref="C26"/>
    </sheetView>
  </sheetViews>
  <sheetFormatPr defaultColWidth="0" defaultRowHeight="14.25" zeroHeight="1" x14ac:dyDescent="0.2"/>
  <cols>
    <col min="1" max="1" width="1.625" style="95" customWidth="1"/>
    <col min="2" max="2" width="4" style="95" customWidth="1"/>
    <col min="3" max="3" width="36.375" style="95" bestFit="1" customWidth="1"/>
    <col min="4" max="5" width="5.125" style="95" customWidth="1"/>
    <col min="6" max="10" width="12.5" style="95" customWidth="1"/>
    <col min="11" max="11" width="2.625" style="95" customWidth="1"/>
    <col min="12" max="12" width="18.875" style="95" bestFit="1" customWidth="1"/>
    <col min="13" max="13" width="1.625" style="95" customWidth="1"/>
    <col min="14" max="14" width="1.625" style="96" hidden="1" customWidth="1"/>
    <col min="15" max="17" width="5.625" style="95" hidden="1" customWidth="1"/>
    <col min="18" max="18" width="1.625" style="96" hidden="1" customWidth="1"/>
    <col min="19" max="22" width="8.875" style="95" hidden="1" customWidth="1"/>
    <col min="23" max="16384" width="8.125" style="95" hidden="1"/>
  </cols>
  <sheetData>
    <row r="1" spans="2:17" ht="20.25" x14ac:dyDescent="0.2">
      <c r="B1" s="91" t="s">
        <v>61</v>
      </c>
      <c r="C1" s="91"/>
      <c r="D1" s="91"/>
      <c r="E1" s="91"/>
      <c r="F1" s="91"/>
      <c r="G1" s="91"/>
      <c r="H1" s="91"/>
      <c r="I1" s="91"/>
      <c r="J1" s="93" t="str">
        <f>Validation!B3</f>
        <v>Yorkshire Water</v>
      </c>
      <c r="K1" s="91"/>
      <c r="L1" s="94" t="s">
        <v>62</v>
      </c>
    </row>
    <row r="2" spans="2:17" ht="15" thickBot="1" x14ac:dyDescent="0.25">
      <c r="B2" s="98" t="s">
        <v>48</v>
      </c>
    </row>
    <row r="3" spans="2:17" ht="14.45" customHeight="1" x14ac:dyDescent="0.2">
      <c r="B3" s="708" t="s">
        <v>63</v>
      </c>
      <c r="C3" s="709"/>
      <c r="D3" s="712" t="s">
        <v>64</v>
      </c>
      <c r="E3" s="714" t="s">
        <v>65</v>
      </c>
      <c r="F3" s="731" t="s">
        <v>66</v>
      </c>
      <c r="G3" s="733" t="s">
        <v>67</v>
      </c>
      <c r="H3" s="734"/>
      <c r="I3" s="735"/>
      <c r="J3" s="699" t="s">
        <v>68</v>
      </c>
      <c r="L3" s="699" t="s">
        <v>69</v>
      </c>
    </row>
    <row r="4" spans="2:17" ht="54.75" thickBot="1" x14ac:dyDescent="0.25">
      <c r="B4" s="710"/>
      <c r="C4" s="711"/>
      <c r="D4" s="713"/>
      <c r="E4" s="715"/>
      <c r="F4" s="732"/>
      <c r="G4" s="104" t="s">
        <v>70</v>
      </c>
      <c r="H4" s="105" t="s">
        <v>71</v>
      </c>
      <c r="I4" s="106" t="s">
        <v>72</v>
      </c>
      <c r="J4" s="701"/>
      <c r="L4" s="701"/>
      <c r="O4" s="702" t="s">
        <v>73</v>
      </c>
      <c r="P4" s="702"/>
      <c r="Q4" s="702"/>
    </row>
    <row r="5" spans="2:17" ht="15" thickBot="1" x14ac:dyDescent="0.25">
      <c r="O5" s="112" t="s">
        <v>74</v>
      </c>
      <c r="P5" s="147"/>
      <c r="Q5" s="147"/>
    </row>
    <row r="6" spans="2:17" x14ac:dyDescent="0.2">
      <c r="B6" s="113">
        <v>1</v>
      </c>
      <c r="C6" s="143" t="s">
        <v>75</v>
      </c>
      <c r="D6" s="115" t="s">
        <v>76</v>
      </c>
      <c r="E6" s="116">
        <v>3</v>
      </c>
      <c r="F6" s="677">
        <v>975.76900000000001</v>
      </c>
      <c r="G6" s="567">
        <v>0</v>
      </c>
      <c r="H6" s="579">
        <v>11.261999999999999</v>
      </c>
      <c r="I6" s="219">
        <f xml:space="preserve"> G6 - H6</f>
        <v>-11.261999999999999</v>
      </c>
      <c r="J6" s="226">
        <f xml:space="preserve"> F6 + I6</f>
        <v>964.50700000000006</v>
      </c>
      <c r="L6" s="29">
        <f t="shared" ref="L6:L8" si="0" xml:space="preserve"> IF( SUM( N6:R6 ) = 0, 0, $O$5 )</f>
        <v>0</v>
      </c>
      <c r="O6" s="120">
        <f xml:space="preserve"> IF( ISNUMBER( F6 ), 0, 1 )</f>
        <v>0</v>
      </c>
      <c r="P6" s="120">
        <f t="shared" ref="P6:Q8" si="1" xml:space="preserve"> IF( ISNUMBER( G6 ), 0, 1 )</f>
        <v>0</v>
      </c>
      <c r="Q6" s="120">
        <f t="shared" si="1"/>
        <v>0</v>
      </c>
    </row>
    <row r="7" spans="2:17" x14ac:dyDescent="0.2">
      <c r="B7" s="121">
        <f xml:space="preserve"> B6 + 1</f>
        <v>2</v>
      </c>
      <c r="C7" s="114" t="s">
        <v>77</v>
      </c>
      <c r="D7" s="122" t="s">
        <v>76</v>
      </c>
      <c r="E7" s="123">
        <v>3</v>
      </c>
      <c r="F7" s="678">
        <v>-738.64100000000008</v>
      </c>
      <c r="G7" s="565">
        <v>6.8280000000000003</v>
      </c>
      <c r="H7" s="566">
        <v>-9.218</v>
      </c>
      <c r="I7" s="222">
        <f xml:space="preserve"> G7 - H7</f>
        <v>16.045999999999999</v>
      </c>
      <c r="J7" s="227">
        <f t="shared" ref="J7:J22" si="2" xml:space="preserve"> F7 + I7</f>
        <v>-722.59500000000003</v>
      </c>
      <c r="L7" s="29">
        <f t="shared" si="0"/>
        <v>0</v>
      </c>
      <c r="O7" s="120">
        <f t="shared" ref="O7:O8" si="3" xml:space="preserve"> IF( ISNUMBER( F7 ), 0, 1 )</f>
        <v>0</v>
      </c>
      <c r="P7" s="120">
        <f t="shared" si="1"/>
        <v>0</v>
      </c>
      <c r="Q7" s="120">
        <f t="shared" si="1"/>
        <v>0</v>
      </c>
    </row>
    <row r="8" spans="2:17" x14ac:dyDescent="0.2">
      <c r="B8" s="121">
        <f t="shared" ref="B8:B22" si="4" xml:space="preserve"> B7 + 1</f>
        <v>3</v>
      </c>
      <c r="C8" s="114" t="s">
        <v>78</v>
      </c>
      <c r="D8" s="122" t="s">
        <v>76</v>
      </c>
      <c r="E8" s="123">
        <v>3</v>
      </c>
      <c r="F8" s="678">
        <v>11.596</v>
      </c>
      <c r="G8" s="565">
        <v>0</v>
      </c>
      <c r="H8" s="566">
        <v>0</v>
      </c>
      <c r="I8" s="222">
        <f xml:space="preserve"> G8 - H8</f>
        <v>0</v>
      </c>
      <c r="J8" s="227">
        <f t="shared" si="2"/>
        <v>11.596</v>
      </c>
      <c r="L8" s="29">
        <f t="shared" si="0"/>
        <v>0</v>
      </c>
      <c r="O8" s="120">
        <f t="shared" si="3"/>
        <v>0</v>
      </c>
      <c r="P8" s="120">
        <f t="shared" si="1"/>
        <v>0</v>
      </c>
      <c r="Q8" s="120">
        <f t="shared" si="1"/>
        <v>0</v>
      </c>
    </row>
    <row r="9" spans="2:17" ht="15" thickBot="1" x14ac:dyDescent="0.25">
      <c r="B9" s="128">
        <f t="shared" si="4"/>
        <v>4</v>
      </c>
      <c r="C9" s="129" t="s">
        <v>79</v>
      </c>
      <c r="D9" s="130" t="s">
        <v>76</v>
      </c>
      <c r="E9" s="127">
        <v>3</v>
      </c>
      <c r="F9" s="228">
        <f>SUM( F6:F8 )</f>
        <v>248.72399999999993</v>
      </c>
      <c r="G9" s="223">
        <f>SUM( G6:G8 )</f>
        <v>6.8280000000000003</v>
      </c>
      <c r="H9" s="224">
        <f>SUM( H6:H8 )</f>
        <v>2.0439999999999987</v>
      </c>
      <c r="I9" s="225">
        <f xml:space="preserve"> G9 - H9</f>
        <v>4.7840000000000016</v>
      </c>
      <c r="J9" s="228">
        <f xml:space="preserve"> F9 + I9</f>
        <v>253.50799999999992</v>
      </c>
      <c r="L9" s="256"/>
      <c r="O9" s="120"/>
      <c r="P9" s="120"/>
      <c r="Q9" s="120"/>
    </row>
    <row r="10" spans="2:17" ht="15" thickBot="1" x14ac:dyDescent="0.25">
      <c r="L10" s="256"/>
      <c r="O10" s="120"/>
      <c r="P10" s="120"/>
      <c r="Q10" s="120"/>
    </row>
    <row r="11" spans="2:17" x14ac:dyDescent="0.2">
      <c r="B11" s="113">
        <f xml:space="preserve"> B9 + 1</f>
        <v>5</v>
      </c>
      <c r="C11" s="143" t="s">
        <v>80</v>
      </c>
      <c r="D11" s="115" t="s">
        <v>76</v>
      </c>
      <c r="E11" s="116">
        <v>3</v>
      </c>
      <c r="F11" s="673">
        <v>0</v>
      </c>
      <c r="G11" s="567">
        <v>1.899</v>
      </c>
      <c r="H11" s="579">
        <v>0</v>
      </c>
      <c r="I11" s="219">
        <f xml:space="preserve"> G11 - H11</f>
        <v>1.899</v>
      </c>
      <c r="J11" s="226">
        <f xml:space="preserve"> F11 + I11</f>
        <v>1.899</v>
      </c>
      <c r="L11" s="29">
        <f t="shared" ref="L11:L13" si="5" xml:space="preserve"> IF( SUM( N11:R11 ) = 0, 0, $O$5 )</f>
        <v>0</v>
      </c>
      <c r="O11" s="120">
        <f xml:space="preserve"> IF( ISNUMBER( F11 ), 0, 1 )</f>
        <v>0</v>
      </c>
      <c r="P11" s="120">
        <f t="shared" ref="P11:Q14" si="6" xml:space="preserve"> IF( ISNUMBER( G11 ), 0, 1 )</f>
        <v>0</v>
      </c>
      <c r="Q11" s="120">
        <f t="shared" si="6"/>
        <v>0</v>
      </c>
    </row>
    <row r="12" spans="2:17" x14ac:dyDescent="0.2">
      <c r="B12" s="121">
        <f t="shared" si="4"/>
        <v>6</v>
      </c>
      <c r="C12" s="114" t="s">
        <v>81</v>
      </c>
      <c r="D12" s="122" t="s">
        <v>76</v>
      </c>
      <c r="E12" s="123">
        <v>3</v>
      </c>
      <c r="F12" s="669">
        <v>85.614000000000004</v>
      </c>
      <c r="G12" s="565">
        <v>0</v>
      </c>
      <c r="H12" s="566">
        <v>0</v>
      </c>
      <c r="I12" s="222">
        <f xml:space="preserve"> G12 - H12</f>
        <v>0</v>
      </c>
      <c r="J12" s="227">
        <f xml:space="preserve"> F12 + I12</f>
        <v>85.614000000000004</v>
      </c>
      <c r="L12" s="29">
        <f t="shared" si="5"/>
        <v>0</v>
      </c>
      <c r="O12" s="120">
        <f t="shared" ref="O12:O14" si="7" xml:space="preserve"> IF( ISNUMBER( F12 ), 0, 1 )</f>
        <v>0</v>
      </c>
      <c r="P12" s="120">
        <f t="shared" si="6"/>
        <v>0</v>
      </c>
      <c r="Q12" s="120">
        <f t="shared" si="6"/>
        <v>0</v>
      </c>
    </row>
    <row r="13" spans="2:17" x14ac:dyDescent="0.2">
      <c r="B13" s="121">
        <f t="shared" si="4"/>
        <v>7</v>
      </c>
      <c r="C13" s="114" t="s">
        <v>82</v>
      </c>
      <c r="D13" s="122" t="s">
        <v>76</v>
      </c>
      <c r="E13" s="123">
        <v>3</v>
      </c>
      <c r="F13" s="669">
        <v>-255.21299999999999</v>
      </c>
      <c r="G13" s="565">
        <v>-13.037000000000001</v>
      </c>
      <c r="H13" s="566">
        <v>0</v>
      </c>
      <c r="I13" s="222">
        <f xml:space="preserve"> G13 - H13</f>
        <v>-13.037000000000001</v>
      </c>
      <c r="J13" s="227">
        <f t="shared" si="2"/>
        <v>-268.25</v>
      </c>
      <c r="L13" s="29">
        <f t="shared" si="5"/>
        <v>0</v>
      </c>
      <c r="O13" s="120">
        <f t="shared" si="7"/>
        <v>0</v>
      </c>
      <c r="P13" s="120">
        <f t="shared" si="6"/>
        <v>0</v>
      </c>
      <c r="Q13" s="120">
        <f t="shared" si="6"/>
        <v>0</v>
      </c>
    </row>
    <row r="14" spans="2:17" x14ac:dyDescent="0.2">
      <c r="B14" s="121">
        <f t="shared" si="4"/>
        <v>8</v>
      </c>
      <c r="C14" s="114" t="s">
        <v>83</v>
      </c>
      <c r="D14" s="122" t="s">
        <v>76</v>
      </c>
      <c r="E14" s="123">
        <v>3</v>
      </c>
      <c r="F14" s="669">
        <v>0</v>
      </c>
      <c r="G14" s="565">
        <v>0</v>
      </c>
      <c r="H14" s="566">
        <v>0</v>
      </c>
      <c r="I14" s="222">
        <f xml:space="preserve"> G14 - H14</f>
        <v>0</v>
      </c>
      <c r="J14" s="227">
        <f t="shared" si="2"/>
        <v>0</v>
      </c>
      <c r="L14" s="29">
        <f xml:space="preserve"> IF( SUM( N14:R14 ) = 0, 0, $O$5 )</f>
        <v>0</v>
      </c>
      <c r="O14" s="120">
        <f t="shared" si="7"/>
        <v>0</v>
      </c>
      <c r="P14" s="120">
        <f t="shared" si="6"/>
        <v>0</v>
      </c>
      <c r="Q14" s="120">
        <f t="shared" si="6"/>
        <v>0</v>
      </c>
    </row>
    <row r="15" spans="2:17" ht="15" thickBot="1" x14ac:dyDescent="0.25">
      <c r="B15" s="128">
        <f t="shared" si="4"/>
        <v>9</v>
      </c>
      <c r="C15" s="129" t="s">
        <v>84</v>
      </c>
      <c r="D15" s="130" t="s">
        <v>76</v>
      </c>
      <c r="E15" s="127">
        <v>3</v>
      </c>
      <c r="F15" s="225">
        <f xml:space="preserve"> F9 + SUM( F11:F14 )</f>
        <v>79.124999999999943</v>
      </c>
      <c r="G15" s="230">
        <f xml:space="preserve"> G9 + SUM( G11:G14 )</f>
        <v>-4.3100000000000014</v>
      </c>
      <c r="H15" s="223">
        <f xml:space="preserve"> H9 + SUM( H11:H14 )</f>
        <v>2.0439999999999987</v>
      </c>
      <c r="I15" s="225">
        <f xml:space="preserve"> G15 - H15</f>
        <v>-6.3540000000000001</v>
      </c>
      <c r="J15" s="228">
        <f t="shared" si="2"/>
        <v>72.770999999999944</v>
      </c>
      <c r="L15" s="256"/>
      <c r="O15" s="120"/>
      <c r="P15" s="120"/>
      <c r="Q15" s="120"/>
    </row>
    <row r="16" spans="2:17" ht="15" thickBot="1" x14ac:dyDescent="0.25">
      <c r="L16" s="256"/>
      <c r="O16" s="120"/>
      <c r="P16" s="120"/>
      <c r="Q16" s="120"/>
    </row>
    <row r="17" spans="1:18" x14ac:dyDescent="0.2">
      <c r="B17" s="113">
        <f xml:space="preserve"> B15 + 1</f>
        <v>10</v>
      </c>
      <c r="C17" s="143" t="s">
        <v>85</v>
      </c>
      <c r="D17" s="115" t="s">
        <v>76</v>
      </c>
      <c r="E17" s="116">
        <v>3</v>
      </c>
      <c r="F17" s="677">
        <v>132.66999999999999</v>
      </c>
      <c r="G17" s="567">
        <v>0</v>
      </c>
      <c r="H17" s="579">
        <v>0</v>
      </c>
      <c r="I17" s="219">
        <f xml:space="preserve"> G17 - H17</f>
        <v>0</v>
      </c>
      <c r="J17" s="229">
        <f t="shared" si="2"/>
        <v>132.66999999999999</v>
      </c>
      <c r="L17" s="29">
        <f t="shared" ref="L17" si="8" xml:space="preserve"> IF( SUM( N17:R17 ) = 0, 0, $O$5 )</f>
        <v>0</v>
      </c>
      <c r="O17" s="120">
        <f t="shared" ref="O17:Q17" si="9" xml:space="preserve"> IF( ISNUMBER( F17 ), 0, 1 )</f>
        <v>0</v>
      </c>
      <c r="P17" s="120">
        <f t="shared" si="9"/>
        <v>0</v>
      </c>
      <c r="Q17" s="120">
        <f t="shared" si="9"/>
        <v>0</v>
      </c>
    </row>
    <row r="18" spans="1:18" ht="15" thickBot="1" x14ac:dyDescent="0.25">
      <c r="B18" s="128">
        <f t="shared" si="4"/>
        <v>11</v>
      </c>
      <c r="C18" s="129" t="s">
        <v>86</v>
      </c>
      <c r="D18" s="130" t="s">
        <v>76</v>
      </c>
      <c r="E18" s="127">
        <v>3</v>
      </c>
      <c r="F18" s="228">
        <f xml:space="preserve"> F15 + F17</f>
        <v>211.79499999999993</v>
      </c>
      <c r="G18" s="223">
        <f xml:space="preserve"> G15 + G17</f>
        <v>-4.3100000000000014</v>
      </c>
      <c r="H18" s="224">
        <f xml:space="preserve"> H15 + H17</f>
        <v>2.0439999999999987</v>
      </c>
      <c r="I18" s="225">
        <f xml:space="preserve"> G18 - H18</f>
        <v>-6.3540000000000001</v>
      </c>
      <c r="J18" s="230">
        <f t="shared" si="2"/>
        <v>205.44099999999992</v>
      </c>
      <c r="L18" s="256"/>
      <c r="O18" s="120"/>
      <c r="P18" s="120"/>
      <c r="Q18" s="120"/>
    </row>
    <row r="19" spans="1:18" ht="15" thickBot="1" x14ac:dyDescent="0.25">
      <c r="L19" s="256"/>
      <c r="O19" s="120"/>
      <c r="P19" s="120"/>
      <c r="Q19" s="120"/>
    </row>
    <row r="20" spans="1:18" ht="15" thickBot="1" x14ac:dyDescent="0.25">
      <c r="B20" s="113">
        <f xml:space="preserve"> B18 + 1</f>
        <v>12</v>
      </c>
      <c r="C20" s="143" t="s">
        <v>87</v>
      </c>
      <c r="D20" s="115" t="s">
        <v>76</v>
      </c>
      <c r="E20" s="116">
        <v>3</v>
      </c>
      <c r="F20" s="677">
        <v>-0.14599999999999999</v>
      </c>
      <c r="G20" s="567">
        <v>0</v>
      </c>
      <c r="H20" s="579">
        <v>0</v>
      </c>
      <c r="I20" s="219">
        <f xml:space="preserve"> G20 - H20</f>
        <v>0</v>
      </c>
      <c r="J20" s="229">
        <f t="shared" si="2"/>
        <v>-0.14599999999999999</v>
      </c>
      <c r="L20" s="29">
        <f t="shared" ref="L20:L21" si="10" xml:space="preserve"> IF( SUM( N20:R20 ) = 0, 0, $O$5 )</f>
        <v>0</v>
      </c>
      <c r="O20" s="120">
        <f t="shared" ref="O20:Q21" si="11" xml:space="preserve"> IF( ISNUMBER( F20 ), 0, 1 )</f>
        <v>0</v>
      </c>
      <c r="P20" s="120">
        <f t="shared" si="11"/>
        <v>0</v>
      </c>
      <c r="Q20" s="120">
        <f t="shared" si="11"/>
        <v>0</v>
      </c>
    </row>
    <row r="21" spans="1:18" x14ac:dyDescent="0.2">
      <c r="B21" s="121">
        <f t="shared" si="4"/>
        <v>13</v>
      </c>
      <c r="C21" s="114" t="s">
        <v>88</v>
      </c>
      <c r="D21" s="122" t="s">
        <v>76</v>
      </c>
      <c r="E21" s="123">
        <v>3</v>
      </c>
      <c r="F21" s="678">
        <v>24.533999999999999</v>
      </c>
      <c r="G21" s="565">
        <v>0</v>
      </c>
      <c r="H21" s="579">
        <v>-0.44900000000000001</v>
      </c>
      <c r="I21" s="222">
        <f xml:space="preserve"> G21 - H21</f>
        <v>0.44900000000000001</v>
      </c>
      <c r="J21" s="273">
        <f t="shared" si="2"/>
        <v>24.983000000000001</v>
      </c>
      <c r="L21" s="29">
        <f t="shared" si="10"/>
        <v>0</v>
      </c>
      <c r="O21" s="120">
        <f t="shared" si="11"/>
        <v>0</v>
      </c>
      <c r="P21" s="120">
        <f t="shared" si="11"/>
        <v>0</v>
      </c>
      <c r="Q21" s="120">
        <f t="shared" si="11"/>
        <v>0</v>
      </c>
    </row>
    <row r="22" spans="1:18" ht="15" thickBot="1" x14ac:dyDescent="0.25">
      <c r="B22" s="128">
        <f t="shared" si="4"/>
        <v>14</v>
      </c>
      <c r="C22" s="129" t="s">
        <v>89</v>
      </c>
      <c r="D22" s="130" t="s">
        <v>76</v>
      </c>
      <c r="E22" s="127">
        <v>3</v>
      </c>
      <c r="F22" s="228">
        <f xml:space="preserve"> F18 + (SUM( F20:F21 ))</f>
        <v>236.18299999999994</v>
      </c>
      <c r="G22" s="223">
        <f xml:space="preserve"> G18 + (SUM( G20:G21 ))</f>
        <v>-4.3100000000000014</v>
      </c>
      <c r="H22" s="224">
        <f xml:space="preserve"> H18 + (SUM( H20:H21 ))</f>
        <v>1.5949999999999986</v>
      </c>
      <c r="I22" s="225">
        <f xml:space="preserve"> G22 - H22</f>
        <v>-5.9050000000000002</v>
      </c>
      <c r="J22" s="230">
        <f t="shared" si="2"/>
        <v>230.27799999999993</v>
      </c>
      <c r="L22" s="136"/>
    </row>
    <row r="23" spans="1:18" s="137" customFormat="1" x14ac:dyDescent="0.2">
      <c r="C23" s="174"/>
      <c r="G23" s="187"/>
      <c r="I23" s="144"/>
      <c r="J23" s="144"/>
      <c r="K23" s="144"/>
      <c r="L23" s="136"/>
      <c r="M23" s="144"/>
      <c r="N23" s="148"/>
      <c r="O23" s="332"/>
      <c r="R23" s="148"/>
    </row>
    <row r="24" spans="1:18" s="187" customFormat="1" ht="13.5" x14ac:dyDescent="0.2">
      <c r="B24" s="703" t="s">
        <v>90</v>
      </c>
      <c r="C24" s="703"/>
      <c r="I24" s="150"/>
      <c r="J24" s="150"/>
      <c r="K24" s="150"/>
      <c r="L24" s="231"/>
      <c r="M24" s="150"/>
      <c r="N24" s="145"/>
      <c r="O24" s="232"/>
      <c r="R24" s="145"/>
    </row>
    <row r="25" spans="1:18" s="187" customFormat="1" ht="12" x14ac:dyDescent="0.2">
      <c r="B25" s="162"/>
      <c r="C25" s="163"/>
      <c r="I25" s="150"/>
      <c r="J25" s="150"/>
      <c r="K25" s="150"/>
      <c r="L25" s="231"/>
      <c r="M25" s="150"/>
      <c r="N25" s="145"/>
      <c r="O25" s="232"/>
      <c r="R25" s="145"/>
    </row>
    <row r="26" spans="1:18" s="187" customFormat="1" ht="12" x14ac:dyDescent="0.2">
      <c r="B26" s="30"/>
      <c r="C26" s="164" t="s">
        <v>91</v>
      </c>
      <c r="I26" s="150"/>
      <c r="J26" s="150"/>
      <c r="K26" s="150"/>
      <c r="L26" s="231"/>
      <c r="M26" s="150"/>
      <c r="N26" s="145"/>
      <c r="O26" s="232"/>
      <c r="R26" s="145"/>
    </row>
    <row r="27" spans="1:18" s="187" customFormat="1" ht="12" x14ac:dyDescent="0.2">
      <c r="B27" s="162"/>
      <c r="C27" s="163"/>
      <c r="I27" s="150"/>
      <c r="J27" s="150"/>
      <c r="K27" s="150"/>
      <c r="L27" s="150"/>
      <c r="M27" s="150"/>
      <c r="N27" s="145"/>
      <c r="O27" s="232"/>
      <c r="R27" s="145"/>
    </row>
    <row r="28" spans="1:18" s="187" customFormat="1" ht="12" x14ac:dyDescent="0.2">
      <c r="B28" s="165"/>
      <c r="C28" s="164" t="s">
        <v>92</v>
      </c>
      <c r="I28" s="150"/>
      <c r="J28" s="150"/>
      <c r="K28" s="150"/>
      <c r="L28" s="150"/>
      <c r="M28" s="150"/>
      <c r="N28" s="145"/>
      <c r="O28" s="232"/>
      <c r="R28" s="145"/>
    </row>
    <row r="29" spans="1:18" s="187" customFormat="1" ht="12" x14ac:dyDescent="0.2">
      <c r="B29" s="166"/>
      <c r="C29" s="164"/>
      <c r="I29" s="150"/>
      <c r="J29" s="150"/>
      <c r="K29" s="150"/>
      <c r="L29" s="150"/>
      <c r="M29" s="150"/>
      <c r="N29" s="145"/>
      <c r="O29" s="232"/>
      <c r="R29" s="145"/>
    </row>
    <row r="30" spans="1:18" s="187" customFormat="1" ht="12" x14ac:dyDescent="0.2">
      <c r="B30" s="167"/>
      <c r="C30" s="164" t="s">
        <v>93</v>
      </c>
      <c r="I30" s="150"/>
      <c r="J30" s="150"/>
      <c r="K30" s="150"/>
      <c r="L30" s="150"/>
      <c r="M30" s="150"/>
      <c r="N30" s="145"/>
      <c r="O30" s="232"/>
      <c r="R30" s="145"/>
    </row>
    <row r="31" spans="1:18" s="206" customFormat="1" ht="12.75" x14ac:dyDescent="0.2">
      <c r="A31" s="172"/>
      <c r="B31" s="172"/>
      <c r="C31" s="173"/>
      <c r="I31" s="153"/>
      <c r="J31" s="153"/>
      <c r="K31" s="153"/>
      <c r="L31" s="150"/>
      <c r="M31" s="150"/>
      <c r="N31" s="145"/>
      <c r="O31" s="376"/>
      <c r="R31" s="145"/>
    </row>
    <row r="32" spans="1:18" s="206" customFormat="1" ht="13.5" thickBot="1" x14ac:dyDescent="0.25">
      <c r="C32" s="207"/>
      <c r="I32" s="153"/>
      <c r="J32" s="153"/>
      <c r="K32" s="153"/>
      <c r="L32" s="150"/>
      <c r="M32" s="150"/>
      <c r="N32" s="145"/>
      <c r="O32" s="376"/>
      <c r="R32" s="145"/>
    </row>
    <row r="33" spans="2:18" s="137" customFormat="1" ht="21" thickBot="1" x14ac:dyDescent="0.25">
      <c r="B33" s="168" t="str">
        <f ca="1" xml:space="preserve"> RIGHT(CELL("filename", $A$1), LEN(CELL("filename", $A$1)) - SEARCH("]", CELL("filename", $A$1)))&amp;" - Line definitions"</f>
        <v>1A - Line definitions</v>
      </c>
      <c r="C33" s="169"/>
      <c r="D33" s="170"/>
      <c r="E33" s="170"/>
      <c r="F33" s="170"/>
      <c r="G33" s="170"/>
      <c r="H33" s="170"/>
      <c r="I33" s="170"/>
      <c r="J33" s="176"/>
      <c r="K33" s="144"/>
      <c r="L33" s="146"/>
      <c r="M33" s="144"/>
      <c r="N33" s="148"/>
      <c r="O33" s="332"/>
      <c r="R33" s="148"/>
    </row>
    <row r="34" spans="2:18" s="137" customFormat="1" ht="15" thickBot="1" x14ac:dyDescent="0.25">
      <c r="B34" s="99"/>
      <c r="C34" s="177"/>
      <c r="D34" s="99"/>
      <c r="E34" s="99"/>
      <c r="F34" s="99"/>
      <c r="I34" s="144"/>
      <c r="J34" s="144"/>
      <c r="K34" s="144"/>
      <c r="L34" s="146"/>
      <c r="M34" s="144"/>
      <c r="N34" s="148"/>
      <c r="O34" s="332"/>
      <c r="R34" s="148"/>
    </row>
    <row r="35" spans="2:18" s="206" customFormat="1" thickBot="1" x14ac:dyDescent="0.25">
      <c r="B35" s="339" t="s">
        <v>94</v>
      </c>
      <c r="C35" s="340" t="s">
        <v>95</v>
      </c>
      <c r="D35" s="180"/>
      <c r="E35" s="180"/>
      <c r="F35" s="180"/>
      <c r="G35" s="180"/>
      <c r="H35" s="180"/>
      <c r="I35" s="180"/>
      <c r="J35" s="181"/>
      <c r="K35" s="433"/>
      <c r="L35" s="153"/>
      <c r="M35" s="144"/>
      <c r="N35" s="148"/>
      <c r="O35" s="112" t="s">
        <v>96</v>
      </c>
      <c r="R35" s="148"/>
    </row>
    <row r="36" spans="2:18" s="137" customFormat="1" ht="38.25" x14ac:dyDescent="0.2">
      <c r="B36" s="209">
        <f>B6</f>
        <v>1</v>
      </c>
      <c r="C36" s="704" t="s">
        <v>97</v>
      </c>
      <c r="D36" s="704"/>
      <c r="E36" s="704"/>
      <c r="F36" s="704"/>
      <c r="G36" s="704"/>
      <c r="H36" s="704"/>
      <c r="I36" s="704"/>
      <c r="J36" s="705"/>
      <c r="K36" s="436"/>
      <c r="L36" s="146"/>
      <c r="M36" s="144"/>
      <c r="N36" s="548"/>
      <c r="O36" s="186" t="s">
        <v>98</v>
      </c>
      <c r="R36" s="148"/>
    </row>
    <row r="37" spans="2:18" s="137" customFormat="1" x14ac:dyDescent="0.2">
      <c r="B37" s="184">
        <f>B7</f>
        <v>2</v>
      </c>
      <c r="C37" s="695" t="s">
        <v>99</v>
      </c>
      <c r="D37" s="695"/>
      <c r="E37" s="695"/>
      <c r="F37" s="695"/>
      <c r="G37" s="695"/>
      <c r="H37" s="695"/>
      <c r="I37" s="695"/>
      <c r="J37" s="696"/>
      <c r="K37" s="437"/>
      <c r="L37" s="146"/>
      <c r="M37" s="144"/>
      <c r="N37" s="548"/>
      <c r="O37" s="235">
        <v>1</v>
      </c>
      <c r="R37" s="148"/>
    </row>
    <row r="38" spans="2:18" s="137" customFormat="1" ht="25.5" x14ac:dyDescent="0.2">
      <c r="B38" s="184">
        <f>B8</f>
        <v>3</v>
      </c>
      <c r="C38" s="695" t="s">
        <v>100</v>
      </c>
      <c r="D38" s="695"/>
      <c r="E38" s="695"/>
      <c r="F38" s="695"/>
      <c r="G38" s="695"/>
      <c r="H38" s="695"/>
      <c r="I38" s="695"/>
      <c r="J38" s="696"/>
      <c r="K38" s="436"/>
      <c r="L38" s="146"/>
      <c r="M38" s="144"/>
      <c r="N38" s="548"/>
      <c r="O38" s="236" t="s">
        <v>101</v>
      </c>
      <c r="R38" s="148"/>
    </row>
    <row r="39" spans="2:18" s="146" customFormat="1" x14ac:dyDescent="0.2">
      <c r="B39" s="184">
        <f>B9</f>
        <v>4</v>
      </c>
      <c r="C39" s="695" t="s">
        <v>102</v>
      </c>
      <c r="D39" s="695"/>
      <c r="E39" s="695"/>
      <c r="F39" s="695"/>
      <c r="G39" s="695"/>
      <c r="H39" s="695"/>
      <c r="I39" s="695"/>
      <c r="J39" s="696"/>
      <c r="K39" s="437"/>
      <c r="M39" s="144"/>
      <c r="N39" s="548"/>
      <c r="O39" s="235">
        <v>1</v>
      </c>
      <c r="R39" s="148"/>
    </row>
    <row r="40" spans="2:18" s="146" customFormat="1" x14ac:dyDescent="0.2">
      <c r="B40" s="184">
        <f>B11</f>
        <v>5</v>
      </c>
      <c r="C40" s="695" t="s">
        <v>103</v>
      </c>
      <c r="D40" s="695"/>
      <c r="E40" s="695"/>
      <c r="F40" s="695"/>
      <c r="G40" s="695"/>
      <c r="H40" s="695"/>
      <c r="I40" s="695"/>
      <c r="J40" s="696"/>
      <c r="K40" s="437"/>
      <c r="M40" s="144"/>
      <c r="N40" s="548"/>
      <c r="O40" s="235">
        <v>1</v>
      </c>
      <c r="R40" s="148"/>
    </row>
    <row r="41" spans="2:18" s="146" customFormat="1" x14ac:dyDescent="0.2">
      <c r="B41" s="184">
        <f>B12</f>
        <v>6</v>
      </c>
      <c r="C41" s="695" t="s">
        <v>104</v>
      </c>
      <c r="D41" s="695"/>
      <c r="E41" s="695"/>
      <c r="F41" s="695"/>
      <c r="G41" s="695"/>
      <c r="H41" s="695"/>
      <c r="I41" s="695"/>
      <c r="J41" s="696"/>
      <c r="K41" s="437"/>
      <c r="M41" s="144"/>
      <c r="N41" s="548"/>
      <c r="O41" s="235">
        <v>1</v>
      </c>
      <c r="R41" s="148"/>
    </row>
    <row r="42" spans="2:18" x14ac:dyDescent="0.2">
      <c r="B42" s="184">
        <f>B13</f>
        <v>7</v>
      </c>
      <c r="C42" s="695" t="s">
        <v>105</v>
      </c>
      <c r="D42" s="695"/>
      <c r="E42" s="695"/>
      <c r="F42" s="695"/>
      <c r="G42" s="695"/>
      <c r="H42" s="695"/>
      <c r="I42" s="695"/>
      <c r="J42" s="696"/>
      <c r="K42" s="400"/>
      <c r="N42" s="549"/>
      <c r="O42" s="183">
        <v>1</v>
      </c>
    </row>
    <row r="43" spans="2:18" ht="51" x14ac:dyDescent="0.2">
      <c r="B43" s="184">
        <f>B14</f>
        <v>8</v>
      </c>
      <c r="C43" s="695" t="s">
        <v>106</v>
      </c>
      <c r="D43" s="695"/>
      <c r="E43" s="695"/>
      <c r="F43" s="695"/>
      <c r="G43" s="695"/>
      <c r="H43" s="695"/>
      <c r="I43" s="695"/>
      <c r="J43" s="696"/>
      <c r="K43" s="399"/>
      <c r="N43" s="549"/>
      <c r="O43" s="186" t="s">
        <v>107</v>
      </c>
    </row>
    <row r="44" spans="2:18" x14ac:dyDescent="0.2">
      <c r="B44" s="184">
        <f>B15</f>
        <v>9</v>
      </c>
      <c r="C44" s="695" t="s">
        <v>108</v>
      </c>
      <c r="D44" s="695"/>
      <c r="E44" s="695"/>
      <c r="F44" s="695"/>
      <c r="G44" s="695"/>
      <c r="H44" s="695"/>
      <c r="I44" s="695"/>
      <c r="J44" s="696"/>
      <c r="K44" s="400"/>
      <c r="N44" s="549"/>
      <c r="O44" s="183">
        <v>1</v>
      </c>
    </row>
    <row r="45" spans="2:18" ht="25.5" x14ac:dyDescent="0.2">
      <c r="B45" s="184">
        <f>B17</f>
        <v>10</v>
      </c>
      <c r="C45" s="695" t="s">
        <v>109</v>
      </c>
      <c r="D45" s="695"/>
      <c r="E45" s="695"/>
      <c r="F45" s="695"/>
      <c r="G45" s="695"/>
      <c r="H45" s="695"/>
      <c r="I45" s="695"/>
      <c r="J45" s="696"/>
      <c r="K45" s="400"/>
      <c r="N45" s="549"/>
      <c r="O45" s="186" t="s">
        <v>101</v>
      </c>
    </row>
    <row r="46" spans="2:18" x14ac:dyDescent="0.2">
      <c r="B46" s="184">
        <f>B18</f>
        <v>11</v>
      </c>
      <c r="C46" s="695" t="s">
        <v>110</v>
      </c>
      <c r="D46" s="695"/>
      <c r="E46" s="695"/>
      <c r="F46" s="695"/>
      <c r="G46" s="695"/>
      <c r="H46" s="695"/>
      <c r="I46" s="695"/>
      <c r="J46" s="696"/>
      <c r="K46" s="400"/>
      <c r="N46" s="549"/>
      <c r="O46" s="183">
        <v>1</v>
      </c>
    </row>
    <row r="47" spans="2:18" ht="25.5" x14ac:dyDescent="0.2">
      <c r="B47" s="184">
        <f>B20</f>
        <v>12</v>
      </c>
      <c r="C47" s="695" t="s">
        <v>111</v>
      </c>
      <c r="D47" s="695"/>
      <c r="E47" s="695"/>
      <c r="F47" s="695"/>
      <c r="G47" s="695"/>
      <c r="H47" s="695"/>
      <c r="I47" s="695"/>
      <c r="J47" s="696"/>
      <c r="K47" s="399"/>
      <c r="N47" s="549"/>
      <c r="O47" s="186" t="s">
        <v>101</v>
      </c>
    </row>
    <row r="48" spans="2:18" x14ac:dyDescent="0.2">
      <c r="B48" s="184">
        <f>B21</f>
        <v>13</v>
      </c>
      <c r="C48" s="695" t="s">
        <v>112</v>
      </c>
      <c r="D48" s="695"/>
      <c r="E48" s="695"/>
      <c r="F48" s="695"/>
      <c r="G48" s="695"/>
      <c r="H48" s="695"/>
      <c r="I48" s="695"/>
      <c r="J48" s="696"/>
      <c r="K48" s="400"/>
      <c r="N48" s="549"/>
      <c r="O48" s="183">
        <v>1</v>
      </c>
    </row>
    <row r="49" spans="2:15" ht="15" thickBot="1" x14ac:dyDescent="0.25">
      <c r="B49" s="211">
        <f>B22</f>
        <v>14</v>
      </c>
      <c r="C49" s="697" t="s">
        <v>113</v>
      </c>
      <c r="D49" s="697"/>
      <c r="E49" s="697"/>
      <c r="F49" s="697"/>
      <c r="G49" s="697"/>
      <c r="H49" s="697"/>
      <c r="I49" s="697"/>
      <c r="J49" s="698"/>
      <c r="K49" s="400"/>
      <c r="N49" s="549"/>
      <c r="O49" s="183">
        <v>1</v>
      </c>
    </row>
    <row r="50" spans="2:15" x14ac:dyDescent="0.2">
      <c r="N50" s="549"/>
      <c r="O50" s="502"/>
    </row>
  </sheetData>
  <sheetProtection algorithmName="SHA-512" hashValue="02lvhU7GpT7zhCHhMjQO/0RrC4H38XC36rN/gK6r8+H//AH6O3tLfpmY8i34iGJX76YmTAhguVhr+D6lbUW4wA==" saltValue="CkCDgulqxTsZSGJ6kfLHOQ==" spinCount="100000" sheet="1" objects="1" scenarios="1"/>
  <mergeCells count="23">
    <mergeCell ref="C39:J39"/>
    <mergeCell ref="C40:J40"/>
    <mergeCell ref="C41:J41"/>
    <mergeCell ref="C38:J38"/>
    <mergeCell ref="B3:C4"/>
    <mergeCell ref="D3:D4"/>
    <mergeCell ref="E3:E4"/>
    <mergeCell ref="F3:F4"/>
    <mergeCell ref="G3:I3"/>
    <mergeCell ref="J3:J4"/>
    <mergeCell ref="L3:L4"/>
    <mergeCell ref="O4:Q4"/>
    <mergeCell ref="B24:C24"/>
    <mergeCell ref="C36:J36"/>
    <mergeCell ref="C37:J37"/>
    <mergeCell ref="C48:J48"/>
    <mergeCell ref="C49:J49"/>
    <mergeCell ref="C42:J42"/>
    <mergeCell ref="C43:J43"/>
    <mergeCell ref="C45:J45"/>
    <mergeCell ref="C46:J46"/>
    <mergeCell ref="C47:J47"/>
    <mergeCell ref="C44:J44"/>
  </mergeCells>
  <conditionalFormatting sqref="L6:L22">
    <cfRule type="cellIs" dxfId="95" priority="1" operator="equal">
      <formula>0</formula>
    </cfRule>
  </conditionalFormatting>
  <printOptions horizontalCentered="1"/>
  <pageMargins left="0.39370078740157483" right="0.39370078740157483" top="0.78740157480314965" bottom="0.78740157480314965" header="0.31496062992125984" footer="0.31496062992125984"/>
  <pageSetup paperSize="8" scale="92"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41"/>
  <sheetViews>
    <sheetView showGridLines="0" zoomScaleNormal="100" workbookViewId="0">
      <selection activeCell="F8" sqref="F8"/>
    </sheetView>
  </sheetViews>
  <sheetFormatPr defaultColWidth="0" defaultRowHeight="14.25" zeroHeight="1" x14ac:dyDescent="0.2"/>
  <cols>
    <col min="1" max="1" width="1.625" style="95" customWidth="1"/>
    <col min="2" max="2" width="4.125" style="95" customWidth="1"/>
    <col min="3" max="3" width="37.875" style="95" bestFit="1" customWidth="1"/>
    <col min="4" max="5" width="5.125" style="95" customWidth="1"/>
    <col min="6" max="7" width="12.5" style="95" customWidth="1"/>
    <col min="8" max="9" width="12.625" style="95" customWidth="1"/>
    <col min="10" max="10" width="15.375" style="95" customWidth="1"/>
    <col min="11" max="11" width="2.625" style="95" customWidth="1"/>
    <col min="12" max="12" width="18.875" style="95" bestFit="1" customWidth="1"/>
    <col min="13" max="13" width="2.625" style="95" customWidth="1"/>
    <col min="14" max="14" width="1.625" style="96" hidden="1" customWidth="1"/>
    <col min="15" max="17" width="5.625" style="95" hidden="1" customWidth="1"/>
    <col min="18" max="18" width="1.625" style="96" hidden="1" customWidth="1"/>
    <col min="19" max="19" width="8.125" style="95" hidden="1" customWidth="1"/>
    <col min="20" max="22" width="8.875" style="95" hidden="1" customWidth="1"/>
    <col min="23" max="16384" width="8.125" style="95" hidden="1"/>
  </cols>
  <sheetData>
    <row r="1" spans="2:18" ht="20.25" x14ac:dyDescent="0.2">
      <c r="B1" s="91" t="s">
        <v>114</v>
      </c>
      <c r="C1" s="91"/>
      <c r="D1" s="91"/>
      <c r="E1" s="91"/>
      <c r="F1" s="91"/>
      <c r="G1" s="91"/>
      <c r="H1" s="91"/>
      <c r="I1" s="91"/>
      <c r="J1" s="93" t="str">
        <f>Validation!B3</f>
        <v>Yorkshire Water</v>
      </c>
      <c r="K1" s="91"/>
      <c r="L1" s="94" t="s">
        <v>62</v>
      </c>
    </row>
    <row r="2" spans="2:18" ht="15" thickBot="1" x14ac:dyDescent="0.25">
      <c r="B2" s="98" t="s">
        <v>48</v>
      </c>
    </row>
    <row r="3" spans="2:18" ht="14.45" customHeight="1" x14ac:dyDescent="0.2">
      <c r="B3" s="708" t="s">
        <v>63</v>
      </c>
      <c r="C3" s="709"/>
      <c r="D3" s="712" t="s">
        <v>64</v>
      </c>
      <c r="E3" s="714" t="s">
        <v>65</v>
      </c>
      <c r="F3" s="731" t="s">
        <v>66</v>
      </c>
      <c r="G3" s="733" t="s">
        <v>67</v>
      </c>
      <c r="H3" s="734"/>
      <c r="I3" s="735"/>
      <c r="J3" s="699" t="s">
        <v>68</v>
      </c>
      <c r="L3" s="699" t="s">
        <v>69</v>
      </c>
    </row>
    <row r="4" spans="2:18" ht="54.75" thickBot="1" x14ac:dyDescent="0.25">
      <c r="B4" s="710"/>
      <c r="C4" s="711"/>
      <c r="D4" s="713"/>
      <c r="E4" s="715"/>
      <c r="F4" s="732"/>
      <c r="G4" s="104" t="s">
        <v>70</v>
      </c>
      <c r="H4" s="105" t="s">
        <v>71</v>
      </c>
      <c r="I4" s="106" t="s">
        <v>72</v>
      </c>
      <c r="J4" s="701"/>
      <c r="L4" s="701"/>
      <c r="M4" s="107"/>
      <c r="O4" s="702" t="s">
        <v>73</v>
      </c>
      <c r="P4" s="702"/>
      <c r="Q4" s="702"/>
    </row>
    <row r="5" spans="2:18" ht="15" thickBot="1" x14ac:dyDescent="0.25"/>
    <row r="6" spans="2:18" x14ac:dyDescent="0.2">
      <c r="B6" s="113">
        <v>1</v>
      </c>
      <c r="C6" s="143" t="s">
        <v>89</v>
      </c>
      <c r="D6" s="115" t="s">
        <v>76</v>
      </c>
      <c r="E6" s="244">
        <v>3</v>
      </c>
      <c r="F6" s="533">
        <f>'1A'!F22</f>
        <v>236.18299999999994</v>
      </c>
      <c r="G6" s="547">
        <f>'1A'!G22</f>
        <v>-4.3100000000000014</v>
      </c>
      <c r="H6" s="429">
        <f>'1A'!H22</f>
        <v>1.5949999999999986</v>
      </c>
      <c r="I6" s="219">
        <f xml:space="preserve"> G6 - H6</f>
        <v>-5.9050000000000002</v>
      </c>
      <c r="J6" s="226">
        <f xml:space="preserve"> F6 + I6</f>
        <v>230.27799999999993</v>
      </c>
      <c r="L6" s="256"/>
      <c r="O6" s="112" t="s">
        <v>74</v>
      </c>
    </row>
    <row r="7" spans="2:18" x14ac:dyDescent="0.2">
      <c r="B7" s="121">
        <f xml:space="preserve"> B6 + 1</f>
        <v>2</v>
      </c>
      <c r="C7" s="114" t="s">
        <v>115</v>
      </c>
      <c r="D7" s="122" t="s">
        <v>76</v>
      </c>
      <c r="E7" s="246">
        <v>3</v>
      </c>
      <c r="F7" s="562">
        <v>0</v>
      </c>
      <c r="G7" s="580">
        <v>0</v>
      </c>
      <c r="H7" s="566">
        <v>0</v>
      </c>
      <c r="I7" s="222">
        <f xml:space="preserve"> G7 - H7</f>
        <v>0</v>
      </c>
      <c r="J7" s="227">
        <f xml:space="preserve"> F7 + I7</f>
        <v>0</v>
      </c>
      <c r="L7" s="29">
        <f xml:space="preserve"> IF( SUM( N7:R7 ) = 0, 0, $O$6 )</f>
        <v>0</v>
      </c>
      <c r="O7" s="120">
        <f t="shared" ref="O7:Q8" si="0" xml:space="preserve"> IF( ISNUMBER( F7 ), 0, 1 )</f>
        <v>0</v>
      </c>
      <c r="P7" s="120">
        <f t="shared" si="0"/>
        <v>0</v>
      </c>
      <c r="Q7" s="120">
        <f t="shared" si="0"/>
        <v>0</v>
      </c>
    </row>
    <row r="8" spans="2:18" x14ac:dyDescent="0.2">
      <c r="B8" s="121">
        <f xml:space="preserve"> B7 + 1</f>
        <v>3</v>
      </c>
      <c r="C8" s="114" t="s">
        <v>116</v>
      </c>
      <c r="D8" s="122" t="s">
        <v>76</v>
      </c>
      <c r="E8" s="246">
        <v>3</v>
      </c>
      <c r="F8" s="562">
        <v>-3.1210000000000004</v>
      </c>
      <c r="G8" s="580">
        <v>0</v>
      </c>
      <c r="H8" s="566">
        <v>0</v>
      </c>
      <c r="I8" s="222">
        <f xml:space="preserve"> G8 - H8</f>
        <v>0</v>
      </c>
      <c r="J8" s="227">
        <f xml:space="preserve"> F8 + I8</f>
        <v>-3.1210000000000004</v>
      </c>
      <c r="L8" s="29">
        <f xml:space="preserve"> IF( SUM( N8:R8 ) = 0, 0, $O$6 )</f>
        <v>0</v>
      </c>
      <c r="O8" s="120">
        <f t="shared" si="0"/>
        <v>0</v>
      </c>
      <c r="P8" s="120">
        <f t="shared" si="0"/>
        <v>0</v>
      </c>
      <c r="Q8" s="120">
        <f t="shared" si="0"/>
        <v>0</v>
      </c>
    </row>
    <row r="9" spans="2:18" ht="15" thickBot="1" x14ac:dyDescent="0.25">
      <c r="B9" s="128">
        <f xml:space="preserve"> B8 + 1</f>
        <v>4</v>
      </c>
      <c r="C9" s="129" t="s">
        <v>117</v>
      </c>
      <c r="D9" s="130" t="s">
        <v>76</v>
      </c>
      <c r="E9" s="257">
        <v>3</v>
      </c>
      <c r="F9" s="230">
        <f>SUM( F6:F8 )</f>
        <v>233.06199999999993</v>
      </c>
      <c r="G9" s="274">
        <f>SUM( G6:G8 )</f>
        <v>-4.3100000000000014</v>
      </c>
      <c r="H9" s="224">
        <f>SUM( H6:H8 )</f>
        <v>1.5949999999999986</v>
      </c>
      <c r="I9" s="225">
        <f xml:space="preserve"> G9 - H9</f>
        <v>-5.9050000000000002</v>
      </c>
      <c r="J9" s="228">
        <f xml:space="preserve"> F9 + I9</f>
        <v>227.15699999999993</v>
      </c>
      <c r="L9" s="256"/>
    </row>
    <row r="10" spans="2:18" x14ac:dyDescent="0.2"/>
    <row r="11" spans="2:18" s="187" customFormat="1" x14ac:dyDescent="0.2">
      <c r="B11" s="703" t="s">
        <v>90</v>
      </c>
      <c r="C11" s="703"/>
      <c r="I11" s="150"/>
      <c r="J11" s="150"/>
      <c r="K11" s="150"/>
      <c r="L11" s="150"/>
      <c r="M11" s="150"/>
      <c r="N11" s="96"/>
      <c r="O11" s="150"/>
      <c r="P11" s="150"/>
      <c r="Q11" s="232"/>
      <c r="R11" s="96"/>
    </row>
    <row r="12" spans="2:18" s="187" customFormat="1" x14ac:dyDescent="0.2">
      <c r="B12" s="162"/>
      <c r="C12" s="163"/>
      <c r="I12" s="150"/>
      <c r="J12" s="150"/>
      <c r="K12" s="150"/>
      <c r="L12" s="150"/>
      <c r="M12" s="150"/>
      <c r="N12" s="96"/>
      <c r="O12" s="150"/>
      <c r="P12" s="150"/>
      <c r="Q12" s="232"/>
      <c r="R12" s="96"/>
    </row>
    <row r="13" spans="2:18" s="187" customFormat="1" x14ac:dyDescent="0.2">
      <c r="B13" s="30"/>
      <c r="C13" s="164" t="s">
        <v>91</v>
      </c>
      <c r="I13" s="150"/>
      <c r="J13" s="150"/>
      <c r="K13" s="150"/>
      <c r="L13" s="150"/>
      <c r="M13" s="150"/>
      <c r="N13" s="96"/>
      <c r="O13" s="150"/>
      <c r="P13" s="150"/>
      <c r="Q13" s="232"/>
      <c r="R13" s="96"/>
    </row>
    <row r="14" spans="2:18" s="187" customFormat="1" x14ac:dyDescent="0.2">
      <c r="B14" s="162"/>
      <c r="C14" s="163"/>
      <c r="I14" s="150"/>
      <c r="J14" s="150"/>
      <c r="K14" s="150"/>
      <c r="L14" s="150"/>
      <c r="M14" s="150"/>
      <c r="N14" s="96"/>
      <c r="O14" s="150"/>
      <c r="P14" s="150"/>
      <c r="Q14" s="232"/>
      <c r="R14" s="96"/>
    </row>
    <row r="15" spans="2:18" s="187" customFormat="1" x14ac:dyDescent="0.2">
      <c r="B15" s="165"/>
      <c r="C15" s="164" t="s">
        <v>92</v>
      </c>
      <c r="I15" s="150"/>
      <c r="J15" s="150"/>
      <c r="K15" s="150"/>
      <c r="L15" s="150"/>
      <c r="M15" s="150"/>
      <c r="N15" s="96"/>
      <c r="O15" s="150"/>
      <c r="P15" s="150"/>
      <c r="Q15" s="232"/>
      <c r="R15" s="96"/>
    </row>
    <row r="16" spans="2:18" s="187" customFormat="1" x14ac:dyDescent="0.2">
      <c r="B16" s="166"/>
      <c r="C16" s="164"/>
      <c r="I16" s="150"/>
      <c r="J16" s="150"/>
      <c r="K16" s="150"/>
      <c r="L16" s="150"/>
      <c r="M16" s="150"/>
      <c r="N16" s="96"/>
      <c r="O16" s="150"/>
      <c r="P16" s="150"/>
      <c r="Q16" s="232"/>
      <c r="R16" s="96"/>
    </row>
    <row r="17" spans="1:18" s="187" customFormat="1" x14ac:dyDescent="0.2">
      <c r="B17" s="167"/>
      <c r="C17" s="164" t="s">
        <v>93</v>
      </c>
      <c r="I17" s="150"/>
      <c r="J17" s="150"/>
      <c r="K17" s="150"/>
      <c r="L17" s="150"/>
      <c r="M17" s="150"/>
      <c r="N17" s="96"/>
      <c r="O17" s="150"/>
      <c r="P17" s="150"/>
      <c r="Q17" s="232"/>
      <c r="R17" s="96"/>
    </row>
    <row r="18" spans="1:18" s="206" customFormat="1" x14ac:dyDescent="0.2">
      <c r="A18" s="172"/>
      <c r="B18" s="172"/>
      <c r="C18" s="173"/>
      <c r="I18" s="153"/>
      <c r="J18" s="153"/>
      <c r="K18" s="153"/>
      <c r="L18" s="150"/>
      <c r="M18" s="150"/>
      <c r="N18" s="96"/>
      <c r="O18" s="150"/>
      <c r="P18" s="150"/>
      <c r="Q18" s="376"/>
      <c r="R18" s="96"/>
    </row>
    <row r="19" spans="1:18" s="206" customFormat="1" ht="15" thickBot="1" x14ac:dyDescent="0.25">
      <c r="C19" s="207"/>
      <c r="I19" s="153"/>
      <c r="J19" s="153"/>
      <c r="K19" s="153"/>
      <c r="L19" s="150"/>
      <c r="M19" s="150"/>
      <c r="N19" s="96"/>
      <c r="O19" s="150"/>
      <c r="P19" s="150"/>
      <c r="Q19" s="376"/>
      <c r="R19" s="96"/>
    </row>
    <row r="20" spans="1:18" s="137" customFormat="1" ht="21" thickBot="1" x14ac:dyDescent="0.25">
      <c r="B20" s="168" t="str">
        <f ca="1" xml:space="preserve"> RIGHT(CELL("filename", $A$1), LEN(CELL("filename", $A$1)) - SEARCH("]", CELL("filename", $A$1)))&amp;" - Line definitions"</f>
        <v>1B - Line definitions</v>
      </c>
      <c r="C20" s="169"/>
      <c r="D20" s="170"/>
      <c r="E20" s="170"/>
      <c r="F20" s="170"/>
      <c r="G20" s="170"/>
      <c r="H20" s="170"/>
      <c r="I20" s="170"/>
      <c r="J20" s="176"/>
      <c r="K20" s="144"/>
      <c r="L20" s="146"/>
      <c r="M20" s="144"/>
      <c r="N20" s="96"/>
      <c r="O20" s="146"/>
      <c r="P20" s="144"/>
      <c r="Q20" s="332"/>
      <c r="R20" s="96"/>
    </row>
    <row r="21" spans="1:18" s="137" customFormat="1" ht="15" thickBot="1" x14ac:dyDescent="0.25">
      <c r="B21" s="99"/>
      <c r="C21" s="177"/>
      <c r="D21" s="99"/>
      <c r="E21" s="99"/>
      <c r="F21" s="99"/>
      <c r="I21" s="144"/>
      <c r="J21" s="144"/>
      <c r="K21" s="144"/>
      <c r="L21" s="146"/>
      <c r="M21" s="144"/>
      <c r="N21" s="96"/>
      <c r="O21" s="146"/>
      <c r="P21" s="144"/>
      <c r="Q21" s="332"/>
      <c r="R21" s="96"/>
    </row>
    <row r="22" spans="1:18" s="206" customFormat="1" ht="15" thickBot="1" x14ac:dyDescent="0.25">
      <c r="B22" s="339" t="s">
        <v>94</v>
      </c>
      <c r="C22" s="340" t="s">
        <v>95</v>
      </c>
      <c r="D22" s="180"/>
      <c r="E22" s="180"/>
      <c r="F22" s="180"/>
      <c r="G22" s="180"/>
      <c r="H22" s="180"/>
      <c r="I22" s="180"/>
      <c r="J22" s="181"/>
      <c r="K22" s="433"/>
      <c r="L22" s="153"/>
      <c r="M22" s="144"/>
      <c r="N22" s="96"/>
      <c r="O22" s="112" t="s">
        <v>96</v>
      </c>
      <c r="P22" s="144"/>
      <c r="R22" s="96"/>
    </row>
    <row r="23" spans="1:18" s="137" customFormat="1" x14ac:dyDescent="0.2">
      <c r="B23" s="342">
        <f>B6</f>
        <v>1</v>
      </c>
      <c r="C23" s="704" t="s">
        <v>118</v>
      </c>
      <c r="D23" s="704"/>
      <c r="E23" s="704"/>
      <c r="F23" s="704"/>
      <c r="G23" s="704"/>
      <c r="H23" s="704"/>
      <c r="I23" s="704"/>
      <c r="J23" s="705"/>
      <c r="K23" s="436"/>
      <c r="L23" s="146"/>
      <c r="M23" s="144"/>
      <c r="N23" s="148"/>
      <c r="O23" s="186">
        <v>1</v>
      </c>
      <c r="P23" s="144"/>
      <c r="Q23" s="332"/>
      <c r="R23" s="148"/>
    </row>
    <row r="24" spans="1:18" s="137" customFormat="1" x14ac:dyDescent="0.2">
      <c r="B24" s="343">
        <f>B7</f>
        <v>2</v>
      </c>
      <c r="C24" s="695" t="s">
        <v>119</v>
      </c>
      <c r="D24" s="695"/>
      <c r="E24" s="695"/>
      <c r="F24" s="695"/>
      <c r="G24" s="695"/>
      <c r="H24" s="695"/>
      <c r="I24" s="695"/>
      <c r="J24" s="696"/>
      <c r="K24" s="437"/>
      <c r="L24" s="146"/>
      <c r="M24" s="144"/>
      <c r="N24" s="145"/>
      <c r="O24" s="292">
        <v>1</v>
      </c>
      <c r="P24" s="144"/>
      <c r="Q24" s="332"/>
      <c r="R24" s="145"/>
    </row>
    <row r="25" spans="1:18" s="137" customFormat="1" x14ac:dyDescent="0.2">
      <c r="B25" s="343">
        <f>B8</f>
        <v>3</v>
      </c>
      <c r="C25" s="695" t="s">
        <v>120</v>
      </c>
      <c r="D25" s="695"/>
      <c r="E25" s="695"/>
      <c r="F25" s="695"/>
      <c r="G25" s="695"/>
      <c r="H25" s="695"/>
      <c r="I25" s="695"/>
      <c r="J25" s="696"/>
      <c r="K25" s="436"/>
      <c r="L25" s="146"/>
      <c r="M25" s="144"/>
      <c r="N25" s="145"/>
      <c r="O25" s="292">
        <v>1</v>
      </c>
      <c r="P25" s="144"/>
      <c r="Q25" s="332"/>
      <c r="R25" s="145"/>
    </row>
    <row r="26" spans="1:18" s="146" customFormat="1" ht="15" thickBot="1" x14ac:dyDescent="0.25">
      <c r="B26" s="344">
        <f>B9</f>
        <v>4</v>
      </c>
      <c r="C26" s="697" t="s">
        <v>121</v>
      </c>
      <c r="D26" s="697"/>
      <c r="E26" s="697"/>
      <c r="F26" s="697"/>
      <c r="G26" s="697"/>
      <c r="H26" s="697"/>
      <c r="I26" s="697"/>
      <c r="J26" s="698"/>
      <c r="K26" s="437"/>
      <c r="M26" s="144"/>
      <c r="N26" s="145"/>
      <c r="O26" s="292" t="s">
        <v>122</v>
      </c>
      <c r="P26" s="144"/>
      <c r="Q26" s="332"/>
      <c r="R26" s="145"/>
    </row>
    <row r="27" spans="1:18" x14ac:dyDescent="0.2">
      <c r="N27" s="145"/>
      <c r="O27" s="502"/>
      <c r="R27" s="145"/>
    </row>
    <row r="28" spans="1:18" hidden="1" x14ac:dyDescent="0.2">
      <c r="N28" s="145"/>
      <c r="R28" s="145"/>
    </row>
    <row r="29" spans="1:18" hidden="1" x14ac:dyDescent="0.2">
      <c r="N29" s="145"/>
      <c r="R29" s="145"/>
    </row>
    <row r="30" spans="1:18" hidden="1" x14ac:dyDescent="0.2">
      <c r="N30" s="145"/>
      <c r="R30" s="145"/>
    </row>
    <row r="31" spans="1:18" hidden="1" x14ac:dyDescent="0.2">
      <c r="N31" s="145"/>
      <c r="R31" s="145"/>
    </row>
    <row r="32" spans="1:18" hidden="1" x14ac:dyDescent="0.2">
      <c r="N32" s="145"/>
      <c r="R32" s="145"/>
    </row>
    <row r="33" spans="14:18" hidden="1" x14ac:dyDescent="0.2">
      <c r="N33" s="148"/>
      <c r="R33" s="148"/>
    </row>
    <row r="34" spans="14:18" hidden="1" x14ac:dyDescent="0.2">
      <c r="N34" s="148"/>
      <c r="R34" s="148"/>
    </row>
    <row r="35" spans="14:18" hidden="1" x14ac:dyDescent="0.2">
      <c r="N35" s="148"/>
      <c r="R35" s="148"/>
    </row>
    <row r="36" spans="14:18" hidden="1" x14ac:dyDescent="0.2">
      <c r="N36" s="148"/>
      <c r="R36" s="148"/>
    </row>
    <row r="37" spans="14:18" hidden="1" x14ac:dyDescent="0.2">
      <c r="N37" s="148"/>
      <c r="R37" s="148"/>
    </row>
    <row r="38" spans="14:18" hidden="1" x14ac:dyDescent="0.2">
      <c r="N38" s="148"/>
      <c r="R38" s="148"/>
    </row>
    <row r="39" spans="14:18" hidden="1" x14ac:dyDescent="0.2">
      <c r="N39" s="148"/>
      <c r="R39" s="148"/>
    </row>
    <row r="40" spans="14:18" hidden="1" x14ac:dyDescent="0.2">
      <c r="N40" s="148"/>
      <c r="R40" s="148"/>
    </row>
    <row r="41" spans="14:18" hidden="1" x14ac:dyDescent="0.2">
      <c r="N41" s="148"/>
      <c r="R41" s="148"/>
    </row>
  </sheetData>
  <sheetProtection algorithmName="SHA-512" hashValue="SVTB3NHLftAsw2RHlLIfs1Epgfkv+v5rGdk+ReROxF1qEA4RExpdKU1RrX3TaJFaf87zBCFvlMoLJHvN/PvTcQ==" saltValue="3z2yanGJ62yRmfoeGaLOFA==" spinCount="100000" sheet="1" objects="1" scenarios="1"/>
  <mergeCells count="13">
    <mergeCell ref="C26:J26"/>
    <mergeCell ref="L3:L4"/>
    <mergeCell ref="O4:Q4"/>
    <mergeCell ref="B11:C11"/>
    <mergeCell ref="C23:J23"/>
    <mergeCell ref="C24:J24"/>
    <mergeCell ref="C25:J25"/>
    <mergeCell ref="B3:C4"/>
    <mergeCell ref="D3:D4"/>
    <mergeCell ref="E3:E4"/>
    <mergeCell ref="F3:F4"/>
    <mergeCell ref="G3:I3"/>
    <mergeCell ref="J3:J4"/>
  </mergeCells>
  <conditionalFormatting sqref="L7:L8">
    <cfRule type="cellIs" dxfId="94" priority="1" operator="equal">
      <formula>0</formula>
    </cfRule>
  </conditionalFormatting>
  <printOptions horizontalCentered="1"/>
  <pageMargins left="0.39370078740157483" right="0.39370078740157483" top="0.78740157480314965" bottom="0.78740157480314965" header="0.31496062992125984" footer="0.31496062992125984"/>
  <pageSetup paperSize="8" scale="89"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94"/>
  <sheetViews>
    <sheetView showGridLines="0" topLeftCell="A4" zoomScale="90" zoomScaleNormal="90" workbookViewId="0">
      <selection activeCell="H18" sqref="H18"/>
    </sheetView>
  </sheetViews>
  <sheetFormatPr defaultColWidth="0" defaultRowHeight="14.25" zeroHeight="1" x14ac:dyDescent="0.2"/>
  <cols>
    <col min="1" max="1" width="1.625" style="95" customWidth="1"/>
    <col min="2" max="2" width="4.125" style="95" customWidth="1"/>
    <col min="3" max="3" width="38.125" style="95" customWidth="1"/>
    <col min="4" max="5" width="5.125" style="95" customWidth="1"/>
    <col min="6" max="10" width="12.5" style="95" customWidth="1"/>
    <col min="11" max="11" width="2.625" style="95" customWidth="1"/>
    <col min="12" max="12" width="18.875" style="95" bestFit="1" customWidth="1"/>
    <col min="13" max="13" width="1.625" style="95" customWidth="1"/>
    <col min="14" max="14" width="1.625" style="96" hidden="1" customWidth="1"/>
    <col min="15" max="17" width="5.625" style="95" hidden="1" customWidth="1"/>
    <col min="18" max="18" width="1.625" style="96" hidden="1" customWidth="1"/>
    <col min="19" max="19" width="8.125" style="95" hidden="1" customWidth="1"/>
    <col min="20" max="22" width="8.875" style="95" hidden="1" customWidth="1"/>
    <col min="23" max="16384" width="8.125" style="95" hidden="1"/>
  </cols>
  <sheetData>
    <row r="1" spans="2:17" ht="20.25" x14ac:dyDescent="0.2">
      <c r="B1" s="91" t="s">
        <v>123</v>
      </c>
      <c r="C1" s="91"/>
      <c r="D1" s="91"/>
      <c r="E1" s="91"/>
      <c r="F1" s="91"/>
      <c r="G1" s="91"/>
      <c r="H1" s="91"/>
      <c r="I1" s="91"/>
      <c r="J1" s="93" t="str">
        <f>Validation!B3</f>
        <v>Yorkshire Water</v>
      </c>
      <c r="K1" s="91"/>
      <c r="L1" s="94" t="s">
        <v>62</v>
      </c>
    </row>
    <row r="2" spans="2:17" ht="15" thickBot="1" x14ac:dyDescent="0.25">
      <c r="B2" s="98" t="s">
        <v>48</v>
      </c>
    </row>
    <row r="3" spans="2:17" ht="14.45" customHeight="1" x14ac:dyDescent="0.2">
      <c r="B3" s="708" t="s">
        <v>63</v>
      </c>
      <c r="C3" s="709"/>
      <c r="D3" s="712" t="s">
        <v>64</v>
      </c>
      <c r="E3" s="714" t="s">
        <v>65</v>
      </c>
      <c r="F3" s="731" t="s">
        <v>66</v>
      </c>
      <c r="G3" s="733" t="s">
        <v>67</v>
      </c>
      <c r="H3" s="734"/>
      <c r="I3" s="735"/>
      <c r="J3" s="699" t="s">
        <v>68</v>
      </c>
      <c r="L3" s="699" t="s">
        <v>69</v>
      </c>
    </row>
    <row r="4" spans="2:17" ht="54.75" thickBot="1" x14ac:dyDescent="0.25">
      <c r="B4" s="710"/>
      <c r="C4" s="711"/>
      <c r="D4" s="713"/>
      <c r="E4" s="715"/>
      <c r="F4" s="732"/>
      <c r="G4" s="104" t="s">
        <v>70</v>
      </c>
      <c r="H4" s="105" t="s">
        <v>71</v>
      </c>
      <c r="I4" s="106" t="s">
        <v>72</v>
      </c>
      <c r="J4" s="701"/>
      <c r="L4" s="701"/>
      <c r="M4" s="107"/>
      <c r="O4" s="702" t="s">
        <v>73</v>
      </c>
      <c r="P4" s="702"/>
      <c r="Q4" s="702"/>
    </row>
    <row r="5" spans="2:17" ht="15" thickBot="1" x14ac:dyDescent="0.25"/>
    <row r="6" spans="2:17" ht="15" thickBot="1" x14ac:dyDescent="0.25">
      <c r="B6" s="110" t="s">
        <v>124</v>
      </c>
      <c r="C6" s="111" t="s">
        <v>125</v>
      </c>
      <c r="O6" s="112" t="s">
        <v>74</v>
      </c>
    </row>
    <row r="7" spans="2:17" x14ac:dyDescent="0.2">
      <c r="B7" s="113">
        <v>1</v>
      </c>
      <c r="C7" s="143" t="s">
        <v>126</v>
      </c>
      <c r="D7" s="115" t="s">
        <v>76</v>
      </c>
      <c r="E7" s="116">
        <v>3</v>
      </c>
      <c r="F7" s="673">
        <v>6871.2160000000003</v>
      </c>
      <c r="G7" s="567">
        <v>-97.103999999999999</v>
      </c>
      <c r="H7" s="579">
        <v>3.0089999999999999</v>
      </c>
      <c r="I7" s="219">
        <f t="shared" ref="I7:I13" si="0" xml:space="preserve"> G7 - H7</f>
        <v>-100.113</v>
      </c>
      <c r="J7" s="226">
        <f t="shared" ref="J7:J13" si="1" xml:space="preserve"> F7 + I7</f>
        <v>6771.1030000000001</v>
      </c>
      <c r="L7" s="77">
        <f xml:space="preserve"> IF( SUM( N7:R7 ) = 0, 0, $O$6 )</f>
        <v>0</v>
      </c>
      <c r="O7" s="120">
        <f t="shared" ref="O7:Q19" si="2" xml:space="preserve"> IF( ISNUMBER( F7 ), 0, 1 )</f>
        <v>0</v>
      </c>
      <c r="P7" s="120">
        <f t="shared" si="2"/>
        <v>0</v>
      </c>
      <c r="Q7" s="120">
        <f t="shared" si="2"/>
        <v>0</v>
      </c>
    </row>
    <row r="8" spans="2:17" x14ac:dyDescent="0.2">
      <c r="B8" s="121">
        <f xml:space="preserve"> B7 + 1</f>
        <v>2</v>
      </c>
      <c r="C8" s="114" t="s">
        <v>127</v>
      </c>
      <c r="D8" s="122" t="s">
        <v>76</v>
      </c>
      <c r="E8" s="123">
        <v>3</v>
      </c>
      <c r="F8" s="669">
        <v>29.036999999999999</v>
      </c>
      <c r="G8" s="565">
        <v>0</v>
      </c>
      <c r="H8" s="566">
        <v>0</v>
      </c>
      <c r="I8" s="222">
        <f t="shared" si="0"/>
        <v>0</v>
      </c>
      <c r="J8" s="227">
        <f t="shared" si="1"/>
        <v>29.036999999999999</v>
      </c>
      <c r="L8" s="77">
        <f t="shared" ref="L8:L12" si="3" xml:space="preserve"> IF( SUM( N8:R8 ) = 0, 0, $O$6 )</f>
        <v>0</v>
      </c>
      <c r="O8" s="120">
        <f t="shared" si="2"/>
        <v>0</v>
      </c>
      <c r="P8" s="120">
        <f t="shared" si="2"/>
        <v>0</v>
      </c>
      <c r="Q8" s="120">
        <f t="shared" si="2"/>
        <v>0</v>
      </c>
    </row>
    <row r="9" spans="2:17" x14ac:dyDescent="0.2">
      <c r="B9" s="121">
        <f t="shared" ref="B9:B37" si="4" xml:space="preserve"> B8 + 1</f>
        <v>3</v>
      </c>
      <c r="C9" s="114" t="s">
        <v>128</v>
      </c>
      <c r="D9" s="122" t="s">
        <v>76</v>
      </c>
      <c r="E9" s="123">
        <v>3</v>
      </c>
      <c r="F9" s="669">
        <v>1268.82</v>
      </c>
      <c r="G9" s="565">
        <v>0</v>
      </c>
      <c r="H9" s="566">
        <v>0</v>
      </c>
      <c r="I9" s="222">
        <f t="shared" si="0"/>
        <v>0</v>
      </c>
      <c r="J9" s="227">
        <f t="shared" si="1"/>
        <v>1268.82</v>
      </c>
      <c r="L9" s="77">
        <f t="shared" si="3"/>
        <v>0</v>
      </c>
      <c r="O9" s="120">
        <f t="shared" si="2"/>
        <v>0</v>
      </c>
      <c r="P9" s="120">
        <f t="shared" si="2"/>
        <v>0</v>
      </c>
      <c r="Q9" s="120">
        <f t="shared" si="2"/>
        <v>0</v>
      </c>
    </row>
    <row r="10" spans="2:17" x14ac:dyDescent="0.2">
      <c r="B10" s="121">
        <f t="shared" si="4"/>
        <v>4</v>
      </c>
      <c r="C10" s="114" t="s">
        <v>129</v>
      </c>
      <c r="D10" s="122" t="s">
        <v>76</v>
      </c>
      <c r="E10" s="123">
        <v>3</v>
      </c>
      <c r="F10" s="670">
        <v>0.05</v>
      </c>
      <c r="G10" s="671">
        <v>0</v>
      </c>
      <c r="H10" s="672">
        <v>0</v>
      </c>
      <c r="I10" s="222">
        <f t="shared" si="0"/>
        <v>0</v>
      </c>
      <c r="J10" s="227">
        <f t="shared" si="1"/>
        <v>0.05</v>
      </c>
      <c r="L10" s="77">
        <f t="shared" si="3"/>
        <v>0</v>
      </c>
      <c r="O10" s="120">
        <f t="shared" si="2"/>
        <v>0</v>
      </c>
      <c r="P10" s="120">
        <f t="shared" si="2"/>
        <v>0</v>
      </c>
      <c r="Q10" s="120">
        <f t="shared" si="2"/>
        <v>0</v>
      </c>
    </row>
    <row r="11" spans="2:17" x14ac:dyDescent="0.2">
      <c r="B11" s="121">
        <f t="shared" si="4"/>
        <v>5</v>
      </c>
      <c r="C11" s="114" t="s">
        <v>130</v>
      </c>
      <c r="D11" s="122" t="s">
        <v>76</v>
      </c>
      <c r="E11" s="123">
        <v>3</v>
      </c>
      <c r="F11" s="670">
        <v>90.813000000000002</v>
      </c>
      <c r="G11" s="671">
        <v>0</v>
      </c>
      <c r="H11" s="672">
        <v>0</v>
      </c>
      <c r="I11" s="222">
        <f t="shared" si="0"/>
        <v>0</v>
      </c>
      <c r="J11" s="227">
        <f t="shared" si="1"/>
        <v>90.813000000000002</v>
      </c>
      <c r="L11" s="77">
        <f t="shared" si="3"/>
        <v>0</v>
      </c>
      <c r="O11" s="120">
        <f t="shared" si="2"/>
        <v>0</v>
      </c>
      <c r="P11" s="120">
        <f t="shared" si="2"/>
        <v>0</v>
      </c>
      <c r="Q11" s="120">
        <f t="shared" si="2"/>
        <v>0</v>
      </c>
    </row>
    <row r="12" spans="2:17" x14ac:dyDescent="0.2">
      <c r="B12" s="121">
        <f t="shared" si="4"/>
        <v>6</v>
      </c>
      <c r="C12" s="114" t="s">
        <v>131</v>
      </c>
      <c r="D12" s="122" t="s">
        <v>76</v>
      </c>
      <c r="E12" s="123">
        <v>3</v>
      </c>
      <c r="F12" s="670">
        <v>0</v>
      </c>
      <c r="G12" s="671">
        <v>0</v>
      </c>
      <c r="H12" s="672">
        <v>0</v>
      </c>
      <c r="I12" s="222">
        <f t="shared" si="0"/>
        <v>0</v>
      </c>
      <c r="J12" s="227">
        <f t="shared" si="1"/>
        <v>0</v>
      </c>
      <c r="L12" s="77">
        <f t="shared" si="3"/>
        <v>0</v>
      </c>
      <c r="O12" s="120">
        <f t="shared" si="2"/>
        <v>0</v>
      </c>
      <c r="P12" s="120">
        <f t="shared" si="2"/>
        <v>0</v>
      </c>
      <c r="Q12" s="120">
        <f t="shared" si="2"/>
        <v>0</v>
      </c>
    </row>
    <row r="13" spans="2:17" ht="15" thickBot="1" x14ac:dyDescent="0.25">
      <c r="B13" s="128">
        <f xml:space="preserve"> B12 + 1</f>
        <v>7</v>
      </c>
      <c r="C13" s="129" t="s">
        <v>132</v>
      </c>
      <c r="D13" s="130" t="s">
        <v>76</v>
      </c>
      <c r="E13" s="127">
        <v>3</v>
      </c>
      <c r="F13" s="534">
        <f>SUM( F7:F12 )</f>
        <v>8259.9359999999997</v>
      </c>
      <c r="G13" s="223">
        <f>SUM( G7:G12 )</f>
        <v>-97.103999999999999</v>
      </c>
      <c r="H13" s="224">
        <f>SUM( H7:H12 )</f>
        <v>3.0089999999999999</v>
      </c>
      <c r="I13" s="225">
        <f t="shared" si="0"/>
        <v>-100.113</v>
      </c>
      <c r="J13" s="228">
        <f t="shared" si="1"/>
        <v>8159.8229999999994</v>
      </c>
      <c r="L13" s="77"/>
    </row>
    <row r="14" spans="2:17" ht="15" thickBot="1" x14ac:dyDescent="0.25">
      <c r="L14" s="77"/>
    </row>
    <row r="15" spans="2:17" ht="15" thickBot="1" x14ac:dyDescent="0.25">
      <c r="B15" s="110" t="s">
        <v>133</v>
      </c>
      <c r="C15" s="111" t="s">
        <v>134</v>
      </c>
      <c r="L15" s="77"/>
    </row>
    <row r="16" spans="2:17" x14ac:dyDescent="0.2">
      <c r="B16" s="113">
        <f xml:space="preserve"> B13 + 1</f>
        <v>8</v>
      </c>
      <c r="C16" s="143" t="s">
        <v>135</v>
      </c>
      <c r="D16" s="115" t="s">
        <v>76</v>
      </c>
      <c r="E16" s="116">
        <v>3</v>
      </c>
      <c r="F16" s="673">
        <v>1.9930000000000001</v>
      </c>
      <c r="G16" s="567">
        <v>0</v>
      </c>
      <c r="H16" s="579">
        <v>0</v>
      </c>
      <c r="I16" s="219">
        <f xml:space="preserve"> G16 - H16</f>
        <v>0</v>
      </c>
      <c r="J16" s="226">
        <f xml:space="preserve"> F16 + I16</f>
        <v>1.9930000000000001</v>
      </c>
      <c r="L16" s="77">
        <f t="shared" ref="L16:L19" si="5" xml:space="preserve"> IF( SUM( N16:R16 ) = 0, 0, $O$6 )</f>
        <v>0</v>
      </c>
      <c r="O16" s="120">
        <f t="shared" si="2"/>
        <v>0</v>
      </c>
      <c r="P16" s="120">
        <f t="shared" si="2"/>
        <v>0</v>
      </c>
      <c r="Q16" s="120">
        <f t="shared" si="2"/>
        <v>0</v>
      </c>
    </row>
    <row r="17" spans="2:18" x14ac:dyDescent="0.2">
      <c r="B17" s="121">
        <f t="shared" si="4"/>
        <v>9</v>
      </c>
      <c r="C17" s="114" t="s">
        <v>136</v>
      </c>
      <c r="D17" s="122" t="s">
        <v>76</v>
      </c>
      <c r="E17" s="123">
        <v>3</v>
      </c>
      <c r="F17" s="669">
        <v>177.744</v>
      </c>
      <c r="G17" s="565">
        <v>0</v>
      </c>
      <c r="H17" s="566">
        <v>3.0790000000000002</v>
      </c>
      <c r="I17" s="222">
        <f xml:space="preserve"> G17 - H17</f>
        <v>-3.0790000000000002</v>
      </c>
      <c r="J17" s="227">
        <f xml:space="preserve"> F17 + I17</f>
        <v>174.66499999999999</v>
      </c>
      <c r="L17" s="77">
        <f t="shared" si="5"/>
        <v>0</v>
      </c>
      <c r="O17" s="120">
        <f t="shared" si="2"/>
        <v>0</v>
      </c>
      <c r="P17" s="120">
        <f t="shared" si="2"/>
        <v>0</v>
      </c>
      <c r="Q17" s="120">
        <f t="shared" si="2"/>
        <v>0</v>
      </c>
    </row>
    <row r="18" spans="2:18" x14ac:dyDescent="0.2">
      <c r="B18" s="121">
        <f t="shared" si="4"/>
        <v>10</v>
      </c>
      <c r="C18" s="114" t="s">
        <v>130</v>
      </c>
      <c r="D18" s="122" t="s">
        <v>76</v>
      </c>
      <c r="E18" s="123">
        <v>3</v>
      </c>
      <c r="F18" s="669">
        <v>0</v>
      </c>
      <c r="G18" s="565">
        <v>0</v>
      </c>
      <c r="H18" s="566">
        <v>0</v>
      </c>
      <c r="I18" s="222">
        <f xml:space="preserve"> G18 - H18</f>
        <v>0</v>
      </c>
      <c r="J18" s="227">
        <f xml:space="preserve"> F18 + I18</f>
        <v>0</v>
      </c>
      <c r="L18" s="77">
        <f t="shared" si="5"/>
        <v>0</v>
      </c>
      <c r="O18" s="120">
        <f t="shared" si="2"/>
        <v>0</v>
      </c>
      <c r="P18" s="120">
        <f t="shared" si="2"/>
        <v>0</v>
      </c>
      <c r="Q18" s="120">
        <f t="shared" si="2"/>
        <v>0</v>
      </c>
    </row>
    <row r="19" spans="2:18" x14ac:dyDescent="0.2">
      <c r="B19" s="121">
        <f t="shared" si="4"/>
        <v>11</v>
      </c>
      <c r="C19" s="114" t="s">
        <v>137</v>
      </c>
      <c r="D19" s="122" t="s">
        <v>76</v>
      </c>
      <c r="E19" s="123">
        <v>3</v>
      </c>
      <c r="F19" s="669">
        <v>24.001999999999999</v>
      </c>
      <c r="G19" s="565">
        <v>0</v>
      </c>
      <c r="H19" s="566">
        <v>0</v>
      </c>
      <c r="I19" s="222">
        <f xml:space="preserve"> G19 - H19</f>
        <v>0</v>
      </c>
      <c r="J19" s="227">
        <f xml:space="preserve"> F19 + I19</f>
        <v>24.001999999999999</v>
      </c>
      <c r="L19" s="77">
        <f t="shared" si="5"/>
        <v>0</v>
      </c>
      <c r="O19" s="120">
        <f t="shared" si="2"/>
        <v>0</v>
      </c>
      <c r="P19" s="120">
        <f t="shared" si="2"/>
        <v>0</v>
      </c>
      <c r="Q19" s="120">
        <f t="shared" si="2"/>
        <v>0</v>
      </c>
    </row>
    <row r="20" spans="2:18" ht="15" thickBot="1" x14ac:dyDescent="0.25">
      <c r="B20" s="128">
        <f t="shared" si="4"/>
        <v>12</v>
      </c>
      <c r="C20" s="129" t="s">
        <v>138</v>
      </c>
      <c r="D20" s="130" t="s">
        <v>76</v>
      </c>
      <c r="E20" s="127">
        <v>3</v>
      </c>
      <c r="F20" s="225">
        <f>SUM( F16:F19 )</f>
        <v>203.739</v>
      </c>
      <c r="G20" s="230">
        <f>SUM( G16:G19 )</f>
        <v>0</v>
      </c>
      <c r="H20" s="225">
        <f>SUM( H16:H19 )</f>
        <v>3.0790000000000002</v>
      </c>
      <c r="I20" s="225">
        <f xml:space="preserve"> G20 - H20</f>
        <v>-3.0790000000000002</v>
      </c>
      <c r="J20" s="228">
        <f xml:space="preserve"> F20 + I20</f>
        <v>200.66</v>
      </c>
      <c r="L20" s="77"/>
    </row>
    <row r="21" spans="2:18" ht="15" thickBot="1" x14ac:dyDescent="0.25">
      <c r="L21" s="77"/>
    </row>
    <row r="22" spans="2:18" ht="15" thickBot="1" x14ac:dyDescent="0.25">
      <c r="B22" s="110" t="s">
        <v>139</v>
      </c>
      <c r="C22" s="111" t="s">
        <v>140</v>
      </c>
      <c r="L22" s="77"/>
    </row>
    <row r="23" spans="2:18" x14ac:dyDescent="0.2">
      <c r="B23" s="113">
        <f xml:space="preserve"> B20 + 1</f>
        <v>13</v>
      </c>
      <c r="C23" s="143" t="s">
        <v>141</v>
      </c>
      <c r="D23" s="115" t="s">
        <v>76</v>
      </c>
      <c r="E23" s="116">
        <v>3</v>
      </c>
      <c r="F23" s="673">
        <v>-228.161</v>
      </c>
      <c r="G23" s="567">
        <v>0</v>
      </c>
      <c r="H23" s="579">
        <v>-0.14799999999999999</v>
      </c>
      <c r="I23" s="219">
        <f t="shared" ref="I23:I30" si="6" xml:space="preserve"> G23 - H23</f>
        <v>0.14799999999999999</v>
      </c>
      <c r="J23" s="226">
        <f t="shared" ref="J23:J30" si="7" xml:space="preserve"> F23 + I23</f>
        <v>-228.01300000000001</v>
      </c>
      <c r="L23" s="77">
        <f t="shared" ref="L23:L28" si="8" xml:space="preserve"> IF( SUM( N23:R23 ) = 0, 0, $O$6 )</f>
        <v>0</v>
      </c>
      <c r="N23" s="148"/>
      <c r="O23" s="120">
        <f t="shared" ref="O23:Q46" si="9" xml:space="preserve"> IF( ISNUMBER( F23 ), 0, 1 )</f>
        <v>0</v>
      </c>
      <c r="P23" s="120">
        <f t="shared" si="9"/>
        <v>0</v>
      </c>
      <c r="Q23" s="120">
        <f t="shared" si="9"/>
        <v>0</v>
      </c>
      <c r="R23" s="148"/>
    </row>
    <row r="24" spans="2:18" x14ac:dyDescent="0.2">
      <c r="B24" s="121">
        <f t="shared" si="4"/>
        <v>14</v>
      </c>
      <c r="C24" s="114" t="s">
        <v>142</v>
      </c>
      <c r="D24" s="122" t="s">
        <v>76</v>
      </c>
      <c r="E24" s="123">
        <v>3</v>
      </c>
      <c r="F24" s="669">
        <v>-60.963999999999999</v>
      </c>
      <c r="G24" s="565">
        <v>0</v>
      </c>
      <c r="H24" s="566">
        <v>0</v>
      </c>
      <c r="I24" s="222">
        <f t="shared" si="6"/>
        <v>0</v>
      </c>
      <c r="J24" s="227">
        <f t="shared" si="7"/>
        <v>-60.963999999999999</v>
      </c>
      <c r="L24" s="77">
        <f t="shared" si="8"/>
        <v>0</v>
      </c>
      <c r="N24" s="145"/>
      <c r="O24" s="120">
        <f t="shared" si="9"/>
        <v>0</v>
      </c>
      <c r="P24" s="120">
        <f t="shared" si="9"/>
        <v>0</v>
      </c>
      <c r="Q24" s="120">
        <f t="shared" si="9"/>
        <v>0</v>
      </c>
      <c r="R24" s="145"/>
    </row>
    <row r="25" spans="2:18" x14ac:dyDescent="0.2">
      <c r="B25" s="121">
        <f t="shared" si="4"/>
        <v>15</v>
      </c>
      <c r="C25" s="114" t="s">
        <v>143</v>
      </c>
      <c r="D25" s="122" t="s">
        <v>76</v>
      </c>
      <c r="E25" s="123">
        <v>3</v>
      </c>
      <c r="F25" s="669">
        <v>-82.596000000000004</v>
      </c>
      <c r="G25" s="565">
        <v>0</v>
      </c>
      <c r="H25" s="566">
        <v>0</v>
      </c>
      <c r="I25" s="222">
        <f t="shared" si="6"/>
        <v>0</v>
      </c>
      <c r="J25" s="227">
        <f t="shared" si="7"/>
        <v>-82.596000000000004</v>
      </c>
      <c r="L25" s="77">
        <f t="shared" si="8"/>
        <v>0</v>
      </c>
      <c r="N25" s="145"/>
      <c r="O25" s="120">
        <f t="shared" si="9"/>
        <v>0</v>
      </c>
      <c r="P25" s="120">
        <f t="shared" si="9"/>
        <v>0</v>
      </c>
      <c r="Q25" s="120">
        <f t="shared" si="9"/>
        <v>0</v>
      </c>
      <c r="R25" s="145"/>
    </row>
    <row r="26" spans="2:18" x14ac:dyDescent="0.2">
      <c r="B26" s="121">
        <f t="shared" si="4"/>
        <v>16</v>
      </c>
      <c r="C26" s="114" t="s">
        <v>130</v>
      </c>
      <c r="D26" s="122" t="s">
        <v>76</v>
      </c>
      <c r="E26" s="123">
        <v>3</v>
      </c>
      <c r="F26" s="669">
        <v>0</v>
      </c>
      <c r="G26" s="565">
        <v>0</v>
      </c>
      <c r="H26" s="566">
        <v>0</v>
      </c>
      <c r="I26" s="222">
        <f t="shared" si="6"/>
        <v>0</v>
      </c>
      <c r="J26" s="227">
        <f t="shared" si="7"/>
        <v>0</v>
      </c>
      <c r="L26" s="77">
        <f t="shared" si="8"/>
        <v>0</v>
      </c>
      <c r="N26" s="145"/>
      <c r="O26" s="120">
        <f t="shared" si="9"/>
        <v>0</v>
      </c>
      <c r="P26" s="120">
        <f t="shared" si="9"/>
        <v>0</v>
      </c>
      <c r="Q26" s="120">
        <f t="shared" si="9"/>
        <v>0</v>
      </c>
      <c r="R26" s="145"/>
    </row>
    <row r="27" spans="2:18" x14ac:dyDescent="0.2">
      <c r="B27" s="121">
        <f t="shared" si="4"/>
        <v>17</v>
      </c>
      <c r="C27" s="114" t="s">
        <v>144</v>
      </c>
      <c r="D27" s="122" t="s">
        <v>76</v>
      </c>
      <c r="E27" s="123">
        <v>3</v>
      </c>
      <c r="F27" s="669">
        <v>-5.7000000000000002E-2</v>
      </c>
      <c r="G27" s="565">
        <v>0</v>
      </c>
      <c r="H27" s="566">
        <v>-0.44900000000000001</v>
      </c>
      <c r="I27" s="222">
        <f t="shared" si="6"/>
        <v>0.44900000000000001</v>
      </c>
      <c r="J27" s="227">
        <f t="shared" si="7"/>
        <v>0.39200000000000002</v>
      </c>
      <c r="L27" s="77">
        <f t="shared" si="8"/>
        <v>0</v>
      </c>
      <c r="N27" s="145"/>
      <c r="O27" s="120">
        <f t="shared" si="9"/>
        <v>0</v>
      </c>
      <c r="P27" s="120">
        <f t="shared" si="9"/>
        <v>0</v>
      </c>
      <c r="Q27" s="120">
        <f t="shared" si="9"/>
        <v>0</v>
      </c>
      <c r="R27" s="145"/>
    </row>
    <row r="28" spans="2:18" x14ac:dyDescent="0.2">
      <c r="B28" s="121">
        <f t="shared" si="4"/>
        <v>18</v>
      </c>
      <c r="C28" s="114" t="s">
        <v>145</v>
      </c>
      <c r="D28" s="122" t="s">
        <v>76</v>
      </c>
      <c r="E28" s="123">
        <v>3</v>
      </c>
      <c r="F28" s="669">
        <v>-2.9089999999999998</v>
      </c>
      <c r="G28" s="565">
        <v>0</v>
      </c>
      <c r="H28" s="566">
        <v>0</v>
      </c>
      <c r="I28" s="222">
        <f t="shared" si="6"/>
        <v>0</v>
      </c>
      <c r="J28" s="227">
        <f t="shared" si="7"/>
        <v>-2.9089999999999998</v>
      </c>
      <c r="L28" s="77">
        <f t="shared" si="8"/>
        <v>0</v>
      </c>
      <c r="N28" s="145"/>
      <c r="O28" s="120">
        <f t="shared" si="9"/>
        <v>0</v>
      </c>
      <c r="P28" s="120">
        <f t="shared" si="9"/>
        <v>0</v>
      </c>
      <c r="Q28" s="120">
        <f t="shared" si="9"/>
        <v>0</v>
      </c>
      <c r="R28" s="145"/>
    </row>
    <row r="29" spans="2:18" x14ac:dyDescent="0.2">
      <c r="B29" s="121">
        <f t="shared" si="4"/>
        <v>19</v>
      </c>
      <c r="C29" s="114" t="s">
        <v>146</v>
      </c>
      <c r="D29" s="122" t="s">
        <v>76</v>
      </c>
      <c r="E29" s="123">
        <v>3</v>
      </c>
      <c r="F29" s="273">
        <f xml:space="preserve"> SUM( F23:F28 )</f>
        <v>-374.68700000000001</v>
      </c>
      <c r="G29" s="277">
        <f xml:space="preserve"> SUM( G23:G28 )</f>
        <v>0</v>
      </c>
      <c r="H29" s="276">
        <f xml:space="preserve"> SUM( H23:H28 )</f>
        <v>-0.59699999999999998</v>
      </c>
      <c r="I29" s="222">
        <f t="shared" si="6"/>
        <v>0.59699999999999998</v>
      </c>
      <c r="J29" s="227">
        <f t="shared" si="7"/>
        <v>-374.09000000000003</v>
      </c>
      <c r="L29" s="77"/>
      <c r="M29" s="146"/>
      <c r="N29" s="145"/>
      <c r="O29" s="146"/>
      <c r="P29" s="146"/>
      <c r="Q29" s="146"/>
      <c r="R29" s="145"/>
    </row>
    <row r="30" spans="2:18" ht="15" thickBot="1" x14ac:dyDescent="0.25">
      <c r="B30" s="128">
        <f xml:space="preserve"> B29 + 1</f>
        <v>20</v>
      </c>
      <c r="C30" s="129" t="s">
        <v>147</v>
      </c>
      <c r="D30" s="130" t="s">
        <v>76</v>
      </c>
      <c r="E30" s="127">
        <v>3</v>
      </c>
      <c r="F30" s="535">
        <f xml:space="preserve"> F20 + F29</f>
        <v>-170.94800000000001</v>
      </c>
      <c r="G30" s="536">
        <f xml:space="preserve"> G20 + G29</f>
        <v>0</v>
      </c>
      <c r="H30" s="537">
        <f xml:space="preserve"> H20 + H29</f>
        <v>2.4820000000000002</v>
      </c>
      <c r="I30" s="225">
        <f t="shared" si="6"/>
        <v>-2.4820000000000002</v>
      </c>
      <c r="J30" s="230">
        <f t="shared" si="7"/>
        <v>-173.43</v>
      </c>
      <c r="L30" s="77"/>
      <c r="M30" s="146"/>
      <c r="N30" s="145"/>
      <c r="O30" s="146"/>
      <c r="P30" s="146"/>
      <c r="Q30" s="146"/>
      <c r="R30" s="145"/>
    </row>
    <row r="31" spans="2:18" ht="15" thickBot="1" x14ac:dyDescent="0.25">
      <c r="L31" s="77"/>
      <c r="N31" s="145"/>
      <c r="R31" s="145"/>
    </row>
    <row r="32" spans="2:18" ht="15" thickBot="1" x14ac:dyDescent="0.25">
      <c r="B32" s="110" t="s">
        <v>148</v>
      </c>
      <c r="C32" s="111" t="s">
        <v>149</v>
      </c>
      <c r="L32" s="77"/>
      <c r="N32" s="145"/>
      <c r="R32" s="145"/>
    </row>
    <row r="33" spans="2:18" x14ac:dyDescent="0.2">
      <c r="B33" s="113">
        <f xml:space="preserve"> B30 + 1</f>
        <v>21</v>
      </c>
      <c r="C33" s="143" t="s">
        <v>141</v>
      </c>
      <c r="D33" s="115" t="s">
        <v>76</v>
      </c>
      <c r="E33" s="244">
        <v>3</v>
      </c>
      <c r="F33" s="582">
        <v>-16.515000000000001</v>
      </c>
      <c r="G33" s="567">
        <v>0</v>
      </c>
      <c r="H33" s="579">
        <v>0</v>
      </c>
      <c r="I33" s="219">
        <f t="shared" ref="I33:I42" si="10" xml:space="preserve"> G33 - H33</f>
        <v>0</v>
      </c>
      <c r="J33" s="229">
        <f t="shared" ref="J33:J42" si="11" xml:space="preserve"> F33 + I33</f>
        <v>-16.515000000000001</v>
      </c>
      <c r="L33" s="77">
        <f t="shared" ref="L33:L40" si="12" xml:space="preserve"> IF( SUM( N33:R33 ) = 0, 0, $O$6 )</f>
        <v>0</v>
      </c>
      <c r="N33" s="148"/>
      <c r="O33" s="120">
        <f t="shared" si="9"/>
        <v>0</v>
      </c>
      <c r="P33" s="120">
        <f t="shared" si="9"/>
        <v>0</v>
      </c>
      <c r="Q33" s="120">
        <f t="shared" si="9"/>
        <v>0</v>
      </c>
      <c r="R33" s="148"/>
    </row>
    <row r="34" spans="2:18" x14ac:dyDescent="0.2">
      <c r="B34" s="199">
        <f t="shared" si="4"/>
        <v>22</v>
      </c>
      <c r="C34" s="200" t="s">
        <v>143</v>
      </c>
      <c r="D34" s="194" t="s">
        <v>76</v>
      </c>
      <c r="E34" s="538">
        <v>3</v>
      </c>
      <c r="F34" s="674">
        <v>-4502.3230000000003</v>
      </c>
      <c r="G34" s="675">
        <v>0</v>
      </c>
      <c r="H34" s="676">
        <v>0</v>
      </c>
      <c r="I34" s="539">
        <f t="shared" si="10"/>
        <v>0</v>
      </c>
      <c r="J34" s="540">
        <f t="shared" si="11"/>
        <v>-4502.3230000000003</v>
      </c>
      <c r="L34" s="77">
        <f t="shared" si="12"/>
        <v>0</v>
      </c>
      <c r="N34" s="148"/>
      <c r="O34" s="120">
        <f t="shared" si="9"/>
        <v>0</v>
      </c>
      <c r="P34" s="120">
        <f t="shared" si="9"/>
        <v>0</v>
      </c>
      <c r="Q34" s="120">
        <f t="shared" si="9"/>
        <v>0</v>
      </c>
      <c r="R34" s="148"/>
    </row>
    <row r="35" spans="2:18" x14ac:dyDescent="0.2">
      <c r="B35" s="199">
        <f t="shared" si="4"/>
        <v>23</v>
      </c>
      <c r="C35" s="200" t="s">
        <v>130</v>
      </c>
      <c r="D35" s="194" t="s">
        <v>76</v>
      </c>
      <c r="E35" s="538">
        <v>3</v>
      </c>
      <c r="F35" s="674">
        <v>-1619.8409999999999</v>
      </c>
      <c r="G35" s="675">
        <v>0</v>
      </c>
      <c r="H35" s="676">
        <v>0</v>
      </c>
      <c r="I35" s="539">
        <f t="shared" si="10"/>
        <v>0</v>
      </c>
      <c r="J35" s="540">
        <f t="shared" si="11"/>
        <v>-1619.8409999999999</v>
      </c>
      <c r="L35" s="77">
        <f t="shared" si="12"/>
        <v>0</v>
      </c>
      <c r="N35" s="148"/>
      <c r="O35" s="120">
        <f t="shared" si="9"/>
        <v>0</v>
      </c>
      <c r="P35" s="120">
        <f t="shared" si="9"/>
        <v>0</v>
      </c>
      <c r="Q35" s="120">
        <f t="shared" si="9"/>
        <v>0</v>
      </c>
      <c r="R35" s="148"/>
    </row>
    <row r="36" spans="2:18" x14ac:dyDescent="0.2">
      <c r="B36" s="199">
        <f t="shared" si="4"/>
        <v>24</v>
      </c>
      <c r="C36" s="200" t="s">
        <v>150</v>
      </c>
      <c r="D36" s="194" t="s">
        <v>76</v>
      </c>
      <c r="E36" s="538">
        <v>3</v>
      </c>
      <c r="F36" s="674">
        <v>0</v>
      </c>
      <c r="G36" s="675">
        <v>0</v>
      </c>
      <c r="H36" s="676">
        <v>0</v>
      </c>
      <c r="I36" s="539">
        <f t="shared" si="10"/>
        <v>0</v>
      </c>
      <c r="J36" s="540">
        <f t="shared" si="11"/>
        <v>0</v>
      </c>
      <c r="L36" s="77">
        <f t="shared" si="12"/>
        <v>0</v>
      </c>
      <c r="N36" s="148"/>
      <c r="O36" s="120">
        <f t="shared" si="9"/>
        <v>0</v>
      </c>
      <c r="P36" s="120">
        <f t="shared" si="9"/>
        <v>0</v>
      </c>
      <c r="Q36" s="120">
        <f t="shared" si="9"/>
        <v>0</v>
      </c>
      <c r="R36" s="148"/>
    </row>
    <row r="37" spans="2:18" x14ac:dyDescent="0.2">
      <c r="B37" s="199">
        <f t="shared" si="4"/>
        <v>25</v>
      </c>
      <c r="C37" s="200" t="s">
        <v>145</v>
      </c>
      <c r="D37" s="194" t="s">
        <v>76</v>
      </c>
      <c r="E37" s="538">
        <v>3</v>
      </c>
      <c r="F37" s="674">
        <v>-0.68</v>
      </c>
      <c r="G37" s="675">
        <v>0</v>
      </c>
      <c r="H37" s="676">
        <v>0</v>
      </c>
      <c r="I37" s="539">
        <f t="shared" si="10"/>
        <v>0</v>
      </c>
      <c r="J37" s="540">
        <f t="shared" si="11"/>
        <v>-0.68</v>
      </c>
      <c r="L37" s="77">
        <f t="shared" si="12"/>
        <v>0</v>
      </c>
      <c r="N37" s="148"/>
      <c r="O37" s="120">
        <f t="shared" si="9"/>
        <v>0</v>
      </c>
      <c r="P37" s="120">
        <f t="shared" si="9"/>
        <v>0</v>
      </c>
      <c r="Q37" s="120">
        <f t="shared" si="9"/>
        <v>0</v>
      </c>
      <c r="R37" s="148"/>
    </row>
    <row r="38" spans="2:18" x14ac:dyDescent="0.2">
      <c r="B38" s="199">
        <f xml:space="preserve"> B37 + 1</f>
        <v>26</v>
      </c>
      <c r="C38" s="200" t="s">
        <v>151</v>
      </c>
      <c r="D38" s="194" t="s">
        <v>76</v>
      </c>
      <c r="E38" s="538">
        <v>3</v>
      </c>
      <c r="F38" s="674">
        <v>-402.49700000000001</v>
      </c>
      <c r="G38" s="675">
        <v>0</v>
      </c>
      <c r="H38" s="676">
        <v>-2.4750000000000001</v>
      </c>
      <c r="I38" s="539">
        <f t="shared" si="10"/>
        <v>2.4750000000000001</v>
      </c>
      <c r="J38" s="540">
        <f t="shared" si="11"/>
        <v>-400.02199999999999</v>
      </c>
      <c r="L38" s="77">
        <f t="shared" si="12"/>
        <v>0</v>
      </c>
      <c r="N38" s="148"/>
      <c r="O38" s="120">
        <f t="shared" si="9"/>
        <v>0</v>
      </c>
      <c r="P38" s="120">
        <f t="shared" si="9"/>
        <v>0</v>
      </c>
      <c r="Q38" s="120">
        <f t="shared" si="9"/>
        <v>0</v>
      </c>
      <c r="R38" s="148"/>
    </row>
    <row r="39" spans="2:18" x14ac:dyDescent="0.2">
      <c r="B39" s="199">
        <f xml:space="preserve"> B38 + 1</f>
        <v>27</v>
      </c>
      <c r="C39" s="200" t="s">
        <v>152</v>
      </c>
      <c r="D39" s="194" t="s">
        <v>76</v>
      </c>
      <c r="E39" s="538">
        <v>3</v>
      </c>
      <c r="F39" s="674">
        <v>0</v>
      </c>
      <c r="G39" s="675">
        <v>0</v>
      </c>
      <c r="H39" s="676">
        <v>0</v>
      </c>
      <c r="I39" s="539">
        <f t="shared" si="10"/>
        <v>0</v>
      </c>
      <c r="J39" s="540">
        <f t="shared" si="11"/>
        <v>0</v>
      </c>
      <c r="L39" s="77">
        <f t="shared" si="12"/>
        <v>0</v>
      </c>
      <c r="N39" s="148"/>
      <c r="O39" s="120">
        <f t="shared" si="9"/>
        <v>0</v>
      </c>
      <c r="P39" s="120">
        <f t="shared" si="9"/>
        <v>0</v>
      </c>
      <c r="Q39" s="120">
        <f t="shared" si="9"/>
        <v>0</v>
      </c>
      <c r="R39" s="148"/>
    </row>
    <row r="40" spans="2:18" x14ac:dyDescent="0.2">
      <c r="B40" s="199">
        <f xml:space="preserve"> B39 + 1</f>
        <v>28</v>
      </c>
      <c r="C40" s="200" t="s">
        <v>88</v>
      </c>
      <c r="D40" s="194" t="s">
        <v>76</v>
      </c>
      <c r="E40" s="538">
        <v>3</v>
      </c>
      <c r="F40" s="674">
        <v>-399.21100000000001</v>
      </c>
      <c r="G40" s="675">
        <v>18.564</v>
      </c>
      <c r="H40" s="676">
        <v>0</v>
      </c>
      <c r="I40" s="539">
        <f t="shared" si="10"/>
        <v>18.564</v>
      </c>
      <c r="J40" s="540">
        <f t="shared" si="11"/>
        <v>-380.64699999999999</v>
      </c>
      <c r="L40" s="77">
        <f t="shared" si="12"/>
        <v>0</v>
      </c>
      <c r="N40" s="148"/>
      <c r="O40" s="120">
        <f t="shared" si="9"/>
        <v>0</v>
      </c>
      <c r="P40" s="120">
        <f t="shared" si="9"/>
        <v>0</v>
      </c>
      <c r="Q40" s="120">
        <f t="shared" si="9"/>
        <v>0</v>
      </c>
      <c r="R40" s="148"/>
    </row>
    <row r="41" spans="2:18" x14ac:dyDescent="0.2">
      <c r="B41" s="121">
        <f xml:space="preserve"> B40 + 1</f>
        <v>29</v>
      </c>
      <c r="C41" s="114" t="s">
        <v>153</v>
      </c>
      <c r="D41" s="122" t="s">
        <v>76</v>
      </c>
      <c r="E41" s="246">
        <v>3</v>
      </c>
      <c r="F41" s="273">
        <f xml:space="preserve"> SUM( F33:F40 )</f>
        <v>-6941.0670000000009</v>
      </c>
      <c r="G41" s="277">
        <f xml:space="preserve"> SUM( G33:G40 )</f>
        <v>18.564</v>
      </c>
      <c r="H41" s="276">
        <f xml:space="preserve"> SUM( H33:H40 )</f>
        <v>-2.4750000000000001</v>
      </c>
      <c r="I41" s="222">
        <f t="shared" si="10"/>
        <v>21.039000000000001</v>
      </c>
      <c r="J41" s="273">
        <f t="shared" si="11"/>
        <v>-6920.0280000000012</v>
      </c>
      <c r="L41" s="77"/>
      <c r="M41" s="146"/>
      <c r="N41" s="148"/>
      <c r="O41" s="146"/>
      <c r="P41" s="146"/>
      <c r="Q41" s="146"/>
      <c r="R41" s="148"/>
    </row>
    <row r="42" spans="2:18" ht="15" thickBot="1" x14ac:dyDescent="0.25">
      <c r="B42" s="128">
        <f xml:space="preserve"> B41 + 1</f>
        <v>30</v>
      </c>
      <c r="C42" s="129" t="s">
        <v>154</v>
      </c>
      <c r="D42" s="130" t="s">
        <v>76</v>
      </c>
      <c r="E42" s="257">
        <v>3</v>
      </c>
      <c r="F42" s="541">
        <f xml:space="preserve"> F13 + F30 + F41</f>
        <v>1147.9209999999985</v>
      </c>
      <c r="G42" s="536">
        <f xml:space="preserve"> G13 + G30 + G41</f>
        <v>-78.539999999999992</v>
      </c>
      <c r="H42" s="537">
        <f xml:space="preserve"> H13 + H30 + H41</f>
        <v>3.0159999999999996</v>
      </c>
      <c r="I42" s="225">
        <f t="shared" si="10"/>
        <v>-81.555999999999997</v>
      </c>
      <c r="J42" s="230">
        <f t="shared" si="11"/>
        <v>1066.3649999999984</v>
      </c>
      <c r="L42" s="77"/>
      <c r="M42" s="146"/>
      <c r="O42" s="146"/>
      <c r="P42" s="146"/>
      <c r="Q42" s="146"/>
    </row>
    <row r="43" spans="2:18" ht="15" thickBot="1" x14ac:dyDescent="0.25">
      <c r="L43" s="77"/>
    </row>
    <row r="44" spans="2:18" ht="15" thickBot="1" x14ac:dyDescent="0.25">
      <c r="B44" s="110" t="s">
        <v>155</v>
      </c>
      <c r="C44" s="111" t="s">
        <v>156</v>
      </c>
      <c r="L44" s="77"/>
    </row>
    <row r="45" spans="2:18" x14ac:dyDescent="0.2">
      <c r="B45" s="113">
        <f xml:space="preserve"> B42 + 1</f>
        <v>31</v>
      </c>
      <c r="C45" s="143" t="s">
        <v>157</v>
      </c>
      <c r="D45" s="115" t="s">
        <v>76</v>
      </c>
      <c r="E45" s="244">
        <v>3</v>
      </c>
      <c r="F45" s="582">
        <v>10</v>
      </c>
      <c r="G45" s="567">
        <v>0</v>
      </c>
      <c r="H45" s="579">
        <v>0</v>
      </c>
      <c r="I45" s="219">
        <f xml:space="preserve"> G45 - H45</f>
        <v>0</v>
      </c>
      <c r="J45" s="229">
        <f xml:space="preserve"> F45 + I45</f>
        <v>10</v>
      </c>
      <c r="L45" s="77">
        <f xml:space="preserve"> IF( SUM( N45:R45 ) = 0, 0, $O$6 )</f>
        <v>0</v>
      </c>
      <c r="O45" s="120">
        <f t="shared" si="9"/>
        <v>0</v>
      </c>
      <c r="P45" s="120">
        <f t="shared" si="9"/>
        <v>0</v>
      </c>
      <c r="Q45" s="120">
        <f t="shared" si="9"/>
        <v>0</v>
      </c>
    </row>
    <row r="46" spans="2:18" x14ac:dyDescent="0.2">
      <c r="B46" s="199">
        <f xml:space="preserve"> B45 + 1</f>
        <v>32</v>
      </c>
      <c r="C46" s="200" t="s">
        <v>158</v>
      </c>
      <c r="D46" s="194" t="s">
        <v>76</v>
      </c>
      <c r="E46" s="538">
        <v>3</v>
      </c>
      <c r="F46" s="674">
        <v>1137.921</v>
      </c>
      <c r="G46" s="675">
        <v>-78.540000000000006</v>
      </c>
      <c r="H46" s="676">
        <v>3.016</v>
      </c>
      <c r="I46" s="539">
        <f xml:space="preserve"> G46 - H46</f>
        <v>-81.556000000000012</v>
      </c>
      <c r="J46" s="540">
        <f xml:space="preserve"> F46 + I46</f>
        <v>1056.365</v>
      </c>
      <c r="L46" s="77">
        <f xml:space="preserve"> IF( SUM( N46:R46 ) = 0, 0, $O$6 )</f>
        <v>0</v>
      </c>
      <c r="O46" s="120">
        <f t="shared" si="9"/>
        <v>0</v>
      </c>
      <c r="P46" s="120">
        <f t="shared" si="9"/>
        <v>0</v>
      </c>
      <c r="Q46" s="120">
        <f t="shared" si="9"/>
        <v>0</v>
      </c>
    </row>
    <row r="47" spans="2:18" ht="15" thickBot="1" x14ac:dyDescent="0.25">
      <c r="B47" s="203">
        <f xml:space="preserve"> B46 + 1</f>
        <v>33</v>
      </c>
      <c r="C47" s="531" t="s">
        <v>159</v>
      </c>
      <c r="D47" s="204" t="s">
        <v>76</v>
      </c>
      <c r="E47" s="532">
        <v>3</v>
      </c>
      <c r="F47" s="541">
        <f xml:space="preserve"> F45 + F46</f>
        <v>1147.921</v>
      </c>
      <c r="G47" s="536">
        <f xml:space="preserve"> G45 + G46</f>
        <v>-78.540000000000006</v>
      </c>
      <c r="H47" s="537">
        <f xml:space="preserve"> H45 + H46</f>
        <v>3.016</v>
      </c>
      <c r="I47" s="287">
        <f xml:space="preserve"> G47 - H47</f>
        <v>-81.556000000000012</v>
      </c>
      <c r="J47" s="541">
        <f xml:space="preserve"> F47 + I47</f>
        <v>1066.365</v>
      </c>
      <c r="L47" s="77"/>
    </row>
    <row r="48" spans="2:18" s="137" customFormat="1" x14ac:dyDescent="0.2">
      <c r="C48" s="174"/>
      <c r="G48" s="187"/>
      <c r="I48" s="144"/>
      <c r="J48" s="144"/>
      <c r="K48" s="144"/>
      <c r="L48" s="146"/>
      <c r="M48" s="144"/>
      <c r="N48" s="96"/>
      <c r="O48" s="146"/>
      <c r="P48" s="144"/>
      <c r="Q48" s="332"/>
      <c r="R48" s="96"/>
    </row>
    <row r="49" spans="1:18" s="187" customFormat="1" x14ac:dyDescent="0.2">
      <c r="B49" s="703" t="s">
        <v>90</v>
      </c>
      <c r="C49" s="703"/>
      <c r="I49" s="150"/>
      <c r="J49" s="150"/>
      <c r="K49" s="150"/>
      <c r="L49" s="150"/>
      <c r="M49" s="150"/>
      <c r="N49" s="96"/>
      <c r="O49" s="150"/>
      <c r="P49" s="150"/>
      <c r="Q49" s="232"/>
      <c r="R49" s="96"/>
    </row>
    <row r="50" spans="1:18" s="187" customFormat="1" x14ac:dyDescent="0.2">
      <c r="B50" s="162"/>
      <c r="C50" s="163"/>
      <c r="I50" s="150"/>
      <c r="J50" s="150"/>
      <c r="K50" s="150"/>
      <c r="L50" s="150"/>
      <c r="M50" s="150"/>
      <c r="N50" s="96"/>
      <c r="O50" s="150"/>
      <c r="P50" s="150"/>
      <c r="Q50" s="232"/>
      <c r="R50" s="96"/>
    </row>
    <row r="51" spans="1:18" s="187" customFormat="1" x14ac:dyDescent="0.2">
      <c r="B51" s="30"/>
      <c r="C51" s="164" t="s">
        <v>91</v>
      </c>
      <c r="I51" s="150"/>
      <c r="J51" s="150"/>
      <c r="K51" s="150"/>
      <c r="L51" s="150"/>
      <c r="M51" s="150"/>
      <c r="N51" s="96"/>
      <c r="O51" s="150"/>
      <c r="P51" s="150"/>
      <c r="Q51" s="232"/>
      <c r="R51" s="96"/>
    </row>
    <row r="52" spans="1:18" s="187" customFormat="1" x14ac:dyDescent="0.2">
      <c r="B52" s="162"/>
      <c r="C52" s="163"/>
      <c r="I52" s="150"/>
      <c r="J52" s="150"/>
      <c r="K52" s="150"/>
      <c r="L52" s="150"/>
      <c r="M52" s="150"/>
      <c r="N52" s="96"/>
      <c r="O52" s="150"/>
      <c r="P52" s="150"/>
      <c r="Q52" s="232"/>
      <c r="R52" s="96"/>
    </row>
    <row r="53" spans="1:18" s="187" customFormat="1" x14ac:dyDescent="0.2">
      <c r="B53" s="165"/>
      <c r="C53" s="164" t="s">
        <v>92</v>
      </c>
      <c r="I53" s="150"/>
      <c r="J53" s="150"/>
      <c r="K53" s="150"/>
      <c r="L53" s="150"/>
      <c r="M53" s="150"/>
      <c r="N53" s="96"/>
      <c r="O53" s="150"/>
      <c r="P53" s="150"/>
      <c r="Q53" s="232"/>
      <c r="R53" s="96"/>
    </row>
    <row r="54" spans="1:18" s="187" customFormat="1" x14ac:dyDescent="0.2">
      <c r="B54" s="166"/>
      <c r="C54" s="164"/>
      <c r="I54" s="150"/>
      <c r="J54" s="150"/>
      <c r="K54" s="150"/>
      <c r="L54" s="150"/>
      <c r="M54" s="150"/>
      <c r="N54" s="96"/>
      <c r="O54" s="150"/>
      <c r="P54" s="150"/>
      <c r="Q54" s="232"/>
      <c r="R54" s="96"/>
    </row>
    <row r="55" spans="1:18" s="187" customFormat="1" x14ac:dyDescent="0.2">
      <c r="B55" s="167"/>
      <c r="C55" s="164" t="s">
        <v>93</v>
      </c>
      <c r="I55" s="150"/>
      <c r="J55" s="150"/>
      <c r="K55" s="150"/>
      <c r="L55" s="150"/>
      <c r="M55" s="150"/>
      <c r="N55" s="96"/>
      <c r="O55" s="150"/>
      <c r="P55" s="150"/>
      <c r="Q55" s="232"/>
      <c r="R55" s="96"/>
    </row>
    <row r="56" spans="1:18" s="206" customFormat="1" x14ac:dyDescent="0.2">
      <c r="A56" s="172"/>
      <c r="B56" s="172"/>
      <c r="C56" s="173"/>
      <c r="I56" s="153"/>
      <c r="J56" s="153"/>
      <c r="K56" s="153"/>
      <c r="L56" s="150"/>
      <c r="M56" s="150"/>
      <c r="N56" s="96"/>
      <c r="O56" s="150"/>
      <c r="P56" s="150"/>
      <c r="Q56" s="376"/>
      <c r="R56" s="96"/>
    </row>
    <row r="57" spans="1:18" s="206" customFormat="1" ht="15" thickBot="1" x14ac:dyDescent="0.25">
      <c r="C57" s="207"/>
      <c r="I57" s="153"/>
      <c r="J57" s="153"/>
      <c r="K57" s="153"/>
      <c r="L57" s="150"/>
      <c r="M57" s="150"/>
      <c r="N57" s="96"/>
      <c r="O57" s="150"/>
      <c r="P57" s="150"/>
      <c r="Q57" s="376"/>
      <c r="R57" s="96"/>
    </row>
    <row r="58" spans="1:18" s="137" customFormat="1" ht="26.45" customHeight="1" thickBot="1" x14ac:dyDescent="0.25">
      <c r="B58" s="168" t="str">
        <f ca="1" xml:space="preserve"> RIGHT(CELL("filename", $A$1), LEN(CELL("filename", $A$1)) - SEARCH("]", CELL("filename", $A$1)))&amp;" - Line definitions"</f>
        <v>1C - Line definitions</v>
      </c>
      <c r="C58" s="169"/>
      <c r="D58" s="170"/>
      <c r="E58" s="170"/>
      <c r="F58" s="170"/>
      <c r="G58" s="170"/>
      <c r="H58" s="170"/>
      <c r="I58" s="170"/>
      <c r="J58" s="176"/>
      <c r="K58" s="144"/>
      <c r="L58" s="146"/>
      <c r="M58" s="144"/>
      <c r="N58" s="96"/>
      <c r="O58" s="146"/>
      <c r="P58" s="144"/>
      <c r="Q58" s="332"/>
      <c r="R58" s="96"/>
    </row>
    <row r="59" spans="1:18" s="137" customFormat="1" ht="26.45" customHeight="1" thickBot="1" x14ac:dyDescent="0.25">
      <c r="B59" s="99"/>
      <c r="C59" s="177"/>
      <c r="D59" s="99"/>
      <c r="E59" s="99"/>
      <c r="F59" s="99"/>
      <c r="I59" s="144"/>
      <c r="J59" s="144"/>
      <c r="K59" s="144"/>
      <c r="L59" s="146"/>
      <c r="M59" s="144"/>
      <c r="N59" s="96"/>
      <c r="O59" s="146"/>
      <c r="P59" s="144"/>
      <c r="Q59" s="332"/>
      <c r="R59" s="96"/>
    </row>
    <row r="60" spans="1:18" s="206" customFormat="1" ht="15" thickBot="1" x14ac:dyDescent="0.25">
      <c r="B60" s="339" t="s">
        <v>94</v>
      </c>
      <c r="C60" s="340" t="s">
        <v>95</v>
      </c>
      <c r="D60" s="180"/>
      <c r="E60" s="180"/>
      <c r="F60" s="180"/>
      <c r="G60" s="180"/>
      <c r="H60" s="180"/>
      <c r="I60" s="180"/>
      <c r="J60" s="181"/>
      <c r="K60" s="433"/>
      <c r="L60" s="153"/>
      <c r="M60" s="144"/>
      <c r="N60" s="96"/>
      <c r="O60" s="112" t="s">
        <v>96</v>
      </c>
      <c r="P60" s="144"/>
      <c r="R60" s="96"/>
    </row>
    <row r="61" spans="1:18" s="137" customFormat="1" ht="25.5" x14ac:dyDescent="0.2">
      <c r="B61" s="342">
        <f t="shared" ref="B61:B67" si="13">B7</f>
        <v>1</v>
      </c>
      <c r="C61" s="704" t="s">
        <v>160</v>
      </c>
      <c r="D61" s="704"/>
      <c r="E61" s="704"/>
      <c r="F61" s="704"/>
      <c r="G61" s="704"/>
      <c r="H61" s="704"/>
      <c r="I61" s="704"/>
      <c r="J61" s="705"/>
      <c r="K61" s="436"/>
      <c r="L61" s="146"/>
      <c r="M61" s="144"/>
      <c r="N61" s="96"/>
      <c r="O61" s="186" t="s">
        <v>101</v>
      </c>
      <c r="P61" s="144"/>
      <c r="Q61" s="332"/>
      <c r="R61" s="96"/>
    </row>
    <row r="62" spans="1:18" s="137" customFormat="1" x14ac:dyDescent="0.2">
      <c r="B62" s="343">
        <f t="shared" si="13"/>
        <v>2</v>
      </c>
      <c r="C62" s="695" t="s">
        <v>161</v>
      </c>
      <c r="D62" s="695"/>
      <c r="E62" s="695"/>
      <c r="F62" s="695"/>
      <c r="G62" s="695"/>
      <c r="H62" s="695"/>
      <c r="I62" s="695"/>
      <c r="J62" s="696"/>
      <c r="K62" s="436"/>
      <c r="N62" s="96"/>
      <c r="O62" s="292">
        <v>1</v>
      </c>
      <c r="R62" s="96"/>
    </row>
    <row r="63" spans="1:18" s="137" customFormat="1" x14ac:dyDescent="0.2">
      <c r="B63" s="343">
        <f t="shared" si="13"/>
        <v>3</v>
      </c>
      <c r="C63" s="695" t="s">
        <v>162</v>
      </c>
      <c r="D63" s="695"/>
      <c r="E63" s="695"/>
      <c r="F63" s="695"/>
      <c r="G63" s="695"/>
      <c r="H63" s="695"/>
      <c r="I63" s="695"/>
      <c r="J63" s="696"/>
      <c r="K63" s="436"/>
      <c r="N63" s="96"/>
      <c r="O63" s="292">
        <v>1</v>
      </c>
      <c r="R63" s="96"/>
    </row>
    <row r="64" spans="1:18" s="146" customFormat="1" x14ac:dyDescent="0.2">
      <c r="B64" s="343">
        <f t="shared" si="13"/>
        <v>4</v>
      </c>
      <c r="C64" s="695" t="s">
        <v>163</v>
      </c>
      <c r="D64" s="695"/>
      <c r="E64" s="695"/>
      <c r="F64" s="695"/>
      <c r="G64" s="695"/>
      <c r="H64" s="695"/>
      <c r="I64" s="695"/>
      <c r="J64" s="696"/>
      <c r="K64" s="436"/>
      <c r="N64" s="96"/>
      <c r="O64" s="292">
        <v>1</v>
      </c>
      <c r="R64" s="96"/>
    </row>
    <row r="65" spans="2:18" s="146" customFormat="1" ht="25.5" x14ac:dyDescent="0.2">
      <c r="B65" s="343">
        <f t="shared" si="13"/>
        <v>5</v>
      </c>
      <c r="C65" s="695" t="s">
        <v>164</v>
      </c>
      <c r="D65" s="695"/>
      <c r="E65" s="695"/>
      <c r="F65" s="695"/>
      <c r="G65" s="695"/>
      <c r="H65" s="695"/>
      <c r="I65" s="695"/>
      <c r="J65" s="696"/>
      <c r="K65" s="436"/>
      <c r="N65" s="96"/>
      <c r="O65" s="501" t="s">
        <v>101</v>
      </c>
      <c r="R65" s="96"/>
    </row>
    <row r="66" spans="2:18" s="146" customFormat="1" x14ac:dyDescent="0.2">
      <c r="B66" s="343">
        <f t="shared" si="13"/>
        <v>6</v>
      </c>
      <c r="C66" s="695" t="s">
        <v>165</v>
      </c>
      <c r="D66" s="695"/>
      <c r="E66" s="695"/>
      <c r="F66" s="695"/>
      <c r="G66" s="695"/>
      <c r="H66" s="695"/>
      <c r="I66" s="695"/>
      <c r="J66" s="696"/>
      <c r="K66" s="436"/>
      <c r="N66" s="96"/>
      <c r="O66" s="292">
        <v>1</v>
      </c>
      <c r="R66" s="96"/>
    </row>
    <row r="67" spans="2:18" x14ac:dyDescent="0.2">
      <c r="B67" s="343">
        <f t="shared" si="13"/>
        <v>7</v>
      </c>
      <c r="C67" s="695" t="s">
        <v>166</v>
      </c>
      <c r="D67" s="695"/>
      <c r="E67" s="695"/>
      <c r="F67" s="695"/>
      <c r="G67" s="695"/>
      <c r="H67" s="695"/>
      <c r="I67" s="695"/>
      <c r="J67" s="696"/>
      <c r="K67" s="436"/>
      <c r="O67" s="183">
        <v>1</v>
      </c>
    </row>
    <row r="68" spans="2:18" x14ac:dyDescent="0.2">
      <c r="B68" s="343">
        <f>B16</f>
        <v>8</v>
      </c>
      <c r="C68" s="695" t="s">
        <v>167</v>
      </c>
      <c r="D68" s="695"/>
      <c r="E68" s="695"/>
      <c r="F68" s="695"/>
      <c r="G68" s="695"/>
      <c r="H68" s="695"/>
      <c r="I68" s="695"/>
      <c r="J68" s="696"/>
      <c r="K68" s="436"/>
      <c r="O68" s="183">
        <v>1</v>
      </c>
    </row>
    <row r="69" spans="2:18" ht="25.5" x14ac:dyDescent="0.2">
      <c r="B69" s="343">
        <f>B17</f>
        <v>9</v>
      </c>
      <c r="C69" s="695" t="s">
        <v>168</v>
      </c>
      <c r="D69" s="695"/>
      <c r="E69" s="695"/>
      <c r="F69" s="695"/>
      <c r="G69" s="695"/>
      <c r="H69" s="695"/>
      <c r="I69" s="695"/>
      <c r="J69" s="696"/>
      <c r="K69" s="436"/>
      <c r="O69" s="501" t="s">
        <v>101</v>
      </c>
    </row>
    <row r="70" spans="2:18" ht="25.5" x14ac:dyDescent="0.2">
      <c r="B70" s="343">
        <f>B18</f>
        <v>10</v>
      </c>
      <c r="C70" s="695" t="s">
        <v>169</v>
      </c>
      <c r="D70" s="695"/>
      <c r="E70" s="695"/>
      <c r="F70" s="695"/>
      <c r="G70" s="695"/>
      <c r="H70" s="695"/>
      <c r="I70" s="695"/>
      <c r="J70" s="696"/>
      <c r="K70" s="436"/>
      <c r="O70" s="501" t="s">
        <v>101</v>
      </c>
    </row>
    <row r="71" spans="2:18" ht="25.5" x14ac:dyDescent="0.2">
      <c r="B71" s="343">
        <f>B19</f>
        <v>11</v>
      </c>
      <c r="C71" s="695" t="s">
        <v>170</v>
      </c>
      <c r="D71" s="695"/>
      <c r="E71" s="695"/>
      <c r="F71" s="695"/>
      <c r="G71" s="695"/>
      <c r="H71" s="695"/>
      <c r="I71" s="695"/>
      <c r="J71" s="696"/>
      <c r="K71" s="436"/>
      <c r="O71" s="186" t="s">
        <v>101</v>
      </c>
    </row>
    <row r="72" spans="2:18" x14ac:dyDescent="0.2">
      <c r="B72" s="343">
        <f>B20</f>
        <v>12</v>
      </c>
      <c r="C72" s="695" t="s">
        <v>171</v>
      </c>
      <c r="D72" s="695"/>
      <c r="E72" s="695"/>
      <c r="F72" s="695"/>
      <c r="G72" s="695"/>
      <c r="H72" s="695"/>
      <c r="I72" s="695"/>
      <c r="J72" s="696"/>
      <c r="K72" s="436"/>
      <c r="O72" s="183">
        <v>1</v>
      </c>
    </row>
    <row r="73" spans="2:18" ht="25.5" x14ac:dyDescent="0.2">
      <c r="B73" s="343">
        <f t="shared" ref="B73:B80" si="14">B23</f>
        <v>13</v>
      </c>
      <c r="C73" s="695" t="s">
        <v>172</v>
      </c>
      <c r="D73" s="695"/>
      <c r="E73" s="695"/>
      <c r="F73" s="695"/>
      <c r="G73" s="695"/>
      <c r="H73" s="695"/>
      <c r="I73" s="695"/>
      <c r="J73" s="696"/>
      <c r="K73" s="436"/>
      <c r="O73" s="501" t="s">
        <v>101</v>
      </c>
    </row>
    <row r="74" spans="2:18" x14ac:dyDescent="0.2">
      <c r="B74" s="343">
        <f t="shared" si="14"/>
        <v>14</v>
      </c>
      <c r="C74" s="695" t="s">
        <v>173</v>
      </c>
      <c r="D74" s="695"/>
      <c r="E74" s="695"/>
      <c r="F74" s="695"/>
      <c r="G74" s="695"/>
      <c r="H74" s="695"/>
      <c r="I74" s="695"/>
      <c r="J74" s="696"/>
      <c r="K74" s="436"/>
      <c r="O74" s="183">
        <v>1</v>
      </c>
    </row>
    <row r="75" spans="2:18" ht="127.5" x14ac:dyDescent="0.2">
      <c r="B75" s="343">
        <f t="shared" si="14"/>
        <v>15</v>
      </c>
      <c r="C75" s="695" t="s">
        <v>174</v>
      </c>
      <c r="D75" s="695"/>
      <c r="E75" s="695"/>
      <c r="F75" s="695"/>
      <c r="G75" s="695"/>
      <c r="H75" s="695"/>
      <c r="I75" s="695"/>
      <c r="J75" s="696"/>
      <c r="K75" s="436"/>
      <c r="O75" s="186" t="s">
        <v>175</v>
      </c>
    </row>
    <row r="76" spans="2:18" ht="25.5" x14ac:dyDescent="0.2">
      <c r="B76" s="343">
        <f t="shared" si="14"/>
        <v>16</v>
      </c>
      <c r="C76" s="695" t="s">
        <v>176</v>
      </c>
      <c r="D76" s="695"/>
      <c r="E76" s="695"/>
      <c r="F76" s="695"/>
      <c r="G76" s="695"/>
      <c r="H76" s="695"/>
      <c r="I76" s="695"/>
      <c r="J76" s="696"/>
      <c r="K76" s="436"/>
      <c r="O76" s="186" t="s">
        <v>101</v>
      </c>
    </row>
    <row r="77" spans="2:18" x14ac:dyDescent="0.2">
      <c r="B77" s="343">
        <f t="shared" si="14"/>
        <v>17</v>
      </c>
      <c r="C77" s="695" t="s">
        <v>177</v>
      </c>
      <c r="D77" s="695"/>
      <c r="E77" s="695"/>
      <c r="F77" s="695"/>
      <c r="G77" s="695"/>
      <c r="H77" s="695"/>
      <c r="I77" s="695"/>
      <c r="J77" s="696"/>
      <c r="K77" s="436"/>
      <c r="O77" s="183">
        <v>1</v>
      </c>
    </row>
    <row r="78" spans="2:18" ht="25.5" x14ac:dyDescent="0.2">
      <c r="B78" s="343">
        <f t="shared" si="14"/>
        <v>18</v>
      </c>
      <c r="C78" s="695" t="s">
        <v>178</v>
      </c>
      <c r="D78" s="695"/>
      <c r="E78" s="695"/>
      <c r="F78" s="695"/>
      <c r="G78" s="695"/>
      <c r="H78" s="695"/>
      <c r="I78" s="695"/>
      <c r="J78" s="696"/>
      <c r="K78" s="436"/>
      <c r="O78" s="186" t="s">
        <v>101</v>
      </c>
    </row>
    <row r="79" spans="2:18" x14ac:dyDescent="0.2">
      <c r="B79" s="343">
        <f t="shared" si="14"/>
        <v>19</v>
      </c>
      <c r="C79" s="695" t="s">
        <v>179</v>
      </c>
      <c r="D79" s="695"/>
      <c r="E79" s="695"/>
      <c r="F79" s="695"/>
      <c r="G79" s="695"/>
      <c r="H79" s="695"/>
      <c r="I79" s="695"/>
      <c r="J79" s="696"/>
      <c r="K79" s="436"/>
      <c r="O79" s="183">
        <v>1</v>
      </c>
    </row>
    <row r="80" spans="2:18" x14ac:dyDescent="0.2">
      <c r="B80" s="343">
        <f t="shared" si="14"/>
        <v>20</v>
      </c>
      <c r="C80" s="695" t="s">
        <v>180</v>
      </c>
      <c r="D80" s="695"/>
      <c r="E80" s="695"/>
      <c r="F80" s="695"/>
      <c r="G80" s="695"/>
      <c r="H80" s="695"/>
      <c r="I80" s="695"/>
      <c r="J80" s="696"/>
      <c r="K80" s="436"/>
      <c r="O80" s="183">
        <v>1</v>
      </c>
    </row>
    <row r="81" spans="2:15" ht="25.5" x14ac:dyDescent="0.2">
      <c r="B81" s="343">
        <f>B33</f>
        <v>21</v>
      </c>
      <c r="C81" s="695" t="s">
        <v>181</v>
      </c>
      <c r="D81" s="695"/>
      <c r="E81" s="695"/>
      <c r="F81" s="695"/>
      <c r="G81" s="695"/>
      <c r="H81" s="695"/>
      <c r="I81" s="695"/>
      <c r="J81" s="696"/>
      <c r="K81" s="436"/>
      <c r="O81" s="186" t="s">
        <v>101</v>
      </c>
    </row>
    <row r="82" spans="2:15" ht="127.5" x14ac:dyDescent="0.2">
      <c r="B82" s="343">
        <f>B34</f>
        <v>22</v>
      </c>
      <c r="C82" s="695" t="s">
        <v>182</v>
      </c>
      <c r="D82" s="695"/>
      <c r="E82" s="695"/>
      <c r="F82" s="695"/>
      <c r="G82" s="695"/>
      <c r="H82" s="695"/>
      <c r="I82" s="695"/>
      <c r="J82" s="696"/>
      <c r="K82" s="436"/>
      <c r="O82" s="186" t="s">
        <v>175</v>
      </c>
    </row>
    <row r="83" spans="2:15" ht="25.5" x14ac:dyDescent="0.2">
      <c r="B83" s="343">
        <f t="shared" ref="B83:B90" si="15">B35</f>
        <v>23</v>
      </c>
      <c r="C83" s="695" t="s">
        <v>183</v>
      </c>
      <c r="D83" s="695"/>
      <c r="E83" s="695"/>
      <c r="F83" s="695"/>
      <c r="G83" s="695"/>
      <c r="H83" s="695"/>
      <c r="I83" s="695"/>
      <c r="J83" s="696"/>
      <c r="K83" s="436"/>
      <c r="O83" s="186" t="s">
        <v>101</v>
      </c>
    </row>
    <row r="84" spans="2:15" x14ac:dyDescent="0.2">
      <c r="B84" s="343">
        <f t="shared" si="15"/>
        <v>24</v>
      </c>
      <c r="C84" s="695" t="s">
        <v>184</v>
      </c>
      <c r="D84" s="695"/>
      <c r="E84" s="695"/>
      <c r="F84" s="695"/>
      <c r="G84" s="695"/>
      <c r="H84" s="695"/>
      <c r="I84" s="695"/>
      <c r="J84" s="696"/>
      <c r="K84" s="436"/>
      <c r="O84" s="183">
        <v>1</v>
      </c>
    </row>
    <row r="85" spans="2:15" x14ac:dyDescent="0.2">
      <c r="B85" s="343">
        <f t="shared" si="15"/>
        <v>25</v>
      </c>
      <c r="C85" s="695" t="s">
        <v>185</v>
      </c>
      <c r="D85" s="695"/>
      <c r="E85" s="695"/>
      <c r="F85" s="695"/>
      <c r="G85" s="695"/>
      <c r="H85" s="695"/>
      <c r="I85" s="695"/>
      <c r="J85" s="696"/>
      <c r="K85" s="436"/>
      <c r="O85" s="183">
        <v>1</v>
      </c>
    </row>
    <row r="86" spans="2:15" ht="25.5" x14ac:dyDescent="0.2">
      <c r="B86" s="343">
        <f t="shared" si="15"/>
        <v>26</v>
      </c>
      <c r="C86" s="695" t="s">
        <v>186</v>
      </c>
      <c r="D86" s="695"/>
      <c r="E86" s="695"/>
      <c r="F86" s="695"/>
      <c r="G86" s="695"/>
      <c r="H86" s="695"/>
      <c r="I86" s="695"/>
      <c r="J86" s="696"/>
      <c r="K86" s="436"/>
      <c r="O86" s="186" t="s">
        <v>101</v>
      </c>
    </row>
    <row r="87" spans="2:15" x14ac:dyDescent="0.2">
      <c r="B87" s="343">
        <f t="shared" si="15"/>
        <v>27</v>
      </c>
      <c r="C87" s="695" t="s">
        <v>187</v>
      </c>
      <c r="D87" s="695"/>
      <c r="E87" s="695"/>
      <c r="F87" s="695"/>
      <c r="G87" s="695"/>
      <c r="H87" s="695"/>
      <c r="I87" s="695"/>
      <c r="J87" s="696"/>
      <c r="K87" s="436"/>
      <c r="O87" s="183">
        <v>1</v>
      </c>
    </row>
    <row r="88" spans="2:15" ht="25.5" x14ac:dyDescent="0.2">
      <c r="B88" s="343">
        <f t="shared" si="15"/>
        <v>28</v>
      </c>
      <c r="C88" s="695" t="s">
        <v>188</v>
      </c>
      <c r="D88" s="695"/>
      <c r="E88" s="695"/>
      <c r="F88" s="695"/>
      <c r="G88" s="695"/>
      <c r="H88" s="695"/>
      <c r="I88" s="695"/>
      <c r="J88" s="696"/>
      <c r="K88" s="436"/>
      <c r="O88" s="186" t="s">
        <v>101</v>
      </c>
    </row>
    <row r="89" spans="2:15" x14ac:dyDescent="0.2">
      <c r="B89" s="343">
        <f t="shared" si="15"/>
        <v>29</v>
      </c>
      <c r="C89" s="695" t="s">
        <v>189</v>
      </c>
      <c r="D89" s="695"/>
      <c r="E89" s="695"/>
      <c r="F89" s="695"/>
      <c r="G89" s="695"/>
      <c r="H89" s="695"/>
      <c r="I89" s="695"/>
      <c r="J89" s="696"/>
      <c r="K89" s="436"/>
      <c r="O89" s="183">
        <v>1</v>
      </c>
    </row>
    <row r="90" spans="2:15" x14ac:dyDescent="0.2">
      <c r="B90" s="343">
        <f t="shared" si="15"/>
        <v>30</v>
      </c>
      <c r="C90" s="695" t="s">
        <v>190</v>
      </c>
      <c r="D90" s="695"/>
      <c r="E90" s="695"/>
      <c r="F90" s="695"/>
      <c r="G90" s="695"/>
      <c r="H90" s="695"/>
      <c r="I90" s="695"/>
      <c r="J90" s="696"/>
      <c r="K90" s="436"/>
      <c r="O90" s="183">
        <v>1</v>
      </c>
    </row>
    <row r="91" spans="2:15" x14ac:dyDescent="0.2">
      <c r="B91" s="343">
        <f>B45</f>
        <v>31</v>
      </c>
      <c r="C91" s="695" t="s">
        <v>191</v>
      </c>
      <c r="D91" s="695"/>
      <c r="E91" s="695"/>
      <c r="F91" s="695"/>
      <c r="G91" s="695"/>
      <c r="H91" s="695"/>
      <c r="I91" s="695"/>
      <c r="J91" s="696"/>
      <c r="K91" s="436"/>
      <c r="O91" s="183">
        <v>1</v>
      </c>
    </row>
    <row r="92" spans="2:15" x14ac:dyDescent="0.2">
      <c r="B92" s="343">
        <f>B46</f>
        <v>32</v>
      </c>
      <c r="C92" s="695" t="s">
        <v>192</v>
      </c>
      <c r="D92" s="695"/>
      <c r="E92" s="695"/>
      <c r="F92" s="695"/>
      <c r="G92" s="695"/>
      <c r="H92" s="695"/>
      <c r="I92" s="695"/>
      <c r="J92" s="696"/>
      <c r="O92" s="183">
        <v>1</v>
      </c>
    </row>
    <row r="93" spans="2:15" ht="26.25" thickBot="1" x14ac:dyDescent="0.25">
      <c r="B93" s="344">
        <f>B47</f>
        <v>33</v>
      </c>
      <c r="C93" s="697" t="s">
        <v>193</v>
      </c>
      <c r="D93" s="697"/>
      <c r="E93" s="697"/>
      <c r="F93" s="697"/>
      <c r="G93" s="697"/>
      <c r="H93" s="697"/>
      <c r="I93" s="697"/>
      <c r="J93" s="698"/>
      <c r="O93" s="186" t="s">
        <v>101</v>
      </c>
    </row>
    <row r="94" spans="2:15" x14ac:dyDescent="0.2">
      <c r="B94" s="546"/>
      <c r="C94" s="162"/>
      <c r="D94" s="162"/>
      <c r="E94" s="162"/>
      <c r="F94" s="162"/>
      <c r="G94" s="162"/>
      <c r="H94" s="162"/>
      <c r="I94" s="162"/>
      <c r="J94" s="162"/>
      <c r="O94" s="147"/>
    </row>
  </sheetData>
  <sheetProtection algorithmName="SHA-512" hashValue="6HQCKNW2Nru3uvGBTQrGWhKjGohlZ7AfWT0Hy+VHwG8rWQoN6ONoMog01RLhxR9FPUEUUpLzJXb8iggvDmZEBA==" saltValue="j/9tBWPTxKpZ8FT6pD7tjQ==" spinCount="100000" sheet="1" objects="1" scenarios="1"/>
  <mergeCells count="42">
    <mergeCell ref="C64:J64"/>
    <mergeCell ref="C65:J65"/>
    <mergeCell ref="C66:J66"/>
    <mergeCell ref="C63:J63"/>
    <mergeCell ref="B3:C4"/>
    <mergeCell ref="D3:D4"/>
    <mergeCell ref="E3:E4"/>
    <mergeCell ref="F3:F4"/>
    <mergeCell ref="G3:I3"/>
    <mergeCell ref="J3:J4"/>
    <mergeCell ref="L3:L4"/>
    <mergeCell ref="O4:Q4"/>
    <mergeCell ref="B49:C49"/>
    <mergeCell ref="C61:J61"/>
    <mergeCell ref="C62:J62"/>
    <mergeCell ref="C67:J67"/>
    <mergeCell ref="C68:J68"/>
    <mergeCell ref="C81:J81"/>
    <mergeCell ref="C70:J70"/>
    <mergeCell ref="C71:J71"/>
    <mergeCell ref="C72:J72"/>
    <mergeCell ref="C73:J73"/>
    <mergeCell ref="C74:J74"/>
    <mergeCell ref="C75:J75"/>
    <mergeCell ref="C76:J76"/>
    <mergeCell ref="C77:J77"/>
    <mergeCell ref="C78:J78"/>
    <mergeCell ref="C79:J79"/>
    <mergeCell ref="C80:J80"/>
    <mergeCell ref="C69:J69"/>
    <mergeCell ref="C93:J93"/>
    <mergeCell ref="C82:J82"/>
    <mergeCell ref="C83:J83"/>
    <mergeCell ref="C84:J84"/>
    <mergeCell ref="C85:J85"/>
    <mergeCell ref="C86:J86"/>
    <mergeCell ref="C87:J87"/>
    <mergeCell ref="C88:J88"/>
    <mergeCell ref="C89:J89"/>
    <mergeCell ref="C90:J90"/>
    <mergeCell ref="C91:J91"/>
    <mergeCell ref="C92:J92"/>
  </mergeCells>
  <conditionalFormatting sqref="L7:L47">
    <cfRule type="cellIs" dxfId="93" priority="1" operator="equal">
      <formula>0</formula>
    </cfRule>
  </conditionalFormatting>
  <printOptions horizontalCentered="1"/>
  <pageMargins left="0.39370078740157483" right="0.39370078740157483" top="0.78740157480314965" bottom="0.78740157480314965" header="0.31496062992125984" footer="0.31496062992125984"/>
  <pageSetup paperSize="8" scale="91" fitToHeight="0" orientation="portrait" r:id="rId1"/>
  <headerFooter>
    <oddHeader>&amp;L&amp;9&amp;K857362Page &amp;P of &amp;N&amp;C&amp;9 &amp;K8573622016 annual performance report tables (Jan 2016)&amp;R&amp;9&amp;G</oddHeader>
    <oddFooter>&amp;L&amp;9&amp;K857362&amp;A&amp;R&amp;9&amp;K857362Printed: &amp;D &amp;T</oddFooter>
  </headerFooter>
  <rowBreaks count="1" manualBreakCount="1">
    <brk id="57" max="19"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101"/>
  <sheetViews>
    <sheetView showGridLines="0" zoomScaleNormal="100" workbookViewId="0">
      <selection activeCell="I24" sqref="I24"/>
    </sheetView>
  </sheetViews>
  <sheetFormatPr defaultColWidth="0" defaultRowHeight="14.25" zeroHeight="1" x14ac:dyDescent="0.2"/>
  <cols>
    <col min="1" max="1" width="1.625" style="95" customWidth="1"/>
    <col min="2" max="2" width="4.125" style="95" customWidth="1"/>
    <col min="3" max="3" width="38.125" style="95" customWidth="1"/>
    <col min="4" max="5" width="5.125" style="95" customWidth="1"/>
    <col min="6" max="10" width="12.5" style="95" customWidth="1"/>
    <col min="11" max="11" width="2.375" style="95" customWidth="1"/>
    <col min="12" max="12" width="18.875" style="95" bestFit="1" customWidth="1"/>
    <col min="13" max="13" width="1.625" style="95" customWidth="1"/>
    <col min="14" max="14" width="1.625" style="96" hidden="1" customWidth="1"/>
    <col min="15" max="17" width="5.625" style="95" hidden="1" customWidth="1"/>
    <col min="18" max="18" width="1.625" style="96" hidden="1" customWidth="1"/>
    <col min="19" max="19" width="8.125" style="95" hidden="1" customWidth="1"/>
    <col min="20" max="22" width="8.875" style="95" hidden="1" customWidth="1"/>
    <col min="23" max="16384" width="8.125" style="95" hidden="1"/>
  </cols>
  <sheetData>
    <row r="1" spans="2:17" ht="20.25" x14ac:dyDescent="0.2">
      <c r="B1" s="91" t="s">
        <v>194</v>
      </c>
      <c r="C1" s="91"/>
      <c r="D1" s="91"/>
      <c r="E1" s="91"/>
      <c r="F1" s="91"/>
      <c r="G1" s="91"/>
      <c r="H1" s="91"/>
      <c r="I1" s="91"/>
      <c r="J1" s="93" t="str">
        <f>Validation!B3</f>
        <v>Yorkshire Water</v>
      </c>
      <c r="K1" s="91"/>
      <c r="L1" s="94" t="s">
        <v>62</v>
      </c>
    </row>
    <row r="2" spans="2:17" ht="15" thickBot="1" x14ac:dyDescent="0.25">
      <c r="B2" s="98" t="s">
        <v>48</v>
      </c>
    </row>
    <row r="3" spans="2:17" ht="14.45" customHeight="1" x14ac:dyDescent="0.2">
      <c r="B3" s="708" t="s">
        <v>63</v>
      </c>
      <c r="C3" s="709"/>
      <c r="D3" s="712" t="s">
        <v>64</v>
      </c>
      <c r="E3" s="714" t="s">
        <v>65</v>
      </c>
      <c r="F3" s="731" t="s">
        <v>66</v>
      </c>
      <c r="G3" s="733" t="s">
        <v>67</v>
      </c>
      <c r="H3" s="734"/>
      <c r="I3" s="735"/>
      <c r="J3" s="699" t="s">
        <v>68</v>
      </c>
      <c r="L3" s="699" t="s">
        <v>69</v>
      </c>
    </row>
    <row r="4" spans="2:17" ht="54.75" thickBot="1" x14ac:dyDescent="0.25">
      <c r="B4" s="710"/>
      <c r="C4" s="711"/>
      <c r="D4" s="713"/>
      <c r="E4" s="715"/>
      <c r="F4" s="732"/>
      <c r="G4" s="104" t="s">
        <v>70</v>
      </c>
      <c r="H4" s="105" t="s">
        <v>71</v>
      </c>
      <c r="I4" s="106" t="s">
        <v>72</v>
      </c>
      <c r="J4" s="701"/>
      <c r="L4" s="701"/>
      <c r="M4" s="107"/>
      <c r="O4" s="702" t="s">
        <v>73</v>
      </c>
      <c r="P4" s="702"/>
      <c r="Q4" s="702"/>
    </row>
    <row r="5" spans="2:17" ht="15" thickBot="1" x14ac:dyDescent="0.25"/>
    <row r="6" spans="2:17" ht="15" thickBot="1" x14ac:dyDescent="0.25">
      <c r="B6" s="110" t="s">
        <v>124</v>
      </c>
      <c r="C6" s="111" t="s">
        <v>195</v>
      </c>
      <c r="O6" s="112" t="s">
        <v>74</v>
      </c>
    </row>
    <row r="7" spans="2:17" x14ac:dyDescent="0.2">
      <c r="B7" s="113">
        <v>1</v>
      </c>
      <c r="C7" s="143" t="s">
        <v>79</v>
      </c>
      <c r="D7" s="115" t="s">
        <v>76</v>
      </c>
      <c r="E7" s="116">
        <v>3</v>
      </c>
      <c r="F7" s="533">
        <f>'1A'!F9</f>
        <v>248.72399999999993</v>
      </c>
      <c r="G7" s="428">
        <f>'1A'!G9</f>
        <v>6.8280000000000003</v>
      </c>
      <c r="H7" s="429">
        <f>'1A'!H9</f>
        <v>2.0439999999999987</v>
      </c>
      <c r="I7" s="219">
        <f t="shared" ref="I7:I15" si="0" xml:space="preserve"> G7 - H7</f>
        <v>4.7840000000000016</v>
      </c>
      <c r="J7" s="226">
        <f t="shared" ref="J7:J15" si="1" xml:space="preserve"> F7 + I7</f>
        <v>253.50799999999992</v>
      </c>
      <c r="L7" s="256"/>
      <c r="O7" s="147"/>
      <c r="P7" s="147"/>
      <c r="Q7" s="147"/>
    </row>
    <row r="8" spans="2:17" x14ac:dyDescent="0.2">
      <c r="B8" s="121">
        <f xml:space="preserve"> B7 + 1</f>
        <v>2</v>
      </c>
      <c r="C8" s="114" t="s">
        <v>80</v>
      </c>
      <c r="D8" s="122" t="s">
        <v>76</v>
      </c>
      <c r="E8" s="123">
        <v>3</v>
      </c>
      <c r="F8" s="669">
        <v>0</v>
      </c>
      <c r="G8" s="565">
        <v>1.899</v>
      </c>
      <c r="H8" s="566">
        <v>0</v>
      </c>
      <c r="I8" s="222">
        <f t="shared" si="0"/>
        <v>1.899</v>
      </c>
      <c r="J8" s="227">
        <f t="shared" si="1"/>
        <v>1.899</v>
      </c>
      <c r="L8" s="29">
        <f xml:space="preserve"> IF( SUM( N8:R8 ) = 0, 0, $O$6 )</f>
        <v>0</v>
      </c>
      <c r="O8" s="120">
        <f t="shared" ref="O8:Q32" si="2" xml:space="preserve"> IF( ISNUMBER( F8 ), 0, 1 )</f>
        <v>0</v>
      </c>
      <c r="P8" s="120">
        <f t="shared" si="2"/>
        <v>0</v>
      </c>
      <c r="Q8" s="120">
        <f t="shared" si="2"/>
        <v>0</v>
      </c>
    </row>
    <row r="9" spans="2:17" x14ac:dyDescent="0.2">
      <c r="B9" s="121">
        <f t="shared" ref="B9:B34" si="3" xml:space="preserve"> B8 + 1</f>
        <v>3</v>
      </c>
      <c r="C9" s="114" t="s">
        <v>196</v>
      </c>
      <c r="D9" s="122" t="s">
        <v>76</v>
      </c>
      <c r="E9" s="123">
        <v>3</v>
      </c>
      <c r="F9" s="669">
        <v>313.18965404162645</v>
      </c>
      <c r="G9" s="565">
        <v>-8.7270000000000003</v>
      </c>
      <c r="H9" s="566">
        <v>0.122</v>
      </c>
      <c r="I9" s="222">
        <f t="shared" si="0"/>
        <v>-8.8490000000000002</v>
      </c>
      <c r="J9" s="227">
        <f t="shared" si="1"/>
        <v>304.34065404162646</v>
      </c>
      <c r="L9" s="29">
        <f t="shared" ref="L9:L14" si="4" xml:space="preserve"> IF( SUM( N9:R9 ) = 0, 0, $O$6 )</f>
        <v>0</v>
      </c>
      <c r="O9" s="120">
        <f t="shared" si="2"/>
        <v>0</v>
      </c>
      <c r="P9" s="120">
        <f t="shared" si="2"/>
        <v>0</v>
      </c>
      <c r="Q9" s="120">
        <f t="shared" si="2"/>
        <v>0</v>
      </c>
    </row>
    <row r="10" spans="2:17" x14ac:dyDescent="0.2">
      <c r="B10" s="121">
        <f t="shared" si="3"/>
        <v>4</v>
      </c>
      <c r="C10" s="114" t="s">
        <v>197</v>
      </c>
      <c r="D10" s="122" t="s">
        <v>76</v>
      </c>
      <c r="E10" s="123">
        <v>3</v>
      </c>
      <c r="F10" s="670">
        <v>-2.8119999999999998</v>
      </c>
      <c r="G10" s="671">
        <v>0</v>
      </c>
      <c r="H10" s="672">
        <v>0.14299999999999999</v>
      </c>
      <c r="I10" s="222">
        <f t="shared" si="0"/>
        <v>-0.14299999999999999</v>
      </c>
      <c r="J10" s="227">
        <f t="shared" si="1"/>
        <v>-2.9549999999999996</v>
      </c>
      <c r="L10" s="29">
        <f t="shared" si="4"/>
        <v>0</v>
      </c>
      <c r="O10" s="120">
        <f t="shared" si="2"/>
        <v>0</v>
      </c>
      <c r="P10" s="120">
        <f t="shared" si="2"/>
        <v>0</v>
      </c>
      <c r="Q10" s="120">
        <f t="shared" si="2"/>
        <v>0</v>
      </c>
    </row>
    <row r="11" spans="2:17" x14ac:dyDescent="0.2">
      <c r="B11" s="121">
        <f t="shared" si="3"/>
        <v>5</v>
      </c>
      <c r="C11" s="114" t="s">
        <v>198</v>
      </c>
      <c r="D11" s="122" t="s">
        <v>76</v>
      </c>
      <c r="E11" s="123">
        <v>3</v>
      </c>
      <c r="F11" s="670">
        <v>23.292999999999999</v>
      </c>
      <c r="G11" s="671">
        <v>0</v>
      </c>
      <c r="H11" s="672">
        <v>-1.0329999999999999</v>
      </c>
      <c r="I11" s="222">
        <f t="shared" si="0"/>
        <v>1.0329999999999999</v>
      </c>
      <c r="J11" s="227">
        <f t="shared" si="1"/>
        <v>24.326000000000001</v>
      </c>
      <c r="L11" s="29">
        <f t="shared" si="4"/>
        <v>0</v>
      </c>
      <c r="O11" s="120">
        <f t="shared" si="2"/>
        <v>0</v>
      </c>
      <c r="P11" s="120">
        <f t="shared" si="2"/>
        <v>0</v>
      </c>
      <c r="Q11" s="120">
        <f t="shared" si="2"/>
        <v>0</v>
      </c>
    </row>
    <row r="12" spans="2:17" x14ac:dyDescent="0.2">
      <c r="B12" s="121">
        <f t="shared" si="3"/>
        <v>6</v>
      </c>
      <c r="C12" s="114" t="s">
        <v>199</v>
      </c>
      <c r="D12" s="122" t="s">
        <v>76</v>
      </c>
      <c r="E12" s="123">
        <v>3</v>
      </c>
      <c r="F12" s="670">
        <v>-27.22</v>
      </c>
      <c r="G12" s="671">
        <v>0</v>
      </c>
      <c r="H12" s="672">
        <v>0</v>
      </c>
      <c r="I12" s="222">
        <f t="shared" si="0"/>
        <v>0</v>
      </c>
      <c r="J12" s="227">
        <f t="shared" si="1"/>
        <v>-27.22</v>
      </c>
      <c r="L12" s="29">
        <f t="shared" si="4"/>
        <v>0</v>
      </c>
      <c r="O12" s="120">
        <f t="shared" si="2"/>
        <v>0</v>
      </c>
      <c r="P12" s="120">
        <f t="shared" si="2"/>
        <v>0</v>
      </c>
      <c r="Q12" s="120">
        <f t="shared" si="2"/>
        <v>0</v>
      </c>
    </row>
    <row r="13" spans="2:17" x14ac:dyDescent="0.2">
      <c r="B13" s="121">
        <f t="shared" si="3"/>
        <v>7</v>
      </c>
      <c r="C13" s="114" t="s">
        <v>200</v>
      </c>
      <c r="D13" s="122" t="s">
        <v>76</v>
      </c>
      <c r="E13" s="123">
        <v>3</v>
      </c>
      <c r="F13" s="670">
        <v>1.4999999999999999E-2</v>
      </c>
      <c r="G13" s="671">
        <v>0</v>
      </c>
      <c r="H13" s="672">
        <v>0</v>
      </c>
      <c r="I13" s="222">
        <f t="shared" si="0"/>
        <v>0</v>
      </c>
      <c r="J13" s="227">
        <f t="shared" si="1"/>
        <v>1.4999999999999999E-2</v>
      </c>
      <c r="L13" s="29">
        <f t="shared" si="4"/>
        <v>0</v>
      </c>
      <c r="O13" s="120">
        <f t="shared" si="2"/>
        <v>0</v>
      </c>
      <c r="P13" s="120">
        <f t="shared" si="2"/>
        <v>0</v>
      </c>
      <c r="Q13" s="120">
        <f t="shared" si="2"/>
        <v>0</v>
      </c>
    </row>
    <row r="14" spans="2:17" x14ac:dyDescent="0.2">
      <c r="B14" s="121">
        <f t="shared" si="3"/>
        <v>8</v>
      </c>
      <c r="C14" s="114" t="s">
        <v>201</v>
      </c>
      <c r="D14" s="122" t="s">
        <v>76</v>
      </c>
      <c r="E14" s="123">
        <v>3</v>
      </c>
      <c r="F14" s="670">
        <v>-1.5960000000000001</v>
      </c>
      <c r="G14" s="671">
        <v>0</v>
      </c>
      <c r="H14" s="672">
        <v>0</v>
      </c>
      <c r="I14" s="222">
        <f t="shared" si="0"/>
        <v>0</v>
      </c>
      <c r="J14" s="227">
        <f t="shared" si="1"/>
        <v>-1.5960000000000001</v>
      </c>
      <c r="L14" s="29">
        <f t="shared" si="4"/>
        <v>0</v>
      </c>
      <c r="O14" s="120">
        <f t="shared" si="2"/>
        <v>0</v>
      </c>
      <c r="P14" s="120">
        <f t="shared" si="2"/>
        <v>0</v>
      </c>
      <c r="Q14" s="120">
        <f t="shared" si="2"/>
        <v>0</v>
      </c>
    </row>
    <row r="15" spans="2:17" ht="15" thickBot="1" x14ac:dyDescent="0.25">
      <c r="B15" s="128">
        <f xml:space="preserve"> B14 + 1</f>
        <v>9</v>
      </c>
      <c r="C15" s="129" t="s">
        <v>202</v>
      </c>
      <c r="D15" s="130" t="s">
        <v>76</v>
      </c>
      <c r="E15" s="127">
        <v>3</v>
      </c>
      <c r="F15" s="534">
        <f>SUM( F7:F14 )</f>
        <v>553.59365404162634</v>
      </c>
      <c r="G15" s="223">
        <f>SUM( G7:G14 )</f>
        <v>0</v>
      </c>
      <c r="H15" s="224">
        <f>SUM( H7:H14 )</f>
        <v>1.2759999999999985</v>
      </c>
      <c r="I15" s="225">
        <f t="shared" si="0"/>
        <v>-1.2759999999999985</v>
      </c>
      <c r="J15" s="228">
        <f t="shared" si="1"/>
        <v>552.31765404162638</v>
      </c>
      <c r="L15" s="256"/>
    </row>
    <row r="16" spans="2:17" ht="15" thickBot="1" x14ac:dyDescent="0.25">
      <c r="L16" s="256"/>
    </row>
    <row r="17" spans="2:18" x14ac:dyDescent="0.2">
      <c r="B17" s="113">
        <f xml:space="preserve"> B15 + 1</f>
        <v>10</v>
      </c>
      <c r="C17" s="143" t="s">
        <v>203</v>
      </c>
      <c r="D17" s="115" t="s">
        <v>76</v>
      </c>
      <c r="E17" s="116">
        <v>3</v>
      </c>
      <c r="F17" s="673">
        <v>-162.94200000000001</v>
      </c>
      <c r="G17" s="567">
        <v>0</v>
      </c>
      <c r="H17" s="579">
        <v>0</v>
      </c>
      <c r="I17" s="219">
        <f xml:space="preserve"> G17 - H17</f>
        <v>0</v>
      </c>
      <c r="J17" s="226">
        <f xml:space="preserve"> F17 + I17</f>
        <v>-162.94200000000001</v>
      </c>
      <c r="L17" s="29">
        <f t="shared" ref="L17:L18" si="5" xml:space="preserve"> IF( SUM( N17:R17 ) = 0, 0, $O$6 )</f>
        <v>0</v>
      </c>
      <c r="O17" s="120">
        <f t="shared" si="2"/>
        <v>0</v>
      </c>
      <c r="P17" s="120">
        <f t="shared" si="2"/>
        <v>0</v>
      </c>
      <c r="Q17" s="120">
        <f t="shared" si="2"/>
        <v>0</v>
      </c>
    </row>
    <row r="18" spans="2:18" x14ac:dyDescent="0.2">
      <c r="B18" s="121">
        <f t="shared" si="3"/>
        <v>11</v>
      </c>
      <c r="C18" s="114" t="s">
        <v>204</v>
      </c>
      <c r="D18" s="122" t="s">
        <v>76</v>
      </c>
      <c r="E18" s="123">
        <v>3</v>
      </c>
      <c r="F18" s="669">
        <v>2.71</v>
      </c>
      <c r="G18" s="565">
        <v>0</v>
      </c>
      <c r="H18" s="566">
        <v>-0.54900000000000004</v>
      </c>
      <c r="I18" s="222">
        <f xml:space="preserve"> G18 - H18</f>
        <v>0.54900000000000004</v>
      </c>
      <c r="J18" s="227">
        <f xml:space="preserve"> F18 + I18</f>
        <v>3.2589999999999999</v>
      </c>
      <c r="L18" s="29">
        <f t="shared" si="5"/>
        <v>0</v>
      </c>
      <c r="O18" s="120">
        <f t="shared" si="2"/>
        <v>0</v>
      </c>
      <c r="P18" s="120">
        <f t="shared" si="2"/>
        <v>0</v>
      </c>
      <c r="Q18" s="120">
        <f t="shared" si="2"/>
        <v>0</v>
      </c>
    </row>
    <row r="19" spans="2:18" ht="15" thickBot="1" x14ac:dyDescent="0.25">
      <c r="B19" s="128">
        <f xml:space="preserve"> B18 + 1</f>
        <v>12</v>
      </c>
      <c r="C19" s="129" t="s">
        <v>205</v>
      </c>
      <c r="D19" s="130" t="s">
        <v>76</v>
      </c>
      <c r="E19" s="127">
        <v>3</v>
      </c>
      <c r="F19" s="225">
        <f xml:space="preserve"> F15 + SUM( F17:F18 )</f>
        <v>393.36165404162637</v>
      </c>
      <c r="G19" s="230">
        <f xml:space="preserve"> G15 + SUM( G17:G18 )</f>
        <v>0</v>
      </c>
      <c r="H19" s="225">
        <f xml:space="preserve"> H15 + SUM( H17:H18 )</f>
        <v>0.72699999999999843</v>
      </c>
      <c r="I19" s="225">
        <f xml:space="preserve"> G19 - H19</f>
        <v>-0.72699999999999843</v>
      </c>
      <c r="J19" s="228">
        <f xml:space="preserve"> F19 + I19</f>
        <v>392.63465404162639</v>
      </c>
      <c r="L19" s="256"/>
    </row>
    <row r="20" spans="2:18" ht="15" thickBot="1" x14ac:dyDescent="0.25">
      <c r="L20" s="256"/>
    </row>
    <row r="21" spans="2:18" ht="15" thickBot="1" x14ac:dyDescent="0.25">
      <c r="B21" s="110" t="s">
        <v>139</v>
      </c>
      <c r="C21" s="111" t="s">
        <v>206</v>
      </c>
      <c r="L21" s="256"/>
    </row>
    <row r="22" spans="2:18" x14ac:dyDescent="0.2">
      <c r="B22" s="113">
        <f xml:space="preserve"> B19 + 1</f>
        <v>13</v>
      </c>
      <c r="C22" s="143" t="s">
        <v>207</v>
      </c>
      <c r="D22" s="115" t="s">
        <v>76</v>
      </c>
      <c r="E22" s="116">
        <v>3</v>
      </c>
      <c r="F22" s="673">
        <v>-266.67402000000004</v>
      </c>
      <c r="G22" s="567">
        <v>0</v>
      </c>
      <c r="H22" s="579">
        <v>0</v>
      </c>
      <c r="I22" s="219">
        <f t="shared" ref="I22:I27" si="6" xml:space="preserve"> G22 - H22</f>
        <v>0</v>
      </c>
      <c r="J22" s="226">
        <f t="shared" ref="J22:J27" si="7" xml:space="preserve"> F22 + I22</f>
        <v>-266.67402000000004</v>
      </c>
      <c r="L22" s="29">
        <f t="shared" ref="L22:L25" si="8" xml:space="preserve"> IF( SUM( N22:R22 ) = 0, 0, $O$6 )</f>
        <v>0</v>
      </c>
      <c r="O22" s="120">
        <f t="shared" si="2"/>
        <v>0</v>
      </c>
      <c r="P22" s="120">
        <f t="shared" si="2"/>
        <v>0</v>
      </c>
      <c r="Q22" s="120">
        <f t="shared" si="2"/>
        <v>0</v>
      </c>
    </row>
    <row r="23" spans="2:18" x14ac:dyDescent="0.2">
      <c r="B23" s="121">
        <f t="shared" si="3"/>
        <v>14</v>
      </c>
      <c r="C23" s="114" t="s">
        <v>208</v>
      </c>
      <c r="D23" s="122" t="s">
        <v>76</v>
      </c>
      <c r="E23" s="123">
        <v>3</v>
      </c>
      <c r="F23" s="669">
        <v>16.975000000000001</v>
      </c>
      <c r="G23" s="565">
        <v>0</v>
      </c>
      <c r="H23" s="566">
        <v>0</v>
      </c>
      <c r="I23" s="222">
        <f t="shared" si="6"/>
        <v>0</v>
      </c>
      <c r="J23" s="227">
        <f t="shared" si="7"/>
        <v>16.975000000000001</v>
      </c>
      <c r="L23" s="29">
        <f t="shared" si="8"/>
        <v>0</v>
      </c>
      <c r="N23" s="148"/>
      <c r="O23" s="120">
        <f t="shared" si="2"/>
        <v>0</v>
      </c>
      <c r="P23" s="120">
        <f t="shared" si="2"/>
        <v>0</v>
      </c>
      <c r="Q23" s="120">
        <f t="shared" si="2"/>
        <v>0</v>
      </c>
      <c r="R23" s="148"/>
    </row>
    <row r="24" spans="2:18" x14ac:dyDescent="0.2">
      <c r="B24" s="121">
        <f t="shared" si="3"/>
        <v>15</v>
      </c>
      <c r="C24" s="114" t="s">
        <v>209</v>
      </c>
      <c r="D24" s="122" t="s">
        <v>76</v>
      </c>
      <c r="E24" s="123">
        <v>3</v>
      </c>
      <c r="F24" s="669">
        <v>4.5730000000000004</v>
      </c>
      <c r="G24" s="565">
        <v>0</v>
      </c>
      <c r="H24" s="566">
        <v>0</v>
      </c>
      <c r="I24" s="222">
        <f t="shared" si="6"/>
        <v>0</v>
      </c>
      <c r="J24" s="227">
        <f t="shared" si="7"/>
        <v>4.5730000000000004</v>
      </c>
      <c r="L24" s="29">
        <f t="shared" si="8"/>
        <v>0</v>
      </c>
      <c r="N24" s="145"/>
      <c r="O24" s="120">
        <f t="shared" si="2"/>
        <v>0</v>
      </c>
      <c r="P24" s="120">
        <f t="shared" si="2"/>
        <v>0</v>
      </c>
      <c r="Q24" s="120">
        <f t="shared" si="2"/>
        <v>0</v>
      </c>
      <c r="R24" s="145"/>
    </row>
    <row r="25" spans="2:18" x14ac:dyDescent="0.2">
      <c r="B25" s="121">
        <f t="shared" si="3"/>
        <v>16</v>
      </c>
      <c r="C25" s="114" t="s">
        <v>210</v>
      </c>
      <c r="D25" s="122" t="s">
        <v>76</v>
      </c>
      <c r="E25" s="123">
        <v>3</v>
      </c>
      <c r="F25" s="669">
        <v>0</v>
      </c>
      <c r="G25" s="565">
        <v>0</v>
      </c>
      <c r="H25" s="566">
        <v>0</v>
      </c>
      <c r="I25" s="222">
        <f t="shared" si="6"/>
        <v>0</v>
      </c>
      <c r="J25" s="227">
        <f t="shared" si="7"/>
        <v>0</v>
      </c>
      <c r="L25" s="29">
        <f t="shared" si="8"/>
        <v>0</v>
      </c>
      <c r="N25" s="145"/>
      <c r="O25" s="120">
        <f t="shared" si="2"/>
        <v>0</v>
      </c>
      <c r="P25" s="120">
        <f t="shared" si="2"/>
        <v>0</v>
      </c>
      <c r="Q25" s="120">
        <f t="shared" si="2"/>
        <v>0</v>
      </c>
      <c r="R25" s="145"/>
    </row>
    <row r="26" spans="2:18" x14ac:dyDescent="0.2">
      <c r="B26" s="121">
        <f t="shared" si="3"/>
        <v>17</v>
      </c>
      <c r="C26" s="114" t="s">
        <v>211</v>
      </c>
      <c r="D26" s="122" t="s">
        <v>76</v>
      </c>
      <c r="E26" s="123">
        <v>3</v>
      </c>
      <c r="F26" s="273">
        <f xml:space="preserve"> SUM( F22:F25 )</f>
        <v>-245.12602000000004</v>
      </c>
      <c r="G26" s="277">
        <f xml:space="preserve"> SUM( G22:G25 )</f>
        <v>0</v>
      </c>
      <c r="H26" s="276">
        <f xml:space="preserve"> SUM( H22:H25 )</f>
        <v>0</v>
      </c>
      <c r="I26" s="222">
        <f t="shared" si="6"/>
        <v>0</v>
      </c>
      <c r="J26" s="227">
        <f t="shared" si="7"/>
        <v>-245.12602000000004</v>
      </c>
      <c r="L26" s="256"/>
      <c r="N26" s="145"/>
      <c r="R26" s="145"/>
    </row>
    <row r="27" spans="2:18" ht="15" thickBot="1" x14ac:dyDescent="0.25">
      <c r="B27" s="128">
        <f xml:space="preserve"> B26 + 1</f>
        <v>18</v>
      </c>
      <c r="C27" s="129" t="s">
        <v>212</v>
      </c>
      <c r="D27" s="130" t="s">
        <v>76</v>
      </c>
      <c r="E27" s="127">
        <v>3</v>
      </c>
      <c r="F27" s="535">
        <f xml:space="preserve"> F19 + F26</f>
        <v>148.23563404162633</v>
      </c>
      <c r="G27" s="536">
        <f xml:space="preserve"> G19 + G26</f>
        <v>0</v>
      </c>
      <c r="H27" s="537">
        <f xml:space="preserve"> H19 + H26</f>
        <v>0.72699999999999843</v>
      </c>
      <c r="I27" s="225">
        <f t="shared" si="6"/>
        <v>-0.72699999999999843</v>
      </c>
      <c r="J27" s="230">
        <f t="shared" si="7"/>
        <v>147.50863404162632</v>
      </c>
      <c r="L27" s="256"/>
      <c r="N27" s="145"/>
      <c r="R27" s="145"/>
    </row>
    <row r="28" spans="2:18" ht="15" thickBot="1" x14ac:dyDescent="0.25">
      <c r="L28" s="256"/>
      <c r="N28" s="145"/>
      <c r="R28" s="145"/>
    </row>
    <row r="29" spans="2:18" ht="15" thickBot="1" x14ac:dyDescent="0.25">
      <c r="B29" s="110" t="s">
        <v>148</v>
      </c>
      <c r="C29" s="111" t="s">
        <v>213</v>
      </c>
      <c r="L29" s="256"/>
      <c r="N29" s="145"/>
      <c r="R29" s="145"/>
    </row>
    <row r="30" spans="2:18" x14ac:dyDescent="0.2">
      <c r="B30" s="113">
        <f xml:space="preserve"> B27 + 1</f>
        <v>19</v>
      </c>
      <c r="C30" s="143" t="s">
        <v>214</v>
      </c>
      <c r="D30" s="115" t="s">
        <v>76</v>
      </c>
      <c r="E30" s="244">
        <v>3</v>
      </c>
      <c r="F30" s="582">
        <v>-90.864000000000004</v>
      </c>
      <c r="G30" s="567">
        <v>0</v>
      </c>
      <c r="H30" s="579">
        <v>-0.72699999999999998</v>
      </c>
      <c r="I30" s="219">
        <f xml:space="preserve"> G30 - H30</f>
        <v>0.72699999999999998</v>
      </c>
      <c r="J30" s="229">
        <f xml:space="preserve"> F30 + I30</f>
        <v>-90.137</v>
      </c>
      <c r="L30" s="29">
        <f t="shared" ref="L30:L32" si="9" xml:space="preserve"> IF( SUM( N30:R30 ) = 0, 0, $O$6 )</f>
        <v>0</v>
      </c>
      <c r="N30" s="145"/>
      <c r="O30" s="120">
        <f t="shared" si="2"/>
        <v>0</v>
      </c>
      <c r="P30" s="120">
        <f t="shared" si="2"/>
        <v>0</v>
      </c>
      <c r="Q30" s="120">
        <f t="shared" si="2"/>
        <v>0</v>
      </c>
      <c r="R30" s="145"/>
    </row>
    <row r="31" spans="2:18" x14ac:dyDescent="0.2">
      <c r="B31" s="199">
        <f t="shared" si="3"/>
        <v>20</v>
      </c>
      <c r="C31" s="200" t="s">
        <v>215</v>
      </c>
      <c r="D31" s="194" t="s">
        <v>76</v>
      </c>
      <c r="E31" s="538">
        <v>3</v>
      </c>
      <c r="F31" s="674">
        <v>-63.245999999999995</v>
      </c>
      <c r="G31" s="675">
        <v>0</v>
      </c>
      <c r="H31" s="676">
        <v>0</v>
      </c>
      <c r="I31" s="539">
        <f xml:space="preserve"> G31 - H31</f>
        <v>0</v>
      </c>
      <c r="J31" s="540">
        <f xml:space="preserve"> F31 + I31</f>
        <v>-63.245999999999995</v>
      </c>
      <c r="L31" s="29">
        <f t="shared" si="9"/>
        <v>0</v>
      </c>
      <c r="N31" s="145"/>
      <c r="O31" s="120">
        <f t="shared" si="2"/>
        <v>0</v>
      </c>
      <c r="P31" s="120">
        <f t="shared" si="2"/>
        <v>0</v>
      </c>
      <c r="Q31" s="120">
        <f t="shared" si="2"/>
        <v>0</v>
      </c>
      <c r="R31" s="145"/>
    </row>
    <row r="32" spans="2:18" x14ac:dyDescent="0.2">
      <c r="B32" s="199">
        <f t="shared" si="3"/>
        <v>21</v>
      </c>
      <c r="C32" s="200" t="s">
        <v>216</v>
      </c>
      <c r="D32" s="194" t="s">
        <v>76</v>
      </c>
      <c r="E32" s="538">
        <v>3</v>
      </c>
      <c r="F32" s="674">
        <v>0</v>
      </c>
      <c r="G32" s="675">
        <v>0</v>
      </c>
      <c r="H32" s="676">
        <v>0</v>
      </c>
      <c r="I32" s="539">
        <f xml:space="preserve"> G32 - H32</f>
        <v>0</v>
      </c>
      <c r="J32" s="540">
        <f xml:space="preserve"> F32 + I32</f>
        <v>0</v>
      </c>
      <c r="L32" s="29">
        <f t="shared" si="9"/>
        <v>0</v>
      </c>
      <c r="N32" s="145"/>
      <c r="O32" s="120">
        <f t="shared" si="2"/>
        <v>0</v>
      </c>
      <c r="P32" s="120">
        <f t="shared" si="2"/>
        <v>0</v>
      </c>
      <c r="Q32" s="120">
        <f t="shared" si="2"/>
        <v>0</v>
      </c>
      <c r="R32" s="145"/>
    </row>
    <row r="33" spans="1:18" x14ac:dyDescent="0.2">
      <c r="B33" s="199">
        <f t="shared" si="3"/>
        <v>22</v>
      </c>
      <c r="C33" s="114" t="s">
        <v>217</v>
      </c>
      <c r="D33" s="122" t="s">
        <v>76</v>
      </c>
      <c r="E33" s="246">
        <v>3</v>
      </c>
      <c r="F33" s="273">
        <f xml:space="preserve"> SUM( F30:F32 )</f>
        <v>-154.11000000000001</v>
      </c>
      <c r="G33" s="277">
        <f xml:space="preserve"> SUM( G30:G32 )</f>
        <v>0</v>
      </c>
      <c r="H33" s="276">
        <f xml:space="preserve"> SUM( H30:H32 )</f>
        <v>-0.72699999999999998</v>
      </c>
      <c r="I33" s="222">
        <f xml:space="preserve"> G33 - H33</f>
        <v>0.72699999999999998</v>
      </c>
      <c r="J33" s="273">
        <f xml:space="preserve"> F33 + I33</f>
        <v>-153.38300000000001</v>
      </c>
      <c r="L33" s="256"/>
      <c r="N33" s="148"/>
      <c r="R33" s="148"/>
    </row>
    <row r="34" spans="1:18" ht="15" thickBot="1" x14ac:dyDescent="0.25">
      <c r="B34" s="128">
        <f t="shared" si="3"/>
        <v>23</v>
      </c>
      <c r="C34" s="129" t="s">
        <v>218</v>
      </c>
      <c r="D34" s="130" t="s">
        <v>76</v>
      </c>
      <c r="E34" s="257">
        <v>3</v>
      </c>
      <c r="F34" s="541">
        <f xml:space="preserve"> F27 + F33</f>
        <v>-5.8743659583736871</v>
      </c>
      <c r="G34" s="536">
        <f xml:space="preserve"> G27 + G33</f>
        <v>0</v>
      </c>
      <c r="H34" s="537">
        <f xml:space="preserve"> H27 + H33</f>
        <v>-1.5543122344752192E-15</v>
      </c>
      <c r="I34" s="225">
        <f xml:space="preserve"> G34 - H34</f>
        <v>1.5543122344752192E-15</v>
      </c>
      <c r="J34" s="230">
        <f xml:space="preserve"> F34 + I34</f>
        <v>-5.8743659583736854</v>
      </c>
      <c r="L34" s="256"/>
      <c r="N34" s="148"/>
      <c r="R34" s="148"/>
    </row>
    <row r="35" spans="1:18" s="137" customFormat="1" x14ac:dyDescent="0.2">
      <c r="C35" s="174"/>
      <c r="G35" s="187"/>
      <c r="I35" s="144"/>
      <c r="J35" s="144"/>
      <c r="K35" s="144"/>
      <c r="L35" s="146"/>
      <c r="M35" s="144"/>
      <c r="N35" s="148"/>
      <c r="O35" s="146"/>
      <c r="P35" s="144"/>
      <c r="Q35" s="332"/>
      <c r="R35" s="148"/>
    </row>
    <row r="36" spans="1:18" s="187" customFormat="1" ht="13.5" x14ac:dyDescent="0.2">
      <c r="B36" s="703" t="s">
        <v>90</v>
      </c>
      <c r="C36" s="703"/>
      <c r="I36" s="150"/>
      <c r="J36" s="150"/>
      <c r="K36" s="150"/>
      <c r="L36" s="150"/>
      <c r="M36" s="150"/>
      <c r="N36" s="148"/>
      <c r="O36" s="150"/>
      <c r="P36" s="150"/>
      <c r="Q36" s="232"/>
      <c r="R36" s="148"/>
    </row>
    <row r="37" spans="1:18" s="187" customFormat="1" ht="12" x14ac:dyDescent="0.2">
      <c r="B37" s="162"/>
      <c r="C37" s="163"/>
      <c r="I37" s="150"/>
      <c r="J37" s="150"/>
      <c r="K37" s="150"/>
      <c r="L37" s="150"/>
      <c r="M37" s="150"/>
      <c r="N37" s="148"/>
      <c r="O37" s="150"/>
      <c r="P37" s="150"/>
      <c r="Q37" s="232"/>
      <c r="R37" s="148"/>
    </row>
    <row r="38" spans="1:18" s="187" customFormat="1" ht="12" x14ac:dyDescent="0.2">
      <c r="B38" s="30"/>
      <c r="C38" s="164" t="s">
        <v>91</v>
      </c>
      <c r="I38" s="150"/>
      <c r="J38" s="150"/>
      <c r="K38" s="150"/>
      <c r="L38" s="150"/>
      <c r="M38" s="150"/>
      <c r="N38" s="148"/>
      <c r="O38" s="150"/>
      <c r="P38" s="150"/>
      <c r="Q38" s="232"/>
      <c r="R38" s="148"/>
    </row>
    <row r="39" spans="1:18" s="187" customFormat="1" ht="12" x14ac:dyDescent="0.2">
      <c r="B39" s="162"/>
      <c r="C39" s="163"/>
      <c r="I39" s="150"/>
      <c r="J39" s="150"/>
      <c r="K39" s="150"/>
      <c r="L39" s="150"/>
      <c r="M39" s="150"/>
      <c r="N39" s="148"/>
      <c r="O39" s="150"/>
      <c r="P39" s="150"/>
      <c r="Q39" s="232"/>
      <c r="R39" s="148"/>
    </row>
    <row r="40" spans="1:18" s="187" customFormat="1" ht="12" x14ac:dyDescent="0.2">
      <c r="B40" s="165"/>
      <c r="C40" s="164" t="s">
        <v>92</v>
      </c>
      <c r="I40" s="150"/>
      <c r="J40" s="150"/>
      <c r="K40" s="150"/>
      <c r="L40" s="150"/>
      <c r="M40" s="150"/>
      <c r="N40" s="148"/>
      <c r="O40" s="150"/>
      <c r="P40" s="150"/>
      <c r="Q40" s="232"/>
      <c r="R40" s="148"/>
    </row>
    <row r="41" spans="1:18" s="187" customFormat="1" ht="12" x14ac:dyDescent="0.2">
      <c r="B41" s="166"/>
      <c r="C41" s="164"/>
      <c r="I41" s="150"/>
      <c r="J41" s="150"/>
      <c r="K41" s="150"/>
      <c r="L41" s="150"/>
      <c r="M41" s="150"/>
      <c r="N41" s="148"/>
      <c r="O41" s="150"/>
      <c r="P41" s="150"/>
      <c r="Q41" s="232"/>
      <c r="R41" s="148"/>
    </row>
    <row r="42" spans="1:18" s="187" customFormat="1" x14ac:dyDescent="0.2">
      <c r="B42" s="167"/>
      <c r="C42" s="164" t="s">
        <v>93</v>
      </c>
      <c r="I42" s="150"/>
      <c r="J42" s="150"/>
      <c r="K42" s="150"/>
      <c r="L42" s="150"/>
      <c r="M42" s="150"/>
      <c r="N42" s="96"/>
      <c r="O42" s="150"/>
      <c r="P42" s="150"/>
      <c r="Q42" s="232"/>
      <c r="R42" s="96"/>
    </row>
    <row r="43" spans="1:18" s="206" customFormat="1" x14ac:dyDescent="0.2">
      <c r="A43" s="172"/>
      <c r="B43" s="172"/>
      <c r="C43" s="173"/>
      <c r="I43" s="153"/>
      <c r="J43" s="153"/>
      <c r="K43" s="153"/>
      <c r="L43" s="150"/>
      <c r="M43" s="150"/>
      <c r="N43" s="96"/>
      <c r="O43" s="150"/>
      <c r="P43" s="150"/>
      <c r="Q43" s="376"/>
      <c r="R43" s="96"/>
    </row>
    <row r="44" spans="1:18" s="206" customFormat="1" ht="15" thickBot="1" x14ac:dyDescent="0.25">
      <c r="C44" s="207"/>
      <c r="I44" s="153"/>
      <c r="J44" s="153"/>
      <c r="K44" s="153"/>
      <c r="L44" s="150"/>
      <c r="M44" s="150"/>
      <c r="N44" s="96"/>
      <c r="O44" s="150"/>
      <c r="P44" s="150"/>
      <c r="Q44" s="376"/>
      <c r="R44" s="96"/>
    </row>
    <row r="45" spans="1:18" s="137" customFormat="1" ht="21" thickBot="1" x14ac:dyDescent="0.25">
      <c r="B45" s="168" t="str">
        <f ca="1" xml:space="preserve"> RIGHT(CELL("filename", $A$1), LEN(CELL("filename", $A$1)) - SEARCH("]", CELL("filename", $A$1)))&amp;" - Line definitions"</f>
        <v>1D - Line definitions</v>
      </c>
      <c r="C45" s="169"/>
      <c r="D45" s="170"/>
      <c r="E45" s="170"/>
      <c r="F45" s="170"/>
      <c r="G45" s="170"/>
      <c r="H45" s="170"/>
      <c r="I45" s="170"/>
      <c r="J45" s="176"/>
      <c r="K45" s="144"/>
      <c r="L45" s="146"/>
      <c r="M45" s="144"/>
      <c r="N45" s="96"/>
      <c r="O45" s="146"/>
      <c r="P45" s="144"/>
      <c r="Q45" s="332"/>
      <c r="R45" s="96"/>
    </row>
    <row r="46" spans="1:18" s="137" customFormat="1" ht="15" thickBot="1" x14ac:dyDescent="0.25">
      <c r="B46" s="99"/>
      <c r="C46" s="177"/>
      <c r="D46" s="99"/>
      <c r="E46" s="99"/>
      <c r="F46" s="99"/>
      <c r="I46" s="144"/>
      <c r="J46" s="144"/>
      <c r="K46" s="144"/>
      <c r="L46" s="146"/>
      <c r="M46" s="144"/>
      <c r="N46" s="96"/>
      <c r="O46" s="146"/>
      <c r="P46" s="144"/>
      <c r="Q46" s="332"/>
      <c r="R46" s="96"/>
    </row>
    <row r="47" spans="1:18" s="206" customFormat="1" ht="15" thickBot="1" x14ac:dyDescent="0.25">
      <c r="B47" s="490" t="s">
        <v>94</v>
      </c>
      <c r="C47" s="491" t="s">
        <v>95</v>
      </c>
      <c r="D47" s="492"/>
      <c r="E47" s="492"/>
      <c r="F47" s="492"/>
      <c r="G47" s="492"/>
      <c r="H47" s="492"/>
      <c r="I47" s="492"/>
      <c r="J47" s="493"/>
      <c r="K47" s="433"/>
      <c r="L47" s="153"/>
      <c r="M47" s="144"/>
      <c r="N47" s="96"/>
      <c r="O47" s="112" t="s">
        <v>96</v>
      </c>
      <c r="P47" s="144"/>
      <c r="Q47" s="332"/>
      <c r="R47" s="96"/>
    </row>
    <row r="48" spans="1:18" s="137" customFormat="1" x14ac:dyDescent="0.2">
      <c r="B48" s="209">
        <f t="shared" ref="B48:B53" si="10">B7</f>
        <v>1</v>
      </c>
      <c r="C48" s="704" t="s">
        <v>219</v>
      </c>
      <c r="D48" s="704"/>
      <c r="E48" s="704"/>
      <c r="F48" s="704"/>
      <c r="G48" s="704"/>
      <c r="H48" s="704"/>
      <c r="I48" s="704"/>
      <c r="J48" s="705"/>
      <c r="K48" s="436"/>
      <c r="L48" s="146"/>
      <c r="M48" s="144"/>
      <c r="N48" s="96"/>
      <c r="O48" s="183">
        <v>1</v>
      </c>
      <c r="P48" s="144"/>
      <c r="Q48" s="206"/>
      <c r="R48" s="96"/>
    </row>
    <row r="49" spans="2:18" s="137" customFormat="1" x14ac:dyDescent="0.2">
      <c r="B49" s="184">
        <f t="shared" si="10"/>
        <v>2</v>
      </c>
      <c r="C49" s="695" t="s">
        <v>103</v>
      </c>
      <c r="D49" s="695"/>
      <c r="E49" s="695"/>
      <c r="F49" s="695"/>
      <c r="G49" s="695"/>
      <c r="H49" s="695"/>
      <c r="I49" s="695"/>
      <c r="J49" s="696"/>
      <c r="K49" s="436"/>
      <c r="N49" s="96"/>
      <c r="O49" s="186">
        <v>1</v>
      </c>
      <c r="P49" s="144"/>
      <c r="Q49" s="332"/>
      <c r="R49" s="96"/>
    </row>
    <row r="50" spans="2:18" s="137" customFormat="1" x14ac:dyDescent="0.2">
      <c r="B50" s="184">
        <f t="shared" si="10"/>
        <v>3</v>
      </c>
      <c r="C50" s="695" t="s">
        <v>220</v>
      </c>
      <c r="D50" s="695"/>
      <c r="E50" s="695"/>
      <c r="F50" s="695"/>
      <c r="G50" s="695"/>
      <c r="H50" s="695"/>
      <c r="I50" s="695"/>
      <c r="J50" s="696"/>
      <c r="K50" s="436"/>
      <c r="N50" s="96"/>
      <c r="O50" s="292">
        <v>1</v>
      </c>
      <c r="R50" s="96"/>
    </row>
    <row r="51" spans="2:18" s="146" customFormat="1" x14ac:dyDescent="0.2">
      <c r="B51" s="184">
        <f t="shared" si="10"/>
        <v>4</v>
      </c>
      <c r="C51" s="695" t="s">
        <v>221</v>
      </c>
      <c r="D51" s="695"/>
      <c r="E51" s="695"/>
      <c r="F51" s="695"/>
      <c r="G51" s="695"/>
      <c r="H51" s="695"/>
      <c r="I51" s="695"/>
      <c r="J51" s="696"/>
      <c r="K51" s="436"/>
      <c r="N51" s="96"/>
      <c r="O51" s="292">
        <v>1</v>
      </c>
      <c r="R51" s="96"/>
    </row>
    <row r="52" spans="2:18" s="146" customFormat="1" x14ac:dyDescent="0.2">
      <c r="B52" s="184">
        <f t="shared" si="10"/>
        <v>5</v>
      </c>
      <c r="C52" s="695" t="s">
        <v>222</v>
      </c>
      <c r="D52" s="695"/>
      <c r="E52" s="695"/>
      <c r="F52" s="695"/>
      <c r="G52" s="695"/>
      <c r="H52" s="695"/>
      <c r="I52" s="695"/>
      <c r="J52" s="696"/>
      <c r="K52" s="436"/>
      <c r="N52" s="96"/>
      <c r="O52" s="292">
        <v>1</v>
      </c>
      <c r="R52" s="96"/>
    </row>
    <row r="53" spans="2:18" s="146" customFormat="1" x14ac:dyDescent="0.2">
      <c r="B53" s="184">
        <f t="shared" si="10"/>
        <v>6</v>
      </c>
      <c r="C53" s="695" t="s">
        <v>223</v>
      </c>
      <c r="D53" s="695"/>
      <c r="E53" s="695"/>
      <c r="F53" s="695"/>
      <c r="G53" s="695"/>
      <c r="H53" s="695"/>
      <c r="I53" s="695"/>
      <c r="J53" s="696"/>
      <c r="K53" s="436"/>
      <c r="N53" s="96"/>
      <c r="O53" s="292">
        <v>1</v>
      </c>
      <c r="R53" s="96"/>
    </row>
    <row r="54" spans="2:18" ht="38.25" x14ac:dyDescent="0.2">
      <c r="B54" s="184">
        <f>B13</f>
        <v>7</v>
      </c>
      <c r="C54" s="695" t="s">
        <v>224</v>
      </c>
      <c r="D54" s="695"/>
      <c r="E54" s="695"/>
      <c r="F54" s="695"/>
      <c r="G54" s="695"/>
      <c r="H54" s="695"/>
      <c r="I54" s="695"/>
      <c r="J54" s="696"/>
      <c r="K54" s="436"/>
      <c r="O54" s="186" t="s">
        <v>98</v>
      </c>
    </row>
    <row r="55" spans="2:18" x14ac:dyDescent="0.2">
      <c r="B55" s="184">
        <f>B14</f>
        <v>8</v>
      </c>
      <c r="C55" s="695" t="s">
        <v>225</v>
      </c>
      <c r="D55" s="695"/>
      <c r="E55" s="695"/>
      <c r="F55" s="695"/>
      <c r="G55" s="695"/>
      <c r="H55" s="695"/>
      <c r="I55" s="695"/>
      <c r="J55" s="696"/>
      <c r="K55" s="436"/>
      <c r="O55" s="183">
        <v>1</v>
      </c>
    </row>
    <row r="56" spans="2:18" x14ac:dyDescent="0.2">
      <c r="B56" s="184">
        <f>B15</f>
        <v>9</v>
      </c>
      <c r="C56" s="695" t="s">
        <v>226</v>
      </c>
      <c r="D56" s="695"/>
      <c r="E56" s="695"/>
      <c r="F56" s="695"/>
      <c r="G56" s="695"/>
      <c r="H56" s="695"/>
      <c r="I56" s="695"/>
      <c r="J56" s="696"/>
      <c r="K56" s="436"/>
      <c r="O56" s="183">
        <v>1</v>
      </c>
    </row>
    <row r="57" spans="2:18" x14ac:dyDescent="0.2">
      <c r="B57" s="184">
        <f>B17</f>
        <v>10</v>
      </c>
      <c r="C57" s="695" t="s">
        <v>227</v>
      </c>
      <c r="D57" s="695"/>
      <c r="E57" s="695"/>
      <c r="F57" s="695"/>
      <c r="G57" s="695"/>
      <c r="H57" s="695"/>
      <c r="I57" s="695"/>
      <c r="J57" s="696"/>
      <c r="K57" s="436"/>
      <c r="O57" s="183">
        <v>1</v>
      </c>
    </row>
    <row r="58" spans="2:18" ht="25.5" x14ac:dyDescent="0.2">
      <c r="B58" s="184">
        <f>B18</f>
        <v>11</v>
      </c>
      <c r="C58" s="695" t="s">
        <v>228</v>
      </c>
      <c r="D58" s="695"/>
      <c r="E58" s="695"/>
      <c r="F58" s="695"/>
      <c r="G58" s="695"/>
      <c r="H58" s="695"/>
      <c r="I58" s="695"/>
      <c r="J58" s="696"/>
      <c r="K58" s="436"/>
      <c r="O58" s="186" t="s">
        <v>101</v>
      </c>
    </row>
    <row r="59" spans="2:18" x14ac:dyDescent="0.2">
      <c r="B59" s="184">
        <f>B19</f>
        <v>12</v>
      </c>
      <c r="C59" s="695" t="s">
        <v>229</v>
      </c>
      <c r="D59" s="695"/>
      <c r="E59" s="695"/>
      <c r="F59" s="695"/>
      <c r="G59" s="695"/>
      <c r="H59" s="695"/>
      <c r="I59" s="695"/>
      <c r="J59" s="696"/>
      <c r="K59" s="436"/>
      <c r="O59" s="183">
        <v>1</v>
      </c>
    </row>
    <row r="60" spans="2:18" x14ac:dyDescent="0.2">
      <c r="B60" s="184">
        <f t="shared" ref="B60:B65" si="11">B22</f>
        <v>13</v>
      </c>
      <c r="C60" s="695" t="s">
        <v>230</v>
      </c>
      <c r="D60" s="695"/>
      <c r="E60" s="695"/>
      <c r="F60" s="695"/>
      <c r="G60" s="695"/>
      <c r="H60" s="695"/>
      <c r="I60" s="695"/>
      <c r="J60" s="696"/>
      <c r="K60" s="436"/>
      <c r="O60" s="183">
        <v>1</v>
      </c>
    </row>
    <row r="61" spans="2:18" x14ac:dyDescent="0.2">
      <c r="B61" s="184">
        <f t="shared" si="11"/>
        <v>14</v>
      </c>
      <c r="C61" s="695" t="s">
        <v>231</v>
      </c>
      <c r="D61" s="695"/>
      <c r="E61" s="695"/>
      <c r="F61" s="695"/>
      <c r="G61" s="695"/>
      <c r="H61" s="695"/>
      <c r="I61" s="695"/>
      <c r="J61" s="696"/>
      <c r="K61" s="436"/>
      <c r="O61" s="183">
        <v>1</v>
      </c>
    </row>
    <row r="62" spans="2:18" x14ac:dyDescent="0.2">
      <c r="B62" s="184">
        <f t="shared" si="11"/>
        <v>15</v>
      </c>
      <c r="C62" s="695" t="s">
        <v>232</v>
      </c>
      <c r="D62" s="695"/>
      <c r="E62" s="695"/>
      <c r="F62" s="695"/>
      <c r="G62" s="695"/>
      <c r="H62" s="695"/>
      <c r="I62" s="695"/>
      <c r="J62" s="696"/>
      <c r="K62" s="436"/>
      <c r="O62" s="183">
        <v>1</v>
      </c>
    </row>
    <row r="63" spans="2:18" x14ac:dyDescent="0.2">
      <c r="B63" s="184">
        <f t="shared" si="11"/>
        <v>16</v>
      </c>
      <c r="C63" s="695" t="s">
        <v>233</v>
      </c>
      <c r="D63" s="695"/>
      <c r="E63" s="695"/>
      <c r="F63" s="695"/>
      <c r="G63" s="695"/>
      <c r="H63" s="695"/>
      <c r="I63" s="695"/>
      <c r="J63" s="696"/>
      <c r="K63" s="436"/>
      <c r="O63" s="183">
        <v>1</v>
      </c>
    </row>
    <row r="64" spans="2:18" ht="25.5" x14ac:dyDescent="0.2">
      <c r="B64" s="184">
        <f t="shared" si="11"/>
        <v>17</v>
      </c>
      <c r="C64" s="695" t="s">
        <v>234</v>
      </c>
      <c r="D64" s="695"/>
      <c r="E64" s="695"/>
      <c r="F64" s="695"/>
      <c r="G64" s="695"/>
      <c r="H64" s="695"/>
      <c r="I64" s="695"/>
      <c r="J64" s="696"/>
      <c r="K64" s="436"/>
      <c r="O64" s="186" t="s">
        <v>101</v>
      </c>
    </row>
    <row r="65" spans="2:15" x14ac:dyDescent="0.2">
      <c r="B65" s="184">
        <f t="shared" si="11"/>
        <v>18</v>
      </c>
      <c r="C65" s="695" t="s">
        <v>235</v>
      </c>
      <c r="D65" s="695"/>
      <c r="E65" s="695"/>
      <c r="F65" s="695"/>
      <c r="G65" s="695"/>
      <c r="H65" s="695"/>
      <c r="I65" s="695"/>
      <c r="J65" s="696"/>
      <c r="K65" s="436"/>
      <c r="O65" s="183">
        <v>1</v>
      </c>
    </row>
    <row r="66" spans="2:15" x14ac:dyDescent="0.2">
      <c r="B66" s="184">
        <f>B30</f>
        <v>19</v>
      </c>
      <c r="C66" s="695" t="s">
        <v>236</v>
      </c>
      <c r="D66" s="695"/>
      <c r="E66" s="695"/>
      <c r="F66" s="695"/>
      <c r="G66" s="695"/>
      <c r="H66" s="695"/>
      <c r="I66" s="695"/>
      <c r="J66" s="696"/>
      <c r="K66" s="436"/>
      <c r="O66" s="183">
        <v>1</v>
      </c>
    </row>
    <row r="67" spans="2:15" x14ac:dyDescent="0.2">
      <c r="B67" s="184">
        <f>B31</f>
        <v>20</v>
      </c>
      <c r="C67" s="695" t="s">
        <v>237</v>
      </c>
      <c r="D67" s="695"/>
      <c r="E67" s="695"/>
      <c r="F67" s="695"/>
      <c r="G67" s="695"/>
      <c r="H67" s="695"/>
      <c r="I67" s="695"/>
      <c r="J67" s="696"/>
      <c r="K67" s="436"/>
      <c r="O67" s="183">
        <v>1</v>
      </c>
    </row>
    <row r="68" spans="2:15" ht="14.45" customHeight="1" x14ac:dyDescent="0.2">
      <c r="B68" s="184">
        <f>B32</f>
        <v>21</v>
      </c>
      <c r="C68" s="695" t="s">
        <v>238</v>
      </c>
      <c r="D68" s="695"/>
      <c r="E68" s="695"/>
      <c r="F68" s="695"/>
      <c r="G68" s="695"/>
      <c r="H68" s="695"/>
      <c r="I68" s="695"/>
      <c r="J68" s="696"/>
      <c r="K68" s="436"/>
      <c r="O68" s="183">
        <v>1</v>
      </c>
    </row>
    <row r="69" spans="2:15" ht="24.6" customHeight="1" x14ac:dyDescent="0.2">
      <c r="B69" s="542">
        <f>B33</f>
        <v>22</v>
      </c>
      <c r="C69" s="695" t="s">
        <v>239</v>
      </c>
      <c r="D69" s="695"/>
      <c r="E69" s="695"/>
      <c r="F69" s="695"/>
      <c r="G69" s="695"/>
      <c r="H69" s="695"/>
      <c r="I69" s="695"/>
      <c r="J69" s="696"/>
      <c r="O69" s="186" t="s">
        <v>101</v>
      </c>
    </row>
    <row r="70" spans="2:15" ht="15" thickBot="1" x14ac:dyDescent="0.25">
      <c r="B70" s="185">
        <f>B34</f>
        <v>23</v>
      </c>
      <c r="C70" s="543" t="s">
        <v>240</v>
      </c>
      <c r="D70" s="544"/>
      <c r="E70" s="544"/>
      <c r="F70" s="544"/>
      <c r="G70" s="544"/>
      <c r="H70" s="544"/>
      <c r="I70" s="544"/>
      <c r="J70" s="545"/>
      <c r="O70" s="183">
        <v>1</v>
      </c>
    </row>
    <row r="71" spans="2:15" x14ac:dyDescent="0.2">
      <c r="O71" s="147"/>
    </row>
    <row r="72" spans="2:15" hidden="1" x14ac:dyDescent="0.2">
      <c r="O72" s="147"/>
    </row>
    <row r="73" spans="2:15" hidden="1" x14ac:dyDescent="0.2">
      <c r="O73" s="147"/>
    </row>
    <row r="74" spans="2:15" hidden="1" x14ac:dyDescent="0.2">
      <c r="O74" s="147"/>
    </row>
    <row r="75" spans="2:15" hidden="1" x14ac:dyDescent="0.2">
      <c r="O75" s="147"/>
    </row>
    <row r="76" spans="2:15" hidden="1" x14ac:dyDescent="0.2">
      <c r="O76" s="147"/>
    </row>
    <row r="77" spans="2:15" hidden="1" x14ac:dyDescent="0.2">
      <c r="O77" s="147"/>
    </row>
    <row r="78" spans="2:15" hidden="1" x14ac:dyDescent="0.2">
      <c r="O78" s="147"/>
    </row>
    <row r="79" spans="2:15" hidden="1" x14ac:dyDescent="0.2">
      <c r="O79" s="147"/>
    </row>
    <row r="80" spans="2:15" hidden="1" x14ac:dyDescent="0.2">
      <c r="O80" s="147"/>
    </row>
    <row r="81" spans="15:15" hidden="1" x14ac:dyDescent="0.2">
      <c r="O81" s="147"/>
    </row>
    <row r="82" spans="15:15" hidden="1" x14ac:dyDescent="0.2">
      <c r="O82" s="147"/>
    </row>
    <row r="83" spans="15:15" hidden="1" x14ac:dyDescent="0.2">
      <c r="O83" s="147"/>
    </row>
    <row r="84" spans="15:15" hidden="1" x14ac:dyDescent="0.2">
      <c r="O84" s="147"/>
    </row>
    <row r="85" spans="15:15" hidden="1" x14ac:dyDescent="0.2">
      <c r="O85" s="147"/>
    </row>
    <row r="86" spans="15:15" hidden="1" x14ac:dyDescent="0.2">
      <c r="O86" s="147"/>
    </row>
    <row r="87" spans="15:15" hidden="1" x14ac:dyDescent="0.2">
      <c r="O87" s="147"/>
    </row>
    <row r="88" spans="15:15" hidden="1" x14ac:dyDescent="0.2">
      <c r="O88" s="147"/>
    </row>
    <row r="89" spans="15:15" hidden="1" x14ac:dyDescent="0.2">
      <c r="O89" s="147"/>
    </row>
    <row r="90" spans="15:15" hidden="1" x14ac:dyDescent="0.2">
      <c r="O90" s="147"/>
    </row>
    <row r="91" spans="15:15" hidden="1" x14ac:dyDescent="0.2">
      <c r="O91" s="147"/>
    </row>
    <row r="92" spans="15:15" hidden="1" x14ac:dyDescent="0.2">
      <c r="O92" s="147"/>
    </row>
    <row r="93" spans="15:15" hidden="1" x14ac:dyDescent="0.2">
      <c r="O93" s="147"/>
    </row>
    <row r="94" spans="15:15" hidden="1" x14ac:dyDescent="0.2">
      <c r="O94" s="147"/>
    </row>
    <row r="95" spans="15:15" hidden="1" x14ac:dyDescent="0.2">
      <c r="O95" s="147"/>
    </row>
    <row r="96" spans="15:15" hidden="1" x14ac:dyDescent="0.2">
      <c r="O96" s="147"/>
    </row>
    <row r="97" spans="15:15" hidden="1" x14ac:dyDescent="0.2">
      <c r="O97" s="147"/>
    </row>
    <row r="98" spans="15:15" hidden="1" x14ac:dyDescent="0.2">
      <c r="O98" s="147"/>
    </row>
    <row r="99" spans="15:15" hidden="1" x14ac:dyDescent="0.2">
      <c r="O99" s="147"/>
    </row>
    <row r="100" spans="15:15" hidden="1" x14ac:dyDescent="0.2">
      <c r="O100" s="147"/>
    </row>
    <row r="101" spans="15:15" hidden="1" x14ac:dyDescent="0.2">
      <c r="O101" s="147"/>
    </row>
  </sheetData>
  <sheetProtection algorithmName="SHA-512" hashValue="MmvIb1WggJ+layX0g41C34Aid1W3CyG1wZ6we8aElDv2DsPZbcDfj65d/5EPlC2HIKGTqdelauQbqvzr+bR/CQ==" saltValue="4A21SPDJmQbMmI2kbNvGag==" spinCount="100000" sheet="1" objects="1" scenarios="1"/>
  <mergeCells count="31">
    <mergeCell ref="C50:J50"/>
    <mergeCell ref="B3:C4"/>
    <mergeCell ref="D3:D4"/>
    <mergeCell ref="E3:E4"/>
    <mergeCell ref="F3:F4"/>
    <mergeCell ref="G3:I3"/>
    <mergeCell ref="J3:J4"/>
    <mergeCell ref="L3:L4"/>
    <mergeCell ref="O4:Q4"/>
    <mergeCell ref="B36:C36"/>
    <mergeCell ref="C48:J48"/>
    <mergeCell ref="C49:J49"/>
    <mergeCell ref="C62:J62"/>
    <mergeCell ref="C51:J51"/>
    <mergeCell ref="C52:J52"/>
    <mergeCell ref="C53:J53"/>
    <mergeCell ref="C54:J54"/>
    <mergeCell ref="C55:J55"/>
    <mergeCell ref="C56:J56"/>
    <mergeCell ref="C57:J57"/>
    <mergeCell ref="C58:J58"/>
    <mergeCell ref="C59:J59"/>
    <mergeCell ref="C60:J60"/>
    <mergeCell ref="C61:J61"/>
    <mergeCell ref="C69:J69"/>
    <mergeCell ref="C63:J63"/>
    <mergeCell ref="C64:J64"/>
    <mergeCell ref="C65:J65"/>
    <mergeCell ref="C66:J66"/>
    <mergeCell ref="C67:J67"/>
    <mergeCell ref="C68:J68"/>
  </mergeCells>
  <conditionalFormatting sqref="L7:L34">
    <cfRule type="cellIs" dxfId="92" priority="1" operator="equal">
      <formula>0</formula>
    </cfRule>
  </conditionalFormatting>
  <printOptions horizontalCentered="1"/>
  <pageMargins left="0.39370078740157483" right="0.39370078740157483" top="0.78740157480314965" bottom="0.78740157480314965" header="0.31496062992125984" footer="0.31496062992125984"/>
  <pageSetup paperSize="8" scale="91"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52"/>
  <sheetViews>
    <sheetView showGridLines="0" zoomScaleNormal="100" workbookViewId="0">
      <selection activeCell="G27" sqref="G27"/>
    </sheetView>
  </sheetViews>
  <sheetFormatPr defaultColWidth="0" defaultRowHeight="14.25" zeroHeight="1" x14ac:dyDescent="0.2"/>
  <cols>
    <col min="1" max="1" width="1.625" style="95" customWidth="1"/>
    <col min="2" max="2" width="4.125" style="95" customWidth="1"/>
    <col min="3" max="3" width="38.125" style="95" customWidth="1"/>
    <col min="4" max="5" width="5.125" style="95" customWidth="1"/>
    <col min="6" max="9" width="12.5" style="95" customWidth="1"/>
    <col min="10" max="10" width="2.625" style="95" customWidth="1"/>
    <col min="11" max="11" width="18.875" style="95" bestFit="1" customWidth="1"/>
    <col min="12" max="12" width="1.625" style="95" customWidth="1"/>
    <col min="13" max="13" width="1.625" style="96" hidden="1" customWidth="1"/>
    <col min="14" max="17" width="5.625" style="95" hidden="1" customWidth="1"/>
    <col min="18" max="18" width="1.625" style="96" hidden="1" customWidth="1"/>
    <col min="19" max="22" width="8.875" style="95" hidden="1" customWidth="1"/>
    <col min="23" max="16384" width="8.125" style="95" hidden="1"/>
  </cols>
  <sheetData>
    <row r="1" spans="2:17" ht="20.25" x14ac:dyDescent="0.2">
      <c r="B1" s="91" t="s">
        <v>241</v>
      </c>
      <c r="C1" s="91"/>
      <c r="D1" s="91"/>
      <c r="E1" s="91"/>
      <c r="F1" s="91"/>
      <c r="G1" s="91"/>
      <c r="H1" s="91"/>
      <c r="I1" s="93" t="str">
        <f>Validation!B3</f>
        <v>Yorkshire Water</v>
      </c>
      <c r="J1" s="91"/>
      <c r="K1" s="94" t="s">
        <v>62</v>
      </c>
    </row>
    <row r="2" spans="2:17" ht="15" thickBot="1" x14ac:dyDescent="0.25">
      <c r="B2" s="98" t="s">
        <v>48</v>
      </c>
    </row>
    <row r="3" spans="2:17" ht="14.45" customHeight="1" x14ac:dyDescent="0.2">
      <c r="B3" s="708" t="s">
        <v>63</v>
      </c>
      <c r="C3" s="709"/>
      <c r="D3" s="712" t="s">
        <v>64</v>
      </c>
      <c r="E3" s="714" t="s">
        <v>65</v>
      </c>
      <c r="F3" s="742" t="s">
        <v>242</v>
      </c>
      <c r="G3" s="743"/>
      <c r="H3" s="743"/>
      <c r="I3" s="744"/>
      <c r="K3" s="699" t="s">
        <v>69</v>
      </c>
      <c r="N3" s="702" t="s">
        <v>73</v>
      </c>
      <c r="O3" s="702"/>
      <c r="P3" s="702"/>
      <c r="Q3" s="702"/>
    </row>
    <row r="4" spans="2:17" ht="14.45" customHeight="1" thickBot="1" x14ac:dyDescent="0.25">
      <c r="B4" s="710"/>
      <c r="C4" s="711"/>
      <c r="D4" s="713"/>
      <c r="E4" s="715"/>
      <c r="F4" s="104" t="s">
        <v>243</v>
      </c>
      <c r="G4" s="105" t="s">
        <v>244</v>
      </c>
      <c r="H4" s="105" t="s">
        <v>245</v>
      </c>
      <c r="I4" s="106" t="s">
        <v>246</v>
      </c>
      <c r="K4" s="701"/>
      <c r="L4" s="107"/>
      <c r="N4" s="702"/>
      <c r="O4" s="702"/>
      <c r="P4" s="702"/>
      <c r="Q4" s="702"/>
    </row>
    <row r="5" spans="2:17" ht="15" thickBot="1" x14ac:dyDescent="0.25">
      <c r="N5" s="112" t="s">
        <v>74</v>
      </c>
    </row>
    <row r="6" spans="2:17" ht="15" thickBot="1" x14ac:dyDescent="0.25">
      <c r="B6" s="113">
        <v>1</v>
      </c>
      <c r="C6" s="143" t="s">
        <v>247</v>
      </c>
      <c r="D6" s="115" t="s">
        <v>76</v>
      </c>
      <c r="E6" s="116">
        <v>3</v>
      </c>
      <c r="F6" s="639">
        <v>2009.6389999999999</v>
      </c>
      <c r="G6" s="660">
        <v>1115.6199999999999</v>
      </c>
      <c r="H6" s="660">
        <v>1374.489</v>
      </c>
      <c r="I6" s="219">
        <f xml:space="preserve"> SUM( F6:H6 )</f>
        <v>4499.7479999999996</v>
      </c>
      <c r="K6" s="29">
        <f xml:space="preserve"> IF( SUM( M6:R6 ) = 0, 0, $N$5 )</f>
        <v>0</v>
      </c>
      <c r="N6" s="120">
        <f xml:space="preserve"> IF( ISNUMBER( F6 ), 0, 1 )</f>
        <v>0</v>
      </c>
      <c r="O6" s="120">
        <f xml:space="preserve"> IF( ISNUMBER( G6 ), 0, 1 )</f>
        <v>0</v>
      </c>
      <c r="P6" s="120">
        <f xml:space="preserve"> IF( ISNUMBER( H6 ), 0, 1 )</f>
        <v>0</v>
      </c>
    </row>
    <row r="7" spans="2:17" x14ac:dyDescent="0.2">
      <c r="B7" s="121">
        <f xml:space="preserve"> B6 + 1</f>
        <v>2</v>
      </c>
      <c r="C7" s="114" t="s">
        <v>152</v>
      </c>
      <c r="D7" s="122" t="s">
        <v>76</v>
      </c>
      <c r="E7" s="123">
        <v>3</v>
      </c>
      <c r="I7" s="562">
        <v>0</v>
      </c>
      <c r="K7" s="29">
        <f t="shared" ref="K7:K10" si="0" xml:space="preserve"> IF( SUM( M7:R7 ) = 0, 0, $N$5 )</f>
        <v>0</v>
      </c>
      <c r="Q7" s="120">
        <f xml:space="preserve"> IF( ISNUMBER( I7 ), 0, 1 )</f>
        <v>0</v>
      </c>
    </row>
    <row r="8" spans="2:17" x14ac:dyDescent="0.2">
      <c r="B8" s="121">
        <f xml:space="preserve"> B7 + 1</f>
        <v>3</v>
      </c>
      <c r="C8" s="114" t="s">
        <v>248</v>
      </c>
      <c r="D8" s="122" t="s">
        <v>76</v>
      </c>
      <c r="E8" s="123">
        <v>3</v>
      </c>
      <c r="I8" s="273">
        <f xml:space="preserve"> I6 + I7</f>
        <v>4499.7479999999996</v>
      </c>
      <c r="K8" s="31"/>
    </row>
    <row r="9" spans="2:17" x14ac:dyDescent="0.2">
      <c r="B9" s="121">
        <f xml:space="preserve"> B8 + 1</f>
        <v>4</v>
      </c>
      <c r="C9" s="114" t="s">
        <v>249</v>
      </c>
      <c r="D9" s="122" t="s">
        <v>76</v>
      </c>
      <c r="E9" s="123">
        <v>3</v>
      </c>
      <c r="I9" s="562">
        <v>-8.2650000000000006</v>
      </c>
      <c r="K9" s="29">
        <f t="shared" si="0"/>
        <v>0</v>
      </c>
      <c r="Q9" s="120">
        <f xml:space="preserve"> IF( ISNUMBER( I9 ), 0, 1 )</f>
        <v>0</v>
      </c>
    </row>
    <row r="10" spans="2:17" x14ac:dyDescent="0.2">
      <c r="B10" s="121">
        <f xml:space="preserve"> B9 + 1</f>
        <v>5</v>
      </c>
      <c r="C10" s="114" t="s">
        <v>250</v>
      </c>
      <c r="D10" s="122" t="s">
        <v>76</v>
      </c>
      <c r="E10" s="123">
        <v>3</v>
      </c>
      <c r="I10" s="562">
        <v>-15.736000000000001</v>
      </c>
      <c r="K10" s="29">
        <f t="shared" si="0"/>
        <v>0</v>
      </c>
      <c r="Q10" s="120">
        <f xml:space="preserve"> IF( ISNUMBER( I10 ), 0, 1 )</f>
        <v>0</v>
      </c>
    </row>
    <row r="11" spans="2:17" ht="15" thickBot="1" x14ac:dyDescent="0.25">
      <c r="B11" s="128">
        <f xml:space="preserve">  B10 + 1</f>
        <v>6</v>
      </c>
      <c r="C11" s="129" t="s">
        <v>251</v>
      </c>
      <c r="D11" s="130" t="s">
        <v>76</v>
      </c>
      <c r="E11" s="127">
        <v>3</v>
      </c>
      <c r="I11" s="230">
        <f xml:space="preserve"> SUM( I8:I10 )</f>
        <v>4475.7469999999994</v>
      </c>
      <c r="K11" s="256"/>
    </row>
    <row r="12" spans="2:17" ht="15" thickBot="1" x14ac:dyDescent="0.25">
      <c r="K12" s="256"/>
    </row>
    <row r="13" spans="2:17" x14ac:dyDescent="0.2">
      <c r="B13" s="113">
        <f xml:space="preserve"> B11 + 1</f>
        <v>7</v>
      </c>
      <c r="C13" s="143" t="s">
        <v>252</v>
      </c>
      <c r="D13" s="115" t="s">
        <v>253</v>
      </c>
      <c r="E13" s="116">
        <v>2</v>
      </c>
      <c r="I13" s="530">
        <f xml:space="preserve"> IF( '4C'!F6 = 0, 0, I11 / '4C'!F6 * 100 )</f>
        <v>76.731975966927251</v>
      </c>
      <c r="K13" s="256"/>
    </row>
    <row r="14" spans="2:17" ht="15" thickBot="1" x14ac:dyDescent="0.25">
      <c r="B14" s="128">
        <f xml:space="preserve"> B13 + 1</f>
        <v>8</v>
      </c>
      <c r="C14" s="129" t="s">
        <v>254</v>
      </c>
      <c r="D14" s="130" t="s">
        <v>253</v>
      </c>
      <c r="E14" s="127">
        <v>2</v>
      </c>
      <c r="I14" s="564">
        <v>77.900000000000006</v>
      </c>
      <c r="K14" s="29">
        <f t="shared" ref="K14:K17" si="1" xml:space="preserve"> IF( SUM( M14:R14 ) = 0, 0, $N$5 )</f>
        <v>0</v>
      </c>
      <c r="Q14" s="120">
        <f xml:space="preserve"> IF( ISNUMBER( I14 ), 0, 1 )</f>
        <v>0</v>
      </c>
    </row>
    <row r="15" spans="2:17" ht="15" thickBot="1" x14ac:dyDescent="0.25">
      <c r="K15" s="256"/>
    </row>
    <row r="16" spans="2:17" x14ac:dyDescent="0.2">
      <c r="B16" s="113">
        <f xml:space="preserve"> B14 + 1</f>
        <v>9</v>
      </c>
      <c r="C16" s="143" t="s">
        <v>255</v>
      </c>
      <c r="D16" s="115" t="s">
        <v>76</v>
      </c>
      <c r="E16" s="116">
        <v>3</v>
      </c>
      <c r="F16" s="567">
        <v>124.25700000000001</v>
      </c>
      <c r="G16" s="579">
        <v>22.321999999999999</v>
      </c>
      <c r="H16" s="579">
        <v>104.875</v>
      </c>
      <c r="I16" s="219">
        <f xml:space="preserve"> SUM( F16:H16 )</f>
        <v>251.45400000000001</v>
      </c>
      <c r="K16" s="29">
        <f t="shared" si="1"/>
        <v>0</v>
      </c>
      <c r="N16" s="120">
        <f t="shared" ref="N16:P17" si="2" xml:space="preserve"> IF( ISNUMBER( F16 ), 0, 1 )</f>
        <v>0</v>
      </c>
      <c r="O16" s="120">
        <f t="shared" si="2"/>
        <v>0</v>
      </c>
      <c r="P16" s="120">
        <f t="shared" si="2"/>
        <v>0</v>
      </c>
    </row>
    <row r="17" spans="1:18" ht="15" thickBot="1" x14ac:dyDescent="0.25">
      <c r="B17" s="128">
        <f xml:space="preserve"> B16 + 1</f>
        <v>10</v>
      </c>
      <c r="C17" s="129" t="s">
        <v>256</v>
      </c>
      <c r="D17" s="130" t="s">
        <v>76</v>
      </c>
      <c r="E17" s="127">
        <v>3</v>
      </c>
      <c r="F17" s="661">
        <v>124.221</v>
      </c>
      <c r="G17" s="662">
        <v>22.321999999999999</v>
      </c>
      <c r="H17" s="662">
        <v>62.459000000000003</v>
      </c>
      <c r="I17" s="225">
        <f xml:space="preserve"> SUM( F17:H17 )</f>
        <v>209.00200000000001</v>
      </c>
      <c r="K17" s="29">
        <f t="shared" si="1"/>
        <v>0</v>
      </c>
      <c r="N17" s="120">
        <f t="shared" si="2"/>
        <v>0</v>
      </c>
      <c r="O17" s="120">
        <f t="shared" si="2"/>
        <v>0</v>
      </c>
      <c r="P17" s="120">
        <f t="shared" si="2"/>
        <v>0</v>
      </c>
    </row>
    <row r="18" spans="1:18" ht="15" thickBot="1" x14ac:dyDescent="0.25">
      <c r="K18" s="256"/>
    </row>
    <row r="19" spans="1:18" ht="15" thickBot="1" x14ac:dyDescent="0.25">
      <c r="B19" s="745" t="s">
        <v>257</v>
      </c>
      <c r="C19" s="746"/>
      <c r="K19" s="256"/>
    </row>
    <row r="20" spans="1:18" x14ac:dyDescent="0.2">
      <c r="B20" s="113">
        <f xml:space="preserve"> B17 + 1</f>
        <v>11</v>
      </c>
      <c r="C20" s="143" t="s">
        <v>258</v>
      </c>
      <c r="D20" s="115" t="s">
        <v>253</v>
      </c>
      <c r="E20" s="244">
        <v>2</v>
      </c>
      <c r="F20" s="663">
        <v>6.05</v>
      </c>
      <c r="G20" s="664">
        <v>-10.220000000000001</v>
      </c>
      <c r="H20" s="664">
        <v>3.94</v>
      </c>
      <c r="I20" s="665">
        <v>5.59</v>
      </c>
      <c r="K20" s="29">
        <f t="shared" ref="K20:K21" si="3" xml:space="preserve"> IF( SUM( M20:R20 ) = 0, 0, $N$5 )</f>
        <v>0</v>
      </c>
      <c r="N20" s="120">
        <f xml:space="preserve"> IF( ISNUMBER( F20 ), 0, 1 )</f>
        <v>0</v>
      </c>
      <c r="O20" s="120">
        <f t="shared" ref="O20:Q21" si="4" xml:space="preserve"> IF( ISNUMBER( G20 ), 0, 1 )</f>
        <v>0</v>
      </c>
      <c r="P20" s="120">
        <f t="shared" si="4"/>
        <v>0</v>
      </c>
      <c r="Q20" s="120">
        <f t="shared" si="4"/>
        <v>0</v>
      </c>
    </row>
    <row r="21" spans="1:18" ht="15" thickBot="1" x14ac:dyDescent="0.25">
      <c r="B21" s="203">
        <f xml:space="preserve"> B20 + 1</f>
        <v>12</v>
      </c>
      <c r="C21" s="531" t="s">
        <v>259</v>
      </c>
      <c r="D21" s="204" t="s">
        <v>253</v>
      </c>
      <c r="E21" s="532">
        <v>2</v>
      </c>
      <c r="F21" s="666">
        <v>6.05</v>
      </c>
      <c r="G21" s="667">
        <v>-10.220000000000001</v>
      </c>
      <c r="H21" s="667">
        <v>2.35</v>
      </c>
      <c r="I21" s="668">
        <v>4.6399999999999997</v>
      </c>
      <c r="K21" s="29">
        <f t="shared" si="3"/>
        <v>0</v>
      </c>
      <c r="N21" s="120">
        <f xml:space="preserve"> IF( ISNUMBER( F21 ), 0, 1 )</f>
        <v>0</v>
      </c>
      <c r="O21" s="120">
        <f t="shared" si="4"/>
        <v>0</v>
      </c>
      <c r="P21" s="120">
        <f t="shared" si="4"/>
        <v>0</v>
      </c>
      <c r="Q21" s="120">
        <f t="shared" si="4"/>
        <v>0</v>
      </c>
    </row>
    <row r="22" spans="1:18" s="137" customFormat="1" x14ac:dyDescent="0.2">
      <c r="C22" s="174"/>
      <c r="G22" s="187"/>
      <c r="I22" s="144"/>
      <c r="J22" s="144"/>
      <c r="K22" s="146"/>
      <c r="L22" s="144"/>
      <c r="M22" s="96"/>
      <c r="N22" s="146"/>
      <c r="O22" s="144"/>
      <c r="P22" s="332"/>
      <c r="R22" s="96"/>
    </row>
    <row r="23" spans="1:18" s="187" customFormat="1" ht="13.5" x14ac:dyDescent="0.2">
      <c r="B23" s="703" t="s">
        <v>90</v>
      </c>
      <c r="C23" s="703"/>
      <c r="I23" s="150"/>
      <c r="J23" s="150"/>
      <c r="K23" s="150"/>
      <c r="L23" s="150"/>
      <c r="M23" s="148"/>
      <c r="N23" s="150"/>
      <c r="O23" s="150"/>
      <c r="P23" s="232"/>
      <c r="R23" s="148"/>
    </row>
    <row r="24" spans="1:18" s="187" customFormat="1" ht="12" x14ac:dyDescent="0.2">
      <c r="B24" s="162"/>
      <c r="C24" s="163"/>
      <c r="I24" s="150"/>
      <c r="J24" s="150"/>
      <c r="K24" s="150"/>
      <c r="L24" s="150"/>
      <c r="M24" s="145"/>
      <c r="N24" s="150"/>
      <c r="O24" s="150"/>
      <c r="P24" s="232"/>
      <c r="R24" s="145"/>
    </row>
    <row r="25" spans="1:18" s="187" customFormat="1" ht="12" x14ac:dyDescent="0.2">
      <c r="B25" s="30"/>
      <c r="C25" s="164" t="s">
        <v>91</v>
      </c>
      <c r="I25" s="150"/>
      <c r="J25" s="150"/>
      <c r="K25" s="150"/>
      <c r="L25" s="150"/>
      <c r="M25" s="145"/>
      <c r="N25" s="150"/>
      <c r="O25" s="150"/>
      <c r="P25" s="232"/>
      <c r="R25" s="145"/>
    </row>
    <row r="26" spans="1:18" s="187" customFormat="1" ht="12" x14ac:dyDescent="0.2">
      <c r="B26" s="162"/>
      <c r="C26" s="163"/>
      <c r="I26" s="150"/>
      <c r="J26" s="150"/>
      <c r="K26" s="150"/>
      <c r="L26" s="150"/>
      <c r="M26" s="145"/>
      <c r="N26" s="150"/>
      <c r="O26" s="150"/>
      <c r="P26" s="232"/>
      <c r="R26" s="145"/>
    </row>
    <row r="27" spans="1:18" s="187" customFormat="1" ht="12" x14ac:dyDescent="0.2">
      <c r="B27" s="165"/>
      <c r="C27" s="164" t="s">
        <v>92</v>
      </c>
      <c r="I27" s="150"/>
      <c r="J27" s="150"/>
      <c r="K27" s="150"/>
      <c r="L27" s="150"/>
      <c r="M27" s="145"/>
      <c r="N27" s="150"/>
      <c r="O27" s="150"/>
      <c r="P27" s="232"/>
      <c r="R27" s="145"/>
    </row>
    <row r="28" spans="1:18" s="187" customFormat="1" ht="12" x14ac:dyDescent="0.2">
      <c r="B28" s="166"/>
      <c r="C28" s="164"/>
      <c r="I28" s="150"/>
      <c r="J28" s="150"/>
      <c r="K28" s="150"/>
      <c r="L28" s="150"/>
      <c r="M28" s="145"/>
      <c r="N28" s="150"/>
      <c r="O28" s="150"/>
      <c r="P28" s="232"/>
      <c r="R28" s="145"/>
    </row>
    <row r="29" spans="1:18" s="187" customFormat="1" ht="12" x14ac:dyDescent="0.2">
      <c r="B29" s="167"/>
      <c r="C29" s="164" t="s">
        <v>93</v>
      </c>
      <c r="I29" s="150"/>
      <c r="J29" s="150"/>
      <c r="K29" s="150"/>
      <c r="L29" s="150"/>
      <c r="M29" s="145"/>
      <c r="N29" s="150"/>
      <c r="O29" s="150"/>
      <c r="P29" s="232"/>
      <c r="R29" s="145"/>
    </row>
    <row r="30" spans="1:18" s="206" customFormat="1" ht="12.75" x14ac:dyDescent="0.2">
      <c r="A30" s="172"/>
      <c r="B30" s="172"/>
      <c r="C30" s="173"/>
      <c r="I30" s="153"/>
      <c r="J30" s="153"/>
      <c r="K30" s="150"/>
      <c r="L30" s="150"/>
      <c r="M30" s="145"/>
      <c r="N30" s="150"/>
      <c r="O30" s="150"/>
      <c r="P30" s="376"/>
      <c r="R30" s="145"/>
    </row>
    <row r="31" spans="1:18" s="206" customFormat="1" ht="13.5" thickBot="1" x14ac:dyDescent="0.25">
      <c r="C31" s="207"/>
      <c r="I31" s="153"/>
      <c r="J31" s="153"/>
      <c r="K31" s="150"/>
      <c r="L31" s="150"/>
      <c r="M31" s="145"/>
      <c r="N31" s="150"/>
      <c r="O31" s="150"/>
      <c r="P31" s="376"/>
      <c r="R31" s="145"/>
    </row>
    <row r="32" spans="1:18" s="137" customFormat="1" ht="21" thickBot="1" x14ac:dyDescent="0.25">
      <c r="B32" s="168" t="str">
        <f ca="1" xml:space="preserve"> RIGHT(CELL("filename", $A$1), LEN(CELL("filename", $A$1)) - SEARCH("]", CELL("filename", $A$1)))&amp;" - Line definitions"</f>
        <v>1E - Line definitions</v>
      </c>
      <c r="C32" s="169"/>
      <c r="D32" s="170"/>
      <c r="E32" s="170"/>
      <c r="F32" s="170"/>
      <c r="G32" s="170"/>
      <c r="H32" s="170"/>
      <c r="I32" s="176"/>
      <c r="J32" s="144"/>
      <c r="K32" s="146"/>
      <c r="L32" s="144"/>
      <c r="M32" s="145"/>
      <c r="N32" s="146"/>
      <c r="O32" s="144"/>
      <c r="P32" s="332"/>
      <c r="R32" s="145"/>
    </row>
    <row r="33" spans="2:18" s="137" customFormat="1" ht="15" thickBot="1" x14ac:dyDescent="0.25">
      <c r="B33" s="99"/>
      <c r="C33" s="177"/>
      <c r="D33" s="99"/>
      <c r="E33" s="99"/>
      <c r="F33" s="99"/>
      <c r="I33" s="144"/>
      <c r="J33" s="144"/>
      <c r="K33" s="146"/>
      <c r="L33" s="144"/>
      <c r="M33" s="148"/>
      <c r="O33" s="144"/>
      <c r="P33" s="332"/>
      <c r="R33" s="148"/>
    </row>
    <row r="34" spans="2:18" s="206" customFormat="1" thickBot="1" x14ac:dyDescent="0.25">
      <c r="B34" s="490" t="s">
        <v>94</v>
      </c>
      <c r="C34" s="491" t="s">
        <v>95</v>
      </c>
      <c r="D34" s="492"/>
      <c r="E34" s="492"/>
      <c r="F34" s="492"/>
      <c r="G34" s="492"/>
      <c r="H34" s="492"/>
      <c r="I34" s="493"/>
      <c r="J34" s="433"/>
      <c r="K34" s="153"/>
      <c r="L34" s="144"/>
      <c r="M34" s="148"/>
      <c r="N34" s="112" t="s">
        <v>96</v>
      </c>
      <c r="O34" s="144"/>
      <c r="R34" s="148"/>
    </row>
    <row r="35" spans="2:18" s="137" customFormat="1" ht="165.75" x14ac:dyDescent="0.2">
      <c r="B35" s="209">
        <v>1</v>
      </c>
      <c r="C35" s="747" t="s">
        <v>260</v>
      </c>
      <c r="D35" s="748"/>
      <c r="E35" s="748"/>
      <c r="F35" s="748"/>
      <c r="G35" s="748"/>
      <c r="H35" s="748"/>
      <c r="I35" s="749"/>
      <c r="J35" s="436"/>
      <c r="K35" s="146"/>
      <c r="L35" s="144"/>
      <c r="M35" s="148"/>
      <c r="N35" s="186" t="s">
        <v>261</v>
      </c>
      <c r="O35" s="144"/>
      <c r="P35" s="332"/>
      <c r="R35" s="148"/>
    </row>
    <row r="36" spans="2:18" s="137" customFormat="1" x14ac:dyDescent="0.2">
      <c r="B36" s="184">
        <v>2</v>
      </c>
      <c r="C36" s="736" t="s">
        <v>187</v>
      </c>
      <c r="D36" s="737"/>
      <c r="E36" s="737"/>
      <c r="F36" s="737"/>
      <c r="G36" s="737"/>
      <c r="H36" s="737"/>
      <c r="I36" s="738"/>
      <c r="J36" s="436"/>
      <c r="M36" s="148"/>
      <c r="N36" s="292">
        <v>1</v>
      </c>
      <c r="R36" s="148"/>
    </row>
    <row r="37" spans="2:18" s="137" customFormat="1" x14ac:dyDescent="0.2">
      <c r="B37" s="184">
        <v>3</v>
      </c>
      <c r="C37" s="736" t="s">
        <v>262</v>
      </c>
      <c r="D37" s="737"/>
      <c r="E37" s="737"/>
      <c r="F37" s="737"/>
      <c r="G37" s="737"/>
      <c r="H37" s="737"/>
      <c r="I37" s="738"/>
      <c r="J37" s="436"/>
      <c r="M37" s="148"/>
      <c r="N37" s="292">
        <v>1</v>
      </c>
      <c r="R37" s="148"/>
    </row>
    <row r="38" spans="2:18" s="146" customFormat="1" x14ac:dyDescent="0.2">
      <c r="B38" s="184">
        <v>4</v>
      </c>
      <c r="C38" s="736" t="s">
        <v>263</v>
      </c>
      <c r="D38" s="737"/>
      <c r="E38" s="737"/>
      <c r="F38" s="737"/>
      <c r="G38" s="737"/>
      <c r="H38" s="737"/>
      <c r="I38" s="738"/>
      <c r="J38" s="436"/>
      <c r="M38" s="148"/>
      <c r="N38" s="292">
        <v>1</v>
      </c>
      <c r="R38" s="148"/>
    </row>
    <row r="39" spans="2:18" s="146" customFormat="1" x14ac:dyDescent="0.2">
      <c r="B39" s="184">
        <v>5</v>
      </c>
      <c r="C39" s="736" t="s">
        <v>264</v>
      </c>
      <c r="D39" s="737"/>
      <c r="E39" s="737"/>
      <c r="F39" s="737"/>
      <c r="G39" s="737"/>
      <c r="H39" s="737"/>
      <c r="I39" s="738"/>
      <c r="J39" s="436"/>
      <c r="M39" s="148"/>
      <c r="N39" s="292">
        <v>1</v>
      </c>
      <c r="R39" s="148"/>
    </row>
    <row r="40" spans="2:18" s="146" customFormat="1" x14ac:dyDescent="0.2">
      <c r="B40" s="184">
        <v>6</v>
      </c>
      <c r="C40" s="736" t="s">
        <v>265</v>
      </c>
      <c r="D40" s="737"/>
      <c r="E40" s="737"/>
      <c r="F40" s="737"/>
      <c r="G40" s="737"/>
      <c r="H40" s="737"/>
      <c r="I40" s="738"/>
      <c r="J40" s="436"/>
      <c r="M40" s="148"/>
      <c r="N40" s="292">
        <v>1</v>
      </c>
      <c r="R40" s="148"/>
    </row>
    <row r="41" spans="2:18" x14ac:dyDescent="0.2">
      <c r="B41" s="184">
        <v>7</v>
      </c>
      <c r="C41" s="736" t="s">
        <v>266</v>
      </c>
      <c r="D41" s="737"/>
      <c r="E41" s="737"/>
      <c r="F41" s="737"/>
      <c r="G41" s="737"/>
      <c r="H41" s="737"/>
      <c r="I41" s="738"/>
      <c r="J41" s="436"/>
      <c r="M41" s="148"/>
      <c r="N41" s="183">
        <v>1</v>
      </c>
      <c r="R41" s="148"/>
    </row>
    <row r="42" spans="2:18" ht="38.25" x14ac:dyDescent="0.2">
      <c r="B42" s="184">
        <v>8</v>
      </c>
      <c r="C42" s="736" t="s">
        <v>267</v>
      </c>
      <c r="D42" s="737"/>
      <c r="E42" s="737"/>
      <c r="F42" s="737"/>
      <c r="G42" s="737"/>
      <c r="H42" s="737"/>
      <c r="I42" s="738"/>
      <c r="J42" s="436"/>
      <c r="N42" s="186" t="s">
        <v>98</v>
      </c>
    </row>
    <row r="43" spans="2:18" ht="293.25" x14ac:dyDescent="0.2">
      <c r="B43" s="184">
        <v>9</v>
      </c>
      <c r="C43" s="736" t="s">
        <v>268</v>
      </c>
      <c r="D43" s="737"/>
      <c r="E43" s="737"/>
      <c r="F43" s="737"/>
      <c r="G43" s="737"/>
      <c r="H43" s="737"/>
      <c r="I43" s="738"/>
      <c r="J43" s="436"/>
      <c r="N43" s="186" t="s">
        <v>269</v>
      </c>
    </row>
    <row r="44" spans="2:18" ht="76.5" x14ac:dyDescent="0.2">
      <c r="B44" s="184">
        <v>10</v>
      </c>
      <c r="C44" s="736" t="s">
        <v>270</v>
      </c>
      <c r="D44" s="737"/>
      <c r="E44" s="737"/>
      <c r="F44" s="737"/>
      <c r="G44" s="737"/>
      <c r="H44" s="737"/>
      <c r="I44" s="738"/>
      <c r="J44" s="436"/>
      <c r="N44" s="186" t="s">
        <v>271</v>
      </c>
    </row>
    <row r="45" spans="2:18" ht="25.5" x14ac:dyDescent="0.2">
      <c r="B45" s="184">
        <v>11</v>
      </c>
      <c r="C45" s="736" t="s">
        <v>272</v>
      </c>
      <c r="D45" s="737"/>
      <c r="E45" s="737"/>
      <c r="F45" s="737"/>
      <c r="G45" s="737"/>
      <c r="H45" s="737"/>
      <c r="I45" s="738"/>
      <c r="J45" s="436"/>
      <c r="N45" s="186" t="s">
        <v>101</v>
      </c>
    </row>
    <row r="46" spans="2:18" ht="26.25" thickBot="1" x14ac:dyDescent="0.25">
      <c r="B46" s="211">
        <v>12</v>
      </c>
      <c r="C46" s="739" t="s">
        <v>273</v>
      </c>
      <c r="D46" s="740"/>
      <c r="E46" s="740"/>
      <c r="F46" s="740"/>
      <c r="G46" s="740"/>
      <c r="H46" s="740"/>
      <c r="I46" s="741"/>
      <c r="J46" s="436"/>
      <c r="N46" s="186" t="s">
        <v>101</v>
      </c>
    </row>
    <row r="47" spans="2:18" x14ac:dyDescent="0.2">
      <c r="N47" s="147"/>
    </row>
    <row r="48" spans="2:18" hidden="1" x14ac:dyDescent="0.2">
      <c r="N48" s="147"/>
    </row>
    <row r="49" spans="14:14" hidden="1" x14ac:dyDescent="0.2">
      <c r="N49" s="147"/>
    </row>
    <row r="50" spans="14:14" hidden="1" x14ac:dyDescent="0.2">
      <c r="N50" s="147"/>
    </row>
    <row r="51" spans="14:14" hidden="1" x14ac:dyDescent="0.2">
      <c r="N51" s="147"/>
    </row>
    <row r="52" spans="14:14" hidden="1" x14ac:dyDescent="0.2">
      <c r="N52" s="147"/>
    </row>
  </sheetData>
  <sheetProtection algorithmName="SHA-512" hashValue="GAyN/M+DnyYwixO2tBg3V9a9mjIfylX/RENQYXdx/AfN+y+9wbSp9H3b1AkCiIJ57NwLan++SfqCkoNNEw3cIQ==" saltValue="4OA0D9n3XpaNB+3dIjmcOw==" spinCount="100000" sheet="1" objects="1" scenarios="1"/>
  <mergeCells count="20">
    <mergeCell ref="K3:K4"/>
    <mergeCell ref="N3:Q4"/>
    <mergeCell ref="C38:I38"/>
    <mergeCell ref="B3:C4"/>
    <mergeCell ref="D3:D4"/>
    <mergeCell ref="E3:E4"/>
    <mergeCell ref="F3:I3"/>
    <mergeCell ref="B19:C19"/>
    <mergeCell ref="B23:C23"/>
    <mergeCell ref="C35:I35"/>
    <mergeCell ref="C36:I36"/>
    <mergeCell ref="C37:I37"/>
    <mergeCell ref="C45:I45"/>
    <mergeCell ref="C46:I46"/>
    <mergeCell ref="C39:I39"/>
    <mergeCell ref="C40:I40"/>
    <mergeCell ref="C41:I41"/>
    <mergeCell ref="C42:I42"/>
    <mergeCell ref="C43:I43"/>
    <mergeCell ref="C44:I44"/>
  </mergeCells>
  <conditionalFormatting sqref="K6:K10">
    <cfRule type="cellIs" dxfId="91" priority="4" operator="equal">
      <formula>0</formula>
    </cfRule>
  </conditionalFormatting>
  <conditionalFormatting sqref="K14">
    <cfRule type="cellIs" dxfId="90" priority="3" operator="equal">
      <formula>0</formula>
    </cfRule>
  </conditionalFormatting>
  <conditionalFormatting sqref="K16:K17">
    <cfRule type="cellIs" dxfId="89" priority="2" operator="equal">
      <formula>0</formula>
    </cfRule>
  </conditionalFormatting>
  <conditionalFormatting sqref="K20:K21">
    <cfRule type="cellIs" dxfId="88" priority="1" operator="equal">
      <formula>0</formula>
    </cfRule>
  </conditionalFormatting>
  <printOptions horizontalCentered="1"/>
  <pageMargins left="0.39370078740157483" right="0.39370078740157483" top="0.78740157480314965" bottom="0.78740157480314965" header="0.31496062992125984" footer="0.31496062992125984"/>
  <pageSetup paperSize="8" fitToHeight="0" orientation="portrait" r:id="rId1"/>
  <headerFooter>
    <oddHeader>&amp;L&amp;9&amp;K857362Page &amp;P of &amp;N&amp;C&amp;9 &amp;K8573622016 annual performance report tables (Jan 2016)&amp;R&amp;9&amp;G</oddHeader>
    <oddFooter>&amp;L&amp;9&amp;K857362&amp;A&amp;R&amp;9&amp;K857362Printed: &amp;D &amp;T</oddFooter>
  </headerFooter>
  <rowBreaks count="1" manualBreakCount="1">
    <brk id="31" max="21"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C2D776FD421048BBCD3E32F8A2EED1" ma:contentTypeVersion="11" ma:contentTypeDescription="Create a new document." ma:contentTypeScope="" ma:versionID="f6b2b7be7fb66997ad3f4cb6ef441ea0">
  <xsd:schema xmlns:xsd="http://www.w3.org/2001/XMLSchema" xmlns:xs="http://www.w3.org/2001/XMLSchema" xmlns:p="http://schemas.microsoft.com/office/2006/metadata/properties" xmlns:ns2="1f7dbc3c-4cfd-4668-b4f1-62c2182dd93b" xmlns:ns3="6968f469-3245-46c0-969d-52423cde7f6d" targetNamespace="http://schemas.microsoft.com/office/2006/metadata/properties" ma:root="true" ma:fieldsID="5a0fd82e69ef7345082ee575c8884ced" ns2:_="" ns3:_="">
    <xsd:import namespace="1f7dbc3c-4cfd-4668-b4f1-62c2182dd93b"/>
    <xsd:import namespace="6968f469-3245-46c0-969d-52423cde7f6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dbc3c-4cfd-4668-b4f1-62c2182dd9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968f469-3245-46c0-969d-52423cde7f6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8E524C-FE7E-4278-959D-9AA7044746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dbc3c-4cfd-4668-b4f1-62c2182dd93b"/>
    <ds:schemaRef ds:uri="6968f469-3245-46c0-969d-52423cde7f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847B0D-C367-432E-82BD-FF8287674342}">
  <ds:schemaRefs>
    <ds:schemaRef ds:uri="http://schemas.microsoft.com/office/2006/documentManagement/types"/>
    <ds:schemaRef ds:uri="http://www.w3.org/XML/1998/namespace"/>
    <ds:schemaRef ds:uri="http://schemas.microsoft.com/office/2006/metadata/properties"/>
    <ds:schemaRef ds:uri="http://purl.org/dc/terms/"/>
    <ds:schemaRef ds:uri="http://purl.org/dc/dcmitype/"/>
    <ds:schemaRef ds:uri="1f7dbc3c-4cfd-4668-b4f1-62c2182dd93b"/>
    <ds:schemaRef ds:uri="http://schemas.microsoft.com/office/infopath/2007/PartnerControls"/>
    <ds:schemaRef ds:uri="http://schemas.openxmlformats.org/package/2006/metadata/core-properties"/>
    <ds:schemaRef ds:uri="6968f469-3245-46c0-969d-52423cde7f6d"/>
    <ds:schemaRef ds:uri="http://purl.org/dc/elements/1.1/"/>
  </ds:schemaRefs>
</ds:datastoreItem>
</file>

<file path=customXml/itemProps3.xml><?xml version="1.0" encoding="utf-8"?>
<ds:datastoreItem xmlns:ds="http://schemas.openxmlformats.org/officeDocument/2006/customXml" ds:itemID="{2C97DB2A-220A-4EA7-B92F-D6AAE9EA59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36</vt:i4>
      </vt:variant>
      <vt:variant>
        <vt:lpstr>Named Ranges</vt:lpstr>
      </vt:variant>
      <vt:variant>
        <vt:i4>25</vt:i4>
      </vt:variant>
    </vt:vector>
  </HeadingPairs>
  <TitlesOfParts>
    <vt:vector size="61" baseType="lpstr">
      <vt:lpstr>Change log</vt:lpstr>
      <vt:lpstr>Introduction</vt:lpstr>
      <vt:lpstr>Validation</vt:lpstr>
      <vt:lpstr>Section 1 -&gt;</vt:lpstr>
      <vt:lpstr>1A</vt:lpstr>
      <vt:lpstr>1B</vt:lpstr>
      <vt:lpstr>1C</vt:lpstr>
      <vt:lpstr>1D</vt:lpstr>
      <vt:lpstr>1E</vt:lpstr>
      <vt:lpstr>Section 2 -&gt;</vt:lpstr>
      <vt:lpstr>2A</vt:lpstr>
      <vt:lpstr>2B</vt:lpstr>
      <vt:lpstr>2C</vt:lpstr>
      <vt:lpstr>2D</vt:lpstr>
      <vt:lpstr>2E</vt:lpstr>
      <vt:lpstr>2F</vt:lpstr>
      <vt:lpstr>2G</vt:lpstr>
      <vt:lpstr>2H</vt:lpstr>
      <vt:lpstr>2I</vt:lpstr>
      <vt:lpstr>Section 3 -&gt;</vt:lpstr>
      <vt:lpstr>3A</vt:lpstr>
      <vt:lpstr>Section 4 -&gt;</vt:lpstr>
      <vt:lpstr>4A</vt:lpstr>
      <vt:lpstr>4B</vt:lpstr>
      <vt:lpstr>4C</vt:lpstr>
      <vt:lpstr>4D</vt:lpstr>
      <vt:lpstr>4E</vt:lpstr>
      <vt:lpstr>4F</vt:lpstr>
      <vt:lpstr>4G</vt:lpstr>
      <vt:lpstr>4H</vt:lpstr>
      <vt:lpstr>4I</vt:lpstr>
      <vt:lpstr>Lists</vt:lpstr>
      <vt:lpstr>PC LIST</vt:lpstr>
      <vt:lpstr>PC list edited</vt:lpstr>
      <vt:lpstr>Water</vt:lpstr>
      <vt:lpstr>Sewerage</vt:lpstr>
      <vt:lpstr>'1A'!Print_Area</vt:lpstr>
      <vt:lpstr>'1B'!Print_Area</vt:lpstr>
      <vt:lpstr>'1C'!Print_Area</vt:lpstr>
      <vt:lpstr>'1D'!Print_Area</vt:lpstr>
      <vt:lpstr>'1E'!Print_Area</vt:lpstr>
      <vt:lpstr>'2A'!Print_Area</vt:lpstr>
      <vt:lpstr>'2B'!Print_Area</vt:lpstr>
      <vt:lpstr>'2C'!Print_Area</vt:lpstr>
      <vt:lpstr>'2D'!Print_Area</vt:lpstr>
      <vt:lpstr>'2E'!Print_Area</vt:lpstr>
      <vt:lpstr>'2F'!Print_Area</vt:lpstr>
      <vt:lpstr>'2G'!Print_Area</vt:lpstr>
      <vt:lpstr>'2H'!Print_Area</vt:lpstr>
      <vt:lpstr>'2I'!Print_Area</vt:lpstr>
      <vt:lpstr>'3A'!Print_Area</vt:lpstr>
      <vt:lpstr>'4A'!Print_Area</vt:lpstr>
      <vt:lpstr>'4B'!Print_Area</vt:lpstr>
      <vt:lpstr>'4C'!Print_Area</vt:lpstr>
      <vt:lpstr>'4D'!Print_Area</vt:lpstr>
      <vt:lpstr>'4E'!Print_Area</vt:lpstr>
      <vt:lpstr>'4F'!Print_Area</vt:lpstr>
      <vt:lpstr>'4G'!Print_Area</vt:lpstr>
      <vt:lpstr>'4H'!Print_Area</vt:lpstr>
      <vt:lpstr>'4I'!Print_Area</vt:lpstr>
      <vt:lpstr>'Change log'!Print_Area</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Dawn Harrison</dc:creator>
  <cp:keywords/>
  <dc:description/>
  <cp:lastModifiedBy>Paulo Lewandowski</cp:lastModifiedBy>
  <cp:revision/>
  <dcterms:created xsi:type="dcterms:W3CDTF">2015-12-15T13:07:42Z</dcterms:created>
  <dcterms:modified xsi:type="dcterms:W3CDTF">2026-03-25T09:14:47Z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0x01010034C2D776FD421048BBCD3E32F8A2EED1</vt:lpwstr>
  </property>
  <property fmtid="{D5CDD505-2E9C-101B-9397-08002B2CF9AE}" pid="3" name="Order">
    <vt:r8>50700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SIP_Label_d04dfc70-0289-4bbf-a1df-2e48919102f8_Enabled">
    <vt:lpwstr>true</vt:lpwstr>
  </property>
  <property fmtid="{D5CDD505-2E9C-101B-9397-08002B2CF9AE}" pid="11" name="MSIP_Label_d04dfc70-0289-4bbf-a1df-2e48919102f8_SetDate">
    <vt:lpwstr>2023-02-01T14:54:18Z</vt:lpwstr>
  </property>
  <property fmtid="{D5CDD505-2E9C-101B-9397-08002B2CF9AE}" pid="12" name="MSIP_Label_d04dfc70-0289-4bbf-a1df-2e48919102f8_Method">
    <vt:lpwstr>Standard</vt:lpwstr>
  </property>
  <property fmtid="{D5CDD505-2E9C-101B-9397-08002B2CF9AE}" pid="13" name="MSIP_Label_d04dfc70-0289-4bbf-a1df-2e48919102f8_Name">
    <vt:lpwstr>Private2</vt:lpwstr>
  </property>
  <property fmtid="{D5CDD505-2E9C-101B-9397-08002B2CF9AE}" pid="14" name="MSIP_Label_d04dfc70-0289-4bbf-a1df-2e48919102f8_SiteId">
    <vt:lpwstr>92ebd22d-0a9c-4516-a68f-ba966853a8f3</vt:lpwstr>
  </property>
  <property fmtid="{D5CDD505-2E9C-101B-9397-08002B2CF9AE}" pid="15" name="MSIP_Label_d04dfc70-0289-4bbf-a1df-2e48919102f8_ActionId">
    <vt:lpwstr>af6cff2d-e96a-4632-8702-4aa74dd6eb0c</vt:lpwstr>
  </property>
  <property fmtid="{D5CDD505-2E9C-101B-9397-08002B2CF9AE}" pid="16" name="MSIP_Label_d04dfc70-0289-4bbf-a1df-2e48919102f8_ContentBits">
    <vt:lpwstr>0</vt:lpwstr>
  </property>
</Properties>
</file>